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namedSheetViews/namedSheetView1.xml" ContentType="application/vnd.ms-excel.namedsheetview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9.xml" ContentType="application/vnd.openxmlformats-officedocument.drawing+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tables/table5.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0.xml" ContentType="application/vnd.openxmlformats-officedocument.drawing+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tables/table6.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11.xml" ContentType="application/vnd.openxmlformats-officedocument.drawing+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omments7.xml" ContentType="application/vnd.openxmlformats-officedocument.spreadsheetml.comments+xml"/>
  <Override PartName="/xl/threadedComments/threadedComment7.xml" ContentType="application/vnd.ms-excel.threadedcomments+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2.xml" ContentType="application/vnd.openxmlformats-officedocument.drawing+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omments8.xml" ContentType="application/vnd.openxmlformats-officedocument.spreadsheetml.comments+xml"/>
  <Override PartName="/xl/threadedComments/threadedComment8.xml" ContentType="application/vnd.ms-excel.threadedcomments+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3.xml" ContentType="application/vnd.openxmlformats-officedocument.drawing+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omments9.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always"/>
  <mc:AlternateContent xmlns:mc="http://schemas.openxmlformats.org/markup-compatibility/2006">
    <mc:Choice Requires="x15">
      <x15ac:absPath xmlns:x15ac="http://schemas.microsoft.com/office/spreadsheetml/2010/11/ac" url="https://delgadiadema.sharepoint.com/sites/GestoEstratgica/Documentos Compartilhados/Controle Master/"/>
    </mc:Choice>
  </mc:AlternateContent>
  <xr:revisionPtr revIDLastSave="1667" documentId="120_S{7712453C-BC21-5D16-9F59-1D05068A5AE4}" xr6:coauthVersionLast="47" xr6:coauthVersionMax="47" xr10:uidLastSave="{0B86A764-6BD8-41C7-9791-1925D147CC66}"/>
  <bookViews>
    <workbookView xWindow="-108" yWindow="-108" windowWidth="23256" windowHeight="12456" tabRatio="838" firstSheet="1" activeTab="1" xr2:uid="{00000000-000D-0000-FFFF-FFFF00000000}"/>
  </bookViews>
  <sheets>
    <sheet name="MASTER" sheetId="1" state="hidden" r:id="rId1"/>
    <sheet name="5 Unidades  +" sheetId="32" r:id="rId2"/>
    <sheet name="Diadema" sheetId="2" r:id="rId3"/>
    <sheet name="Jarinu" sheetId="19" r:id="rId4"/>
    <sheet name="Ferraz" sheetId="17" r:id="rId5"/>
    <sheet name="Comitê Aço" sheetId="28" state="hidden" r:id="rId6"/>
    <sheet name="Top 5 Projetos" sheetId="33" state="hidden" r:id="rId7"/>
    <sheet name="Diretoria Financeira" sheetId="15" state="hidden" r:id="rId8"/>
    <sheet name="Head Qualidade&amp;Dir. Industrial" sheetId="26" state="hidden" r:id="rId9"/>
    <sheet name="Config" sheetId="35" state="hidden" r:id="rId10"/>
    <sheet name="Testes" sheetId="36" state="hidden" r:id="rId11"/>
    <sheet name="Calculos" sheetId="22" state="hidden" r:id="rId12"/>
    <sheet name="São Leopoldo" sheetId="18" r:id="rId13"/>
    <sheet name="Anchieta" sheetId="20" r:id="rId14"/>
    <sheet name="Compras " sheetId="24" r:id="rId15"/>
    <sheet name="Vendas" sheetId="8" r:id="rId16"/>
    <sheet name="Corporativo" sheetId="14" r:id="rId17"/>
    <sheet name="SPD" sheetId="40" r:id="rId18"/>
    <sheet name="Parâmetros" sheetId="9" r:id="rId19"/>
    <sheet name="Pareto" sheetId="34" r:id="rId20"/>
    <sheet name="R.E" sheetId="44" r:id="rId21"/>
    <sheet name="Top Ganhos " sheetId="42" state="hidden" r:id="rId22"/>
    <sheet name="Concluidos" sheetId="38" state="hidden" r:id="rId23"/>
    <sheet name="SPD (teste)" sheetId="37"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_xlnm._FilterDatabase" localSheetId="1" hidden="1">'5 Unidades  +'!$D$55:$M$259</definedName>
    <definedName name="_xlnm._FilterDatabase" localSheetId="13" hidden="1">Anchieta!$A$54:$AF$102</definedName>
    <definedName name="_xlnm._FilterDatabase" localSheetId="14" hidden="1">'Compras '!$A$30:$AW$144</definedName>
    <definedName name="_xlnm._FilterDatabase" localSheetId="22" hidden="1">Concluidos!$A$8:$E$501</definedName>
    <definedName name="_xlnm._FilterDatabase" localSheetId="2" hidden="1">Diadema!$A$54:$AL$176</definedName>
    <definedName name="_xlnm._FilterDatabase" localSheetId="4" hidden="1">Ferraz!$A$54:$AP$430</definedName>
    <definedName name="_xlnm._FilterDatabase" localSheetId="3" hidden="1">Jarinu!$A$54:$AL$144</definedName>
    <definedName name="_xlnm._FilterDatabase" localSheetId="19" hidden="1">Pareto!$A$3:$Z$211</definedName>
    <definedName name="_xlnm._FilterDatabase" localSheetId="12" hidden="1">'São Leopoldo'!$A$54:$AO$106</definedName>
    <definedName name="_xlnm._FilterDatabase" localSheetId="23" hidden="1">'SPD (teste)'!$B$2:$H$49</definedName>
    <definedName name="_xlnm._FilterDatabase" localSheetId="10" hidden="1">Testes!$A$54:$AI$114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5" i="2" l="1"/>
  <c r="AC138" i="2"/>
  <c r="T30" i="19"/>
  <c r="N83" i="19"/>
  <c r="V51"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B31" i="19"/>
  <c r="Z31" i="19"/>
  <c r="AB44" i="19"/>
  <c r="AB29" i="19"/>
  <c r="AB30" i="19"/>
  <c r="AB32" i="19"/>
  <c r="AB33" i="19"/>
  <c r="AB34" i="19"/>
  <c r="AB35" i="19"/>
  <c r="AB36" i="19"/>
  <c r="AB37" i="19"/>
  <c r="AB38" i="19"/>
  <c r="AB39" i="19"/>
  <c r="AB40" i="19"/>
  <c r="AB41" i="19"/>
  <c r="AB42" i="19"/>
  <c r="AB45" i="19"/>
  <c r="AB46" i="19"/>
  <c r="AB47" i="19"/>
  <c r="AB48" i="19"/>
  <c r="AB49" i="19"/>
  <c r="AB50" i="19"/>
  <c r="AB51" i="19"/>
  <c r="Z29" i="19"/>
  <c r="Z30" i="19"/>
  <c r="Z32" i="19"/>
  <c r="Z33" i="19"/>
  <c r="Z34" i="19"/>
  <c r="Z35" i="19"/>
  <c r="Z36" i="19"/>
  <c r="Z37" i="19"/>
  <c r="Z38" i="19"/>
  <c r="Z39" i="19"/>
  <c r="Z40" i="19"/>
  <c r="Z41" i="19"/>
  <c r="Z42" i="19"/>
  <c r="Z44" i="19"/>
  <c r="Z45" i="19"/>
  <c r="Z46" i="19"/>
  <c r="Z47" i="19"/>
  <c r="Z48" i="19"/>
  <c r="Z49" i="19"/>
  <c r="Z50" i="19"/>
  <c r="Z51" i="19"/>
  <c r="K105" i="17"/>
  <c r="K103" i="17"/>
  <c r="K99" i="17"/>
  <c r="K113" i="17"/>
  <c r="K115" i="17"/>
  <c r="K117" i="17"/>
  <c r="K119" i="17"/>
  <c r="K121" i="17"/>
  <c r="K123" i="17"/>
  <c r="K125" i="17"/>
  <c r="K127" i="17"/>
  <c r="K107" i="17"/>
  <c r="K109" i="17"/>
  <c r="K111" i="17"/>
  <c r="T44" i="19"/>
  <c r="AD121" i="19" l="1"/>
  <c r="N121" i="19"/>
  <c r="R31" i="20"/>
  <c r="J129" i="24" l="1"/>
  <c r="N47" i="20"/>
  <c r="J47" i="20"/>
  <c r="I131" i="24" l="1"/>
  <c r="AP89" i="24"/>
  <c r="U89" i="24"/>
  <c r="AQ89" i="24"/>
  <c r="AT89" i="24"/>
  <c r="U90" i="24"/>
  <c r="Y90" i="24"/>
  <c r="AC90" i="24"/>
  <c r="AG90" i="24"/>
  <c r="AK90" i="24"/>
  <c r="AL90" i="24"/>
  <c r="AQ90" i="24"/>
  <c r="AT90" i="24"/>
  <c r="T86" i="20"/>
  <c r="T85" i="20"/>
  <c r="T80" i="20"/>
  <c r="T79" i="20"/>
  <c r="G131" i="24"/>
  <c r="H131" i="24"/>
  <c r="J131" i="24"/>
  <c r="K131" i="24" s="1"/>
  <c r="J97" i="24"/>
  <c r="I97" i="24"/>
  <c r="V89" i="24" l="1"/>
  <c r="Z89" i="24"/>
  <c r="AB89" i="24"/>
  <c r="AD89" i="24"/>
  <c r="AE89" i="24"/>
  <c r="AW89" i="24"/>
  <c r="AF89" i="24"/>
  <c r="AI89" i="24"/>
  <c r="AJ89" i="24"/>
  <c r="W89" i="24"/>
  <c r="X89" i="24"/>
  <c r="AA89" i="24"/>
  <c r="AV89" i="24"/>
  <c r="AH89" i="24"/>
  <c r="I51" i="24"/>
  <c r="AC89" i="24" l="1"/>
  <c r="AK89" i="24"/>
  <c r="AG89" i="24"/>
  <c r="Y89" i="24"/>
  <c r="AL89" i="24"/>
  <c r="AI70" i="14"/>
  <c r="AI68" i="14"/>
  <c r="AI66" i="14"/>
  <c r="AI64" i="14"/>
  <c r="AI62" i="14"/>
  <c r="AI60" i="14"/>
  <c r="AI58" i="14"/>
  <c r="AI56" i="14"/>
  <c r="AI54" i="14"/>
  <c r="AI52" i="14"/>
  <c r="AI50" i="14"/>
  <c r="AI48" i="14"/>
  <c r="AI46" i="14"/>
  <c r="AI44" i="14"/>
  <c r="AI42" i="14"/>
  <c r="AI40" i="14"/>
  <c r="AI38" i="14"/>
  <c r="AI36" i="14"/>
  <c r="AI34" i="14"/>
  <c r="AI32" i="14"/>
  <c r="AI30" i="14"/>
  <c r="AI28" i="14"/>
  <c r="AI26" i="14"/>
  <c r="AI24" i="14"/>
  <c r="AI22" i="14"/>
  <c r="AE70" i="14"/>
  <c r="AE68" i="14"/>
  <c r="AE66" i="14"/>
  <c r="AE64" i="14"/>
  <c r="AE62" i="14"/>
  <c r="AE60" i="14"/>
  <c r="AE58" i="14"/>
  <c r="AE56" i="14"/>
  <c r="AE54" i="14"/>
  <c r="AE52" i="14"/>
  <c r="AE50" i="14"/>
  <c r="AE48" i="14"/>
  <c r="AE46" i="14"/>
  <c r="AE44" i="14"/>
  <c r="AE42" i="14"/>
  <c r="AE40" i="14"/>
  <c r="AE38" i="14"/>
  <c r="AE36" i="14"/>
  <c r="AE34" i="14"/>
  <c r="AE32" i="14"/>
  <c r="AE30" i="14"/>
  <c r="AE28" i="14"/>
  <c r="AE26" i="14"/>
  <c r="AE24" i="14"/>
  <c r="AE22" i="14"/>
  <c r="AA70" i="14"/>
  <c r="AA68" i="14"/>
  <c r="AA66" i="14"/>
  <c r="AA64" i="14"/>
  <c r="AA62" i="14"/>
  <c r="AA60" i="14"/>
  <c r="AA58" i="14"/>
  <c r="AA56" i="14"/>
  <c r="AA54" i="14"/>
  <c r="AA52" i="14"/>
  <c r="AA50" i="14"/>
  <c r="AA48" i="14"/>
  <c r="AA46" i="14"/>
  <c r="AA44" i="14"/>
  <c r="AA42" i="14"/>
  <c r="AA40" i="14"/>
  <c r="AA38" i="14"/>
  <c r="AA36" i="14"/>
  <c r="AA34" i="14"/>
  <c r="AA32" i="14"/>
  <c r="AA30" i="14"/>
  <c r="AA28" i="14"/>
  <c r="AA26" i="14"/>
  <c r="AA24" i="14"/>
  <c r="AA22" i="14"/>
  <c r="AJ68" i="14"/>
  <c r="W68" i="14"/>
  <c r="AJ66" i="14"/>
  <c r="W66" i="14"/>
  <c r="AJ64" i="14"/>
  <c r="W64" i="14"/>
  <c r="AJ62" i="14"/>
  <c r="W62" i="14"/>
  <c r="AJ60" i="14"/>
  <c r="W60" i="14"/>
  <c r="AJ58" i="14"/>
  <c r="W58" i="14"/>
  <c r="AJ56" i="14"/>
  <c r="W56" i="14"/>
  <c r="AJ54" i="14"/>
  <c r="W54" i="14"/>
  <c r="AJ52" i="14"/>
  <c r="W52" i="14"/>
  <c r="AJ50" i="14"/>
  <c r="W50" i="14"/>
  <c r="AJ48" i="14"/>
  <c r="W48" i="14"/>
  <c r="AJ46" i="14"/>
  <c r="W46" i="14"/>
  <c r="AJ44" i="14"/>
  <c r="W44" i="14"/>
  <c r="AJ42" i="14"/>
  <c r="W42" i="14"/>
  <c r="AJ40" i="14"/>
  <c r="W40" i="14"/>
  <c r="AJ38" i="14"/>
  <c r="W38" i="14"/>
  <c r="AJ36" i="14"/>
  <c r="W36" i="14"/>
  <c r="AJ34" i="14"/>
  <c r="W34" i="14"/>
  <c r="AH33" i="14"/>
  <c r="AG33" i="14"/>
  <c r="AF33" i="14"/>
  <c r="AD33" i="14"/>
  <c r="AC33" i="14"/>
  <c r="AB33" i="14"/>
  <c r="Z33" i="14"/>
  <c r="Y33" i="14"/>
  <c r="X33" i="14"/>
  <c r="V33" i="14"/>
  <c r="U33" i="14"/>
  <c r="T33" i="14"/>
  <c r="AJ32" i="14"/>
  <c r="W32" i="14"/>
  <c r="AH31" i="14"/>
  <c r="AG31" i="14"/>
  <c r="AF31" i="14"/>
  <c r="AD31" i="14"/>
  <c r="AC31" i="14"/>
  <c r="AB31" i="14"/>
  <c r="Z31" i="14"/>
  <c r="Y31" i="14"/>
  <c r="X31" i="14"/>
  <c r="V31" i="14"/>
  <c r="U31" i="14"/>
  <c r="T31" i="14"/>
  <c r="AJ30" i="14"/>
  <c r="W30" i="14"/>
  <c r="AH29" i="14"/>
  <c r="AG29" i="14"/>
  <c r="AF29" i="14"/>
  <c r="AD29" i="14"/>
  <c r="AC29" i="14"/>
  <c r="AB29" i="14"/>
  <c r="Z29" i="14"/>
  <c r="Y29" i="14"/>
  <c r="X29" i="14"/>
  <c r="V29" i="14"/>
  <c r="U29" i="14"/>
  <c r="T29" i="14"/>
  <c r="AJ28" i="14"/>
  <c r="W28" i="14"/>
  <c r="AH27" i="14"/>
  <c r="AG27" i="14"/>
  <c r="AF27" i="14"/>
  <c r="AD27" i="14"/>
  <c r="AC27" i="14"/>
  <c r="AB27" i="14"/>
  <c r="Z27" i="14"/>
  <c r="Y27" i="14"/>
  <c r="X27" i="14"/>
  <c r="V27" i="14"/>
  <c r="U27" i="14"/>
  <c r="T27" i="14"/>
  <c r="AJ26" i="14"/>
  <c r="W26" i="14"/>
  <c r="AH25" i="14"/>
  <c r="AG25" i="14"/>
  <c r="AF25" i="14"/>
  <c r="AD25" i="14"/>
  <c r="AC25" i="14"/>
  <c r="AB25" i="14"/>
  <c r="Z25" i="14"/>
  <c r="Y25" i="14"/>
  <c r="X25" i="14"/>
  <c r="V25" i="14"/>
  <c r="U25" i="14"/>
  <c r="T25" i="14"/>
  <c r="AH21" i="14"/>
  <c r="AG21" i="14"/>
  <c r="AF21" i="14"/>
  <c r="AD21" i="14"/>
  <c r="AC21" i="14"/>
  <c r="AB21" i="14"/>
  <c r="Z21" i="14"/>
  <c r="Y21" i="14"/>
  <c r="X21" i="14"/>
  <c r="V21" i="14"/>
  <c r="U21" i="14"/>
  <c r="T21" i="14"/>
  <c r="J23" i="14"/>
  <c r="I123" i="24"/>
  <c r="AB13" i="20"/>
  <c r="AS142" i="17"/>
  <c r="AP142" i="17"/>
  <c r="AR142" i="17" s="1" a="1"/>
  <c r="AJ142" i="17"/>
  <c r="AF142" i="17"/>
  <c r="AB142" i="17"/>
  <c r="X142" i="17"/>
  <c r="AS141" i="17"/>
  <c r="AP141" i="17"/>
  <c r="AR141" i="17" s="1" a="1"/>
  <c r="AO141" i="17"/>
  <c r="T141" i="17"/>
  <c r="K141" i="17"/>
  <c r="AS140" i="17"/>
  <c r="AP140" i="17"/>
  <c r="AR140" i="17" s="1" a="1"/>
  <c r="AJ140" i="17"/>
  <c r="AF140" i="17"/>
  <c r="AB140" i="17"/>
  <c r="X140" i="17"/>
  <c r="AS139" i="17"/>
  <c r="AP139" i="17"/>
  <c r="AR139" i="17" s="1" a="1"/>
  <c r="AO139" i="17"/>
  <c r="T139" i="17"/>
  <c r="K139" i="17"/>
  <c r="AS138" i="17"/>
  <c r="AP138" i="17"/>
  <c r="AR138" i="17" s="1" a="1"/>
  <c r="AJ138" i="17"/>
  <c r="AF138" i="17"/>
  <c r="AB138" i="17"/>
  <c r="X138" i="17"/>
  <c r="AS137" i="17"/>
  <c r="AP137" i="17"/>
  <c r="AR137" i="17" s="1" a="1"/>
  <c r="AO137" i="17"/>
  <c r="T137" i="17"/>
  <c r="K137" i="17"/>
  <c r="AS136" i="17"/>
  <c r="AP136" i="17"/>
  <c r="AR136" i="17" s="1" a="1"/>
  <c r="AJ136" i="17"/>
  <c r="AF136" i="17"/>
  <c r="AB136" i="17"/>
  <c r="X136" i="17"/>
  <c r="AS135" i="17"/>
  <c r="AP135" i="17"/>
  <c r="AR135" i="17" s="1" a="1"/>
  <c r="AO135" i="17"/>
  <c r="T135" i="17"/>
  <c r="K135" i="17"/>
  <c r="AC135" i="17" s="1"/>
  <c r="AS134" i="17"/>
  <c r="AP134" i="17"/>
  <c r="AR134" i="17" s="1" a="1"/>
  <c r="AJ134" i="17"/>
  <c r="AF134" i="17"/>
  <c r="AB134" i="17"/>
  <c r="X134" i="17"/>
  <c r="AS133" i="17"/>
  <c r="AP133" i="17"/>
  <c r="AR133" i="17" s="1" a="1"/>
  <c r="AO133" i="17"/>
  <c r="T133" i="17"/>
  <c r="K133" i="17"/>
  <c r="AC133" i="17" s="1"/>
  <c r="AS132" i="17"/>
  <c r="AP132" i="17"/>
  <c r="AR132" i="17" s="1" a="1"/>
  <c r="AJ132" i="17"/>
  <c r="AF132" i="17"/>
  <c r="AB132" i="17"/>
  <c r="X132" i="17"/>
  <c r="AS131" i="17"/>
  <c r="AP131" i="17"/>
  <c r="AR131" i="17" s="1" a="1"/>
  <c r="AO131" i="17"/>
  <c r="T131" i="17"/>
  <c r="K131" i="17"/>
  <c r="AC131" i="17" s="1"/>
  <c r="AS130" i="17"/>
  <c r="AP130" i="17"/>
  <c r="AR130" i="17" s="1" a="1"/>
  <c r="AJ130" i="17"/>
  <c r="AF130" i="17"/>
  <c r="AB130" i="17"/>
  <c r="X130" i="17"/>
  <c r="AS129" i="17"/>
  <c r="AP129" i="17"/>
  <c r="AR129" i="17" s="1" a="1"/>
  <c r="AO129" i="17"/>
  <c r="T129" i="17"/>
  <c r="K129" i="17"/>
  <c r="AS128" i="17"/>
  <c r="AP128" i="17"/>
  <c r="AR128" i="17" s="1" a="1"/>
  <c r="AJ128" i="17"/>
  <c r="AF128" i="17"/>
  <c r="AB128" i="17"/>
  <c r="X128" i="17"/>
  <c r="AS127" i="17"/>
  <c r="AP127" i="17"/>
  <c r="AR127" i="17" s="1" a="1"/>
  <c r="AO127" i="17"/>
  <c r="T127" i="17"/>
  <c r="AC127" i="17"/>
  <c r="AS126" i="17"/>
  <c r="AP126" i="17"/>
  <c r="AR126" i="17" s="1" a="1"/>
  <c r="AJ126" i="17"/>
  <c r="AF126" i="17"/>
  <c r="AB126" i="17"/>
  <c r="X126" i="17"/>
  <c r="AS125" i="17"/>
  <c r="AP125" i="17"/>
  <c r="AR125" i="17" s="1" a="1"/>
  <c r="AO125" i="17"/>
  <c r="T125" i="17"/>
  <c r="AC125" i="17"/>
  <c r="AS124" i="17"/>
  <c r="AP124" i="17"/>
  <c r="AR124" i="17" s="1" a="1"/>
  <c r="AJ124" i="17"/>
  <c r="AF124" i="17"/>
  <c r="AB124" i="17"/>
  <c r="X124" i="17"/>
  <c r="AS123" i="17"/>
  <c r="AP123" i="17"/>
  <c r="AR123" i="17" s="1" a="1"/>
  <c r="AO123" i="17"/>
  <c r="T123" i="17"/>
  <c r="AC123" i="17"/>
  <c r="AS122" i="17"/>
  <c r="AP122" i="17"/>
  <c r="AR122" i="17" s="1" a="1"/>
  <c r="AJ122" i="17"/>
  <c r="AF122" i="17"/>
  <c r="AB122" i="17"/>
  <c r="X122" i="17"/>
  <c r="AS121" i="17"/>
  <c r="AP121" i="17"/>
  <c r="AR121" i="17" s="1" a="1"/>
  <c r="AO121" i="17"/>
  <c r="T121" i="17"/>
  <c r="AC121" i="17"/>
  <c r="AS120" i="17"/>
  <c r="AP120" i="17"/>
  <c r="AR120" i="17" s="1" a="1"/>
  <c r="AJ120" i="17"/>
  <c r="AF120" i="17"/>
  <c r="AB120" i="17"/>
  <c r="X120" i="17"/>
  <c r="AS119" i="17"/>
  <c r="AP119" i="17"/>
  <c r="AR119" i="17" s="1" a="1"/>
  <c r="AO119" i="17"/>
  <c r="T119" i="17"/>
  <c r="AC119" i="17"/>
  <c r="AS118" i="17"/>
  <c r="AP118" i="17"/>
  <c r="AR118" i="17" s="1" a="1"/>
  <c r="AJ118" i="17"/>
  <c r="AF118" i="17"/>
  <c r="AB118" i="17"/>
  <c r="X118" i="17"/>
  <c r="AS117" i="17"/>
  <c r="AP117" i="17"/>
  <c r="AR117" i="17" s="1" a="1"/>
  <c r="AO117" i="17"/>
  <c r="T117" i="17"/>
  <c r="AC117" i="17"/>
  <c r="AS116" i="17"/>
  <c r="AP116" i="17"/>
  <c r="AR116" i="17" s="1" a="1"/>
  <c r="AJ116" i="17"/>
  <c r="AF116" i="17"/>
  <c r="AB116" i="17"/>
  <c r="X116" i="17"/>
  <c r="AS115" i="17"/>
  <c r="AP115" i="17"/>
  <c r="AR115" i="17" s="1" a="1"/>
  <c r="AO115" i="17"/>
  <c r="T115" i="17"/>
  <c r="AC115" i="17"/>
  <c r="AS114" i="17"/>
  <c r="AP114" i="17"/>
  <c r="AJ114" i="17"/>
  <c r="AF114" i="17"/>
  <c r="AB114" i="17"/>
  <c r="X114" i="17"/>
  <c r="AS113" i="17"/>
  <c r="AP113" i="17"/>
  <c r="AO113" i="17"/>
  <c r="T113" i="17"/>
  <c r="AS112" i="17"/>
  <c r="AP112" i="17"/>
  <c r="AJ112" i="17"/>
  <c r="AF112" i="17"/>
  <c r="AB112" i="17"/>
  <c r="X112" i="17"/>
  <c r="AS111" i="17"/>
  <c r="AP111" i="17"/>
  <c r="AO111" i="17"/>
  <c r="T111" i="17"/>
  <c r="AC111" i="17"/>
  <c r="AS110" i="17"/>
  <c r="AP110" i="17"/>
  <c r="AJ110" i="17"/>
  <c r="AF110" i="17"/>
  <c r="AB110" i="17"/>
  <c r="X110" i="17"/>
  <c r="AS109" i="17"/>
  <c r="AP109" i="17"/>
  <c r="AO109" i="17"/>
  <c r="T109" i="17"/>
  <c r="AC109" i="17"/>
  <c r="AS108" i="17"/>
  <c r="AP108" i="17"/>
  <c r="AJ108" i="17"/>
  <c r="AF108" i="17"/>
  <c r="AB108" i="17"/>
  <c r="X108" i="17"/>
  <c r="AS107" i="17"/>
  <c r="AP107" i="17"/>
  <c r="AO107" i="17"/>
  <c r="T107" i="17"/>
  <c r="AC107" i="17"/>
  <c r="I63" i="24"/>
  <c r="AV131" i="24"/>
  <c r="AW131" i="24"/>
  <c r="AV133" i="24"/>
  <c r="AW133" i="24"/>
  <c r="AV135" i="24"/>
  <c r="AW135" i="24"/>
  <c r="AV137" i="24"/>
  <c r="AW137" i="24"/>
  <c r="AV139" i="24"/>
  <c r="AW139" i="24"/>
  <c r="AV141" i="24"/>
  <c r="AW141" i="24"/>
  <c r="AV143" i="24"/>
  <c r="AW143" i="24"/>
  <c r="AI87" i="19"/>
  <c r="AH87" i="19"/>
  <c r="AG87" i="19"/>
  <c r="AE87" i="19"/>
  <c r="AD87" i="19"/>
  <c r="AC87" i="19"/>
  <c r="AA87" i="19"/>
  <c r="Z87" i="19"/>
  <c r="Y87" i="19"/>
  <c r="W87" i="19"/>
  <c r="V87" i="19"/>
  <c r="U87" i="19"/>
  <c r="AI79" i="19"/>
  <c r="AH79" i="19"/>
  <c r="AG79" i="19"/>
  <c r="AE79" i="19"/>
  <c r="AD79" i="19"/>
  <c r="AC79" i="19"/>
  <c r="AA79" i="19"/>
  <c r="Z79" i="19"/>
  <c r="Y79" i="19"/>
  <c r="W79" i="19"/>
  <c r="V79" i="19"/>
  <c r="U79" i="19"/>
  <c r="AI69" i="19"/>
  <c r="AH69" i="19"/>
  <c r="AG69" i="19"/>
  <c r="AE69" i="19"/>
  <c r="AD69" i="19"/>
  <c r="AC69" i="19"/>
  <c r="AA69" i="19"/>
  <c r="Z69" i="19"/>
  <c r="Y69" i="19"/>
  <c r="W69" i="19"/>
  <c r="V69" i="19"/>
  <c r="U69" i="19"/>
  <c r="E5" i="19"/>
  <c r="AT123" i="19"/>
  <c r="AT125" i="19"/>
  <c r="AU119" i="19"/>
  <c r="AT119" i="19"/>
  <c r="AT121" i="19"/>
  <c r="N73" i="20"/>
  <c r="N75" i="18"/>
  <c r="AA27" i="14" l="1"/>
  <c r="AE21" i="14"/>
  <c r="AE25" i="14"/>
  <c r="AE27" i="14"/>
  <c r="AE29" i="14"/>
  <c r="AE33" i="14"/>
  <c r="AA25" i="14"/>
  <c r="AI21" i="14"/>
  <c r="AA21" i="14"/>
  <c r="AI25" i="14"/>
  <c r="AI27" i="14"/>
  <c r="AI29" i="14"/>
  <c r="AI33" i="14"/>
  <c r="AE31" i="14"/>
  <c r="T23" i="14"/>
  <c r="AH23" i="14"/>
  <c r="AC23" i="14"/>
  <c r="AG23" i="14"/>
  <c r="AF23" i="14"/>
  <c r="AA31" i="14"/>
  <c r="AA33" i="14"/>
  <c r="W25" i="14"/>
  <c r="W27" i="14"/>
  <c r="AI31" i="14"/>
  <c r="AJ29" i="14"/>
  <c r="AJ31" i="14"/>
  <c r="AA29" i="14"/>
  <c r="W33" i="14"/>
  <c r="U23" i="14"/>
  <c r="Z23" i="14"/>
  <c r="AJ21" i="14"/>
  <c r="AJ33" i="14"/>
  <c r="Y23" i="14"/>
  <c r="AB23" i="14"/>
  <c r="V23" i="14"/>
  <c r="AD23" i="14"/>
  <c r="X23" i="14"/>
  <c r="W31" i="14"/>
  <c r="W29" i="14"/>
  <c r="AJ27" i="14"/>
  <c r="AJ25" i="14"/>
  <c r="W21" i="14"/>
  <c r="AB69" i="19"/>
  <c r="AB87" i="19"/>
  <c r="AK134" i="17"/>
  <c r="AJ69" i="19"/>
  <c r="AJ79" i="19"/>
  <c r="AJ87" i="19"/>
  <c r="AB79" i="19"/>
  <c r="AH113" i="17"/>
  <c r="AI113" i="17"/>
  <c r="AK120" i="17"/>
  <c r="AK142" i="17"/>
  <c r="AF69" i="19"/>
  <c r="AF79" i="19"/>
  <c r="AK112" i="17"/>
  <c r="AK110" i="17"/>
  <c r="AK138" i="17"/>
  <c r="X69" i="19"/>
  <c r="X79" i="19"/>
  <c r="X87" i="19"/>
  <c r="AF87" i="19"/>
  <c r="AC141" i="17"/>
  <c r="AE141" i="17"/>
  <c r="AD141" i="17"/>
  <c r="AC139" i="17"/>
  <c r="AI139" i="17"/>
  <c r="AD139" i="17"/>
  <c r="W139" i="17"/>
  <c r="AC137" i="17"/>
  <c r="AD137" i="17"/>
  <c r="AC129" i="17"/>
  <c r="AD129" i="17"/>
  <c r="AC113" i="17"/>
  <c r="AG113" i="17"/>
  <c r="AD113" i="17"/>
  <c r="W113" i="17"/>
  <c r="AU141" i="17"/>
  <c r="AV141" i="17"/>
  <c r="U141" i="17"/>
  <c r="AG141" i="17"/>
  <c r="V141" i="17"/>
  <c r="AH141" i="17"/>
  <c r="W141" i="17"/>
  <c r="AA141" i="17"/>
  <c r="AI141" i="17"/>
  <c r="Y141" i="17"/>
  <c r="Z141" i="17"/>
  <c r="W115" i="17"/>
  <c r="AD115" i="17"/>
  <c r="AD119" i="17"/>
  <c r="AI115" i="17"/>
  <c r="AD121" i="17"/>
  <c r="AD123" i="17"/>
  <c r="AD125" i="17"/>
  <c r="AD127" i="17"/>
  <c r="AK136" i="17"/>
  <c r="AD107" i="17"/>
  <c r="AD109" i="17"/>
  <c r="AK114" i="17"/>
  <c r="AD131" i="17"/>
  <c r="W133" i="17"/>
  <c r="AE109" i="17"/>
  <c r="AD111" i="17"/>
  <c r="U113" i="17"/>
  <c r="AK118" i="17"/>
  <c r="AD133" i="17"/>
  <c r="AK140" i="17"/>
  <c r="V113" i="17"/>
  <c r="AK122" i="17"/>
  <c r="AK124" i="17"/>
  <c r="AK126" i="17"/>
  <c r="AD135" i="17"/>
  <c r="AK128" i="17"/>
  <c r="AK130" i="17"/>
  <c r="AK108" i="17"/>
  <c r="Y113" i="17"/>
  <c r="AK116" i="17"/>
  <c r="AK132" i="17"/>
  <c r="AU139" i="17"/>
  <c r="AV139" i="17"/>
  <c r="U139" i="17"/>
  <c r="AG139" i="17"/>
  <c r="AE139" i="17"/>
  <c r="V139" i="17"/>
  <c r="AH139" i="17"/>
  <c r="Y139" i="17"/>
  <c r="AA139" i="17"/>
  <c r="Z139" i="17"/>
  <c r="AV137" i="17"/>
  <c r="U137" i="17"/>
  <c r="AG137" i="17"/>
  <c r="V137" i="17"/>
  <c r="AH137" i="17"/>
  <c r="AU137" i="17"/>
  <c r="W137" i="17"/>
  <c r="AI137" i="17"/>
  <c r="Y137" i="17"/>
  <c r="AE137" i="17"/>
  <c r="Z137" i="17"/>
  <c r="AA137" i="17"/>
  <c r="U135" i="17"/>
  <c r="AG135" i="17"/>
  <c r="V135" i="17"/>
  <c r="AH135" i="17"/>
  <c r="AU135" i="17"/>
  <c r="AV135" i="17"/>
  <c r="W135" i="17"/>
  <c r="Y135" i="17"/>
  <c r="AE135" i="17"/>
  <c r="AI135" i="17"/>
  <c r="Z135" i="17"/>
  <c r="AA135" i="17"/>
  <c r="AE133" i="17"/>
  <c r="AU133" i="17"/>
  <c r="AV133" i="17"/>
  <c r="U133" i="17"/>
  <c r="AG133" i="17"/>
  <c r="V133" i="17"/>
  <c r="AH133" i="17"/>
  <c r="Y133" i="17"/>
  <c r="AI133" i="17"/>
  <c r="Z133" i="17"/>
  <c r="AA133" i="17"/>
  <c r="U131" i="17"/>
  <c r="AH131" i="17"/>
  <c r="AE131" i="17"/>
  <c r="AV131" i="17"/>
  <c r="AI131" i="17"/>
  <c r="Y131" i="17"/>
  <c r="AA131" i="17"/>
  <c r="AU131" i="17"/>
  <c r="AG131" i="17"/>
  <c r="V131" i="17"/>
  <c r="W131" i="17"/>
  <c r="Z131" i="17"/>
  <c r="AU129" i="17"/>
  <c r="AV129" i="17"/>
  <c r="Y129" i="17"/>
  <c r="U129" i="17"/>
  <c r="V129" i="17"/>
  <c r="AI129" i="17"/>
  <c r="Z129" i="17"/>
  <c r="AG129" i="17"/>
  <c r="AE129" i="17"/>
  <c r="AH129" i="17"/>
  <c r="W129" i="17"/>
  <c r="AA129" i="17"/>
  <c r="AV127" i="17"/>
  <c r="AU127" i="17"/>
  <c r="U127" i="17"/>
  <c r="AG127" i="17"/>
  <c r="AE127" i="17"/>
  <c r="V127" i="17"/>
  <c r="AH127" i="17"/>
  <c r="W127" i="17"/>
  <c r="Y127" i="17"/>
  <c r="AI127" i="17"/>
  <c r="Z127" i="17"/>
  <c r="AA127" i="17"/>
  <c r="AE125" i="17"/>
  <c r="AU125" i="17"/>
  <c r="AV125" i="17"/>
  <c r="U125" i="17"/>
  <c r="AG125" i="17"/>
  <c r="V125" i="17"/>
  <c r="AH125" i="17"/>
  <c r="W125" i="17"/>
  <c r="AI125" i="17"/>
  <c r="Z125" i="17"/>
  <c r="AA125" i="17"/>
  <c r="Y125" i="17"/>
  <c r="AU123" i="17"/>
  <c r="AV123" i="17"/>
  <c r="AG123" i="17"/>
  <c r="W123" i="17"/>
  <c r="Z123" i="17"/>
  <c r="AE123" i="17"/>
  <c r="V123" i="17"/>
  <c r="Y123" i="17"/>
  <c r="AA123" i="17"/>
  <c r="AH123" i="17"/>
  <c r="U123" i="17"/>
  <c r="AI123" i="17"/>
  <c r="AE121" i="17"/>
  <c r="U121" i="17"/>
  <c r="V121" i="17"/>
  <c r="W121" i="17"/>
  <c r="AI121" i="17"/>
  <c r="AH121" i="17"/>
  <c r="AV121" i="17"/>
  <c r="AG121" i="17"/>
  <c r="Y121" i="17"/>
  <c r="AU121" i="17"/>
  <c r="Z121" i="17"/>
  <c r="AA121" i="17"/>
  <c r="V119" i="17"/>
  <c r="AH119" i="17"/>
  <c r="W119" i="17"/>
  <c r="AI119" i="17"/>
  <c r="AE119" i="17"/>
  <c r="AU119" i="17"/>
  <c r="AG119" i="17"/>
  <c r="AV119" i="17"/>
  <c r="U119" i="17"/>
  <c r="Y119" i="17"/>
  <c r="Z119" i="17"/>
  <c r="AA119" i="17"/>
  <c r="AU117" i="17"/>
  <c r="AV117" i="17"/>
  <c r="U117" i="17"/>
  <c r="V117" i="17"/>
  <c r="AH117" i="17"/>
  <c r="W117" i="17"/>
  <c r="AI117" i="17"/>
  <c r="Y117" i="17"/>
  <c r="Z117" i="17"/>
  <c r="AA117" i="17"/>
  <c r="AD117" i="17"/>
  <c r="AE117" i="17"/>
  <c r="AG117" i="17"/>
  <c r="AU115" i="17"/>
  <c r="U115" i="17"/>
  <c r="AG115" i="17"/>
  <c r="AE115" i="17"/>
  <c r="AV115" i="17"/>
  <c r="V115" i="17"/>
  <c r="AH115" i="17"/>
  <c r="Z115" i="17"/>
  <c r="Y115" i="17"/>
  <c r="AA115" i="17"/>
  <c r="AE113" i="17"/>
  <c r="AU113" i="17"/>
  <c r="AV113" i="17"/>
  <c r="AA113" i="17"/>
  <c r="Z113" i="17"/>
  <c r="AV111" i="17"/>
  <c r="V111" i="17"/>
  <c r="AH111" i="17"/>
  <c r="AE111" i="17"/>
  <c r="U111" i="17"/>
  <c r="AG111" i="17"/>
  <c r="W111" i="17"/>
  <c r="AI111" i="17"/>
  <c r="Y111" i="17"/>
  <c r="Z111" i="17"/>
  <c r="AA111" i="17"/>
  <c r="AU111" i="17"/>
  <c r="AU109" i="17"/>
  <c r="AV109" i="17"/>
  <c r="U109" i="17"/>
  <c r="AG109" i="17"/>
  <c r="V109" i="17"/>
  <c r="AH109" i="17"/>
  <c r="W109" i="17"/>
  <c r="AI109" i="17"/>
  <c r="Y109" i="17"/>
  <c r="Z109" i="17"/>
  <c r="AA109" i="17"/>
  <c r="AE107" i="17"/>
  <c r="AU107" i="17"/>
  <c r="AV107" i="17"/>
  <c r="U107" i="17"/>
  <c r="AG107" i="17"/>
  <c r="V107" i="17"/>
  <c r="AH107" i="17"/>
  <c r="W107" i="17"/>
  <c r="Y107" i="17"/>
  <c r="Z107" i="17"/>
  <c r="AA107" i="17"/>
  <c r="AI107" i="17"/>
  <c r="N67" i="18"/>
  <c r="N55" i="18"/>
  <c r="AV55" i="20"/>
  <c r="K55" i="18"/>
  <c r="K59" i="18"/>
  <c r="K61" i="18"/>
  <c r="K63" i="18"/>
  <c r="K65" i="18"/>
  <c r="K67" i="18"/>
  <c r="K69" i="18"/>
  <c r="K71" i="18"/>
  <c r="K73" i="18"/>
  <c r="K75" i="18"/>
  <c r="K77" i="18"/>
  <c r="K79" i="18"/>
  <c r="K81" i="18"/>
  <c r="K83" i="18"/>
  <c r="K85" i="18"/>
  <c r="K87" i="18"/>
  <c r="K89" i="18"/>
  <c r="K119" i="19"/>
  <c r="K121" i="19"/>
  <c r="K123" i="19"/>
  <c r="K125" i="19"/>
  <c r="K127" i="19"/>
  <c r="K115" i="19"/>
  <c r="K105" i="19"/>
  <c r="K107" i="19"/>
  <c r="K109" i="19"/>
  <c r="K111" i="19"/>
  <c r="K65" i="19"/>
  <c r="AI23" i="14" l="1"/>
  <c r="AA23" i="14"/>
  <c r="AE23" i="14"/>
  <c r="AF113" i="17"/>
  <c r="AJ113" i="17"/>
  <c r="AF129" i="17"/>
  <c r="AF137" i="17"/>
  <c r="AF121" i="17"/>
  <c r="AF119" i="17"/>
  <c r="AF133" i="17"/>
  <c r="AF141" i="17"/>
  <c r="AJ121" i="17"/>
  <c r="AF139" i="17"/>
  <c r="AF109" i="17"/>
  <c r="AB123" i="17"/>
  <c r="AF135" i="17"/>
  <c r="AF131" i="17"/>
  <c r="X125" i="17"/>
  <c r="AF115" i="17"/>
  <c r="AF111" i="17"/>
  <c r="AU123" i="19"/>
  <c r="AH123" i="19"/>
  <c r="AG123" i="19"/>
  <c r="AE123" i="19"/>
  <c r="AD123" i="19"/>
  <c r="AC123" i="19"/>
  <c r="AA123" i="19"/>
  <c r="Z123" i="19"/>
  <c r="Y123" i="19"/>
  <c r="W123" i="19"/>
  <c r="V123" i="19"/>
  <c r="AI123" i="19"/>
  <c r="U123" i="19"/>
  <c r="AU125" i="19"/>
  <c r="AI125" i="19"/>
  <c r="AH125" i="19"/>
  <c r="AG125" i="19"/>
  <c r="AE125" i="19"/>
  <c r="AD125" i="19"/>
  <c r="AC125" i="19"/>
  <c r="AA125" i="19"/>
  <c r="Z125" i="19"/>
  <c r="Y125" i="19"/>
  <c r="W125" i="19"/>
  <c r="V125" i="19"/>
  <c r="U125" i="19"/>
  <c r="AI127" i="19"/>
  <c r="AH127" i="19"/>
  <c r="AG127" i="19"/>
  <c r="AE127" i="19"/>
  <c r="AD127" i="19"/>
  <c r="Z127" i="19"/>
  <c r="Y127" i="19"/>
  <c r="W127" i="19"/>
  <c r="V127" i="19"/>
  <c r="U127" i="19"/>
  <c r="AA127" i="19"/>
  <c r="AC127" i="19"/>
  <c r="AH115" i="19"/>
  <c r="AG115" i="19"/>
  <c r="AE115" i="19"/>
  <c r="AD115" i="19"/>
  <c r="AC115" i="19"/>
  <c r="AA115" i="19"/>
  <c r="Z115" i="19"/>
  <c r="Y115" i="19"/>
  <c r="W115" i="19"/>
  <c r="V115" i="19"/>
  <c r="U115" i="19"/>
  <c r="AI115" i="19"/>
  <c r="U105" i="19"/>
  <c r="V105" i="19"/>
  <c r="Y105" i="19"/>
  <c r="W105" i="19"/>
  <c r="Z105" i="19"/>
  <c r="AA105" i="19"/>
  <c r="AD105" i="19"/>
  <c r="AE105" i="19"/>
  <c r="AG105" i="19"/>
  <c r="AH105" i="19"/>
  <c r="AI105" i="19"/>
  <c r="AC105" i="19"/>
  <c r="V107" i="19"/>
  <c r="W107" i="19"/>
  <c r="Y107" i="19"/>
  <c r="Z107" i="19"/>
  <c r="AA107" i="19"/>
  <c r="AC107" i="19"/>
  <c r="AD107" i="19"/>
  <c r="AE107" i="19"/>
  <c r="AH107" i="19"/>
  <c r="AI107" i="19"/>
  <c r="U107" i="19"/>
  <c r="AG107" i="19"/>
  <c r="AH109" i="19"/>
  <c r="AG109" i="19"/>
  <c r="AE109" i="19"/>
  <c r="AD109" i="19"/>
  <c r="AC109" i="19"/>
  <c r="AC110" i="19" s="1"/>
  <c r="AA109" i="19"/>
  <c r="AI109" i="19"/>
  <c r="Y109" i="19"/>
  <c r="W109" i="19"/>
  <c r="U109" i="19"/>
  <c r="Z109" i="19"/>
  <c r="V109" i="19"/>
  <c r="W111" i="19"/>
  <c r="U111" i="19"/>
  <c r="Y111" i="19"/>
  <c r="Z111" i="19"/>
  <c r="AA111" i="19"/>
  <c r="AC111" i="19"/>
  <c r="AD111" i="19"/>
  <c r="AG111" i="19"/>
  <c r="AH111" i="19"/>
  <c r="V111" i="19"/>
  <c r="AI111" i="19"/>
  <c r="AE111" i="19"/>
  <c r="AT65" i="19"/>
  <c r="U65" i="19"/>
  <c r="V65" i="19"/>
  <c r="AA65" i="19"/>
  <c r="AE65" i="19"/>
  <c r="AC65" i="19"/>
  <c r="AH65" i="19"/>
  <c r="AG65" i="19"/>
  <c r="Z65" i="19"/>
  <c r="AI65" i="19"/>
  <c r="W65" i="19"/>
  <c r="AD65" i="19"/>
  <c r="Y65" i="19"/>
  <c r="X141" i="17"/>
  <c r="AJ141" i="17"/>
  <c r="AB141" i="17"/>
  <c r="AF125" i="17"/>
  <c r="AF117" i="17"/>
  <c r="X113" i="17"/>
  <c r="AB115" i="17"/>
  <c r="AB121" i="17"/>
  <c r="X111" i="17"/>
  <c r="AJ119" i="17"/>
  <c r="AJ131" i="17"/>
  <c r="AB133" i="17"/>
  <c r="AF107" i="17"/>
  <c r="AF123" i="17"/>
  <c r="AB113" i="17"/>
  <c r="AF127" i="17"/>
  <c r="AB139" i="17"/>
  <c r="AJ139" i="17"/>
  <c r="X139" i="17"/>
  <c r="X137" i="17"/>
  <c r="AB137" i="17"/>
  <c r="AJ137" i="17"/>
  <c r="AJ135" i="17"/>
  <c r="X135" i="17"/>
  <c r="AB135" i="17"/>
  <c r="AJ133" i="17"/>
  <c r="X133" i="17"/>
  <c r="AB131" i="17"/>
  <c r="X131" i="17"/>
  <c r="X129" i="17"/>
  <c r="AJ129" i="17"/>
  <c r="AB129" i="17"/>
  <c r="AB127" i="17"/>
  <c r="AJ127" i="17"/>
  <c r="X127" i="17"/>
  <c r="AJ125" i="17"/>
  <c r="AB125" i="17"/>
  <c r="AJ123" i="17"/>
  <c r="X123" i="17"/>
  <c r="X121" i="17"/>
  <c r="AB119" i="17"/>
  <c r="X119" i="17"/>
  <c r="AB117" i="17"/>
  <c r="X117" i="17"/>
  <c r="AJ117" i="17"/>
  <c r="X115" i="17"/>
  <c r="AJ115" i="17"/>
  <c r="AB111" i="17"/>
  <c r="AJ111" i="17"/>
  <c r="AB109" i="17"/>
  <c r="AJ109" i="17"/>
  <c r="X109" i="17"/>
  <c r="AB107" i="17"/>
  <c r="AJ107" i="17"/>
  <c r="X107" i="17"/>
  <c r="AU65" i="19"/>
  <c r="K83" i="24"/>
  <c r="AW83" i="24" s="1"/>
  <c r="K97" i="24"/>
  <c r="A5" i="18"/>
  <c r="AU59" i="18"/>
  <c r="AV59" i="18"/>
  <c r="AU63" i="18"/>
  <c r="AV63" i="18"/>
  <c r="AU65" i="18"/>
  <c r="AV65" i="18"/>
  <c r="AU71" i="18"/>
  <c r="AV71" i="18"/>
  <c r="AU73" i="18"/>
  <c r="AV73" i="18"/>
  <c r="AU75" i="18"/>
  <c r="AV75" i="18"/>
  <c r="AU77" i="18"/>
  <c r="AV77" i="18"/>
  <c r="AU79" i="18"/>
  <c r="AV79" i="18"/>
  <c r="AU81" i="18"/>
  <c r="AV81" i="18"/>
  <c r="AU83" i="18"/>
  <c r="AV83" i="18"/>
  <c r="AU85" i="18"/>
  <c r="AV85" i="18"/>
  <c r="AU87" i="18"/>
  <c r="AV87" i="18"/>
  <c r="AU89" i="18"/>
  <c r="AV89" i="18"/>
  <c r="AU91" i="18"/>
  <c r="AV91" i="18"/>
  <c r="AU93" i="18"/>
  <c r="AV93" i="18"/>
  <c r="AU95" i="18"/>
  <c r="AV95" i="18"/>
  <c r="AU97" i="18"/>
  <c r="AV97" i="18"/>
  <c r="AU99" i="18"/>
  <c r="AV99" i="18"/>
  <c r="AU101" i="18"/>
  <c r="AV101" i="18"/>
  <c r="AU103" i="18"/>
  <c r="AV103" i="18"/>
  <c r="AU105" i="18"/>
  <c r="AV105" i="18"/>
  <c r="AU75" i="20"/>
  <c r="AV75" i="20"/>
  <c r="AU81" i="20"/>
  <c r="AV81" i="20"/>
  <c r="AU83" i="20"/>
  <c r="AV83" i="20"/>
  <c r="AU99" i="17"/>
  <c r="AV99" i="17"/>
  <c r="AU101" i="17"/>
  <c r="AV101" i="17"/>
  <c r="AU103" i="17"/>
  <c r="AV103" i="17"/>
  <c r="AT69" i="19"/>
  <c r="AU69" i="19"/>
  <c r="AT79" i="19"/>
  <c r="AU79" i="19"/>
  <c r="AT87" i="19"/>
  <c r="AU87" i="19"/>
  <c r="AT107" i="19"/>
  <c r="AU107" i="19"/>
  <c r="AT109" i="19"/>
  <c r="AU109" i="19"/>
  <c r="AT111" i="19"/>
  <c r="AU111" i="19"/>
  <c r="AT115" i="19"/>
  <c r="AU115" i="19"/>
  <c r="AU121" i="19"/>
  <c r="AT127" i="19"/>
  <c r="AU127" i="19"/>
  <c r="AV75" i="2"/>
  <c r="AU169" i="2"/>
  <c r="AV169" i="2"/>
  <c r="T97" i="17"/>
  <c r="T95" i="17"/>
  <c r="T93" i="17"/>
  <c r="T91" i="17"/>
  <c r="K73" i="17"/>
  <c r="AU73" i="17" s="1"/>
  <c r="T56" i="18"/>
  <c r="T55" i="18"/>
  <c r="T58" i="18"/>
  <c r="T57" i="18"/>
  <c r="Z39" i="8"/>
  <c r="K71" i="20"/>
  <c r="AU71" i="20" s="1"/>
  <c r="AF109" i="19" l="1"/>
  <c r="AF115" i="19"/>
  <c r="AF125" i="19"/>
  <c r="AB65" i="19"/>
  <c r="X107" i="19"/>
  <c r="AB125" i="19"/>
  <c r="AK131" i="17"/>
  <c r="AK121" i="17"/>
  <c r="AJ109" i="19"/>
  <c r="AB127" i="19"/>
  <c r="AB123" i="19"/>
  <c r="AK123" i="17"/>
  <c r="AK133" i="17"/>
  <c r="AK113" i="17"/>
  <c r="AF123" i="19"/>
  <c r="AB105" i="19"/>
  <c r="AJ127" i="19"/>
  <c r="AK111" i="17"/>
  <c r="AJ107" i="19"/>
  <c r="AF105" i="19"/>
  <c r="X127" i="19"/>
  <c r="AF127" i="19"/>
  <c r="AJ115" i="19"/>
  <c r="AJ105" i="19"/>
  <c r="AB107" i="19"/>
  <c r="AF107" i="19"/>
  <c r="AB109" i="19"/>
  <c r="X109" i="19"/>
  <c r="X111" i="19"/>
  <c r="AB111" i="19"/>
  <c r="AF111" i="19"/>
  <c r="AJ111" i="19"/>
  <c r="X65" i="19"/>
  <c r="AF65" i="19"/>
  <c r="AK117" i="17"/>
  <c r="X115" i="19"/>
  <c r="AK109" i="17"/>
  <c r="AK107" i="17"/>
  <c r="X123" i="19"/>
  <c r="AJ123" i="19"/>
  <c r="AJ125" i="19"/>
  <c r="X125" i="19"/>
  <c r="AB115" i="19"/>
  <c r="X105" i="19"/>
  <c r="AJ65" i="19"/>
  <c r="AK141" i="17"/>
  <c r="AK125" i="17"/>
  <c r="AK135" i="17"/>
  <c r="AK115" i="17"/>
  <c r="AK139" i="17"/>
  <c r="AK119" i="17"/>
  <c r="AK129" i="17"/>
  <c r="AK137" i="17"/>
  <c r="AK127" i="17"/>
  <c r="AV97" i="24"/>
  <c r="AW97" i="24"/>
  <c r="AV73" i="17"/>
  <c r="AV71" i="20"/>
  <c r="K69" i="20"/>
  <c r="K63" i="20"/>
  <c r="AU63" i="20" l="1"/>
  <c r="AV63" i="20"/>
  <c r="AU69" i="20"/>
  <c r="AV69" i="20"/>
  <c r="K77" i="20"/>
  <c r="N77" i="20" l="1"/>
  <c r="AI77" i="20" s="1"/>
  <c r="K95" i="17"/>
  <c r="N95" i="17" s="1"/>
  <c r="K97" i="17"/>
  <c r="K93" i="17"/>
  <c r="T67" i="17"/>
  <c r="J48" i="8"/>
  <c r="AU93" i="17" l="1"/>
  <c r="AV93" i="17"/>
  <c r="AU97" i="17"/>
  <c r="AV97" i="17"/>
  <c r="AU95" i="17"/>
  <c r="AV95" i="17"/>
  <c r="N137" i="2"/>
  <c r="I137" i="2"/>
  <c r="N139" i="2"/>
  <c r="T90" i="18"/>
  <c r="T88" i="18"/>
  <c r="T60" i="18"/>
  <c r="T62" i="18"/>
  <c r="AA90" i="2"/>
  <c r="J29" i="32"/>
  <c r="AU69" i="18" l="1"/>
  <c r="AV69" i="18"/>
  <c r="G16" i="2"/>
  <c r="T64" i="18"/>
  <c r="T74" i="18"/>
  <c r="T73" i="18"/>
  <c r="T63" i="18"/>
  <c r="T76" i="18"/>
  <c r="T75" i="18"/>
  <c r="T89" i="18" l="1"/>
  <c r="T61" i="18"/>
  <c r="T86" i="18"/>
  <c r="T85" i="18"/>
  <c r="T66" i="18"/>
  <c r="T65" i="18"/>
  <c r="T84" i="18"/>
  <c r="T83" i="18"/>
  <c r="T72" i="18"/>
  <c r="T71" i="18"/>
  <c r="T80" i="18" l="1"/>
  <c r="T79" i="18"/>
  <c r="T78" i="18"/>
  <c r="T77" i="18"/>
  <c r="T70" i="18"/>
  <c r="T69" i="18"/>
  <c r="T68" i="18"/>
  <c r="T67" i="18"/>
  <c r="T87" i="18" l="1"/>
  <c r="T82" i="18"/>
  <c r="T81" i="18"/>
  <c r="M75" i="14" a="1"/>
  <c r="N75" i="14" a="1"/>
  <c r="O75" i="14" a="1"/>
  <c r="P75" i="14" a="1"/>
  <c r="Q75" i="14" a="1"/>
  <c r="R75" i="14" a="1"/>
  <c r="S75" i="14" a="1"/>
  <c r="T75" i="14" a="1"/>
  <c r="U75" i="14" a="1"/>
  <c r="V75" i="14" a="1"/>
  <c r="W75" i="14" a="1"/>
  <c r="L75" i="14" a="1"/>
  <c r="V74" i="14"/>
  <c r="W74" i="14"/>
  <c r="U74" i="14"/>
  <c r="T74" i="14"/>
  <c r="S74" i="14"/>
  <c r="R74" i="14"/>
  <c r="P74" i="14"/>
  <c r="Q74" i="14"/>
  <c r="O74" i="14"/>
  <c r="M74" i="14"/>
  <c r="N74" i="14"/>
  <c r="L74" i="14"/>
  <c r="B12" i="19"/>
  <c r="X88" i="19"/>
  <c r="K79" i="20"/>
  <c r="B10" i="14"/>
  <c r="C10" i="14"/>
  <c r="D10" i="14"/>
  <c r="B11" i="14"/>
  <c r="C11" i="14"/>
  <c r="D11" i="14"/>
  <c r="B12" i="14"/>
  <c r="C12" i="14"/>
  <c r="D12" i="14"/>
  <c r="B13" i="14"/>
  <c r="C13" i="14"/>
  <c r="D13" i="14"/>
  <c r="B14" i="14"/>
  <c r="C14" i="14"/>
  <c r="D14" i="14"/>
  <c r="D9" i="14"/>
  <c r="B9" i="14"/>
  <c r="C9" i="14"/>
  <c r="W22" i="14"/>
  <c r="AJ22" i="14"/>
  <c r="W24" i="14"/>
  <c r="AJ24" i="14"/>
  <c r="AP70" i="14"/>
  <c r="AO70" i="14"/>
  <c r="AJ70" i="14"/>
  <c r="W70" i="14"/>
  <c r="AP69" i="14"/>
  <c r="AO69" i="14"/>
  <c r="AR70" i="14" s="1" a="1"/>
  <c r="AN69" i="14"/>
  <c r="J69" i="14"/>
  <c r="AP68" i="14"/>
  <c r="AO68" i="14"/>
  <c r="AP67" i="14"/>
  <c r="AO67" i="14"/>
  <c r="AN67" i="14"/>
  <c r="J67" i="14"/>
  <c r="AP66" i="14"/>
  <c r="AO66" i="14"/>
  <c r="AP65" i="14"/>
  <c r="AO65" i="14"/>
  <c r="AN65" i="14"/>
  <c r="J65" i="14"/>
  <c r="AP64" i="14"/>
  <c r="AO64" i="14"/>
  <c r="AP63" i="14"/>
  <c r="AO63" i="14"/>
  <c r="AR64" i="14" s="1" a="1"/>
  <c r="AN63" i="14"/>
  <c r="J63" i="14"/>
  <c r="AP62" i="14"/>
  <c r="AO62" i="14"/>
  <c r="AP61" i="14"/>
  <c r="AO61" i="14"/>
  <c r="AR61" i="14" s="1" a="1"/>
  <c r="AN61" i="14"/>
  <c r="J61" i="14"/>
  <c r="AP60" i="14"/>
  <c r="AO60" i="14"/>
  <c r="AP59" i="14"/>
  <c r="AO59" i="14"/>
  <c r="AR59" i="14" s="1" a="1"/>
  <c r="AN59" i="14"/>
  <c r="J59" i="14"/>
  <c r="AP58" i="14"/>
  <c r="AO58" i="14"/>
  <c r="AP57" i="14"/>
  <c r="AO57" i="14"/>
  <c r="AR58" i="14" s="1" a="1"/>
  <c r="AN57" i="14"/>
  <c r="J57" i="14"/>
  <c r="AP56" i="14"/>
  <c r="AO56" i="14"/>
  <c r="AP55" i="14"/>
  <c r="AO55" i="14"/>
  <c r="AR55" i="14" s="1" a="1"/>
  <c r="AN55" i="14"/>
  <c r="J55" i="14"/>
  <c r="AP54" i="14"/>
  <c r="AO54" i="14"/>
  <c r="AP53" i="14"/>
  <c r="AO53" i="14"/>
  <c r="AR53" i="14" s="1" a="1"/>
  <c r="AN53" i="14"/>
  <c r="J53" i="14"/>
  <c r="AP52" i="14"/>
  <c r="AO52" i="14"/>
  <c r="AP51" i="14"/>
  <c r="AO51" i="14"/>
  <c r="AR52" i="14" s="1" a="1"/>
  <c r="AN51" i="14"/>
  <c r="J51" i="14"/>
  <c r="AP50" i="14"/>
  <c r="AO50" i="14"/>
  <c r="AP49" i="14"/>
  <c r="AO49" i="14"/>
  <c r="AR49" i="14" s="1" a="1"/>
  <c r="AN49" i="14"/>
  <c r="J49" i="14"/>
  <c r="AP48" i="14"/>
  <c r="AO48" i="14"/>
  <c r="AP47" i="14"/>
  <c r="AO47" i="14"/>
  <c r="AR47" i="14" s="1" a="1"/>
  <c r="AN47" i="14"/>
  <c r="J47" i="14"/>
  <c r="AP46" i="14"/>
  <c r="AO46" i="14"/>
  <c r="AP45" i="14"/>
  <c r="AO45" i="14"/>
  <c r="AR46" i="14" s="1" a="1"/>
  <c r="AN45" i="14"/>
  <c r="J45" i="14"/>
  <c r="AP44" i="14"/>
  <c r="AO44" i="14"/>
  <c r="AP43" i="14"/>
  <c r="AO43" i="14"/>
  <c r="AR44" i="14" s="1" a="1"/>
  <c r="AN43" i="14"/>
  <c r="J43" i="14"/>
  <c r="AP42" i="14"/>
  <c r="AO42" i="14"/>
  <c r="AP41" i="14"/>
  <c r="AO41" i="14"/>
  <c r="AR41" i="14" s="1" a="1"/>
  <c r="AN41" i="14"/>
  <c r="J41" i="14"/>
  <c r="AP40" i="14"/>
  <c r="AO40" i="14"/>
  <c r="AP39" i="14"/>
  <c r="AO39" i="14"/>
  <c r="AR40" i="14" s="1" a="1"/>
  <c r="AN39" i="14"/>
  <c r="J39" i="14"/>
  <c r="AP38" i="14"/>
  <c r="AO38" i="14"/>
  <c r="AP37" i="14"/>
  <c r="AO37" i="14"/>
  <c r="AR37" i="14" s="1" a="1"/>
  <c r="AN37" i="14"/>
  <c r="J37" i="14"/>
  <c r="AP36" i="14"/>
  <c r="AO36" i="14"/>
  <c r="AP35" i="14"/>
  <c r="AO35" i="14"/>
  <c r="AN35" i="14"/>
  <c r="J35" i="14"/>
  <c r="AP34" i="14"/>
  <c r="AO34" i="14"/>
  <c r="AP33" i="14"/>
  <c r="AO33" i="14"/>
  <c r="AN33" i="14"/>
  <c r="AP32" i="14"/>
  <c r="AO32" i="14"/>
  <c r="AP31" i="14"/>
  <c r="AO31" i="14"/>
  <c r="AN31" i="14"/>
  <c r="AP30" i="14"/>
  <c r="AO30" i="14"/>
  <c r="AP29" i="14"/>
  <c r="AO29" i="14"/>
  <c r="AN29" i="14"/>
  <c r="AP28" i="14"/>
  <c r="AO28" i="14"/>
  <c r="AP27" i="14"/>
  <c r="AO27" i="14"/>
  <c r="AN27" i="14"/>
  <c r="AP26" i="14"/>
  <c r="AO26" i="14"/>
  <c r="AP25" i="14"/>
  <c r="AO25" i="14"/>
  <c r="AN25" i="14"/>
  <c r="AP24" i="14"/>
  <c r="AO24" i="14"/>
  <c r="AP23" i="14"/>
  <c r="AO23" i="14"/>
  <c r="AN23" i="14"/>
  <c r="AP22" i="14"/>
  <c r="AO22" i="14"/>
  <c r="AP21" i="14"/>
  <c r="AO21" i="14"/>
  <c r="AN21" i="14"/>
  <c r="B16" i="8"/>
  <c r="C8" i="20"/>
  <c r="AT33" i="24"/>
  <c r="AT34" i="24"/>
  <c r="AT35" i="24"/>
  <c r="AT36" i="24"/>
  <c r="AT37" i="24"/>
  <c r="AT38" i="24"/>
  <c r="AT39" i="24"/>
  <c r="AT40" i="24"/>
  <c r="AT41" i="24"/>
  <c r="AT42" i="24"/>
  <c r="AT43" i="24"/>
  <c r="AT44" i="24"/>
  <c r="AT45" i="24"/>
  <c r="AT46" i="24"/>
  <c r="AT47" i="24"/>
  <c r="AT48" i="24"/>
  <c r="AT49" i="24"/>
  <c r="AT50" i="24"/>
  <c r="AT51" i="24"/>
  <c r="AT52" i="24"/>
  <c r="AT53" i="24"/>
  <c r="AT54" i="24"/>
  <c r="AT55" i="24"/>
  <c r="AT56" i="24"/>
  <c r="AT57" i="24"/>
  <c r="AT58" i="24"/>
  <c r="AT59" i="24"/>
  <c r="AT60" i="24"/>
  <c r="AT61" i="24"/>
  <c r="AT62" i="24"/>
  <c r="AT63" i="24"/>
  <c r="AT64" i="24"/>
  <c r="AT65" i="24"/>
  <c r="AT66" i="24"/>
  <c r="AT67" i="24"/>
  <c r="AT68" i="24"/>
  <c r="AT69" i="24"/>
  <c r="AT70" i="24"/>
  <c r="AT71" i="24"/>
  <c r="AT72" i="24"/>
  <c r="AT73" i="24"/>
  <c r="AT74" i="24"/>
  <c r="AT75" i="24"/>
  <c r="AT76" i="24"/>
  <c r="AT77" i="24"/>
  <c r="AT78" i="24"/>
  <c r="AT79" i="24"/>
  <c r="AT80" i="24"/>
  <c r="AT81" i="24"/>
  <c r="AT82" i="24"/>
  <c r="AT83" i="24"/>
  <c r="AT84" i="24"/>
  <c r="AT85" i="24"/>
  <c r="AT86" i="24"/>
  <c r="AT87" i="24"/>
  <c r="AT88" i="24"/>
  <c r="AT91" i="24"/>
  <c r="AT92" i="24"/>
  <c r="AT93" i="24"/>
  <c r="AT94" i="24"/>
  <c r="AT95" i="24"/>
  <c r="AT96" i="24"/>
  <c r="AT97" i="24"/>
  <c r="AT98" i="24"/>
  <c r="AT99" i="24"/>
  <c r="AT100" i="24"/>
  <c r="AT101" i="24"/>
  <c r="AT102" i="24"/>
  <c r="AT103" i="24"/>
  <c r="AT104" i="24"/>
  <c r="AT105" i="24"/>
  <c r="AT106" i="24"/>
  <c r="AT107" i="24"/>
  <c r="AT108" i="24"/>
  <c r="AT109" i="24"/>
  <c r="AT110" i="24"/>
  <c r="AT111" i="24"/>
  <c r="AT112" i="24"/>
  <c r="AT113" i="24"/>
  <c r="AT114" i="24"/>
  <c r="AT115" i="24"/>
  <c r="AT116" i="24"/>
  <c r="AT117" i="24"/>
  <c r="AT118" i="24"/>
  <c r="AT119" i="24"/>
  <c r="AT120" i="24"/>
  <c r="AT121" i="24"/>
  <c r="AT122" i="24"/>
  <c r="AT123" i="24"/>
  <c r="AT124" i="24"/>
  <c r="AT125" i="24"/>
  <c r="AT126" i="24"/>
  <c r="AT127" i="24"/>
  <c r="AT128" i="24"/>
  <c r="AT129" i="24"/>
  <c r="AT130" i="24"/>
  <c r="AT131" i="24"/>
  <c r="AT132" i="24"/>
  <c r="AT133" i="24"/>
  <c r="AT134" i="24"/>
  <c r="AT135" i="24"/>
  <c r="AT136" i="24"/>
  <c r="AT137" i="24"/>
  <c r="AT138" i="24"/>
  <c r="AT139" i="24"/>
  <c r="AT140" i="24"/>
  <c r="AT141" i="24"/>
  <c r="AT142" i="24"/>
  <c r="AT143" i="24"/>
  <c r="AT144" i="24"/>
  <c r="AT32" i="24"/>
  <c r="AT31" i="24"/>
  <c r="B8" i="17"/>
  <c r="AS57" i="20"/>
  <c r="AS58" i="20"/>
  <c r="AS59" i="20"/>
  <c r="AS60" i="20"/>
  <c r="AS61" i="20"/>
  <c r="AS62" i="20"/>
  <c r="AS63" i="20"/>
  <c r="AS64" i="20"/>
  <c r="AS65" i="20"/>
  <c r="AS66" i="20"/>
  <c r="AS67" i="20"/>
  <c r="AS68" i="20"/>
  <c r="AS69" i="20"/>
  <c r="AS70" i="20"/>
  <c r="AS71" i="20"/>
  <c r="AS72" i="20"/>
  <c r="AS73" i="20"/>
  <c r="AS74" i="20"/>
  <c r="AS75" i="20"/>
  <c r="AS76" i="20"/>
  <c r="AS77" i="20"/>
  <c r="AS78" i="20"/>
  <c r="AS79" i="20"/>
  <c r="AS80" i="20"/>
  <c r="AS81" i="20"/>
  <c r="AS82" i="20"/>
  <c r="AS83" i="20"/>
  <c r="AS84" i="20"/>
  <c r="AS85" i="20"/>
  <c r="AS86" i="20"/>
  <c r="AS87" i="20"/>
  <c r="AS88" i="20"/>
  <c r="AS89" i="20"/>
  <c r="AS90" i="20"/>
  <c r="AS91" i="20"/>
  <c r="AS92" i="20"/>
  <c r="AS93" i="20"/>
  <c r="AS94" i="20"/>
  <c r="AS95" i="20"/>
  <c r="AS96" i="20"/>
  <c r="AS97" i="20"/>
  <c r="AS98" i="20"/>
  <c r="AS99" i="20"/>
  <c r="AS100" i="20"/>
  <c r="AS101" i="20"/>
  <c r="AS102" i="20"/>
  <c r="AS56" i="20"/>
  <c r="AS55" i="20"/>
  <c r="D10" i="2"/>
  <c r="I57" i="2"/>
  <c r="K57" i="2"/>
  <c r="AV57" i="2" s="1"/>
  <c r="T60" i="19"/>
  <c r="T59" i="19"/>
  <c r="T114" i="19"/>
  <c r="T113" i="19"/>
  <c r="K77" i="19"/>
  <c r="D13" i="20"/>
  <c r="D14" i="20"/>
  <c r="C11" i="20"/>
  <c r="C12" i="20"/>
  <c r="C13" i="20"/>
  <c r="C14" i="20"/>
  <c r="B8" i="20"/>
  <c r="D8" i="20"/>
  <c r="B9" i="20"/>
  <c r="C9" i="20"/>
  <c r="D9" i="20"/>
  <c r="B10" i="20"/>
  <c r="C10" i="20"/>
  <c r="D10" i="20"/>
  <c r="G15" i="20"/>
  <c r="C8" i="17"/>
  <c r="AS57" i="18"/>
  <c r="AS58" i="18"/>
  <c r="AS59" i="18"/>
  <c r="AS60" i="18"/>
  <c r="AS61" i="18"/>
  <c r="AS62" i="18"/>
  <c r="AS63" i="18"/>
  <c r="AS64" i="18"/>
  <c r="AS65" i="18"/>
  <c r="AS66" i="18"/>
  <c r="AS67" i="18"/>
  <c r="AS68" i="18"/>
  <c r="AS69" i="18"/>
  <c r="AS70" i="18"/>
  <c r="AS71" i="18"/>
  <c r="AS72" i="18"/>
  <c r="AS73" i="18"/>
  <c r="AS74" i="18"/>
  <c r="AS75" i="18"/>
  <c r="AS76" i="18"/>
  <c r="AS77" i="18"/>
  <c r="AS78" i="18"/>
  <c r="AS79" i="18"/>
  <c r="AS80" i="18"/>
  <c r="AS81" i="18"/>
  <c r="AS82" i="18"/>
  <c r="AS83" i="18"/>
  <c r="AS84" i="18"/>
  <c r="AS85" i="18"/>
  <c r="AS86" i="18"/>
  <c r="AS87" i="18"/>
  <c r="AS88" i="18"/>
  <c r="AS89" i="18"/>
  <c r="AS90" i="18"/>
  <c r="AS91" i="18"/>
  <c r="AS92" i="18"/>
  <c r="AS93" i="18"/>
  <c r="AS94" i="18"/>
  <c r="AS95" i="18"/>
  <c r="AS96" i="18"/>
  <c r="AS97" i="18"/>
  <c r="AS98" i="18"/>
  <c r="AS99" i="18"/>
  <c r="AS100" i="18"/>
  <c r="AS101" i="18"/>
  <c r="AS102" i="18"/>
  <c r="AS103" i="18"/>
  <c r="AS104" i="18"/>
  <c r="AS105" i="18"/>
  <c r="AS106" i="18"/>
  <c r="AS56" i="18"/>
  <c r="AS55" i="18"/>
  <c r="B8" i="18"/>
  <c r="B11" i="18"/>
  <c r="B12" i="18"/>
  <c r="B13" i="18"/>
  <c r="B14" i="18"/>
  <c r="D8" i="18"/>
  <c r="B9" i="18"/>
  <c r="C9" i="18"/>
  <c r="D9" i="18"/>
  <c r="B10" i="18"/>
  <c r="C10" i="18"/>
  <c r="D10" i="18"/>
  <c r="C14" i="18"/>
  <c r="D14" i="18"/>
  <c r="AS57" i="17"/>
  <c r="AS58" i="17"/>
  <c r="AS59" i="17"/>
  <c r="AS60" i="17"/>
  <c r="AS61" i="17"/>
  <c r="AS62" i="17"/>
  <c r="AS63" i="17"/>
  <c r="AS64" i="17"/>
  <c r="AS65" i="17"/>
  <c r="AS66" i="17"/>
  <c r="AS67" i="17"/>
  <c r="AS68" i="17"/>
  <c r="AS69" i="17"/>
  <c r="AS70" i="17"/>
  <c r="AS71" i="17"/>
  <c r="AS72" i="17"/>
  <c r="AS73" i="17"/>
  <c r="AS74" i="17"/>
  <c r="AS75" i="17"/>
  <c r="AS76" i="17"/>
  <c r="AS77" i="17"/>
  <c r="AS78" i="17"/>
  <c r="AS79" i="17"/>
  <c r="AS80" i="17"/>
  <c r="AS83" i="17"/>
  <c r="AS84" i="17"/>
  <c r="AS85" i="17"/>
  <c r="AS86" i="17"/>
  <c r="AS87" i="17"/>
  <c r="AS88" i="17"/>
  <c r="AS89" i="17"/>
  <c r="AS90" i="17"/>
  <c r="AS91" i="17"/>
  <c r="AS92" i="17"/>
  <c r="AS93" i="17"/>
  <c r="AS94" i="17"/>
  <c r="AS95" i="17"/>
  <c r="AS96" i="17"/>
  <c r="AS97" i="17"/>
  <c r="AS98" i="17"/>
  <c r="AS99" i="17"/>
  <c r="AS100" i="17"/>
  <c r="AS101" i="17"/>
  <c r="AS102" i="17"/>
  <c r="AS103" i="17"/>
  <c r="AS104" i="17"/>
  <c r="AS105" i="17"/>
  <c r="AS106" i="17"/>
  <c r="AS143" i="17"/>
  <c r="AS144" i="17"/>
  <c r="AS145" i="17"/>
  <c r="AS146" i="17"/>
  <c r="AS147" i="17"/>
  <c r="AS148" i="17"/>
  <c r="AS149" i="17"/>
  <c r="AS150" i="17"/>
  <c r="AS151" i="17"/>
  <c r="AS152" i="17"/>
  <c r="AS153" i="17"/>
  <c r="AS154" i="17"/>
  <c r="AS155" i="17"/>
  <c r="AS156" i="17"/>
  <c r="AS157" i="17"/>
  <c r="AS158" i="17"/>
  <c r="AS159" i="17"/>
  <c r="AS160" i="17"/>
  <c r="AS161" i="17"/>
  <c r="AS162" i="17"/>
  <c r="AS163" i="17"/>
  <c r="AS164" i="17"/>
  <c r="AS165" i="17"/>
  <c r="AS166" i="17"/>
  <c r="AS167" i="17"/>
  <c r="AS168" i="17"/>
  <c r="AS169" i="17"/>
  <c r="AS170" i="17"/>
  <c r="AS171" i="17"/>
  <c r="AS172" i="17"/>
  <c r="AS173" i="17"/>
  <c r="AS174" i="17"/>
  <c r="AS175" i="17"/>
  <c r="AS176" i="17"/>
  <c r="AS177" i="17"/>
  <c r="AS178" i="17"/>
  <c r="AS179" i="17"/>
  <c r="AS180" i="17"/>
  <c r="AS181" i="17"/>
  <c r="AS182" i="17"/>
  <c r="AS183" i="17"/>
  <c r="AS184" i="17"/>
  <c r="AS185" i="17"/>
  <c r="AS186" i="17"/>
  <c r="AS187" i="17"/>
  <c r="AS188" i="17"/>
  <c r="AS189" i="17"/>
  <c r="AS190" i="17"/>
  <c r="AS191" i="17"/>
  <c r="AS192" i="17"/>
  <c r="AS193" i="17"/>
  <c r="AS194" i="17"/>
  <c r="AS56" i="17"/>
  <c r="AS55" i="17"/>
  <c r="D11" i="17"/>
  <c r="D12" i="17"/>
  <c r="D14" i="17"/>
  <c r="C11" i="17"/>
  <c r="C13" i="17"/>
  <c r="C14" i="17"/>
  <c r="B10" i="17"/>
  <c r="B11" i="17"/>
  <c r="B12" i="17"/>
  <c r="B13" i="17"/>
  <c r="B14" i="17"/>
  <c r="D8" i="17"/>
  <c r="B9" i="17"/>
  <c r="C9" i="17"/>
  <c r="D9" i="17"/>
  <c r="C10" i="17"/>
  <c r="D10" i="17"/>
  <c r="AS57" i="19"/>
  <c r="AS58" i="19"/>
  <c r="AS59" i="19"/>
  <c r="AS60" i="19"/>
  <c r="AS61" i="19"/>
  <c r="AS62" i="19"/>
  <c r="AS63" i="19"/>
  <c r="AS64" i="19"/>
  <c r="AS65" i="19"/>
  <c r="AS66" i="19"/>
  <c r="AS67" i="19"/>
  <c r="AS68" i="19"/>
  <c r="AS69" i="19"/>
  <c r="AS70" i="19"/>
  <c r="AS71" i="19"/>
  <c r="AS72" i="19"/>
  <c r="AS73" i="19"/>
  <c r="AS74" i="19"/>
  <c r="AS75" i="19"/>
  <c r="AS76" i="19"/>
  <c r="AS77" i="19"/>
  <c r="AS78" i="19"/>
  <c r="AS79" i="19"/>
  <c r="AS80" i="19"/>
  <c r="AS81" i="19"/>
  <c r="AS82" i="19"/>
  <c r="AS83" i="19"/>
  <c r="AS84" i="19"/>
  <c r="AS85" i="19"/>
  <c r="AS86" i="19"/>
  <c r="AS87" i="19"/>
  <c r="AS88" i="19"/>
  <c r="AS89" i="19"/>
  <c r="AS90" i="19"/>
  <c r="AS91" i="19"/>
  <c r="AS92" i="19"/>
  <c r="AS93" i="19"/>
  <c r="AS94" i="19"/>
  <c r="AS95" i="19"/>
  <c r="AS96" i="19"/>
  <c r="AS97" i="19"/>
  <c r="AS98" i="19"/>
  <c r="AS99" i="19"/>
  <c r="AS100" i="19"/>
  <c r="AS101" i="19"/>
  <c r="AS102" i="19"/>
  <c r="AS103" i="19"/>
  <c r="AS104" i="19"/>
  <c r="AS105" i="19"/>
  <c r="AS106" i="19"/>
  <c r="AS107" i="19"/>
  <c r="AS108" i="19"/>
  <c r="AS109" i="19"/>
  <c r="AS110" i="19"/>
  <c r="AS111" i="19"/>
  <c r="AS112" i="19"/>
  <c r="AS113" i="19"/>
  <c r="AS114" i="19"/>
  <c r="AS115" i="19"/>
  <c r="AS116" i="19"/>
  <c r="AS117" i="19"/>
  <c r="AS118" i="19"/>
  <c r="AS119" i="19"/>
  <c r="AS120" i="19"/>
  <c r="AS121" i="19"/>
  <c r="AS122" i="19"/>
  <c r="AS123" i="19"/>
  <c r="AS124" i="19"/>
  <c r="AS125" i="19"/>
  <c r="AS126" i="19"/>
  <c r="AS127" i="19"/>
  <c r="AS128" i="19"/>
  <c r="AS129" i="19"/>
  <c r="AS130" i="19"/>
  <c r="AS131" i="19"/>
  <c r="AS132" i="19"/>
  <c r="AS133" i="19"/>
  <c r="AS134" i="19"/>
  <c r="AS135" i="19"/>
  <c r="AS136" i="19"/>
  <c r="AS137" i="19"/>
  <c r="AS138" i="19"/>
  <c r="AS139" i="19"/>
  <c r="AS140" i="19"/>
  <c r="AS141" i="19"/>
  <c r="AS142" i="19"/>
  <c r="AS143" i="19"/>
  <c r="AS144" i="19"/>
  <c r="AS56" i="19"/>
  <c r="AS55" i="19"/>
  <c r="D9" i="19"/>
  <c r="D10" i="19"/>
  <c r="D11" i="19"/>
  <c r="D12" i="19"/>
  <c r="D13" i="19"/>
  <c r="D14" i="19"/>
  <c r="D8" i="19"/>
  <c r="C9" i="19"/>
  <c r="C10" i="19"/>
  <c r="C11" i="19"/>
  <c r="C12" i="19"/>
  <c r="C13" i="19"/>
  <c r="C14" i="19"/>
  <c r="C8" i="19"/>
  <c r="B9" i="19"/>
  <c r="B10" i="19"/>
  <c r="B11" i="19"/>
  <c r="B13" i="19"/>
  <c r="B14" i="19"/>
  <c r="B8" i="19"/>
  <c r="D8" i="2"/>
  <c r="D12" i="2"/>
  <c r="D9" i="2"/>
  <c r="C11" i="2"/>
  <c r="C8" i="2"/>
  <c r="B10" i="2"/>
  <c r="B9" i="2"/>
  <c r="B8" i="2"/>
  <c r="Z56" i="24"/>
  <c r="AA56" i="24" s="1"/>
  <c r="AB56" i="24" s="1"/>
  <c r="AR99" i="18" a="1"/>
  <c r="AR100" i="18" a="1"/>
  <c r="AP136" i="19"/>
  <c r="AR136" i="19" s="1" a="1"/>
  <c r="AJ136" i="19"/>
  <c r="AF136" i="19"/>
  <c r="AB136" i="19"/>
  <c r="X136" i="19"/>
  <c r="AP135" i="19"/>
  <c r="AR135" i="19" s="1" a="1"/>
  <c r="AO135" i="19"/>
  <c r="T135" i="19"/>
  <c r="K135" i="19"/>
  <c r="AP134" i="19"/>
  <c r="AR134" i="19" s="1" a="1"/>
  <c r="AJ134" i="19"/>
  <c r="AF134" i="19"/>
  <c r="AB134" i="19"/>
  <c r="X134" i="19"/>
  <c r="AP133" i="19"/>
  <c r="AR133" i="19" s="1" a="1"/>
  <c r="AO133" i="19"/>
  <c r="K133" i="19"/>
  <c r="AP132" i="19"/>
  <c r="AR132" i="19" s="1" a="1"/>
  <c r="AJ132" i="19"/>
  <c r="AF132" i="19"/>
  <c r="AB132" i="19"/>
  <c r="X132" i="19"/>
  <c r="AP131" i="19"/>
  <c r="AR131" i="19" s="1" a="1"/>
  <c r="AO131" i="19"/>
  <c r="T131" i="19"/>
  <c r="K131" i="19"/>
  <c r="AP130" i="19"/>
  <c r="AJ130" i="19"/>
  <c r="AF130" i="19"/>
  <c r="AB130" i="19"/>
  <c r="X130" i="19"/>
  <c r="AP129" i="19"/>
  <c r="AO129" i="19"/>
  <c r="K129" i="19"/>
  <c r="AP140" i="19"/>
  <c r="AR140" i="19" s="1" a="1"/>
  <c r="AJ140" i="19"/>
  <c r="AF140" i="19"/>
  <c r="AB140" i="19"/>
  <c r="X140" i="19"/>
  <c r="AP139" i="19"/>
  <c r="AR139" i="19" s="1" a="1"/>
  <c r="AO139" i="19"/>
  <c r="T139" i="19"/>
  <c r="K139" i="19"/>
  <c r="AP138" i="19"/>
  <c r="AR138" i="19" s="1" a="1"/>
  <c r="AJ138" i="19"/>
  <c r="AF138" i="19"/>
  <c r="AB138" i="19"/>
  <c r="X138" i="19"/>
  <c r="AP137" i="19"/>
  <c r="AR137" i="19" s="1" a="1"/>
  <c r="AO137" i="19"/>
  <c r="K137" i="19"/>
  <c r="K141" i="19"/>
  <c r="AO141" i="19"/>
  <c r="AP141" i="19"/>
  <c r="AR141" i="19" s="1" a="1"/>
  <c r="X142" i="19"/>
  <c r="AB142" i="19"/>
  <c r="AF142" i="19"/>
  <c r="AJ142" i="19"/>
  <c r="AP142" i="19"/>
  <c r="AR142" i="19" s="1" a="1"/>
  <c r="K143" i="19"/>
  <c r="T143" i="19"/>
  <c r="AO143" i="19"/>
  <c r="AP143" i="19"/>
  <c r="AR143" i="19" s="1" a="1"/>
  <c r="X144" i="19"/>
  <c r="AB144" i="19"/>
  <c r="AF144" i="19"/>
  <c r="AJ144" i="19"/>
  <c r="AP144" i="19"/>
  <c r="AR144" i="19" s="1" a="1"/>
  <c r="AP128" i="19"/>
  <c r="AJ128" i="19"/>
  <c r="AF128" i="19"/>
  <c r="AB128" i="19"/>
  <c r="X128" i="19"/>
  <c r="AP127" i="19"/>
  <c r="AO127" i="19"/>
  <c r="T127" i="19"/>
  <c r="AP126" i="19"/>
  <c r="AJ126" i="19"/>
  <c r="AF126" i="19"/>
  <c r="AB126" i="19"/>
  <c r="X126" i="19"/>
  <c r="AP125" i="19"/>
  <c r="AO125" i="19"/>
  <c r="AC47" i="14" l="1"/>
  <c r="AB47" i="14"/>
  <c r="AH47" i="14"/>
  <c r="Y47" i="14"/>
  <c r="V47" i="14"/>
  <c r="T47" i="14"/>
  <c r="AG47" i="14"/>
  <c r="AF47" i="14"/>
  <c r="X47" i="14"/>
  <c r="U47" i="14"/>
  <c r="AD47" i="14"/>
  <c r="Z47" i="14"/>
  <c r="AC61" i="14"/>
  <c r="X61" i="14"/>
  <c r="AH61" i="14"/>
  <c r="Y61" i="14"/>
  <c r="T61" i="14"/>
  <c r="AG61" i="14"/>
  <c r="AF61" i="14"/>
  <c r="V61" i="14"/>
  <c r="U61" i="14"/>
  <c r="AD61" i="14"/>
  <c r="AB61" i="14"/>
  <c r="Z61" i="14"/>
  <c r="AC43" i="14"/>
  <c r="T43" i="14"/>
  <c r="AH43" i="14"/>
  <c r="U43" i="14"/>
  <c r="AG43" i="14"/>
  <c r="AF43" i="14"/>
  <c r="Z43" i="14"/>
  <c r="Y43" i="14"/>
  <c r="AD43" i="14"/>
  <c r="AB43" i="14"/>
  <c r="X43" i="14"/>
  <c r="V43" i="14"/>
  <c r="AC57" i="14"/>
  <c r="Z57" i="14"/>
  <c r="Y57" i="14"/>
  <c r="U57" i="14"/>
  <c r="AH57" i="14"/>
  <c r="X57" i="14"/>
  <c r="V57" i="14"/>
  <c r="AG57" i="14"/>
  <c r="AF57" i="14"/>
  <c r="AB57" i="14"/>
  <c r="AD57" i="14"/>
  <c r="T57" i="14"/>
  <c r="AC67" i="14"/>
  <c r="X67" i="14"/>
  <c r="AH67" i="14"/>
  <c r="Y67" i="14"/>
  <c r="V67" i="14"/>
  <c r="T67" i="14"/>
  <c r="AG67" i="14"/>
  <c r="AF67" i="14"/>
  <c r="U67" i="14"/>
  <c r="AD67" i="14"/>
  <c r="AB67" i="14"/>
  <c r="Z67" i="14"/>
  <c r="AC35" i="14"/>
  <c r="AB35" i="14"/>
  <c r="T35" i="14"/>
  <c r="AH35" i="14"/>
  <c r="V35" i="14"/>
  <c r="U35" i="14"/>
  <c r="AG35" i="14"/>
  <c r="AF35" i="14"/>
  <c r="Y35" i="14"/>
  <c r="AD35" i="14"/>
  <c r="Z35" i="14"/>
  <c r="X35" i="14"/>
  <c r="AC49" i="14"/>
  <c r="Y49" i="14"/>
  <c r="U49" i="14"/>
  <c r="AH49" i="14"/>
  <c r="X49" i="14"/>
  <c r="AG49" i="14"/>
  <c r="AF49" i="14"/>
  <c r="Z49" i="14"/>
  <c r="T49" i="14"/>
  <c r="AD49" i="14"/>
  <c r="AB49" i="14"/>
  <c r="V49" i="14"/>
  <c r="AC63" i="14"/>
  <c r="Z63" i="14"/>
  <c r="AH63" i="14"/>
  <c r="X63" i="14"/>
  <c r="V63" i="14"/>
  <c r="U63" i="14"/>
  <c r="AG63" i="14"/>
  <c r="AF63" i="14"/>
  <c r="AB63" i="14"/>
  <c r="AD63" i="14"/>
  <c r="Y63" i="14"/>
  <c r="T63" i="14"/>
  <c r="AC45" i="14"/>
  <c r="Z45" i="14"/>
  <c r="X45" i="14"/>
  <c r="AH45" i="14"/>
  <c r="AG45" i="14"/>
  <c r="AF45" i="14"/>
  <c r="AB45" i="14"/>
  <c r="V45" i="14"/>
  <c r="AD45" i="14"/>
  <c r="Y45" i="14"/>
  <c r="U45" i="14"/>
  <c r="T45" i="14"/>
  <c r="AC59" i="14"/>
  <c r="AB59" i="14"/>
  <c r="AH59" i="14"/>
  <c r="AG59" i="14"/>
  <c r="AF59" i="14"/>
  <c r="Z59" i="14"/>
  <c r="Y59" i="14"/>
  <c r="T59" i="14"/>
  <c r="AD59" i="14"/>
  <c r="X59" i="14"/>
  <c r="V59" i="14"/>
  <c r="U59" i="14"/>
  <c r="AC39" i="14"/>
  <c r="Z39" i="14"/>
  <c r="AH39" i="14"/>
  <c r="Y39" i="14"/>
  <c r="T39" i="14"/>
  <c r="AG39" i="14"/>
  <c r="AF39" i="14"/>
  <c r="AB39" i="14"/>
  <c r="X39" i="14"/>
  <c r="V39" i="14"/>
  <c r="U39" i="14"/>
  <c r="AD39" i="14"/>
  <c r="AC53" i="14"/>
  <c r="AB53" i="14"/>
  <c r="X53" i="14"/>
  <c r="AH53" i="14"/>
  <c r="V53" i="14"/>
  <c r="T53" i="14"/>
  <c r="AG53" i="14"/>
  <c r="AF53" i="14"/>
  <c r="AD53" i="14"/>
  <c r="Z53" i="14"/>
  <c r="Y53" i="14"/>
  <c r="U53" i="14"/>
  <c r="AC41" i="14"/>
  <c r="AB41" i="14"/>
  <c r="Y41" i="14"/>
  <c r="U41" i="14"/>
  <c r="AH41" i="14"/>
  <c r="X41" i="14"/>
  <c r="V41" i="14"/>
  <c r="AG41" i="14"/>
  <c r="AF41" i="14"/>
  <c r="T41" i="14"/>
  <c r="AD41" i="14"/>
  <c r="Z41" i="14"/>
  <c r="AC55" i="14"/>
  <c r="T55" i="14"/>
  <c r="AH55" i="14"/>
  <c r="Y55" i="14"/>
  <c r="AG55" i="14"/>
  <c r="AF55" i="14"/>
  <c r="Z55" i="14"/>
  <c r="X55" i="14"/>
  <c r="U55" i="14"/>
  <c r="AD55" i="14"/>
  <c r="AB55" i="14"/>
  <c r="V55" i="14"/>
  <c r="AC69" i="14"/>
  <c r="Z69" i="14"/>
  <c r="AH69" i="14"/>
  <c r="Y69" i="14"/>
  <c r="AG69" i="14"/>
  <c r="AF69" i="14"/>
  <c r="AB69" i="14"/>
  <c r="T69" i="14"/>
  <c r="AD69" i="14"/>
  <c r="X69" i="14"/>
  <c r="V69" i="14"/>
  <c r="U69" i="14"/>
  <c r="AC37" i="14"/>
  <c r="X37" i="14"/>
  <c r="AH37" i="14"/>
  <c r="AG37" i="14"/>
  <c r="AF37" i="14"/>
  <c r="Z37" i="14"/>
  <c r="AD37" i="14"/>
  <c r="AB37" i="14"/>
  <c r="Y37" i="14"/>
  <c r="V37" i="14"/>
  <c r="U37" i="14"/>
  <c r="T37" i="14"/>
  <c r="AC51" i="14"/>
  <c r="Z51" i="14"/>
  <c r="AH51" i="14"/>
  <c r="U51" i="14"/>
  <c r="AG51" i="14"/>
  <c r="AF51" i="14"/>
  <c r="AB51" i="14"/>
  <c r="Y51" i="14"/>
  <c r="V51" i="14"/>
  <c r="AD51" i="14"/>
  <c r="X51" i="14"/>
  <c r="T51" i="14"/>
  <c r="AC65" i="14"/>
  <c r="AB65" i="14"/>
  <c r="Y65" i="14"/>
  <c r="U65" i="14"/>
  <c r="AH65" i="14"/>
  <c r="AG65" i="14"/>
  <c r="AF65" i="14"/>
  <c r="Z65" i="14"/>
  <c r="X65" i="14"/>
  <c r="T65" i="14"/>
  <c r="AD65" i="14"/>
  <c r="V65" i="14"/>
  <c r="AC77" i="19"/>
  <c r="AI77" i="19"/>
  <c r="AG77" i="19"/>
  <c r="AD77" i="19"/>
  <c r="AA77" i="19"/>
  <c r="W77" i="19"/>
  <c r="AH77" i="19"/>
  <c r="AE77" i="19"/>
  <c r="Z77" i="19"/>
  <c r="V77" i="19"/>
  <c r="U77" i="19"/>
  <c r="Y77" i="19"/>
  <c r="AC135" i="19"/>
  <c r="AA135" i="19"/>
  <c r="AI135" i="19"/>
  <c r="AH135" i="19"/>
  <c r="AG135" i="19"/>
  <c r="Z135" i="19"/>
  <c r="Y135" i="19"/>
  <c r="V135" i="19"/>
  <c r="U135" i="19"/>
  <c r="AD135" i="19"/>
  <c r="W135" i="19"/>
  <c r="AE135" i="19"/>
  <c r="AA133" i="19"/>
  <c r="AC133" i="19"/>
  <c r="AD133" i="19"/>
  <c r="AE133" i="19"/>
  <c r="AG133" i="19"/>
  <c r="AH133" i="19"/>
  <c r="Z133" i="19"/>
  <c r="AI133" i="19"/>
  <c r="U133" i="19"/>
  <c r="V133" i="19"/>
  <c r="W133" i="19"/>
  <c r="Y133" i="19"/>
  <c r="AC131" i="19"/>
  <c r="AI131" i="19"/>
  <c r="AA131" i="19"/>
  <c r="Z131" i="19"/>
  <c r="AH131" i="19"/>
  <c r="AG131" i="19"/>
  <c r="AE131" i="19"/>
  <c r="Y131" i="19"/>
  <c r="W131" i="19"/>
  <c r="V131" i="19"/>
  <c r="U131" i="19"/>
  <c r="AD131" i="19"/>
  <c r="AH129" i="19"/>
  <c r="AG129" i="19"/>
  <c r="AE129" i="19"/>
  <c r="AD129" i="19"/>
  <c r="AC129" i="19"/>
  <c r="AA129" i="19"/>
  <c r="Z129" i="19"/>
  <c r="Y129" i="19"/>
  <c r="W129" i="19"/>
  <c r="V129" i="19"/>
  <c r="U129" i="19"/>
  <c r="AI129" i="19"/>
  <c r="AC139" i="19"/>
  <c r="AA139" i="19"/>
  <c r="Y139" i="19"/>
  <c r="W139" i="19"/>
  <c r="V139" i="19"/>
  <c r="U139" i="19"/>
  <c r="Z139" i="19"/>
  <c r="AI139" i="19"/>
  <c r="AH139" i="19"/>
  <c r="AG139" i="19"/>
  <c r="AE139" i="19"/>
  <c r="AD139" i="19"/>
  <c r="W137" i="19"/>
  <c r="AC137" i="19"/>
  <c r="V137" i="19"/>
  <c r="AA137" i="19"/>
  <c r="Z137" i="19"/>
  <c r="U137" i="19"/>
  <c r="Y137" i="19"/>
  <c r="AI137" i="19"/>
  <c r="AH137" i="19"/>
  <c r="AG137" i="19"/>
  <c r="AE137" i="19"/>
  <c r="AD137" i="19"/>
  <c r="AC141" i="19"/>
  <c r="Z141" i="19"/>
  <c r="AE141" i="19"/>
  <c r="AG141" i="19"/>
  <c r="AH141" i="19"/>
  <c r="AI141" i="19"/>
  <c r="AA141" i="19"/>
  <c r="AD141" i="19"/>
  <c r="U141" i="19"/>
  <c r="V141" i="19"/>
  <c r="W141" i="19"/>
  <c r="Y141" i="19"/>
  <c r="AH143" i="19"/>
  <c r="AG143" i="19"/>
  <c r="AE143" i="19"/>
  <c r="AC143" i="19"/>
  <c r="Z143" i="19"/>
  <c r="W143" i="19"/>
  <c r="AA143" i="19"/>
  <c r="V143" i="19"/>
  <c r="Y143" i="19"/>
  <c r="AD143" i="19"/>
  <c r="U143" i="19"/>
  <c r="AI143" i="19"/>
  <c r="AT135" i="19"/>
  <c r="AU135" i="19"/>
  <c r="AT77" i="19"/>
  <c r="AU77" i="19"/>
  <c r="AT139" i="19"/>
  <c r="AU139" i="19"/>
  <c r="AU143" i="19"/>
  <c r="AT143" i="19"/>
  <c r="AU79" i="20"/>
  <c r="AV79" i="20"/>
  <c r="AU57" i="2"/>
  <c r="AU129" i="19"/>
  <c r="AT129" i="19"/>
  <c r="AU131" i="19"/>
  <c r="AT131" i="19"/>
  <c r="AT133" i="19"/>
  <c r="AU133" i="19"/>
  <c r="AU141" i="19"/>
  <c r="AT141" i="19"/>
  <c r="AU137" i="19"/>
  <c r="AT137" i="19"/>
  <c r="W148" i="17" a="1"/>
  <c r="S148" i="17" a="1"/>
  <c r="U148" i="17" a="1"/>
  <c r="T148" i="17" a="1"/>
  <c r="V148" i="17" a="1"/>
  <c r="E13" i="32"/>
  <c r="AR67" i="14" a="1"/>
  <c r="AR68" i="14" a="1"/>
  <c r="AR65" i="14" a="1"/>
  <c r="AR66" i="14" a="1"/>
  <c r="AR50" i="14" a="1"/>
  <c r="AR54" i="14" a="1"/>
  <c r="AR56" i="14" a="1"/>
  <c r="AR60" i="14" a="1"/>
  <c r="C15" i="14"/>
  <c r="B15" i="14"/>
  <c r="C15" i="19"/>
  <c r="E9" i="24"/>
  <c r="D15" i="19"/>
  <c r="E11" i="24"/>
  <c r="D15" i="14"/>
  <c r="E15" i="32"/>
  <c r="G14" i="32"/>
  <c r="E14" i="32"/>
  <c r="G15" i="32"/>
  <c r="C15" i="20"/>
  <c r="AR62" i="14" a="1"/>
  <c r="AR38" i="14" a="1"/>
  <c r="AR57" i="14" a="1"/>
  <c r="B15" i="18"/>
  <c r="G13" i="32"/>
  <c r="AR43" i="14" a="1"/>
  <c r="AR45" i="14" a="1"/>
  <c r="AR51" i="14" a="1"/>
  <c r="E12" i="24"/>
  <c r="F13" i="32"/>
  <c r="AR63" i="14" a="1"/>
  <c r="AR39" i="14" a="1"/>
  <c r="AR69" i="14" a="1"/>
  <c r="AR42" i="14" a="1"/>
  <c r="AR48" i="14" a="1"/>
  <c r="B15" i="19"/>
  <c r="B15" i="17"/>
  <c r="E8" i="18"/>
  <c r="E13" i="18"/>
  <c r="E13" i="19"/>
  <c r="AK130" i="19"/>
  <c r="AK132" i="19"/>
  <c r="AK140" i="19"/>
  <c r="AK138" i="19"/>
  <c r="AK136" i="19"/>
  <c r="AK134" i="19"/>
  <c r="AK126" i="19"/>
  <c r="AK128" i="19"/>
  <c r="AK142" i="19"/>
  <c r="AK144" i="19"/>
  <c r="AE55" i="14" l="1"/>
  <c r="AE49" i="14"/>
  <c r="W55" i="14"/>
  <c r="AI63" i="14"/>
  <c r="AI67" i="14"/>
  <c r="AI47" i="14"/>
  <c r="AI55" i="14"/>
  <c r="AI45" i="14"/>
  <c r="AA57" i="14"/>
  <c r="AE67" i="14"/>
  <c r="AE53" i="14"/>
  <c r="AE57" i="14"/>
  <c r="AI41" i="14"/>
  <c r="W69" i="14"/>
  <c r="AA55" i="14"/>
  <c r="AI53" i="14"/>
  <c r="AI37" i="14"/>
  <c r="W67" i="14"/>
  <c r="AA41" i="14"/>
  <c r="AE65" i="14"/>
  <c r="AA37" i="14"/>
  <c r="AA61" i="14"/>
  <c r="AJ53" i="14"/>
  <c r="W53" i="14"/>
  <c r="AE59" i="14"/>
  <c r="W63" i="14"/>
  <c r="AJ63" i="14"/>
  <c r="AI35" i="14"/>
  <c r="AJ67" i="14"/>
  <c r="W43" i="14"/>
  <c r="AJ43" i="14"/>
  <c r="AJ41" i="14"/>
  <c r="W41" i="14"/>
  <c r="AA69" i="14"/>
  <c r="X129" i="19"/>
  <c r="AA53" i="14"/>
  <c r="AE63" i="14"/>
  <c r="AI49" i="14"/>
  <c r="AE61" i="14"/>
  <c r="AA47" i="14"/>
  <c r="AJ37" i="14"/>
  <c r="W37" i="14"/>
  <c r="AA51" i="14"/>
  <c r="AA49" i="14"/>
  <c r="AA43" i="14"/>
  <c r="AJ45" i="14"/>
  <c r="W45" i="14"/>
  <c r="AJ69" i="14"/>
  <c r="AA67" i="14"/>
  <c r="AE69" i="14"/>
  <c r="AJ35" i="14"/>
  <c r="W35" i="14"/>
  <c r="AE37" i="14"/>
  <c r="AI69" i="14"/>
  <c r="AE41" i="14"/>
  <c r="AA59" i="14"/>
  <c r="AE35" i="14"/>
  <c r="W57" i="14"/>
  <c r="AJ57" i="14"/>
  <c r="AE43" i="14"/>
  <c r="W47" i="14"/>
  <c r="AJ47" i="14"/>
  <c r="W39" i="14"/>
  <c r="AJ39" i="14"/>
  <c r="AJ49" i="14"/>
  <c r="W49" i="14"/>
  <c r="AJ51" i="14"/>
  <c r="W51" i="14"/>
  <c r="AE45" i="14"/>
  <c r="AI61" i="14"/>
  <c r="AJ55" i="14"/>
  <c r="AA63" i="14"/>
  <c r="AE51" i="14"/>
  <c r="AA39" i="14"/>
  <c r="AI51" i="14"/>
  <c r="AE39" i="14"/>
  <c r="AA35" i="14"/>
  <c r="AI43" i="14"/>
  <c r="AE47" i="14"/>
  <c r="W65" i="14"/>
  <c r="AJ65" i="14"/>
  <c r="W59" i="14"/>
  <c r="AJ59" i="14"/>
  <c r="AA65" i="14"/>
  <c r="AI57" i="14"/>
  <c r="AJ61" i="14"/>
  <c r="W61" i="14"/>
  <c r="AI65" i="14"/>
  <c r="AI39" i="14"/>
  <c r="AI59" i="14"/>
  <c r="AA45" i="14"/>
  <c r="X77" i="19"/>
  <c r="AB141" i="19"/>
  <c r="X131" i="19"/>
  <c r="AB135" i="19"/>
  <c r="X139" i="19"/>
  <c r="AJ131" i="19"/>
  <c r="AB133" i="19"/>
  <c r="X143" i="19"/>
  <c r="AB143" i="19"/>
  <c r="AB129" i="19"/>
  <c r="AB137" i="19"/>
  <c r="AF129" i="19"/>
  <c r="AJ135" i="19"/>
  <c r="AF131" i="19"/>
  <c r="AF135" i="19"/>
  <c r="AB131" i="19"/>
  <c r="AJ129" i="19"/>
  <c r="AF139" i="19"/>
  <c r="AB139" i="19"/>
  <c r="AJ137" i="19"/>
  <c r="AJ143" i="19"/>
  <c r="AF143" i="19"/>
  <c r="AJ139" i="19"/>
  <c r="X137" i="19"/>
  <c r="AF137" i="19"/>
  <c r="AF141" i="19"/>
  <c r="AJ141" i="19"/>
  <c r="X141" i="19"/>
  <c r="AF77" i="19"/>
  <c r="AB77" i="19"/>
  <c r="X135" i="19"/>
  <c r="AF133" i="19"/>
  <c r="AJ133" i="19"/>
  <c r="X133" i="19"/>
  <c r="AJ77" i="19"/>
  <c r="AK125" i="19"/>
  <c r="AK127" i="19"/>
  <c r="AK143" i="19" l="1"/>
  <c r="AK133" i="19"/>
  <c r="AK135" i="19"/>
  <c r="AK131" i="19"/>
  <c r="AK139" i="19"/>
  <c r="AK129" i="19"/>
  <c r="AK141" i="19"/>
  <c r="AK137" i="19"/>
  <c r="T59" i="18"/>
  <c r="AS57" i="2"/>
  <c r="AS58" i="2"/>
  <c r="AS59" i="2"/>
  <c r="AS60" i="2"/>
  <c r="AS61" i="2"/>
  <c r="AS62" i="2"/>
  <c r="AS63" i="2"/>
  <c r="AS64" i="2"/>
  <c r="AS65" i="2"/>
  <c r="AS66" i="2"/>
  <c r="AS67" i="2"/>
  <c r="AS68" i="2"/>
  <c r="AS69" i="2"/>
  <c r="AS70" i="2"/>
  <c r="AS71" i="2"/>
  <c r="AS72" i="2"/>
  <c r="AS73" i="2"/>
  <c r="AS74" i="2"/>
  <c r="AS75" i="2"/>
  <c r="AS76" i="2"/>
  <c r="AS77" i="2"/>
  <c r="AS78" i="2"/>
  <c r="AS79" i="2"/>
  <c r="AS80" i="2"/>
  <c r="AS81" i="2"/>
  <c r="AS82" i="2"/>
  <c r="AS83" i="2"/>
  <c r="AS84" i="2"/>
  <c r="AS85" i="2"/>
  <c r="AS86" i="2"/>
  <c r="AS87" i="2"/>
  <c r="AS88" i="2"/>
  <c r="AS89" i="2"/>
  <c r="AS90" i="2"/>
  <c r="AS91" i="2"/>
  <c r="AS92" i="2"/>
  <c r="AS93" i="2"/>
  <c r="AS94" i="2"/>
  <c r="AS95" i="2"/>
  <c r="AS96" i="2"/>
  <c r="AS97" i="2"/>
  <c r="AS98" i="2"/>
  <c r="AS99" i="2"/>
  <c r="AS100" i="2"/>
  <c r="AS101" i="2"/>
  <c r="AS102" i="2"/>
  <c r="AS103" i="2"/>
  <c r="AS104" i="2"/>
  <c r="AS105" i="2"/>
  <c r="AS106" i="2"/>
  <c r="AS107" i="2"/>
  <c r="AS108" i="2"/>
  <c r="AS109" i="2"/>
  <c r="AS110" i="2"/>
  <c r="AS111" i="2"/>
  <c r="AS112" i="2"/>
  <c r="AS113" i="2"/>
  <c r="AS114" i="2"/>
  <c r="AS115" i="2"/>
  <c r="AS116" i="2"/>
  <c r="AS117" i="2"/>
  <c r="AS118" i="2"/>
  <c r="AS119" i="2"/>
  <c r="AS120" i="2"/>
  <c r="AS121" i="2"/>
  <c r="AS122" i="2"/>
  <c r="AS123" i="2"/>
  <c r="AS124" i="2"/>
  <c r="AS125" i="2"/>
  <c r="AS126" i="2"/>
  <c r="AS127" i="2"/>
  <c r="AS128" i="2"/>
  <c r="AS129" i="2"/>
  <c r="AS130" i="2"/>
  <c r="AS131" i="2"/>
  <c r="AS132" i="2"/>
  <c r="AS133" i="2"/>
  <c r="AS134" i="2"/>
  <c r="AS135" i="2"/>
  <c r="AS136" i="2"/>
  <c r="AS137" i="2"/>
  <c r="AS138" i="2"/>
  <c r="AS139" i="2"/>
  <c r="AS140" i="2"/>
  <c r="AS141" i="2"/>
  <c r="AS142" i="2"/>
  <c r="AS143" i="2"/>
  <c r="AS144" i="2"/>
  <c r="AS145" i="2"/>
  <c r="AS146" i="2"/>
  <c r="AS147" i="2"/>
  <c r="AS148" i="2"/>
  <c r="AS149" i="2"/>
  <c r="AS150" i="2"/>
  <c r="AS151" i="2"/>
  <c r="AS152" i="2"/>
  <c r="AS153" i="2"/>
  <c r="AS154" i="2"/>
  <c r="AS155" i="2"/>
  <c r="AS156" i="2"/>
  <c r="AS157" i="2"/>
  <c r="AS158" i="2"/>
  <c r="AS159" i="2"/>
  <c r="AS160" i="2"/>
  <c r="AS161" i="2"/>
  <c r="AS162" i="2"/>
  <c r="AS163" i="2"/>
  <c r="AS164" i="2"/>
  <c r="AS165" i="2"/>
  <c r="AS166" i="2"/>
  <c r="AS167" i="2"/>
  <c r="AS168" i="2"/>
  <c r="AS169" i="2"/>
  <c r="AS170" i="2"/>
  <c r="AS171" i="2"/>
  <c r="AS172" i="2"/>
  <c r="AS173" i="2"/>
  <c r="AS174" i="2"/>
  <c r="AS175" i="2"/>
  <c r="AS176" i="2"/>
  <c r="AS56" i="2"/>
  <c r="AS55" i="2"/>
  <c r="B42" i="9"/>
  <c r="B43" i="9"/>
  <c r="B44" i="9"/>
  <c r="B45" i="9"/>
  <c r="B46" i="9"/>
  <c r="B41" i="9"/>
  <c r="O226" i="2"/>
  <c r="O225" i="2"/>
  <c r="L226" i="2"/>
  <c r="L225" i="2"/>
  <c r="M222" i="2"/>
  <c r="M221" i="2"/>
  <c r="M220" i="2"/>
  <c r="M219" i="2"/>
  <c r="I222" i="2"/>
  <c r="I221" i="2"/>
  <c r="I220" i="2"/>
  <c r="I219" i="2"/>
  <c r="O139" i="20"/>
  <c r="O138" i="20"/>
  <c r="L139" i="20"/>
  <c r="L138" i="20"/>
  <c r="M135" i="20"/>
  <c r="M134" i="20"/>
  <c r="M133" i="20"/>
  <c r="M132" i="20"/>
  <c r="I135" i="20"/>
  <c r="I134" i="20"/>
  <c r="I133" i="20"/>
  <c r="I132" i="20"/>
  <c r="O141" i="18"/>
  <c r="O140" i="18"/>
  <c r="L141" i="18"/>
  <c r="L140" i="18"/>
  <c r="M137" i="18"/>
  <c r="M136" i="18"/>
  <c r="M135" i="18"/>
  <c r="M134" i="18"/>
  <c r="I137" i="18"/>
  <c r="I136" i="18"/>
  <c r="I135" i="18"/>
  <c r="I134" i="18"/>
  <c r="O181" i="17"/>
  <c r="O180" i="17"/>
  <c r="L181" i="17"/>
  <c r="L180" i="17"/>
  <c r="K177" i="17"/>
  <c r="K176" i="17"/>
  <c r="K175" i="17"/>
  <c r="K174" i="17"/>
  <c r="I177" i="17"/>
  <c r="I176" i="17"/>
  <c r="I175" i="17"/>
  <c r="I174" i="17"/>
  <c r="O180" i="19"/>
  <c r="O181" i="19"/>
  <c r="L181" i="19"/>
  <c r="L180" i="19"/>
  <c r="I180" i="19"/>
  <c r="K174" i="19"/>
  <c r="K175" i="19"/>
  <c r="K176" i="19"/>
  <c r="K177" i="19"/>
  <c r="I177" i="19"/>
  <c r="I176" i="19"/>
  <c r="I175" i="19"/>
  <c r="I174" i="19"/>
  <c r="E175" i="19"/>
  <c r="D11" i="20"/>
  <c r="B11" i="20"/>
  <c r="D11" i="18"/>
  <c r="C11" i="18"/>
  <c r="F133" i="20"/>
  <c r="F137" i="18"/>
  <c r="E137" i="18"/>
  <c r="F175" i="17"/>
  <c r="E175" i="17"/>
  <c r="F175" i="19"/>
  <c r="F207" i="2"/>
  <c r="E207" i="2"/>
  <c r="E8" i="2" l="1"/>
  <c r="E12" i="2"/>
  <c r="B51" i="9"/>
  <c r="B54" i="9"/>
  <c r="B55" i="9"/>
  <c r="I129" i="24"/>
  <c r="I127" i="24"/>
  <c r="K129" i="24"/>
  <c r="AW129" i="24" s="1"/>
  <c r="AV129" i="24" l="1"/>
  <c r="I119" i="24"/>
  <c r="I95" i="24"/>
  <c r="I37" i="24"/>
  <c r="I41" i="24"/>
  <c r="M87" i="8" l="1"/>
  <c r="AP97" i="17"/>
  <c r="AP98" i="17"/>
  <c r="AP99" i="17"/>
  <c r="AP100" i="17"/>
  <c r="AP101" i="17"/>
  <c r="AP102" i="17"/>
  <c r="AP103" i="17"/>
  <c r="AP104" i="17"/>
  <c r="AP105" i="17"/>
  <c r="AP106" i="17"/>
  <c r="AP143" i="17"/>
  <c r="AR143" i="17" s="1" a="1"/>
  <c r="AP144" i="17"/>
  <c r="AR144" i="17" s="1" a="1"/>
  <c r="AP93" i="17"/>
  <c r="AP94" i="17"/>
  <c r="AP95" i="17"/>
  <c r="AP96" i="17"/>
  <c r="AP85" i="18"/>
  <c r="AP86" i="18"/>
  <c r="AP87" i="18"/>
  <c r="AP88" i="18"/>
  <c r="AP89" i="18"/>
  <c r="AP90" i="18"/>
  <c r="AP91" i="18"/>
  <c r="AR91" i="18" s="1" a="1"/>
  <c r="AP92" i="18"/>
  <c r="AR92" i="18" s="1" a="1"/>
  <c r="AP93" i="18"/>
  <c r="AR93" i="18" s="1" a="1"/>
  <c r="AP94" i="18"/>
  <c r="AR94" i="18" s="1" a="1"/>
  <c r="AP95" i="18"/>
  <c r="AR95" i="18" s="1" a="1"/>
  <c r="AP96" i="18"/>
  <c r="AR96" i="18" s="1" a="1"/>
  <c r="A5" i="19"/>
  <c r="V156" i="19" s="1"/>
  <c r="T68" i="20"/>
  <c r="T67" i="20"/>
  <c r="T66" i="20"/>
  <c r="T102" i="19"/>
  <c r="T101" i="19"/>
  <c r="T65" i="20"/>
  <c r="T96" i="19"/>
  <c r="T95" i="19"/>
  <c r="T94" i="19"/>
  <c r="T93" i="19"/>
  <c r="T88" i="19"/>
  <c r="T87" i="19"/>
  <c r="T86" i="19"/>
  <c r="T85" i="19"/>
  <c r="T84" i="19"/>
  <c r="T83" i="19"/>
  <c r="T82" i="19"/>
  <c r="T81" i="19"/>
  <c r="T66" i="19"/>
  <c r="T65" i="19"/>
  <c r="T64" i="19"/>
  <c r="T63" i="19"/>
  <c r="T58" i="19"/>
  <c r="T57" i="19"/>
  <c r="T56" i="19"/>
  <c r="T55" i="19"/>
  <c r="J125" i="24"/>
  <c r="K125" i="24" s="1"/>
  <c r="AW125" i="24" s="1"/>
  <c r="I125" i="24"/>
  <c r="T78" i="20"/>
  <c r="AV125" i="24" l="1"/>
  <c r="T77" i="20"/>
  <c r="AA89" i="2" l="1"/>
  <c r="I89" i="2"/>
  <c r="K95" i="24"/>
  <c r="AW95" i="24" l="1"/>
  <c r="AV95" i="24"/>
  <c r="L148" i="34"/>
  <c r="L147" i="34"/>
  <c r="L146" i="34"/>
  <c r="B5" i="20" l="1"/>
  <c r="Q6" i="20" l="1"/>
  <c r="Z6" i="20" l="1"/>
  <c r="U6" i="20"/>
  <c r="R6" i="20"/>
  <c r="K167" i="2"/>
  <c r="AV167" i="2" s="1"/>
  <c r="I167" i="2"/>
  <c r="AU167" i="2" l="1"/>
  <c r="P6" i="20"/>
  <c r="S6" i="20"/>
  <c r="X78" i="17"/>
  <c r="L106" i="20" l="1"/>
  <c r="T58" i="20" l="1"/>
  <c r="T57" i="20"/>
  <c r="AB7" i="20" s="1"/>
  <c r="T56" i="20"/>
  <c r="T55" i="20"/>
  <c r="P18" i="24" l="1"/>
  <c r="P19" i="24"/>
  <c r="P20" i="24"/>
  <c r="P17" i="24"/>
  <c r="G16" i="20"/>
  <c r="G18" i="20"/>
  <c r="G18" i="18"/>
  <c r="G17" i="18"/>
  <c r="G16" i="18"/>
  <c r="G15" i="18"/>
  <c r="G16" i="17"/>
  <c r="G18" i="17"/>
  <c r="G15" i="17"/>
  <c r="G15" i="19"/>
  <c r="G17" i="19"/>
  <c r="G16" i="19"/>
  <c r="G18" i="2"/>
  <c r="L122" i="18"/>
  <c r="L118" i="20" l="1"/>
  <c r="L207" i="2"/>
  <c r="L208" i="2"/>
  <c r="L209" i="2"/>
  <c r="L210" i="2"/>
  <c r="L211" i="2"/>
  <c r="L212" i="2"/>
  <c r="E5" i="2" l="1"/>
  <c r="D13" i="2"/>
  <c r="G15" i="2"/>
  <c r="N23" i="32" s="1"/>
  <c r="B47" i="9"/>
  <c r="L107" i="20" l="1"/>
  <c r="L108" i="20"/>
  <c r="L109" i="20"/>
  <c r="L110" i="20"/>
  <c r="L111" i="20"/>
  <c r="L112" i="20"/>
  <c r="L113" i="20"/>
  <c r="L114" i="20"/>
  <c r="L115" i="20"/>
  <c r="L116" i="20"/>
  <c r="L117" i="20"/>
  <c r="L187" i="2"/>
  <c r="L120" i="18"/>
  <c r="N24" i="32" l="1"/>
  <c r="G17" i="2"/>
  <c r="J128" i="20"/>
  <c r="K128" i="20"/>
  <c r="I128" i="20"/>
  <c r="J130" i="18"/>
  <c r="K130" i="18"/>
  <c r="I130" i="18"/>
  <c r="J170" i="17"/>
  <c r="K170" i="17"/>
  <c r="I170" i="17"/>
  <c r="J170" i="19"/>
  <c r="K170" i="19"/>
  <c r="I170" i="19"/>
  <c r="K214" i="2"/>
  <c r="J214" i="2"/>
  <c r="I214" i="2"/>
  <c r="I121" i="24"/>
  <c r="J119" i="24" l="1"/>
  <c r="K119" i="24" s="1"/>
  <c r="L158" i="17"/>
  <c r="L159" i="17"/>
  <c r="L160" i="17"/>
  <c r="L161" i="17"/>
  <c r="L162" i="17"/>
  <c r="L163" i="17"/>
  <c r="AW119" i="24" l="1"/>
  <c r="AV119" i="24"/>
  <c r="L121" i="18"/>
  <c r="I91" i="17"/>
  <c r="L201" i="2" l="1"/>
  <c r="L202" i="2"/>
  <c r="L203" i="2"/>
  <c r="L204" i="2"/>
  <c r="L205" i="2"/>
  <c r="L206" i="2"/>
  <c r="T148" i="19" l="1"/>
  <c r="S149" i="19" a="1"/>
  <c r="T149" i="19" a="1"/>
  <c r="U81" i="18"/>
  <c r="V81" i="18"/>
  <c r="W81" i="18"/>
  <c r="Y81" i="18"/>
  <c r="Z81" i="18"/>
  <c r="AA81" i="18"/>
  <c r="AC81" i="18"/>
  <c r="AD81" i="18"/>
  <c r="AE81" i="18"/>
  <c r="AG81" i="18"/>
  <c r="AH81" i="18"/>
  <c r="AI81" i="18"/>
  <c r="AO81" i="18"/>
  <c r="AP81" i="18"/>
  <c r="X82" i="18"/>
  <c r="AB82" i="18"/>
  <c r="AF82" i="18"/>
  <c r="AJ82" i="18"/>
  <c r="AP82" i="18"/>
  <c r="A2" i="42" a="1"/>
  <c r="W79" i="18"/>
  <c r="V79" i="18"/>
  <c r="U79" i="18"/>
  <c r="N31" i="17"/>
  <c r="V39" i="8"/>
  <c r="N87" i="8" s="1"/>
  <c r="X39" i="8"/>
  <c r="O87" i="8" s="1"/>
  <c r="Y39" i="8"/>
  <c r="P87" i="8" s="1"/>
  <c r="Q87" i="8"/>
  <c r="AB39" i="8"/>
  <c r="R87" i="8" s="1"/>
  <c r="AC39" i="8"/>
  <c r="S87" i="8" s="1"/>
  <c r="AD39" i="8"/>
  <c r="T87" i="8" s="1"/>
  <c r="AF39" i="8"/>
  <c r="U87" i="8" s="1"/>
  <c r="AG39" i="8"/>
  <c r="V87" i="8" s="1"/>
  <c r="AH39" i="8"/>
  <c r="W87" i="8" s="1"/>
  <c r="T39" i="8"/>
  <c r="AJ96" i="18"/>
  <c r="AF96" i="18"/>
  <c r="AB96" i="18"/>
  <c r="X96" i="18"/>
  <c r="AI95" i="18"/>
  <c r="AH95" i="18"/>
  <c r="AG95" i="18"/>
  <c r="AE95" i="18"/>
  <c r="AD95" i="18"/>
  <c r="AC95" i="18"/>
  <c r="AA95" i="18"/>
  <c r="Z95" i="18"/>
  <c r="Y95" i="18"/>
  <c r="W95" i="18"/>
  <c r="V95" i="18"/>
  <c r="U95" i="18"/>
  <c r="T95" i="18"/>
  <c r="AJ94" i="18"/>
  <c r="AF94" i="18"/>
  <c r="AB94" i="18"/>
  <c r="X94" i="18"/>
  <c r="AI93" i="18"/>
  <c r="AH93" i="18"/>
  <c r="AG93" i="18"/>
  <c r="AE93" i="18"/>
  <c r="AD93" i="18"/>
  <c r="AC93" i="18"/>
  <c r="AA93" i="18"/>
  <c r="Z93" i="18"/>
  <c r="Y93" i="18"/>
  <c r="W93" i="18"/>
  <c r="V93" i="18"/>
  <c r="U93" i="18"/>
  <c r="AJ92" i="18"/>
  <c r="AF92" i="18"/>
  <c r="AB92" i="18"/>
  <c r="X92" i="18"/>
  <c r="AI91" i="18"/>
  <c r="AH91" i="18"/>
  <c r="AG91" i="18"/>
  <c r="AE91" i="18"/>
  <c r="AD91" i="18"/>
  <c r="AC91" i="18"/>
  <c r="AA91" i="18"/>
  <c r="Z91" i="18"/>
  <c r="Y91" i="18"/>
  <c r="W91" i="18"/>
  <c r="V91" i="18"/>
  <c r="U91" i="18"/>
  <c r="T91" i="18"/>
  <c r="AJ90" i="18"/>
  <c r="AF90" i="18"/>
  <c r="AB90" i="18"/>
  <c r="X90" i="18"/>
  <c r="AI89" i="18"/>
  <c r="AH89" i="18"/>
  <c r="AG89" i="18"/>
  <c r="AE89" i="18"/>
  <c r="AD89" i="18"/>
  <c r="AC89" i="18"/>
  <c r="AA89" i="18"/>
  <c r="Z89" i="18"/>
  <c r="Y89" i="18"/>
  <c r="W89" i="18"/>
  <c r="V89" i="18"/>
  <c r="U89" i="18"/>
  <c r="AJ88" i="18"/>
  <c r="AF88" i="18"/>
  <c r="AB88" i="18"/>
  <c r="X88" i="18"/>
  <c r="AI87" i="18"/>
  <c r="AH87" i="18"/>
  <c r="AG87" i="18"/>
  <c r="AE87" i="18"/>
  <c r="AD87" i="18"/>
  <c r="AC87" i="18"/>
  <c r="AA87" i="18"/>
  <c r="Z87" i="18"/>
  <c r="Y87" i="18"/>
  <c r="W87" i="18"/>
  <c r="V87" i="18"/>
  <c r="U87" i="18"/>
  <c r="AJ86" i="18"/>
  <c r="AF86" i="18"/>
  <c r="AB86" i="18"/>
  <c r="X86" i="18"/>
  <c r="AI85" i="18"/>
  <c r="AH85" i="18"/>
  <c r="AG85" i="18"/>
  <c r="AE85" i="18"/>
  <c r="AD85" i="18"/>
  <c r="AC85" i="18"/>
  <c r="AA85" i="18"/>
  <c r="Z85" i="18"/>
  <c r="Y85" i="18"/>
  <c r="W85" i="18"/>
  <c r="V85" i="18"/>
  <c r="U85" i="18"/>
  <c r="U119" i="19"/>
  <c r="X119" i="19" s="1"/>
  <c r="AJ119" i="19"/>
  <c r="S148" i="19" l="1"/>
  <c r="S151" i="19" s="1"/>
  <c r="T151" i="19" s="1"/>
  <c r="G18" i="19"/>
  <c r="N26" i="32" s="1"/>
  <c r="X81" i="18"/>
  <c r="AJ81" i="18"/>
  <c r="AB81" i="18"/>
  <c r="AF81" i="18"/>
  <c r="AK82" i="18"/>
  <c r="AJ87" i="18"/>
  <c r="AF85" i="18"/>
  <c r="AJ95" i="18"/>
  <c r="X85" i="18"/>
  <c r="AB85" i="18"/>
  <c r="AB91" i="18"/>
  <c r="AK92" i="18"/>
  <c r="AJ89" i="18"/>
  <c r="X93" i="18"/>
  <c r="AK94" i="18"/>
  <c r="X89" i="18"/>
  <c r="AK90" i="18"/>
  <c r="AB93" i="18"/>
  <c r="AK86" i="18"/>
  <c r="AJ91" i="18"/>
  <c r="X95" i="18"/>
  <c r="AK96" i="18"/>
  <c r="AB89" i="18"/>
  <c r="AF95" i="18"/>
  <c r="AK119" i="19"/>
  <c r="X91" i="18"/>
  <c r="AF93" i="18"/>
  <c r="AB87" i="18"/>
  <c r="X87" i="18"/>
  <c r="AK88" i="18"/>
  <c r="AF89" i="18"/>
  <c r="AF91" i="18"/>
  <c r="AF87" i="18"/>
  <c r="AJ85" i="18"/>
  <c r="AJ93" i="18"/>
  <c r="AB95" i="18"/>
  <c r="S152" i="19" l="1" a="1"/>
  <c r="AK81" i="18"/>
  <c r="E10" i="18" s="1"/>
  <c r="I5" i="18" s="1"/>
  <c r="G29" i="32" s="1"/>
  <c r="AK91" i="18"/>
  <c r="AK93" i="18"/>
  <c r="AK89" i="18"/>
  <c r="AK95" i="18"/>
  <c r="AK85" i="18"/>
  <c r="AK87" i="18"/>
  <c r="T157" i="2"/>
  <c r="K165" i="2"/>
  <c r="K163" i="2"/>
  <c r="K161" i="2"/>
  <c r="K159" i="2"/>
  <c r="I117" i="24"/>
  <c r="J117" i="24"/>
  <c r="K117" i="24" s="1"/>
  <c r="AW117" i="24" s="1"/>
  <c r="I115" i="24"/>
  <c r="H111" i="24"/>
  <c r="D10" i="24"/>
  <c r="D15" i="8"/>
  <c r="G20" i="32" s="1"/>
  <c r="D14" i="8"/>
  <c r="D13" i="8"/>
  <c r="D12" i="8"/>
  <c r="D11" i="8"/>
  <c r="G5" i="24"/>
  <c r="D13" i="24"/>
  <c r="G19" i="32" s="1"/>
  <c r="D12" i="24"/>
  <c r="D11" i="24"/>
  <c r="D9" i="24"/>
  <c r="G16" i="32" s="1"/>
  <c r="D13" i="18"/>
  <c r="D12" i="18"/>
  <c r="G203" i="2"/>
  <c r="G204" i="2"/>
  <c r="G189" i="2"/>
  <c r="G190" i="2"/>
  <c r="E287" i="18"/>
  <c r="F287" i="18"/>
  <c r="X66" i="17"/>
  <c r="AV117" i="24" l="1"/>
  <c r="AU163" i="2"/>
  <c r="AV163" i="2"/>
  <c r="AU165" i="2"/>
  <c r="AV165" i="2"/>
  <c r="AV159" i="2"/>
  <c r="AU159" i="2"/>
  <c r="AU161" i="2"/>
  <c r="AV161" i="2"/>
  <c r="D15" i="18"/>
  <c r="D14" i="24"/>
  <c r="H40" i="8" l="1"/>
  <c r="M40" i="8"/>
  <c r="K55" i="17"/>
  <c r="I89" i="17"/>
  <c r="C12" i="17" l="1"/>
  <c r="C15" i="17" s="1"/>
  <c r="AE55" i="17"/>
  <c r="AV55" i="17"/>
  <c r="AU55" i="17"/>
  <c r="Z55" i="17"/>
  <c r="AD55" i="17"/>
  <c r="AC55" i="17"/>
  <c r="AA55" i="17"/>
  <c r="AG55" i="17"/>
  <c r="Y55" i="17"/>
  <c r="U55" i="17"/>
  <c r="W55" i="17"/>
  <c r="V55" i="17"/>
  <c r="AI55" i="17"/>
  <c r="AH55" i="17"/>
  <c r="I75" i="2"/>
  <c r="C9" i="2" l="1"/>
  <c r="F14" i="32" s="1"/>
  <c r="AU75" i="2"/>
  <c r="AF55" i="17"/>
  <c r="AB55" i="17"/>
  <c r="X55" i="17"/>
  <c r="U143" i="24"/>
  <c r="U144" i="24"/>
  <c r="U141" i="24"/>
  <c r="U139" i="24"/>
  <c r="U137" i="24"/>
  <c r="U135" i="24"/>
  <c r="U133" i="24"/>
  <c r="I113" i="24"/>
  <c r="J113" i="24"/>
  <c r="K113" i="24" s="1"/>
  <c r="AW113" i="24" s="1"/>
  <c r="T116" i="19"/>
  <c r="T115" i="19"/>
  <c r="T106" i="19"/>
  <c r="T105" i="19"/>
  <c r="T104" i="19"/>
  <c r="T103" i="19"/>
  <c r="T98" i="19"/>
  <c r="T97" i="19"/>
  <c r="AV113" i="24" l="1"/>
  <c r="AC7" i="20"/>
  <c r="AC6" i="20"/>
  <c r="AB6" i="20"/>
  <c r="J111" i="24"/>
  <c r="K111" i="24" s="1"/>
  <c r="AW111" i="24" s="1"/>
  <c r="I111" i="24"/>
  <c r="G111" i="24"/>
  <c r="AV111" i="24" l="1"/>
  <c r="Y199" i="34"/>
  <c r="Y200" i="34"/>
  <c r="Y201" i="34"/>
  <c r="Y202" i="34"/>
  <c r="Y203" i="34"/>
  <c r="F246" i="34"/>
  <c r="F247" i="34"/>
  <c r="F248" i="34"/>
  <c r="F249" i="34"/>
  <c r="F250" i="34"/>
  <c r="F251" i="34"/>
  <c r="F252" i="34"/>
  <c r="F253" i="34"/>
  <c r="F254" i="34"/>
  <c r="F255" i="34"/>
  <c r="F256" i="34"/>
  <c r="F257" i="34"/>
  <c r="F258" i="34"/>
  <c r="F259" i="34"/>
  <c r="F260" i="34"/>
  <c r="F261" i="34"/>
  <c r="F262" i="34"/>
  <c r="F263" i="34"/>
  <c r="F264" i="34"/>
  <c r="F265" i="34"/>
  <c r="A216" i="34" a="1"/>
  <c r="F100" i="34"/>
  <c r="F101" i="34"/>
  <c r="F102" i="34"/>
  <c r="F103" i="34"/>
  <c r="F104" i="34"/>
  <c r="F105" i="34"/>
  <c r="F106" i="34"/>
  <c r="F107" i="34"/>
  <c r="F108" i="34"/>
  <c r="F109" i="34"/>
  <c r="A70" i="34" a="1"/>
  <c r="F49" i="34"/>
  <c r="F50" i="34"/>
  <c r="F51" i="34"/>
  <c r="F52" i="34"/>
  <c r="F53" i="34"/>
  <c r="F54" i="34"/>
  <c r="F55" i="34"/>
  <c r="F56" i="34"/>
  <c r="F57" i="34"/>
  <c r="F58" i="34"/>
  <c r="F59" i="34"/>
  <c r="F60" i="34"/>
  <c r="F61" i="34"/>
  <c r="F62" i="34"/>
  <c r="F63" i="34"/>
  <c r="A4" i="34" a="1"/>
  <c r="B106" i="34" l="1"/>
  <c r="C106" i="34" s="1"/>
  <c r="B102" i="34"/>
  <c r="C102" i="34" s="1"/>
  <c r="B109" i="34"/>
  <c r="C109" i="34" s="1"/>
  <c r="B107" i="34"/>
  <c r="C107" i="34" s="1"/>
  <c r="B103" i="34"/>
  <c r="C103" i="34" s="1"/>
  <c r="B105" i="34"/>
  <c r="C105" i="34" s="1"/>
  <c r="B100" i="34"/>
  <c r="C100" i="34" s="1"/>
  <c r="B104" i="34"/>
  <c r="C104" i="34" s="1"/>
  <c r="B108" i="34"/>
  <c r="C108" i="34" s="1"/>
  <c r="B101" i="34"/>
  <c r="C101" i="34" s="1"/>
  <c r="Q4" i="34" a="1"/>
  <c r="F34" i="34"/>
  <c r="F35" i="34"/>
  <c r="F36" i="34"/>
  <c r="F37" i="34"/>
  <c r="F38" i="34"/>
  <c r="F39" i="34"/>
  <c r="F40" i="34"/>
  <c r="F41" i="34"/>
  <c r="F42" i="34"/>
  <c r="F43" i="34"/>
  <c r="F44" i="34"/>
  <c r="F45" i="34"/>
  <c r="F46" i="34"/>
  <c r="F47" i="34"/>
  <c r="F48" i="34"/>
  <c r="I101" i="34" l="1"/>
  <c r="I104" i="34"/>
  <c r="L104" i="34"/>
  <c r="I103" i="34"/>
  <c r="I100" i="34"/>
  <c r="I109" i="34"/>
  <c r="L109" i="34"/>
  <c r="I108" i="34"/>
  <c r="L108" i="34"/>
  <c r="I105" i="34"/>
  <c r="L105" i="34"/>
  <c r="I107" i="34"/>
  <c r="L107" i="34"/>
  <c r="K106" i="34" a="1"/>
  <c r="L106" i="34"/>
  <c r="H105" i="34"/>
  <c r="H102" i="34"/>
  <c r="I102" i="34"/>
  <c r="H106" i="34"/>
  <c r="I106" i="34"/>
  <c r="G105" i="34"/>
  <c r="J109" i="34"/>
  <c r="H108" i="34"/>
  <c r="G106" i="34"/>
  <c r="H109" i="34"/>
  <c r="G102" i="34"/>
  <c r="K108" i="34" a="1"/>
  <c r="J108" i="34"/>
  <c r="G108" i="34"/>
  <c r="J105" i="34"/>
  <c r="K105" i="34" a="1"/>
  <c r="G109" i="34"/>
  <c r="J106" i="34"/>
  <c r="H103" i="34"/>
  <c r="G103" i="34"/>
  <c r="H100" i="34"/>
  <c r="H104" i="34"/>
  <c r="K104" i="34" a="1"/>
  <c r="J104" i="34"/>
  <c r="G104" i="34"/>
  <c r="K109" i="34" a="1"/>
  <c r="G100" i="34"/>
  <c r="H101" i="34"/>
  <c r="G101" i="34"/>
  <c r="G107" i="34"/>
  <c r="H107" i="34"/>
  <c r="J107" i="34"/>
  <c r="K107" i="34" a="1"/>
  <c r="H9" i="24" l="1"/>
  <c r="B499" i="38"/>
  <c r="B498" i="38"/>
  <c r="Z143" i="24"/>
  <c r="AA143" i="24"/>
  <c r="AB143" i="24"/>
  <c r="AD143" i="24"/>
  <c r="AE143" i="24"/>
  <c r="AF143" i="24"/>
  <c r="AH143" i="24"/>
  <c r="AI143" i="24"/>
  <c r="AJ143" i="24"/>
  <c r="V143" i="24"/>
  <c r="W143" i="24"/>
  <c r="X143" i="24"/>
  <c r="Z141" i="24"/>
  <c r="AA141" i="24"/>
  <c r="AB141" i="24"/>
  <c r="AD141" i="24"/>
  <c r="AE141" i="24"/>
  <c r="AF141" i="24"/>
  <c r="AH141" i="24"/>
  <c r="AI141" i="24"/>
  <c r="AJ141" i="24"/>
  <c r="V141" i="24"/>
  <c r="W141" i="24"/>
  <c r="X141" i="24"/>
  <c r="AD139" i="24"/>
  <c r="AE139" i="24"/>
  <c r="AF139" i="24"/>
  <c r="AH139" i="24"/>
  <c r="AI139" i="24"/>
  <c r="AJ139" i="24"/>
  <c r="Z139" i="24"/>
  <c r="AA139" i="24"/>
  <c r="AB139" i="24"/>
  <c r="V139" i="24"/>
  <c r="W139" i="24"/>
  <c r="X139" i="24"/>
  <c r="AH137" i="24"/>
  <c r="AI137" i="24"/>
  <c r="AJ137" i="24"/>
  <c r="AD137" i="24"/>
  <c r="AE137" i="24"/>
  <c r="AF137" i="24"/>
  <c r="Z137" i="24"/>
  <c r="AA137" i="24"/>
  <c r="AB137" i="24"/>
  <c r="V137" i="24"/>
  <c r="W137" i="24"/>
  <c r="X137" i="24"/>
  <c r="AH135" i="24"/>
  <c r="AI135" i="24"/>
  <c r="AJ135" i="24"/>
  <c r="AD135" i="24"/>
  <c r="AE135" i="24"/>
  <c r="AF135" i="24"/>
  <c r="Z135" i="24"/>
  <c r="AA135" i="24"/>
  <c r="AB135" i="24"/>
  <c r="V135" i="24"/>
  <c r="W135" i="24"/>
  <c r="X135" i="24"/>
  <c r="AH133" i="24"/>
  <c r="AI133" i="24"/>
  <c r="AJ133" i="24"/>
  <c r="AD133" i="24"/>
  <c r="AE133" i="24"/>
  <c r="AF133" i="24"/>
  <c r="Z133" i="24"/>
  <c r="AA133" i="24"/>
  <c r="AB133" i="24"/>
  <c r="V133" i="24"/>
  <c r="W133" i="24"/>
  <c r="X133" i="24"/>
  <c r="AH131" i="24"/>
  <c r="AI131" i="24"/>
  <c r="AJ131" i="24"/>
  <c r="AD131" i="24"/>
  <c r="AE131" i="24"/>
  <c r="AF131" i="24"/>
  <c r="Z131" i="24"/>
  <c r="AA131" i="24"/>
  <c r="AB131" i="24"/>
  <c r="V131" i="24"/>
  <c r="W131" i="24"/>
  <c r="X131" i="24"/>
  <c r="Y128" i="24"/>
  <c r="V129" i="24"/>
  <c r="W129" i="24"/>
  <c r="X129" i="24"/>
  <c r="Z129" i="24"/>
  <c r="AA129" i="24"/>
  <c r="AB129" i="24"/>
  <c r="AD129" i="24"/>
  <c r="AE129" i="24"/>
  <c r="AF129" i="24"/>
  <c r="AH129" i="24"/>
  <c r="AI129" i="24"/>
  <c r="AJ129" i="24"/>
  <c r="V125" i="24"/>
  <c r="W125" i="24"/>
  <c r="X125" i="24"/>
  <c r="Z125" i="24"/>
  <c r="AA125" i="24"/>
  <c r="AB125" i="24"/>
  <c r="AD125" i="24"/>
  <c r="AE125" i="24"/>
  <c r="AF125" i="24"/>
  <c r="AH125" i="24"/>
  <c r="AI125" i="24"/>
  <c r="AJ125" i="24"/>
  <c r="V119" i="24"/>
  <c r="W119" i="24"/>
  <c r="X119" i="24"/>
  <c r="Z119" i="24"/>
  <c r="AA119" i="24"/>
  <c r="AB119" i="24"/>
  <c r="AD119" i="24"/>
  <c r="AE119" i="24"/>
  <c r="AF119" i="24"/>
  <c r="AH119" i="24"/>
  <c r="AI119" i="24"/>
  <c r="AJ119" i="24"/>
  <c r="V113" i="24"/>
  <c r="W113" i="24"/>
  <c r="X113" i="24"/>
  <c r="Z113" i="24"/>
  <c r="AA113" i="24"/>
  <c r="AB113" i="24"/>
  <c r="AD113" i="24"/>
  <c r="AE113" i="24"/>
  <c r="AF113" i="24"/>
  <c r="AH113" i="24"/>
  <c r="AI113" i="24"/>
  <c r="AJ113" i="24"/>
  <c r="V117" i="24"/>
  <c r="W117" i="24"/>
  <c r="X117" i="24"/>
  <c r="Z117" i="24"/>
  <c r="AA117" i="24"/>
  <c r="AB117" i="24"/>
  <c r="AD117" i="24"/>
  <c r="AE117" i="24"/>
  <c r="AF117" i="24"/>
  <c r="AH117" i="24"/>
  <c r="AI117" i="24"/>
  <c r="AJ117" i="24"/>
  <c r="AH111" i="24"/>
  <c r="AI111" i="24"/>
  <c r="AJ111" i="24"/>
  <c r="AD111" i="24"/>
  <c r="AE111" i="24"/>
  <c r="AF111" i="24"/>
  <c r="Z111" i="24"/>
  <c r="AA111" i="24"/>
  <c r="AB111" i="24"/>
  <c r="V111" i="24"/>
  <c r="W111" i="24"/>
  <c r="X111" i="24"/>
  <c r="Y112" i="24"/>
  <c r="AC112" i="24"/>
  <c r="AG112" i="24"/>
  <c r="AK112" i="24"/>
  <c r="AL112" i="24"/>
  <c r="Y114" i="24"/>
  <c r="AC114" i="24"/>
  <c r="AG114" i="24"/>
  <c r="AK114" i="24"/>
  <c r="AL114" i="24"/>
  <c r="Y116" i="24"/>
  <c r="AC116" i="24"/>
  <c r="AG116" i="24"/>
  <c r="AK116" i="24"/>
  <c r="AL116" i="24"/>
  <c r="Y118" i="24"/>
  <c r="AC118" i="24"/>
  <c r="AG118" i="24"/>
  <c r="AK118" i="24"/>
  <c r="AL118" i="24"/>
  <c r="Y120" i="24"/>
  <c r="AC120" i="24"/>
  <c r="AG120" i="24"/>
  <c r="AK120" i="24"/>
  <c r="AL120" i="24"/>
  <c r="Y122" i="24"/>
  <c r="AC122" i="24"/>
  <c r="AG122" i="24"/>
  <c r="AK122" i="24"/>
  <c r="AL122" i="24"/>
  <c r="Y124" i="24"/>
  <c r="AC124" i="24"/>
  <c r="AG124" i="24"/>
  <c r="AK124" i="24"/>
  <c r="AL124" i="24"/>
  <c r="Y126" i="24"/>
  <c r="AC126" i="24"/>
  <c r="AG126" i="24"/>
  <c r="AK126" i="24"/>
  <c r="AL126" i="24"/>
  <c r="AC128" i="24"/>
  <c r="AG128" i="24"/>
  <c r="AK128" i="24"/>
  <c r="AL128" i="24"/>
  <c r="Y130" i="24"/>
  <c r="AC130" i="24"/>
  <c r="AG130" i="24"/>
  <c r="AK130" i="24"/>
  <c r="AL130" i="24"/>
  <c r="Y132" i="24"/>
  <c r="AC132" i="24"/>
  <c r="AG132" i="24"/>
  <c r="AK132" i="24"/>
  <c r="AL132" i="24"/>
  <c r="Y134" i="24"/>
  <c r="AC134" i="24"/>
  <c r="AG134" i="24"/>
  <c r="AK134" i="24"/>
  <c r="AL134" i="24"/>
  <c r="Y136" i="24"/>
  <c r="AC136" i="24"/>
  <c r="AG136" i="24"/>
  <c r="AK136" i="24"/>
  <c r="AL136" i="24"/>
  <c r="Y138" i="24"/>
  <c r="AC138" i="24"/>
  <c r="AG138" i="24"/>
  <c r="AK138" i="24"/>
  <c r="AL138" i="24"/>
  <c r="Y140" i="24"/>
  <c r="AC140" i="24"/>
  <c r="AG140" i="24"/>
  <c r="AK140" i="24"/>
  <c r="AL140" i="24"/>
  <c r="Y142" i="24"/>
  <c r="AC142" i="24"/>
  <c r="AG142" i="24"/>
  <c r="AK142" i="24"/>
  <c r="AL142" i="24"/>
  <c r="Y144" i="24"/>
  <c r="AC144" i="24"/>
  <c r="AG144" i="24"/>
  <c r="AK144" i="24"/>
  <c r="AL144" i="24"/>
  <c r="AQ142" i="24"/>
  <c r="AS142" i="24" s="1" a="1"/>
  <c r="U142" i="24"/>
  <c r="AQ141" i="24"/>
  <c r="AS141" i="24" s="1" a="1"/>
  <c r="AP141" i="24"/>
  <c r="AQ140" i="24"/>
  <c r="AS140" i="24" s="1" a="1"/>
  <c r="U140" i="24"/>
  <c r="AQ139" i="24"/>
  <c r="AS139" i="24" s="1" a="1"/>
  <c r="AP139" i="24"/>
  <c r="AQ138" i="24"/>
  <c r="AS138" i="24" s="1" a="1"/>
  <c r="U138" i="24"/>
  <c r="AQ137" i="24"/>
  <c r="AS137" i="24" s="1" a="1"/>
  <c r="AP137" i="24"/>
  <c r="AQ136" i="24"/>
  <c r="AS136" i="24" s="1" a="1"/>
  <c r="U136" i="24"/>
  <c r="AQ135" i="24"/>
  <c r="AS135" i="24" s="1" a="1"/>
  <c r="AP135" i="24"/>
  <c r="AQ134" i="24"/>
  <c r="AS134" i="24" s="1" a="1"/>
  <c r="U134" i="24"/>
  <c r="AQ133" i="24"/>
  <c r="AS133" i="24" s="1" a="1"/>
  <c r="AP133" i="24"/>
  <c r="AQ132" i="24"/>
  <c r="AQ131" i="24"/>
  <c r="AP131" i="24"/>
  <c r="AQ130" i="24"/>
  <c r="AQ129" i="24"/>
  <c r="AP129" i="24"/>
  <c r="AQ128" i="24"/>
  <c r="AQ127" i="24"/>
  <c r="AP127" i="24"/>
  <c r="AQ126" i="24"/>
  <c r="AQ125" i="24"/>
  <c r="AP125" i="24"/>
  <c r="AQ124" i="24"/>
  <c r="AQ123" i="24"/>
  <c r="AP123" i="24"/>
  <c r="AQ122" i="24"/>
  <c r="AQ121" i="24"/>
  <c r="AP121" i="24"/>
  <c r="AQ120" i="24"/>
  <c r="AQ119" i="24"/>
  <c r="AP119" i="24"/>
  <c r="AQ118" i="24"/>
  <c r="AQ117" i="24"/>
  <c r="AP117" i="24"/>
  <c r="AQ116" i="24"/>
  <c r="AQ115" i="24"/>
  <c r="AP115" i="24"/>
  <c r="AQ114" i="24"/>
  <c r="AQ113" i="24"/>
  <c r="AP113" i="24"/>
  <c r="AQ112" i="24"/>
  <c r="AQ111" i="24"/>
  <c r="AP111" i="24"/>
  <c r="B380" i="38"/>
  <c r="B381" i="38"/>
  <c r="B382" i="38"/>
  <c r="B383" i="38"/>
  <c r="B384" i="38"/>
  <c r="B385" i="38"/>
  <c r="B386" i="38"/>
  <c r="B387" i="38"/>
  <c r="B388" i="38"/>
  <c r="B389" i="38"/>
  <c r="B390" i="38"/>
  <c r="B391" i="38"/>
  <c r="B392" i="38"/>
  <c r="B393" i="38"/>
  <c r="B394" i="38"/>
  <c r="B395" i="38"/>
  <c r="B396" i="38"/>
  <c r="B397" i="38"/>
  <c r="B398" i="38"/>
  <c r="B399" i="38"/>
  <c r="B400" i="38"/>
  <c r="B401" i="38"/>
  <c r="B402" i="38"/>
  <c r="B403" i="38"/>
  <c r="B404" i="38"/>
  <c r="B405" i="38"/>
  <c r="B406" i="38"/>
  <c r="B407" i="38"/>
  <c r="B408" i="38"/>
  <c r="B409" i="38"/>
  <c r="B410" i="38"/>
  <c r="B411" i="38"/>
  <c r="B412" i="38"/>
  <c r="B413" i="38"/>
  <c r="B414" i="38"/>
  <c r="B415" i="38"/>
  <c r="B416" i="38"/>
  <c r="B417" i="38"/>
  <c r="B418" i="38"/>
  <c r="B419" i="38"/>
  <c r="B420" i="38"/>
  <c r="B421" i="38"/>
  <c r="B422" i="38"/>
  <c r="B423" i="38"/>
  <c r="B424" i="38"/>
  <c r="B425" i="38"/>
  <c r="B426" i="38"/>
  <c r="B427" i="38"/>
  <c r="B428" i="38"/>
  <c r="B429" i="38"/>
  <c r="B430" i="38"/>
  <c r="B431" i="38"/>
  <c r="B432" i="38"/>
  <c r="B433" i="38"/>
  <c r="B434" i="38"/>
  <c r="B435" i="38"/>
  <c r="B436" i="38"/>
  <c r="B437" i="38"/>
  <c r="B438" i="38"/>
  <c r="B439" i="38"/>
  <c r="B440" i="38"/>
  <c r="B441" i="38"/>
  <c r="B442" i="38"/>
  <c r="B443" i="38"/>
  <c r="B444" i="38"/>
  <c r="B445" i="38"/>
  <c r="B446" i="38"/>
  <c r="B447" i="38"/>
  <c r="B448" i="38"/>
  <c r="B449" i="38"/>
  <c r="B450" i="38"/>
  <c r="B451" i="38"/>
  <c r="B452" i="38"/>
  <c r="B453" i="38"/>
  <c r="B454" i="38"/>
  <c r="B455" i="38"/>
  <c r="B456" i="38"/>
  <c r="B457" i="38"/>
  <c r="B458" i="38"/>
  <c r="B459" i="38"/>
  <c r="B460" i="38"/>
  <c r="B461" i="38"/>
  <c r="B462" i="38"/>
  <c r="B463" i="38"/>
  <c r="B464" i="38"/>
  <c r="B465" i="38"/>
  <c r="B466" i="38"/>
  <c r="B467" i="38"/>
  <c r="B468" i="38"/>
  <c r="B469" i="38"/>
  <c r="B470" i="38"/>
  <c r="B471" i="38"/>
  <c r="B472" i="38"/>
  <c r="B473" i="38"/>
  <c r="B474" i="38"/>
  <c r="B475" i="38"/>
  <c r="B476" i="38"/>
  <c r="B477" i="38"/>
  <c r="B478" i="38"/>
  <c r="B479" i="38"/>
  <c r="B480" i="38"/>
  <c r="B481" i="38"/>
  <c r="B482" i="38"/>
  <c r="B483" i="38"/>
  <c r="B484" i="38"/>
  <c r="B485" i="38"/>
  <c r="B486" i="38"/>
  <c r="B487" i="38"/>
  <c r="B488" i="38"/>
  <c r="B489" i="38"/>
  <c r="B490" i="38"/>
  <c r="B491" i="38"/>
  <c r="B492" i="38"/>
  <c r="B493" i="38"/>
  <c r="B494" i="38"/>
  <c r="B495" i="38"/>
  <c r="B496" i="38"/>
  <c r="B497" i="38"/>
  <c r="B379" i="38"/>
  <c r="B500" i="38" a="1"/>
  <c r="B330" i="38"/>
  <c r="B331" i="38"/>
  <c r="B332" i="38"/>
  <c r="B333" i="38"/>
  <c r="B334" i="38"/>
  <c r="B335" i="38"/>
  <c r="B336" i="38"/>
  <c r="B337" i="38"/>
  <c r="B338" i="38"/>
  <c r="B339" i="38"/>
  <c r="B340" i="38"/>
  <c r="B341" i="38"/>
  <c r="B342" i="38"/>
  <c r="B343" i="38"/>
  <c r="B344" i="38"/>
  <c r="B345" i="38"/>
  <c r="B346" i="38"/>
  <c r="B347" i="38"/>
  <c r="B348" i="38"/>
  <c r="B349" i="38"/>
  <c r="B350" i="38"/>
  <c r="B351" i="38"/>
  <c r="B352" i="38"/>
  <c r="B353" i="38"/>
  <c r="B354" i="38"/>
  <c r="B355" i="38"/>
  <c r="B356" i="38"/>
  <c r="B357" i="38"/>
  <c r="B358" i="38"/>
  <c r="B359" i="38"/>
  <c r="B360" i="38"/>
  <c r="B361" i="38"/>
  <c r="B362" i="38"/>
  <c r="B363" i="38"/>
  <c r="B364" i="38"/>
  <c r="B365" i="38"/>
  <c r="B366" i="38"/>
  <c r="B367" i="38"/>
  <c r="B368" i="38"/>
  <c r="B369" i="38"/>
  <c r="B370" i="38"/>
  <c r="B371" i="38"/>
  <c r="B372" i="38"/>
  <c r="B373" i="38"/>
  <c r="B374" i="38"/>
  <c r="B375" i="38"/>
  <c r="B376" i="38"/>
  <c r="B377" i="38"/>
  <c r="B378" i="38"/>
  <c r="B329" i="38"/>
  <c r="B323" i="38"/>
  <c r="B324" i="38"/>
  <c r="B325" i="38"/>
  <c r="B326" i="38"/>
  <c r="B327" i="38"/>
  <c r="B328" i="38"/>
  <c r="B248" i="38"/>
  <c r="B249" i="38"/>
  <c r="B250" i="38"/>
  <c r="B251" i="38"/>
  <c r="B252" i="38"/>
  <c r="B253" i="38"/>
  <c r="B254" i="38"/>
  <c r="B255" i="38"/>
  <c r="B256" i="38"/>
  <c r="B257" i="38"/>
  <c r="B258" i="38"/>
  <c r="B259" i="38"/>
  <c r="B260" i="38"/>
  <c r="B261" i="38"/>
  <c r="B262" i="38"/>
  <c r="B263" i="38"/>
  <c r="B264" i="38"/>
  <c r="B265" i="38"/>
  <c r="B266" i="38"/>
  <c r="B267" i="38"/>
  <c r="B268" i="38"/>
  <c r="B269" i="38"/>
  <c r="B270" i="38"/>
  <c r="B271" i="38"/>
  <c r="B272" i="38"/>
  <c r="B273" i="38"/>
  <c r="B274" i="38"/>
  <c r="B275" i="38"/>
  <c r="B276" i="38"/>
  <c r="B277" i="38"/>
  <c r="B278" i="38"/>
  <c r="B279" i="38"/>
  <c r="B280" i="38"/>
  <c r="B281" i="38"/>
  <c r="B282" i="38"/>
  <c r="B283" i="38"/>
  <c r="B284" i="38"/>
  <c r="B285" i="38"/>
  <c r="B286" i="38"/>
  <c r="B287" i="38"/>
  <c r="B288" i="38"/>
  <c r="B289" i="38"/>
  <c r="B290" i="38"/>
  <c r="B291" i="38"/>
  <c r="B292" i="38"/>
  <c r="B293" i="38"/>
  <c r="B294" i="38"/>
  <c r="B295" i="38"/>
  <c r="B296" i="38"/>
  <c r="B297" i="38"/>
  <c r="B298" i="38"/>
  <c r="B299" i="38"/>
  <c r="B300" i="38"/>
  <c r="B301" i="38"/>
  <c r="B302" i="38"/>
  <c r="B303" i="38"/>
  <c r="B304" i="38"/>
  <c r="B305" i="38"/>
  <c r="B306" i="38"/>
  <c r="B307" i="38"/>
  <c r="B308" i="38"/>
  <c r="B309" i="38"/>
  <c r="D309" i="38" s="1"/>
  <c r="B310" i="38"/>
  <c r="B311" i="38"/>
  <c r="B312" i="38"/>
  <c r="B313" i="38"/>
  <c r="D313" i="38" s="1"/>
  <c r="B314" i="38"/>
  <c r="B315" i="38"/>
  <c r="B316" i="38"/>
  <c r="B317" i="38"/>
  <c r="B318" i="38"/>
  <c r="B319" i="38"/>
  <c r="B320" i="38"/>
  <c r="B321" i="38"/>
  <c r="B322" i="38"/>
  <c r="B247" i="38"/>
  <c r="B181" i="38"/>
  <c r="B182" i="38"/>
  <c r="B183" i="38"/>
  <c r="B184" i="38"/>
  <c r="B185" i="38"/>
  <c r="B186" i="38"/>
  <c r="B187" i="38"/>
  <c r="B188" i="38"/>
  <c r="B189" i="38"/>
  <c r="B190" i="38"/>
  <c r="B191" i="38"/>
  <c r="B192" i="38"/>
  <c r="B193" i="38"/>
  <c r="B194" i="38"/>
  <c r="B195" i="38"/>
  <c r="B196" i="38"/>
  <c r="B197" i="38"/>
  <c r="B198" i="38"/>
  <c r="B199" i="38"/>
  <c r="B200" i="38"/>
  <c r="B201" i="38"/>
  <c r="B202" i="38"/>
  <c r="B203" i="38"/>
  <c r="B204" i="38"/>
  <c r="B205" i="38"/>
  <c r="B206" i="38"/>
  <c r="B207" i="38"/>
  <c r="B208" i="38"/>
  <c r="B209" i="38"/>
  <c r="B210" i="38"/>
  <c r="B211" i="38"/>
  <c r="B212" i="38"/>
  <c r="B213" i="38"/>
  <c r="B214" i="38"/>
  <c r="B215" i="38"/>
  <c r="B216" i="38"/>
  <c r="B217" i="38"/>
  <c r="B218" i="38"/>
  <c r="B219" i="38"/>
  <c r="B220" i="38"/>
  <c r="B221" i="38"/>
  <c r="B222" i="38"/>
  <c r="B223" i="38"/>
  <c r="B224" i="38"/>
  <c r="B225" i="38"/>
  <c r="B226" i="38"/>
  <c r="B227" i="38"/>
  <c r="B228" i="38"/>
  <c r="B229" i="38"/>
  <c r="B230" i="38"/>
  <c r="B231" i="38"/>
  <c r="B232" i="38"/>
  <c r="B233" i="38"/>
  <c r="B234" i="38"/>
  <c r="B235" i="38"/>
  <c r="B236" i="38"/>
  <c r="B237" i="38"/>
  <c r="B238" i="38"/>
  <c r="B239" i="38"/>
  <c r="B240" i="38"/>
  <c r="B241" i="38"/>
  <c r="B242" i="38"/>
  <c r="B243" i="38"/>
  <c r="B244" i="38"/>
  <c r="B245" i="38"/>
  <c r="B246" i="38"/>
  <c r="AP106" i="18"/>
  <c r="AR106" i="18" s="1" a="1"/>
  <c r="AJ106" i="18"/>
  <c r="AF106" i="18"/>
  <c r="AB106" i="18"/>
  <c r="X106" i="18"/>
  <c r="AP105" i="18"/>
  <c r="AR105" i="18" s="1" a="1"/>
  <c r="AO105" i="18"/>
  <c r="AH105" i="18"/>
  <c r="AD105" i="18"/>
  <c r="AC105" i="18"/>
  <c r="Y105" i="18"/>
  <c r="AA105" i="18"/>
  <c r="AP104" i="18"/>
  <c r="AR104" i="18" s="1" a="1"/>
  <c r="AJ104" i="18"/>
  <c r="AF104" i="18"/>
  <c r="AB104" i="18"/>
  <c r="X104" i="18"/>
  <c r="AP103" i="18"/>
  <c r="AR103" i="18" s="1" a="1"/>
  <c r="AO103" i="18"/>
  <c r="AH103" i="18"/>
  <c r="AI103" i="18"/>
  <c r="AP102" i="18"/>
  <c r="AR102" i="18" s="1" a="1"/>
  <c r="AJ102" i="18"/>
  <c r="AF102" i="18"/>
  <c r="AB102" i="18"/>
  <c r="X102" i="18"/>
  <c r="AP101" i="18"/>
  <c r="AR101" i="18" s="1" a="1"/>
  <c r="AO101" i="18"/>
  <c r="AI101" i="18"/>
  <c r="AD101" i="18"/>
  <c r="AC101" i="18"/>
  <c r="Z101" i="18"/>
  <c r="W101" i="18"/>
  <c r="AE101" i="18"/>
  <c r="B178" i="38"/>
  <c r="B179" i="38"/>
  <c r="B180" i="38"/>
  <c r="B177" i="38"/>
  <c r="B176" i="38"/>
  <c r="B129" i="38"/>
  <c r="B131" i="38"/>
  <c r="B132" i="38"/>
  <c r="B133" i="38"/>
  <c r="B134" i="38"/>
  <c r="B135" i="38"/>
  <c r="B136" i="38"/>
  <c r="B137" i="38"/>
  <c r="B138" i="38"/>
  <c r="B139" i="38"/>
  <c r="B140" i="38"/>
  <c r="B141" i="38"/>
  <c r="B142" i="38"/>
  <c r="B143" i="38"/>
  <c r="B144" i="38"/>
  <c r="B145" i="38"/>
  <c r="B146" i="38"/>
  <c r="B147" i="38"/>
  <c r="B148" i="38"/>
  <c r="B149" i="38"/>
  <c r="B150" i="38"/>
  <c r="B151" i="38"/>
  <c r="B152" i="38"/>
  <c r="B153" i="38"/>
  <c r="B154" i="38"/>
  <c r="B155" i="38"/>
  <c r="B156" i="38"/>
  <c r="B157" i="38"/>
  <c r="B158" i="38"/>
  <c r="B159" i="38"/>
  <c r="B160" i="38"/>
  <c r="B161" i="38"/>
  <c r="B162" i="38"/>
  <c r="B163" i="38"/>
  <c r="B164" i="38"/>
  <c r="B165" i="38"/>
  <c r="B166" i="38"/>
  <c r="B167" i="38"/>
  <c r="B168" i="38"/>
  <c r="B169" i="38"/>
  <c r="B170" i="38"/>
  <c r="B171" i="38"/>
  <c r="B172" i="38"/>
  <c r="B173" i="38"/>
  <c r="B174" i="38"/>
  <c r="B175" i="38"/>
  <c r="B130" i="38"/>
  <c r="B122" i="38"/>
  <c r="B123" i="38"/>
  <c r="B124" i="38"/>
  <c r="B125" i="38"/>
  <c r="B126" i="38"/>
  <c r="B127" i="38"/>
  <c r="B128" i="38"/>
  <c r="B47" i="38"/>
  <c r="B48" i="38"/>
  <c r="B49" i="38"/>
  <c r="B50" i="38"/>
  <c r="B51" i="38"/>
  <c r="B52" i="38"/>
  <c r="B53" i="38"/>
  <c r="B54" i="38"/>
  <c r="B55" i="38"/>
  <c r="B56" i="38"/>
  <c r="B57" i="38"/>
  <c r="B58" i="38"/>
  <c r="B59" i="38"/>
  <c r="B60" i="38"/>
  <c r="B61" i="38"/>
  <c r="B62" i="38"/>
  <c r="B63" i="38"/>
  <c r="B64" i="38"/>
  <c r="B65" i="38"/>
  <c r="B66" i="38"/>
  <c r="B67" i="38"/>
  <c r="B68" i="38"/>
  <c r="B69" i="38"/>
  <c r="B70" i="38"/>
  <c r="B71" i="38"/>
  <c r="B72" i="38"/>
  <c r="B73" i="38"/>
  <c r="B74" i="38"/>
  <c r="B75" i="38"/>
  <c r="B76" i="38"/>
  <c r="B77" i="38"/>
  <c r="B78" i="38"/>
  <c r="B79" i="38"/>
  <c r="B80" i="38"/>
  <c r="B81" i="38"/>
  <c r="B82" i="38"/>
  <c r="B83" i="38"/>
  <c r="B84" i="38"/>
  <c r="B85" i="38"/>
  <c r="B86" i="38"/>
  <c r="B87" i="38"/>
  <c r="B88" i="38"/>
  <c r="B89" i="38"/>
  <c r="B90" i="38"/>
  <c r="B91" i="38"/>
  <c r="B92" i="38"/>
  <c r="B93" i="38"/>
  <c r="B94" i="38"/>
  <c r="B95" i="38"/>
  <c r="B96" i="38"/>
  <c r="B97" i="38"/>
  <c r="B98" i="38"/>
  <c r="B99" i="38"/>
  <c r="B100" i="38"/>
  <c r="B101" i="38"/>
  <c r="B102" i="38"/>
  <c r="B103" i="38"/>
  <c r="B104" i="38"/>
  <c r="B105" i="38"/>
  <c r="B106" i="38"/>
  <c r="B107" i="38"/>
  <c r="B108" i="38"/>
  <c r="B109" i="38"/>
  <c r="B110" i="38"/>
  <c r="B111" i="38"/>
  <c r="B112" i="38"/>
  <c r="B113" i="38"/>
  <c r="B114" i="38"/>
  <c r="B115" i="38"/>
  <c r="B116" i="38"/>
  <c r="B117" i="38"/>
  <c r="B118" i="38"/>
  <c r="B119" i="38"/>
  <c r="B120" i="38"/>
  <c r="B121" i="38"/>
  <c r="B10" i="38"/>
  <c r="B11" i="38"/>
  <c r="B12" i="38"/>
  <c r="B13" i="38"/>
  <c r="B14" i="38"/>
  <c r="B15" i="38"/>
  <c r="B16" i="38"/>
  <c r="B17" i="38"/>
  <c r="B18" i="38"/>
  <c r="B19" i="38"/>
  <c r="B20" i="38"/>
  <c r="B21" i="38"/>
  <c r="B22" i="38"/>
  <c r="B23" i="38"/>
  <c r="B24" i="38"/>
  <c r="B25" i="38"/>
  <c r="B26" i="38"/>
  <c r="B27" i="38"/>
  <c r="B28" i="38"/>
  <c r="B29" i="38"/>
  <c r="B30" i="38"/>
  <c r="B31" i="38"/>
  <c r="B32" i="38"/>
  <c r="B33" i="38"/>
  <c r="B34" i="38"/>
  <c r="B35" i="38"/>
  <c r="B36" i="38"/>
  <c r="B37" i="38"/>
  <c r="B38" i="38"/>
  <c r="B39" i="38"/>
  <c r="B40" i="38"/>
  <c r="B41" i="38"/>
  <c r="B42" i="38"/>
  <c r="B43" i="38"/>
  <c r="B44" i="38"/>
  <c r="B45" i="38"/>
  <c r="B46" i="38"/>
  <c r="B9" i="38"/>
  <c r="AG137" i="24" l="1"/>
  <c r="AG113" i="24"/>
  <c r="AG125" i="24"/>
  <c r="AK141" i="24"/>
  <c r="Y141" i="24"/>
  <c r="AC129" i="24"/>
  <c r="AG131" i="24"/>
  <c r="AK135" i="24"/>
  <c r="AG139" i="24"/>
  <c r="AC119" i="24"/>
  <c r="AG135" i="24"/>
  <c r="AK131" i="24"/>
  <c r="AC113" i="24"/>
  <c r="AG143" i="24"/>
  <c r="AG111" i="24"/>
  <c r="AK139" i="24"/>
  <c r="C61" i="38"/>
  <c r="D61" i="38"/>
  <c r="C305" i="38"/>
  <c r="D305" i="38"/>
  <c r="C457" i="38"/>
  <c r="C44" i="38"/>
  <c r="D44" i="38"/>
  <c r="C20" i="38"/>
  <c r="D20" i="38"/>
  <c r="C108" i="38"/>
  <c r="D108" i="38"/>
  <c r="C72" i="38"/>
  <c r="D72" i="38"/>
  <c r="C48" i="38"/>
  <c r="D48" i="38"/>
  <c r="C173" i="38"/>
  <c r="D173" i="38"/>
  <c r="C137" i="38"/>
  <c r="D137" i="38"/>
  <c r="C178" i="38"/>
  <c r="D178" i="38"/>
  <c r="C233" i="38"/>
  <c r="D233" i="38"/>
  <c r="C209" i="38"/>
  <c r="D209" i="38"/>
  <c r="C316" i="38"/>
  <c r="D316" i="38"/>
  <c r="C280" i="38"/>
  <c r="D280" i="38"/>
  <c r="C325" i="38"/>
  <c r="D325" i="38"/>
  <c r="C346" i="38"/>
  <c r="D346" i="38"/>
  <c r="C468" i="38"/>
  <c r="D468" i="38"/>
  <c r="C444" i="38"/>
  <c r="D444" i="38"/>
  <c r="C432" i="38"/>
  <c r="D432" i="38"/>
  <c r="C408" i="38"/>
  <c r="D408" i="38"/>
  <c r="C384" i="38"/>
  <c r="D384" i="38"/>
  <c r="C31" i="38"/>
  <c r="D31" i="38"/>
  <c r="C107" i="38"/>
  <c r="D107" i="38"/>
  <c r="C71" i="38"/>
  <c r="D71" i="38"/>
  <c r="C148" i="38"/>
  <c r="D148" i="38"/>
  <c r="C244" i="38"/>
  <c r="D244" i="38"/>
  <c r="C232" i="38"/>
  <c r="D232" i="38"/>
  <c r="C220" i="38"/>
  <c r="D220" i="38"/>
  <c r="C208" i="38"/>
  <c r="D208" i="38"/>
  <c r="C196" i="38"/>
  <c r="D196" i="38"/>
  <c r="C184" i="38"/>
  <c r="D184" i="38"/>
  <c r="D315" i="38"/>
  <c r="C303" i="38"/>
  <c r="D303" i="38"/>
  <c r="C291" i="38"/>
  <c r="D291" i="38"/>
  <c r="C279" i="38"/>
  <c r="D279" i="38"/>
  <c r="C267" i="38"/>
  <c r="D267" i="38"/>
  <c r="C255" i="38"/>
  <c r="D255" i="38"/>
  <c r="C324" i="38"/>
  <c r="D324" i="38"/>
  <c r="C369" i="38"/>
  <c r="D369" i="38"/>
  <c r="C357" i="38"/>
  <c r="D357" i="38"/>
  <c r="C345" i="38"/>
  <c r="D345" i="38"/>
  <c r="C333" i="38"/>
  <c r="D333" i="38"/>
  <c r="C491" i="38"/>
  <c r="D491" i="38"/>
  <c r="C479" i="38"/>
  <c r="D479" i="38"/>
  <c r="C467" i="38"/>
  <c r="D467" i="38"/>
  <c r="C455" i="38"/>
  <c r="C443" i="38"/>
  <c r="C431" i="38"/>
  <c r="C419" i="38"/>
  <c r="C407" i="38"/>
  <c r="C395" i="38"/>
  <c r="C383" i="38"/>
  <c r="C138" i="38"/>
  <c r="D138" i="38"/>
  <c r="C234" i="38"/>
  <c r="D234" i="38"/>
  <c r="C281" i="38"/>
  <c r="D281" i="38"/>
  <c r="C326" i="38"/>
  <c r="D326" i="38"/>
  <c r="C433" i="38"/>
  <c r="D433" i="38"/>
  <c r="C32" i="38"/>
  <c r="D32" i="38"/>
  <c r="C96" i="38"/>
  <c r="D96" i="38"/>
  <c r="C84" i="38"/>
  <c r="D84" i="38"/>
  <c r="C60" i="38"/>
  <c r="D60" i="38"/>
  <c r="C149" i="38"/>
  <c r="D149" i="38"/>
  <c r="C197" i="38"/>
  <c r="D197" i="38"/>
  <c r="C304" i="38"/>
  <c r="D304" i="38"/>
  <c r="C268" i="38"/>
  <c r="D268" i="38"/>
  <c r="C370" i="38"/>
  <c r="D370" i="38"/>
  <c r="C334" i="38"/>
  <c r="D334" i="38"/>
  <c r="C480" i="38"/>
  <c r="D480" i="38"/>
  <c r="C420" i="38"/>
  <c r="D420" i="38"/>
  <c r="C43" i="38"/>
  <c r="D43" i="38"/>
  <c r="C19" i="38"/>
  <c r="D19" i="38"/>
  <c r="C119" i="38"/>
  <c r="D119" i="38"/>
  <c r="C95" i="38"/>
  <c r="D95" i="38"/>
  <c r="C83" i="38"/>
  <c r="D83" i="38"/>
  <c r="C59" i="38"/>
  <c r="D59" i="38"/>
  <c r="C47" i="38"/>
  <c r="D47" i="38"/>
  <c r="C172" i="38"/>
  <c r="D172" i="38"/>
  <c r="D160" i="38"/>
  <c r="C136" i="38"/>
  <c r="D136" i="38"/>
  <c r="C42" i="38"/>
  <c r="D42" i="38"/>
  <c r="C30" i="38"/>
  <c r="D30" i="38"/>
  <c r="C18" i="38"/>
  <c r="D18" i="38"/>
  <c r="C118" i="38"/>
  <c r="D118" i="38"/>
  <c r="C106" i="38"/>
  <c r="D106" i="38"/>
  <c r="C94" i="38"/>
  <c r="D94" i="38"/>
  <c r="C82" i="38"/>
  <c r="D82" i="38"/>
  <c r="C70" i="38"/>
  <c r="D70" i="38"/>
  <c r="C58" i="38"/>
  <c r="D58" i="38"/>
  <c r="C128" i="38"/>
  <c r="D128" i="38"/>
  <c r="C171" i="38"/>
  <c r="D171" i="38"/>
  <c r="C159" i="38"/>
  <c r="D159" i="38"/>
  <c r="C147" i="38"/>
  <c r="D147" i="38"/>
  <c r="C135" i="38"/>
  <c r="D135" i="38"/>
  <c r="C243" i="38"/>
  <c r="D243" i="38"/>
  <c r="C231" i="38"/>
  <c r="D231" i="38"/>
  <c r="C219" i="38"/>
  <c r="D219" i="38"/>
  <c r="C207" i="38"/>
  <c r="D207" i="38"/>
  <c r="C195" i="38"/>
  <c r="D195" i="38"/>
  <c r="C183" i="38"/>
  <c r="D183" i="38"/>
  <c r="C314" i="38"/>
  <c r="D314" i="38"/>
  <c r="C302" i="38"/>
  <c r="D302" i="38"/>
  <c r="C290" i="38"/>
  <c r="D290" i="38"/>
  <c r="C278" i="38"/>
  <c r="D278" i="38"/>
  <c r="C266" i="38"/>
  <c r="D266" i="38"/>
  <c r="C254" i="38"/>
  <c r="D254" i="38"/>
  <c r="D323" i="38"/>
  <c r="C368" i="38"/>
  <c r="D368" i="38"/>
  <c r="C356" i="38"/>
  <c r="D356" i="38"/>
  <c r="C344" i="38"/>
  <c r="D344" i="38"/>
  <c r="C332" i="38"/>
  <c r="D332" i="38"/>
  <c r="C490" i="38"/>
  <c r="D490" i="38"/>
  <c r="C478" i="38"/>
  <c r="D478" i="38"/>
  <c r="C466" i="38"/>
  <c r="D466" i="38"/>
  <c r="C454" i="38"/>
  <c r="D454" i="38"/>
  <c r="C442" i="38"/>
  <c r="D442" i="38"/>
  <c r="C430" i="38"/>
  <c r="D430" i="38"/>
  <c r="C418" i="38"/>
  <c r="D418" i="38"/>
  <c r="C406" i="38"/>
  <c r="D406" i="38"/>
  <c r="C394" i="38"/>
  <c r="D394" i="38"/>
  <c r="C382" i="38"/>
  <c r="D382" i="38"/>
  <c r="C49" i="38"/>
  <c r="D49" i="38"/>
  <c r="C186" i="38"/>
  <c r="D186" i="38"/>
  <c r="C347" i="38"/>
  <c r="D347" i="38"/>
  <c r="C385" i="38"/>
  <c r="C120" i="38"/>
  <c r="D120" i="38"/>
  <c r="C161" i="38"/>
  <c r="D161" i="38"/>
  <c r="C245" i="38"/>
  <c r="D245" i="38"/>
  <c r="C221" i="38"/>
  <c r="D221" i="38"/>
  <c r="C185" i="38"/>
  <c r="D185" i="38"/>
  <c r="C292" i="38"/>
  <c r="D292" i="38"/>
  <c r="C256" i="38"/>
  <c r="D256" i="38"/>
  <c r="C358" i="38"/>
  <c r="D358" i="38"/>
  <c r="C492" i="38"/>
  <c r="D492" i="38"/>
  <c r="C456" i="38"/>
  <c r="D456" i="38"/>
  <c r="C396" i="38"/>
  <c r="D396" i="38"/>
  <c r="C41" i="38"/>
  <c r="D41" i="38"/>
  <c r="C29" i="38"/>
  <c r="D29" i="38"/>
  <c r="C17" i="38"/>
  <c r="D17" i="38"/>
  <c r="C117" i="38"/>
  <c r="D117" i="38"/>
  <c r="C105" i="38"/>
  <c r="D105" i="38"/>
  <c r="C93" i="38"/>
  <c r="D93" i="38"/>
  <c r="C81" i="38"/>
  <c r="D81" i="38"/>
  <c r="C69" i="38"/>
  <c r="D69" i="38"/>
  <c r="C57" i="38"/>
  <c r="D57" i="38"/>
  <c r="C127" i="38"/>
  <c r="D127" i="38"/>
  <c r="C170" i="38"/>
  <c r="D170" i="38"/>
  <c r="D158" i="38"/>
  <c r="C146" i="38"/>
  <c r="D146" i="38"/>
  <c r="C134" i="38"/>
  <c r="D134" i="38"/>
  <c r="C242" i="38"/>
  <c r="D242" i="38"/>
  <c r="C230" i="38"/>
  <c r="D230" i="38"/>
  <c r="C218" i="38"/>
  <c r="D218" i="38"/>
  <c r="C206" i="38"/>
  <c r="D206" i="38"/>
  <c r="C194" i="38"/>
  <c r="D194" i="38"/>
  <c r="C182" i="38"/>
  <c r="D182" i="38"/>
  <c r="C301" i="38"/>
  <c r="D301" i="38"/>
  <c r="C289" i="38"/>
  <c r="D289" i="38"/>
  <c r="C277" i="38"/>
  <c r="D277" i="38"/>
  <c r="C265" i="38"/>
  <c r="D265" i="38"/>
  <c r="C253" i="38"/>
  <c r="D253" i="38"/>
  <c r="C329" i="38"/>
  <c r="D329" i="38"/>
  <c r="C367" i="38"/>
  <c r="D367" i="38"/>
  <c r="C355" i="38"/>
  <c r="D355" i="38"/>
  <c r="C343" i="38"/>
  <c r="D343" i="38"/>
  <c r="C331" i="38"/>
  <c r="D331" i="38"/>
  <c r="C489" i="38"/>
  <c r="D489" i="38"/>
  <c r="C477" i="38"/>
  <c r="D477" i="38"/>
  <c r="C465" i="38"/>
  <c r="D465" i="38"/>
  <c r="C453" i="38"/>
  <c r="C441" i="38"/>
  <c r="C429" i="38"/>
  <c r="C417" i="38"/>
  <c r="C405" i="38"/>
  <c r="C393" i="38"/>
  <c r="C381" i="38"/>
  <c r="AK111" i="24"/>
  <c r="Y117" i="24"/>
  <c r="Y119" i="24"/>
  <c r="Y129" i="24"/>
  <c r="C21" i="38"/>
  <c r="D21" i="38"/>
  <c r="C85" i="38"/>
  <c r="D85" i="38"/>
  <c r="C150" i="38"/>
  <c r="D150" i="38"/>
  <c r="C210" i="38"/>
  <c r="D210" i="38"/>
  <c r="C293" i="38"/>
  <c r="D293" i="38"/>
  <c r="C371" i="38"/>
  <c r="D371" i="38"/>
  <c r="C16" i="38"/>
  <c r="D16" i="38"/>
  <c r="C80" i="38"/>
  <c r="D80" i="38"/>
  <c r="C126" i="38"/>
  <c r="D126" i="38"/>
  <c r="C157" i="38"/>
  <c r="D157" i="38"/>
  <c r="C193" i="38"/>
  <c r="D193" i="38"/>
  <c r="C300" i="38"/>
  <c r="D300" i="38"/>
  <c r="C252" i="38"/>
  <c r="D252" i="38"/>
  <c r="C452" i="38"/>
  <c r="D452" i="38"/>
  <c r="C15" i="38"/>
  <c r="D15" i="38"/>
  <c r="C132" i="38"/>
  <c r="D132" i="38"/>
  <c r="C109" i="38"/>
  <c r="D109" i="38"/>
  <c r="C73" i="38"/>
  <c r="D73" i="38"/>
  <c r="C179" i="38"/>
  <c r="D179" i="38"/>
  <c r="C359" i="38"/>
  <c r="D359" i="38"/>
  <c r="C469" i="38"/>
  <c r="D469" i="38"/>
  <c r="C421" i="38"/>
  <c r="C104" i="38"/>
  <c r="D104" i="38"/>
  <c r="C241" i="38"/>
  <c r="D241" i="38"/>
  <c r="C217" i="38"/>
  <c r="D217" i="38"/>
  <c r="C312" i="38"/>
  <c r="D312" i="38"/>
  <c r="C276" i="38"/>
  <c r="D276" i="38"/>
  <c r="C366" i="38"/>
  <c r="D366" i="38"/>
  <c r="C330" i="38"/>
  <c r="D330" i="38"/>
  <c r="C488" i="38"/>
  <c r="D488" i="38"/>
  <c r="C476" i="38"/>
  <c r="D476" i="38"/>
  <c r="C440" i="38"/>
  <c r="D440" i="38"/>
  <c r="C416" i="38"/>
  <c r="D416" i="38"/>
  <c r="C392" i="38"/>
  <c r="D392" i="38"/>
  <c r="C380" i="38"/>
  <c r="D380" i="38"/>
  <c r="C39" i="38"/>
  <c r="D39" i="38"/>
  <c r="C79" i="38"/>
  <c r="D79" i="38"/>
  <c r="C144" i="38"/>
  <c r="D144" i="38"/>
  <c r="C228" i="38"/>
  <c r="D228" i="38"/>
  <c r="C204" i="38"/>
  <c r="D204" i="38"/>
  <c r="C247" i="38"/>
  <c r="D247" i="38"/>
  <c r="C263" i="38"/>
  <c r="D263" i="38"/>
  <c r="D501" i="38"/>
  <c r="C475" i="38"/>
  <c r="D475" i="38"/>
  <c r="C439" i="38"/>
  <c r="C403" i="38"/>
  <c r="C498" i="38"/>
  <c r="D498" i="38"/>
  <c r="C26" i="38"/>
  <c r="D26" i="38"/>
  <c r="C90" i="38"/>
  <c r="D90" i="38"/>
  <c r="C54" i="38"/>
  <c r="D54" i="38"/>
  <c r="C124" i="38"/>
  <c r="D124" i="38"/>
  <c r="C167" i="38"/>
  <c r="D167" i="38"/>
  <c r="C155" i="38"/>
  <c r="D155" i="38"/>
  <c r="C143" i="38"/>
  <c r="D143" i="38"/>
  <c r="C131" i="38"/>
  <c r="D131" i="38"/>
  <c r="C239" i="38"/>
  <c r="D239" i="38"/>
  <c r="C227" i="38"/>
  <c r="D227" i="38"/>
  <c r="C215" i="38"/>
  <c r="D215" i="38"/>
  <c r="C203" i="38"/>
  <c r="D203" i="38"/>
  <c r="C191" i="38"/>
  <c r="D191" i="38"/>
  <c r="C322" i="38"/>
  <c r="D322" i="38"/>
  <c r="C310" i="38"/>
  <c r="D310" i="38"/>
  <c r="C298" i="38"/>
  <c r="D298" i="38"/>
  <c r="C286" i="38"/>
  <c r="D286" i="38"/>
  <c r="C274" i="38"/>
  <c r="D274" i="38"/>
  <c r="C262" i="38"/>
  <c r="D262" i="38"/>
  <c r="C250" i="38"/>
  <c r="D250" i="38"/>
  <c r="C376" i="38"/>
  <c r="D376" i="38"/>
  <c r="C364" i="38"/>
  <c r="D364" i="38"/>
  <c r="C352" i="38"/>
  <c r="D352" i="38"/>
  <c r="C340" i="38"/>
  <c r="D340" i="38"/>
  <c r="C379" i="38"/>
  <c r="C486" i="38"/>
  <c r="D486" i="38"/>
  <c r="C474" i="38"/>
  <c r="D474" i="38"/>
  <c r="C462" i="38"/>
  <c r="D462" i="38"/>
  <c r="C450" i="38"/>
  <c r="D450" i="38"/>
  <c r="C438" i="38"/>
  <c r="D438" i="38"/>
  <c r="C426" i="38"/>
  <c r="D426" i="38"/>
  <c r="C414" i="38"/>
  <c r="D414" i="38"/>
  <c r="C402" i="38"/>
  <c r="D402" i="38"/>
  <c r="C390" i="38"/>
  <c r="D390" i="38"/>
  <c r="Y135" i="24"/>
  <c r="C499" i="38"/>
  <c r="D499" i="38"/>
  <c r="C33" i="38"/>
  <c r="D33" i="38"/>
  <c r="C97" i="38"/>
  <c r="D97" i="38"/>
  <c r="C162" i="38"/>
  <c r="D162" i="38"/>
  <c r="C246" i="38"/>
  <c r="D246" i="38"/>
  <c r="C198" i="38"/>
  <c r="D198" i="38"/>
  <c r="C269" i="38"/>
  <c r="D269" i="38"/>
  <c r="C335" i="38"/>
  <c r="D335" i="38"/>
  <c r="C493" i="38"/>
  <c r="D493" i="38"/>
  <c r="C445" i="38"/>
  <c r="C397" i="38"/>
  <c r="C116" i="38"/>
  <c r="D116" i="38"/>
  <c r="C68" i="38"/>
  <c r="D68" i="38"/>
  <c r="C169" i="38"/>
  <c r="D169" i="38"/>
  <c r="C145" i="38"/>
  <c r="D145" i="38"/>
  <c r="C229" i="38"/>
  <c r="D229" i="38"/>
  <c r="C181" i="38"/>
  <c r="D181" i="38"/>
  <c r="C264" i="38"/>
  <c r="D264" i="38"/>
  <c r="C378" i="38"/>
  <c r="D378" i="38"/>
  <c r="C342" i="38"/>
  <c r="D342" i="38"/>
  <c r="C464" i="38"/>
  <c r="D464" i="38"/>
  <c r="C404" i="38"/>
  <c r="D404" i="38"/>
  <c r="C103" i="38"/>
  <c r="D103" i="38"/>
  <c r="C55" i="38"/>
  <c r="D55" i="38"/>
  <c r="C125" i="38"/>
  <c r="D125" i="38"/>
  <c r="D156" i="38"/>
  <c r="C240" i="38"/>
  <c r="D240" i="38"/>
  <c r="C216" i="38"/>
  <c r="D216" i="38"/>
  <c r="C192" i="38"/>
  <c r="D192" i="38"/>
  <c r="C311" i="38"/>
  <c r="D311" i="38"/>
  <c r="C299" i="38"/>
  <c r="D299" i="38"/>
  <c r="C275" i="38"/>
  <c r="D275" i="38"/>
  <c r="C251" i="38"/>
  <c r="D251" i="38"/>
  <c r="C377" i="38"/>
  <c r="D377" i="38"/>
  <c r="C365" i="38"/>
  <c r="D365" i="38"/>
  <c r="C341" i="38"/>
  <c r="D341" i="38"/>
  <c r="C487" i="38"/>
  <c r="D487" i="38"/>
  <c r="C463" i="38"/>
  <c r="D463" i="38"/>
  <c r="C451" i="38"/>
  <c r="C427" i="38"/>
  <c r="C415" i="38"/>
  <c r="C391" i="38"/>
  <c r="C38" i="38"/>
  <c r="D38" i="38"/>
  <c r="C14" i="38"/>
  <c r="D14" i="38"/>
  <c r="C114" i="38"/>
  <c r="D114" i="38"/>
  <c r="C102" i="38"/>
  <c r="D102" i="38"/>
  <c r="C78" i="38"/>
  <c r="D78" i="38"/>
  <c r="C66" i="38"/>
  <c r="D66" i="38"/>
  <c r="C37" i="38"/>
  <c r="D37" i="38"/>
  <c r="C25" i="38"/>
  <c r="D25" i="38"/>
  <c r="C13" i="38"/>
  <c r="D13" i="38"/>
  <c r="C113" i="38"/>
  <c r="D113" i="38"/>
  <c r="C101" i="38"/>
  <c r="D101" i="38"/>
  <c r="C89" i="38"/>
  <c r="D89" i="38"/>
  <c r="C77" i="38"/>
  <c r="D77" i="38"/>
  <c r="C65" i="38"/>
  <c r="D65" i="38"/>
  <c r="C53" i="38"/>
  <c r="D53" i="38"/>
  <c r="C123" i="38"/>
  <c r="D123" i="38"/>
  <c r="C166" i="38"/>
  <c r="D166" i="38"/>
  <c r="C154" i="38"/>
  <c r="D154" i="38"/>
  <c r="C142" i="38"/>
  <c r="D142" i="38"/>
  <c r="C129" i="38"/>
  <c r="D129" i="38"/>
  <c r="C238" i="38"/>
  <c r="D238" i="38"/>
  <c r="C226" i="38"/>
  <c r="D226" i="38"/>
  <c r="C214" i="38"/>
  <c r="D214" i="38"/>
  <c r="C202" i="38"/>
  <c r="D202" i="38"/>
  <c r="C190" i="38"/>
  <c r="D190" i="38"/>
  <c r="D321" i="38"/>
  <c r="C297" i="38"/>
  <c r="D297" i="38"/>
  <c r="C285" i="38"/>
  <c r="D285" i="38"/>
  <c r="C273" i="38"/>
  <c r="D273" i="38"/>
  <c r="C261" i="38"/>
  <c r="D261" i="38"/>
  <c r="C249" i="38"/>
  <c r="D249" i="38"/>
  <c r="C375" i="38"/>
  <c r="D375" i="38"/>
  <c r="C363" i="38"/>
  <c r="D363" i="38"/>
  <c r="C351" i="38"/>
  <c r="D351" i="38"/>
  <c r="C339" i="38"/>
  <c r="D339" i="38"/>
  <c r="C497" i="38"/>
  <c r="D497" i="38"/>
  <c r="C485" i="38"/>
  <c r="D485" i="38"/>
  <c r="C473" i="38"/>
  <c r="D473" i="38"/>
  <c r="C461" i="38"/>
  <c r="D461" i="38"/>
  <c r="C449" i="38"/>
  <c r="C437" i="38"/>
  <c r="C425" i="38"/>
  <c r="C413" i="38"/>
  <c r="C401" i="38"/>
  <c r="C389" i="38"/>
  <c r="D317" i="38"/>
  <c r="C287" i="38"/>
  <c r="D287" i="38"/>
  <c r="C353" i="38"/>
  <c r="D353" i="38"/>
  <c r="C165" i="38"/>
  <c r="D165" i="38"/>
  <c r="C237" i="38"/>
  <c r="D237" i="38"/>
  <c r="C225" i="38"/>
  <c r="D225" i="38"/>
  <c r="C213" i="38"/>
  <c r="D213" i="38"/>
  <c r="C201" i="38"/>
  <c r="D201" i="38"/>
  <c r="C189" i="38"/>
  <c r="D189" i="38"/>
  <c r="C320" i="38"/>
  <c r="D320" i="38"/>
  <c r="C308" i="38"/>
  <c r="D308" i="38"/>
  <c r="C296" i="38"/>
  <c r="D296" i="38"/>
  <c r="C284" i="38"/>
  <c r="D284" i="38"/>
  <c r="C272" i="38"/>
  <c r="D272" i="38"/>
  <c r="C260" i="38"/>
  <c r="D260" i="38"/>
  <c r="C248" i="38"/>
  <c r="D248" i="38"/>
  <c r="C374" i="38"/>
  <c r="D374" i="38"/>
  <c r="C362" i="38"/>
  <c r="D362" i="38"/>
  <c r="C350" i="38"/>
  <c r="D350" i="38"/>
  <c r="C338" i="38"/>
  <c r="D338" i="38"/>
  <c r="C496" i="38"/>
  <c r="D496" i="38"/>
  <c r="C484" i="38"/>
  <c r="D484" i="38"/>
  <c r="C472" i="38"/>
  <c r="D472" i="38"/>
  <c r="C460" i="38"/>
  <c r="D460" i="38"/>
  <c r="C448" i="38"/>
  <c r="D448" i="38"/>
  <c r="C436" i="38"/>
  <c r="D436" i="38"/>
  <c r="C424" i="38"/>
  <c r="D424" i="38"/>
  <c r="C412" i="38"/>
  <c r="D412" i="38"/>
  <c r="C400" i="38"/>
  <c r="D400" i="38"/>
  <c r="C388" i="38"/>
  <c r="D388" i="38"/>
  <c r="C45" i="38"/>
  <c r="D45" i="38"/>
  <c r="C121" i="38"/>
  <c r="D121" i="38"/>
  <c r="C174" i="38"/>
  <c r="D174" i="38"/>
  <c r="C222" i="38"/>
  <c r="D222" i="38"/>
  <c r="C257" i="38"/>
  <c r="D257" i="38"/>
  <c r="C481" i="38"/>
  <c r="D481" i="38"/>
  <c r="C40" i="38"/>
  <c r="D40" i="38"/>
  <c r="C28" i="38"/>
  <c r="D28" i="38"/>
  <c r="C92" i="38"/>
  <c r="D92" i="38"/>
  <c r="C56" i="38"/>
  <c r="D56" i="38"/>
  <c r="C133" i="38"/>
  <c r="D133" i="38"/>
  <c r="C205" i="38"/>
  <c r="D205" i="38"/>
  <c r="C288" i="38"/>
  <c r="D288" i="38"/>
  <c r="C354" i="38"/>
  <c r="D354" i="38"/>
  <c r="C428" i="38"/>
  <c r="D428" i="38"/>
  <c r="C27" i="38"/>
  <c r="D27" i="38"/>
  <c r="C115" i="38"/>
  <c r="D115" i="38"/>
  <c r="C91" i="38"/>
  <c r="D91" i="38"/>
  <c r="C67" i="38"/>
  <c r="D67" i="38"/>
  <c r="C168" i="38"/>
  <c r="D168" i="38"/>
  <c r="C36" i="38"/>
  <c r="D36" i="38"/>
  <c r="C24" i="38"/>
  <c r="D24" i="38"/>
  <c r="C12" i="38"/>
  <c r="D12" i="38"/>
  <c r="C112" i="38"/>
  <c r="D112" i="38"/>
  <c r="C100" i="38"/>
  <c r="D100" i="38"/>
  <c r="C88" i="38"/>
  <c r="D88" i="38"/>
  <c r="C76" i="38"/>
  <c r="D76" i="38"/>
  <c r="C64" i="38"/>
  <c r="D64" i="38"/>
  <c r="C52" i="38"/>
  <c r="D52" i="38"/>
  <c r="C122" i="38"/>
  <c r="D122" i="38"/>
  <c r="C153" i="38"/>
  <c r="D153" i="38"/>
  <c r="C141" i="38"/>
  <c r="D141" i="38"/>
  <c r="C176" i="38"/>
  <c r="D176" i="38"/>
  <c r="C35" i="38"/>
  <c r="D35" i="38"/>
  <c r="C23" i="38"/>
  <c r="D23" i="38"/>
  <c r="C11" i="38"/>
  <c r="D11" i="38"/>
  <c r="C111" i="38"/>
  <c r="D111" i="38"/>
  <c r="C99" i="38"/>
  <c r="D99" i="38"/>
  <c r="C87" i="38"/>
  <c r="D87" i="38"/>
  <c r="C75" i="38"/>
  <c r="D75" i="38"/>
  <c r="C63" i="38"/>
  <c r="D63" i="38"/>
  <c r="C51" i="38"/>
  <c r="D51" i="38"/>
  <c r="C130" i="38"/>
  <c r="D130" i="38"/>
  <c r="C164" i="38"/>
  <c r="D164" i="38"/>
  <c r="C152" i="38"/>
  <c r="D152" i="38"/>
  <c r="C140" i="38"/>
  <c r="D140" i="38"/>
  <c r="C177" i="38"/>
  <c r="D177" i="38"/>
  <c r="C236" i="38"/>
  <c r="D236" i="38"/>
  <c r="C224" i="38"/>
  <c r="D224" i="38"/>
  <c r="C212" i="38"/>
  <c r="D212" i="38"/>
  <c r="C200" i="38"/>
  <c r="D200" i="38"/>
  <c r="C188" i="38"/>
  <c r="D188" i="38"/>
  <c r="D319" i="38"/>
  <c r="C307" i="38"/>
  <c r="D307" i="38"/>
  <c r="C295" i="38"/>
  <c r="D295" i="38"/>
  <c r="C283" i="38"/>
  <c r="D283" i="38"/>
  <c r="C271" i="38"/>
  <c r="D271" i="38"/>
  <c r="C259" i="38"/>
  <c r="D259" i="38"/>
  <c r="C328" i="38"/>
  <c r="D328" i="38"/>
  <c r="C373" i="38"/>
  <c r="D373" i="38"/>
  <c r="C361" i="38"/>
  <c r="D361" i="38"/>
  <c r="C349" i="38"/>
  <c r="D349" i="38"/>
  <c r="C337" i="38"/>
  <c r="D337" i="38"/>
  <c r="C495" i="38"/>
  <c r="D495" i="38"/>
  <c r="C483" i="38"/>
  <c r="D483" i="38"/>
  <c r="C471" i="38"/>
  <c r="D471" i="38"/>
  <c r="C459" i="38"/>
  <c r="C447" i="38"/>
  <c r="C435" i="38"/>
  <c r="C423" i="38"/>
  <c r="C411" i="38"/>
  <c r="C399" i="38"/>
  <c r="C387" i="38"/>
  <c r="C409" i="38"/>
  <c r="C46" i="38"/>
  <c r="D46" i="38"/>
  <c r="C34" i="38"/>
  <c r="D34" i="38"/>
  <c r="C22" i="38"/>
  <c r="D22" i="38"/>
  <c r="C10" i="38"/>
  <c r="D10" i="38"/>
  <c r="C110" i="38"/>
  <c r="D110" i="38"/>
  <c r="C98" i="38"/>
  <c r="D98" i="38"/>
  <c r="C86" i="38"/>
  <c r="D86" i="38"/>
  <c r="C74" i="38"/>
  <c r="D74" i="38"/>
  <c r="C62" i="38"/>
  <c r="D62" i="38"/>
  <c r="C50" i="38"/>
  <c r="D50" i="38"/>
  <c r="C175" i="38"/>
  <c r="D175" i="38"/>
  <c r="C163" i="38"/>
  <c r="D163" i="38"/>
  <c r="C151" i="38"/>
  <c r="D151" i="38"/>
  <c r="C139" i="38"/>
  <c r="D139" i="38"/>
  <c r="C180" i="38"/>
  <c r="D180" i="38"/>
  <c r="C235" i="38"/>
  <c r="D235" i="38"/>
  <c r="C223" i="38"/>
  <c r="D223" i="38"/>
  <c r="C211" i="38"/>
  <c r="D211" i="38"/>
  <c r="C199" i="38"/>
  <c r="D199" i="38"/>
  <c r="C187" i="38"/>
  <c r="D187" i="38"/>
  <c r="C318" i="38"/>
  <c r="D318" i="38"/>
  <c r="C306" i="38"/>
  <c r="D306" i="38"/>
  <c r="C294" i="38"/>
  <c r="D294" i="38"/>
  <c r="C282" i="38"/>
  <c r="D282" i="38"/>
  <c r="C270" i="38"/>
  <c r="D270" i="38"/>
  <c r="C258" i="38"/>
  <c r="D258" i="38"/>
  <c r="C327" i="38"/>
  <c r="D327" i="38"/>
  <c r="C372" i="38"/>
  <c r="D372" i="38"/>
  <c r="C360" i="38"/>
  <c r="D360" i="38"/>
  <c r="C348" i="38"/>
  <c r="D348" i="38"/>
  <c r="C336" i="38"/>
  <c r="D336" i="38"/>
  <c r="C494" i="38"/>
  <c r="D494" i="38"/>
  <c r="C482" i="38"/>
  <c r="D482" i="38"/>
  <c r="C470" i="38"/>
  <c r="D470" i="38"/>
  <c r="C458" i="38"/>
  <c r="D458" i="38"/>
  <c r="C446" i="38"/>
  <c r="D446" i="38"/>
  <c r="C434" i="38"/>
  <c r="D434" i="38"/>
  <c r="C422" i="38"/>
  <c r="D422" i="38"/>
  <c r="C410" i="38"/>
  <c r="D410" i="38"/>
  <c r="C398" i="38"/>
  <c r="D398" i="38"/>
  <c r="C386" i="38"/>
  <c r="D386" i="38"/>
  <c r="C9" i="38"/>
  <c r="D9" i="38"/>
  <c r="C501" i="38"/>
  <c r="AK119" i="24"/>
  <c r="AK129" i="24"/>
  <c r="Y139" i="24"/>
  <c r="AL143" i="24"/>
  <c r="Y111" i="24"/>
  <c r="AK117" i="24"/>
  <c r="AC111" i="24"/>
  <c r="AG119" i="24"/>
  <c r="AG129" i="24"/>
  <c r="AC131" i="24"/>
  <c r="AC133" i="24"/>
  <c r="AC139" i="24"/>
  <c r="AL119" i="24"/>
  <c r="Y143" i="24"/>
  <c r="AG117" i="24"/>
  <c r="AC141" i="24"/>
  <c r="AL139" i="24"/>
  <c r="AL135" i="24"/>
  <c r="AL131" i="24"/>
  <c r="Y125" i="24"/>
  <c r="Y133" i="24"/>
  <c r="AG133" i="24"/>
  <c r="AG141" i="24"/>
  <c r="AC135" i="24"/>
  <c r="Y113" i="24"/>
  <c r="AK113" i="24"/>
  <c r="AK106" i="18"/>
  <c r="AC137" i="24"/>
  <c r="Y131" i="24"/>
  <c r="AK125" i="24"/>
  <c r="AL117" i="24"/>
  <c r="AK137" i="24"/>
  <c r="AK143" i="24"/>
  <c r="AC143" i="24"/>
  <c r="AL111" i="24"/>
  <c r="AC125" i="24"/>
  <c r="AL137" i="24"/>
  <c r="AL133" i="24"/>
  <c r="AK133" i="24"/>
  <c r="AL129" i="24"/>
  <c r="AL141" i="24"/>
  <c r="AL125" i="24"/>
  <c r="AL113" i="24"/>
  <c r="Y137" i="24"/>
  <c r="AC117" i="24"/>
  <c r="AG101" i="18"/>
  <c r="AH101" i="18"/>
  <c r="U103" i="18"/>
  <c r="AK104" i="18"/>
  <c r="Y103" i="18"/>
  <c r="Z103" i="18"/>
  <c r="AA103" i="18"/>
  <c r="V103" i="18"/>
  <c r="AF101" i="18"/>
  <c r="U101" i="18"/>
  <c r="AD103" i="18"/>
  <c r="V101" i="18"/>
  <c r="AK102" i="18"/>
  <c r="AG103" i="18"/>
  <c r="AJ103" i="18" s="1"/>
  <c r="V105" i="18"/>
  <c r="AE105" i="18"/>
  <c r="AF105" i="18" s="1"/>
  <c r="Y101" i="18"/>
  <c r="AC103" i="18"/>
  <c r="U105" i="18"/>
  <c r="AG105" i="18"/>
  <c r="AA101" i="18"/>
  <c r="AE103" i="18"/>
  <c r="W105" i="18"/>
  <c r="AI105" i="18"/>
  <c r="Z105" i="18"/>
  <c r="AB105" i="18" s="1"/>
  <c r="W103" i="18"/>
  <c r="H4" i="38" l="1"/>
  <c r="N3" i="38"/>
  <c r="N4" i="38"/>
  <c r="H3" i="38"/>
  <c r="K2" i="38"/>
  <c r="N2" i="38"/>
  <c r="K3" i="38"/>
  <c r="K4" i="38"/>
  <c r="H2" i="38"/>
  <c r="AF103" i="18"/>
  <c r="AB101" i="18"/>
  <c r="X105" i="18"/>
  <c r="AJ105" i="18"/>
  <c r="X101" i="18"/>
  <c r="AB103" i="18"/>
  <c r="X103" i="18"/>
  <c r="AJ101" i="18"/>
  <c r="AK105" i="18" l="1"/>
  <c r="AK101" i="18"/>
  <c r="AK103" i="18"/>
  <c r="AC14" i="20" l="1"/>
  <c r="AB14" i="20"/>
  <c r="K157" i="2"/>
  <c r="AU157" i="2" l="1"/>
  <c r="AV157" i="2"/>
  <c r="X62" i="20"/>
  <c r="T59" i="17" l="1"/>
  <c r="K155" i="2" l="1"/>
  <c r="AU155" i="2" l="1"/>
  <c r="AV155" i="2"/>
  <c r="F390" i="2"/>
  <c r="E390" i="2"/>
  <c r="I142" i="18"/>
  <c r="I182" i="19"/>
  <c r="I181" i="19"/>
  <c r="F418" i="19"/>
  <c r="E418" i="19"/>
  <c r="I182" i="17"/>
  <c r="M177" i="17"/>
  <c r="F430" i="17"/>
  <c r="E430" i="17"/>
  <c r="I140" i="20"/>
  <c r="F390" i="20"/>
  <c r="E390" i="20"/>
  <c r="I227" i="2"/>
  <c r="I71" i="2"/>
  <c r="B5" i="2" l="1"/>
  <c r="C10" i="2"/>
  <c r="F15" i="32" s="1"/>
  <c r="B59" i="34"/>
  <c r="C59" i="34" s="1"/>
  <c r="I59" i="34" s="1"/>
  <c r="M177" i="19"/>
  <c r="I9" i="20"/>
  <c r="B51" i="34"/>
  <c r="C51" i="34" s="1"/>
  <c r="B61" i="34"/>
  <c r="C61" i="34" s="1"/>
  <c r="I61" i="34" s="1"/>
  <c r="B56" i="34"/>
  <c r="C56" i="34" s="1"/>
  <c r="B60" i="34"/>
  <c r="C60" i="34" s="1"/>
  <c r="I60" i="34" s="1"/>
  <c r="B53" i="34"/>
  <c r="C53" i="34" s="1"/>
  <c r="B55" i="34"/>
  <c r="C55" i="34" s="1"/>
  <c r="B50" i="34"/>
  <c r="C50" i="34" s="1"/>
  <c r="B63" i="34"/>
  <c r="C63" i="34" s="1"/>
  <c r="I63" i="34" s="1"/>
  <c r="B57" i="34"/>
  <c r="C57" i="34" s="1"/>
  <c r="B54" i="34"/>
  <c r="C54" i="34" s="1"/>
  <c r="B49" i="34"/>
  <c r="C49" i="34" s="1"/>
  <c r="B62" i="34"/>
  <c r="C62" i="34" s="1"/>
  <c r="I62" i="34" s="1"/>
  <c r="B52" i="34"/>
  <c r="C52" i="34" s="1"/>
  <c r="B58" i="34"/>
  <c r="C58" i="34" s="1"/>
  <c r="B45" i="34"/>
  <c r="C45" i="34" s="1"/>
  <c r="B44" i="34"/>
  <c r="C44" i="34" s="1"/>
  <c r="B46" i="34"/>
  <c r="C46" i="34" s="1"/>
  <c r="B43" i="34"/>
  <c r="C43" i="34" s="1"/>
  <c r="B34" i="34"/>
  <c r="C34" i="34" s="1"/>
  <c r="B42" i="34"/>
  <c r="C42" i="34" s="1"/>
  <c r="B41" i="34"/>
  <c r="C41" i="34" s="1"/>
  <c r="B39" i="34"/>
  <c r="C39" i="34" s="1"/>
  <c r="B40" i="34"/>
  <c r="C40" i="34" s="1"/>
  <c r="B38" i="34"/>
  <c r="C38" i="34" s="1"/>
  <c r="B36" i="34"/>
  <c r="C36" i="34" s="1"/>
  <c r="B47" i="34"/>
  <c r="C47" i="34" s="1"/>
  <c r="B37" i="34"/>
  <c r="C37" i="34" s="1"/>
  <c r="B35" i="34"/>
  <c r="C35" i="34" s="1"/>
  <c r="B48" i="34"/>
  <c r="C48" i="34" s="1"/>
  <c r="O142" i="18"/>
  <c r="I143" i="18"/>
  <c r="L135" i="20"/>
  <c r="L177" i="19"/>
  <c r="L182" i="19"/>
  <c r="O182" i="19"/>
  <c r="M174" i="19"/>
  <c r="L176" i="19"/>
  <c r="O227" i="2"/>
  <c r="L135" i="18"/>
  <c r="M176" i="19"/>
  <c r="L132" i="20"/>
  <c r="L137" i="18"/>
  <c r="L227" i="2"/>
  <c r="J9" i="18"/>
  <c r="M175" i="19"/>
  <c r="J9" i="2"/>
  <c r="L174" i="19"/>
  <c r="L175" i="19"/>
  <c r="L134" i="18"/>
  <c r="J9" i="20"/>
  <c r="L133" i="20"/>
  <c r="L134" i="20"/>
  <c r="L136" i="18"/>
  <c r="I9" i="18"/>
  <c r="I183" i="19"/>
  <c r="I9" i="19"/>
  <c r="J9" i="19"/>
  <c r="M174" i="17"/>
  <c r="M176" i="17"/>
  <c r="L174" i="17"/>
  <c r="L182" i="17"/>
  <c r="M175" i="17"/>
  <c r="J9" i="17"/>
  <c r="I9" i="17"/>
  <c r="L175" i="17"/>
  <c r="L176" i="17"/>
  <c r="L177" i="17"/>
  <c r="I183" i="17"/>
  <c r="I141" i="20"/>
  <c r="I9" i="2"/>
  <c r="AB5" i="37"/>
  <c r="R8" i="37"/>
  <c r="S8" i="37"/>
  <c r="T8" i="37"/>
  <c r="U8" i="37"/>
  <c r="W8" i="37"/>
  <c r="X8" i="37"/>
  <c r="Y8" i="37"/>
  <c r="Z8" i="37"/>
  <c r="AA8" i="37"/>
  <c r="V8" i="37"/>
  <c r="AB6" i="37"/>
  <c r="AB7" i="37"/>
  <c r="AB3" i="37"/>
  <c r="D4" i="37"/>
  <c r="D5" i="37"/>
  <c r="D6" i="37"/>
  <c r="D7" i="37"/>
  <c r="D8" i="37"/>
  <c r="D9" i="37"/>
  <c r="D10" i="37"/>
  <c r="D11" i="37"/>
  <c r="D12" i="37"/>
  <c r="D13" i="37"/>
  <c r="D14" i="37"/>
  <c r="D15" i="37"/>
  <c r="D16" i="37"/>
  <c r="D17" i="37"/>
  <c r="D18" i="37"/>
  <c r="D19" i="37"/>
  <c r="D20" i="37"/>
  <c r="D21" i="37"/>
  <c r="D22" i="37"/>
  <c r="D23" i="37"/>
  <c r="D24" i="37"/>
  <c r="D25" i="37"/>
  <c r="D26" i="37"/>
  <c r="D27" i="37"/>
  <c r="D28" i="37"/>
  <c r="D29" i="37"/>
  <c r="D30" i="37"/>
  <c r="D31" i="37"/>
  <c r="D32" i="37"/>
  <c r="D33" i="37"/>
  <c r="D34" i="37"/>
  <c r="D35" i="37"/>
  <c r="D36" i="37"/>
  <c r="D37" i="37"/>
  <c r="D38" i="37"/>
  <c r="D39" i="37"/>
  <c r="D40" i="37"/>
  <c r="D41" i="37"/>
  <c r="D42" i="37"/>
  <c r="D43" i="37"/>
  <c r="D44" i="37"/>
  <c r="D45" i="37"/>
  <c r="D46" i="37"/>
  <c r="D47" i="37"/>
  <c r="D48" i="37"/>
  <c r="D49" i="37"/>
  <c r="D3" i="37"/>
  <c r="H7" i="37"/>
  <c r="H8" i="37"/>
  <c r="H9" i="37"/>
  <c r="H10" i="37"/>
  <c r="H11" i="37"/>
  <c r="H12" i="37"/>
  <c r="H13" i="37"/>
  <c r="H14" i="37"/>
  <c r="H15" i="37"/>
  <c r="H16" i="37"/>
  <c r="H17" i="37"/>
  <c r="H18" i="37"/>
  <c r="H19" i="37"/>
  <c r="H20" i="37"/>
  <c r="H21" i="37"/>
  <c r="H22" i="37"/>
  <c r="H23" i="37"/>
  <c r="H24" i="37"/>
  <c r="H25" i="37"/>
  <c r="H26" i="37"/>
  <c r="H27" i="37"/>
  <c r="H28" i="37"/>
  <c r="H29" i="37"/>
  <c r="H30" i="37"/>
  <c r="H31" i="37"/>
  <c r="H32" i="37"/>
  <c r="H33" i="37"/>
  <c r="H34" i="37"/>
  <c r="H35" i="37"/>
  <c r="H36" i="37"/>
  <c r="H37" i="37"/>
  <c r="H38" i="37"/>
  <c r="H39" i="37"/>
  <c r="H40" i="37"/>
  <c r="H41" i="37"/>
  <c r="H42" i="37"/>
  <c r="H43" i="37"/>
  <c r="H44" i="37"/>
  <c r="H45" i="37"/>
  <c r="H46" i="37"/>
  <c r="H47" i="37"/>
  <c r="H48" i="37"/>
  <c r="H49" i="37"/>
  <c r="H6" i="37"/>
  <c r="H4" i="37"/>
  <c r="H5" i="37"/>
  <c r="H3" i="37"/>
  <c r="K153" i="2"/>
  <c r="K151" i="2"/>
  <c r="AU153" i="2" l="1"/>
  <c r="AV153" i="2"/>
  <c r="AU151" i="2"/>
  <c r="AV151" i="2"/>
  <c r="I53" i="34"/>
  <c r="I45" i="34"/>
  <c r="I37" i="34"/>
  <c r="I47" i="34"/>
  <c r="I58" i="34"/>
  <c r="I56" i="34"/>
  <c r="I44" i="34"/>
  <c r="I51" i="34"/>
  <c r="I38" i="34"/>
  <c r="I39" i="34"/>
  <c r="I49" i="34"/>
  <c r="I52" i="34"/>
  <c r="I41" i="34"/>
  <c r="I54" i="34"/>
  <c r="I36" i="34"/>
  <c r="I40" i="34"/>
  <c r="I42" i="34"/>
  <c r="I57" i="34"/>
  <c r="I34" i="34"/>
  <c r="I35" i="34"/>
  <c r="I43" i="34"/>
  <c r="I50" i="34"/>
  <c r="I48" i="34"/>
  <c r="I46" i="34"/>
  <c r="I55" i="34"/>
  <c r="G40" i="34"/>
  <c r="H40" i="34"/>
  <c r="G62" i="34"/>
  <c r="H62" i="34"/>
  <c r="J62" i="34"/>
  <c r="H39" i="34"/>
  <c r="G39" i="34"/>
  <c r="G49" i="34"/>
  <c r="H49" i="34"/>
  <c r="G41" i="34"/>
  <c r="H41" i="34"/>
  <c r="G54" i="34"/>
  <c r="H54" i="34"/>
  <c r="H42" i="34"/>
  <c r="G42" i="34"/>
  <c r="G57" i="34"/>
  <c r="H57" i="34"/>
  <c r="H34" i="34"/>
  <c r="G34" i="34"/>
  <c r="J63" i="34"/>
  <c r="H63" i="34"/>
  <c r="G63" i="34"/>
  <c r="G43" i="34"/>
  <c r="H43" i="34"/>
  <c r="G50" i="34"/>
  <c r="H50" i="34"/>
  <c r="H48" i="34"/>
  <c r="G48" i="34"/>
  <c r="H46" i="34"/>
  <c r="G46" i="34"/>
  <c r="H55" i="34"/>
  <c r="G55" i="34"/>
  <c r="G35" i="34"/>
  <c r="H35" i="34"/>
  <c r="H44" i="34"/>
  <c r="G44" i="34"/>
  <c r="G53" i="34"/>
  <c r="H53" i="34"/>
  <c r="H37" i="34"/>
  <c r="G37" i="34"/>
  <c r="G45" i="34"/>
  <c r="H45" i="34"/>
  <c r="G60" i="34"/>
  <c r="H60" i="34"/>
  <c r="J60" i="34"/>
  <c r="H47" i="34"/>
  <c r="G47" i="34"/>
  <c r="G58" i="34"/>
  <c r="H58" i="34"/>
  <c r="H56" i="34"/>
  <c r="G56" i="34"/>
  <c r="G36" i="34"/>
  <c r="H36" i="34"/>
  <c r="G52" i="34"/>
  <c r="H52" i="34"/>
  <c r="G61" i="34"/>
  <c r="H61" i="34"/>
  <c r="J61" i="34"/>
  <c r="H38" i="34"/>
  <c r="G38" i="34"/>
  <c r="G59" i="34"/>
  <c r="H59" i="34"/>
  <c r="H51" i="34"/>
  <c r="G51" i="34"/>
  <c r="O140" i="20"/>
  <c r="L142" i="18"/>
  <c r="L140" i="20"/>
  <c r="AB4" i="37"/>
  <c r="AB8" i="37" s="1"/>
  <c r="AA9" i="37" l="1"/>
  <c r="Z9" i="37"/>
  <c r="S9" i="37"/>
  <c r="R9" i="37"/>
  <c r="T9" i="37"/>
  <c r="W9" i="37"/>
  <c r="X9" i="37"/>
  <c r="Y9" i="37"/>
  <c r="V9" i="37"/>
  <c r="U9" i="37"/>
  <c r="K149" i="2"/>
  <c r="K147" i="2"/>
  <c r="AP168" i="2"/>
  <c r="AJ168" i="2"/>
  <c r="AF168" i="2"/>
  <c r="AB168" i="2"/>
  <c r="X168" i="2"/>
  <c r="AP167" i="2"/>
  <c r="AO167" i="2"/>
  <c r="AI167" i="2"/>
  <c r="AC167" i="2"/>
  <c r="AA167" i="2"/>
  <c r="Z167" i="2"/>
  <c r="W167" i="2"/>
  <c r="T167" i="2"/>
  <c r="Y167" i="2"/>
  <c r="AP166" i="2"/>
  <c r="AJ166" i="2"/>
  <c r="AF166" i="2"/>
  <c r="AB166" i="2"/>
  <c r="X166" i="2"/>
  <c r="AP165" i="2"/>
  <c r="AO165" i="2"/>
  <c r="AH165" i="2"/>
  <c r="AG165" i="2"/>
  <c r="V165" i="2"/>
  <c r="U165" i="2"/>
  <c r="T165" i="2"/>
  <c r="AE165" i="2"/>
  <c r="AP164" i="2"/>
  <c r="AJ164" i="2"/>
  <c r="AF164" i="2"/>
  <c r="AB164" i="2"/>
  <c r="X164" i="2"/>
  <c r="AP163" i="2"/>
  <c r="AO163" i="2"/>
  <c r="AD163" i="2"/>
  <c r="AC163" i="2"/>
  <c r="Z163" i="2"/>
  <c r="T163" i="2"/>
  <c r="AA163" i="2"/>
  <c r="AP162" i="2"/>
  <c r="AJ162" i="2"/>
  <c r="AF162" i="2"/>
  <c r="AB162" i="2"/>
  <c r="X162" i="2"/>
  <c r="AP161" i="2"/>
  <c r="AO161" i="2"/>
  <c r="AI161" i="2"/>
  <c r="AH161" i="2"/>
  <c r="AG161" i="2"/>
  <c r="AC161" i="2"/>
  <c r="AA161" i="2"/>
  <c r="Z161" i="2"/>
  <c r="Y161" i="2"/>
  <c r="W161" i="2"/>
  <c r="V161" i="2"/>
  <c r="U161" i="2"/>
  <c r="T161" i="2"/>
  <c r="AE161" i="2"/>
  <c r="AP160" i="2"/>
  <c r="AJ160" i="2"/>
  <c r="AF160" i="2"/>
  <c r="AB160" i="2"/>
  <c r="X160" i="2"/>
  <c r="AP159" i="2"/>
  <c r="AO159" i="2"/>
  <c r="AD159" i="2"/>
  <c r="T159" i="2"/>
  <c r="AC159" i="2"/>
  <c r="AP158" i="2"/>
  <c r="AJ158" i="2"/>
  <c r="AF158" i="2"/>
  <c r="AB158" i="2"/>
  <c r="X158" i="2"/>
  <c r="AP157" i="2"/>
  <c r="AO157" i="2"/>
  <c r="AI157" i="2"/>
  <c r="AH157" i="2"/>
  <c r="AA157" i="2"/>
  <c r="Z157" i="2"/>
  <c r="Y157" i="2"/>
  <c r="W157" i="2"/>
  <c r="V157" i="2"/>
  <c r="AG157" i="2"/>
  <c r="AP156" i="2"/>
  <c r="AJ156" i="2"/>
  <c r="AF156" i="2"/>
  <c r="AB156" i="2"/>
  <c r="X156" i="2"/>
  <c r="AP155" i="2"/>
  <c r="AO155" i="2"/>
  <c r="AI155" i="2"/>
  <c r="AH155" i="2"/>
  <c r="AG155" i="2"/>
  <c r="AD155" i="2"/>
  <c r="AC155" i="2"/>
  <c r="W155" i="2"/>
  <c r="V155" i="2"/>
  <c r="U155" i="2"/>
  <c r="AE155" i="2"/>
  <c r="AP154" i="2"/>
  <c r="AJ154" i="2"/>
  <c r="AF154" i="2"/>
  <c r="AB154" i="2"/>
  <c r="X154" i="2"/>
  <c r="AP153" i="2"/>
  <c r="AO153" i="2"/>
  <c r="AI153" i="2"/>
  <c r="AD153" i="2"/>
  <c r="AC153" i="2"/>
  <c r="AA153" i="2"/>
  <c r="Z153" i="2"/>
  <c r="Y153" i="2"/>
  <c r="W153" i="2"/>
  <c r="AH153" i="2"/>
  <c r="AP152" i="2"/>
  <c r="AJ152" i="2"/>
  <c r="AF152" i="2"/>
  <c r="AB152" i="2"/>
  <c r="X152" i="2"/>
  <c r="AP151" i="2"/>
  <c r="AO151" i="2"/>
  <c r="AI151" i="2"/>
  <c r="AH151" i="2"/>
  <c r="AD151" i="2"/>
  <c r="Y151" i="2"/>
  <c r="W151" i="2"/>
  <c r="V151" i="2"/>
  <c r="AG151" i="2"/>
  <c r="AP150" i="2"/>
  <c r="AJ150" i="2"/>
  <c r="AF150" i="2"/>
  <c r="AB150" i="2"/>
  <c r="X150" i="2"/>
  <c r="AP149" i="2"/>
  <c r="AO149" i="2"/>
  <c r="AP148" i="2"/>
  <c r="AJ148" i="2"/>
  <c r="AF148" i="2"/>
  <c r="AB148" i="2"/>
  <c r="X148" i="2"/>
  <c r="AP147" i="2"/>
  <c r="AO147" i="2"/>
  <c r="K137" i="2"/>
  <c r="AO137" i="2"/>
  <c r="AP137" i="2"/>
  <c r="X138" i="2"/>
  <c r="AF138" i="2"/>
  <c r="AJ138" i="2"/>
  <c r="AP138" i="2"/>
  <c r="K139" i="2"/>
  <c r="AO139" i="2"/>
  <c r="AP139" i="2"/>
  <c r="X140" i="2"/>
  <c r="AB140" i="2"/>
  <c r="AF140" i="2"/>
  <c r="AJ140" i="2"/>
  <c r="AP140" i="2"/>
  <c r="K141" i="2"/>
  <c r="AO141" i="2"/>
  <c r="AP141" i="2"/>
  <c r="X142" i="2"/>
  <c r="AB142" i="2"/>
  <c r="AF142" i="2"/>
  <c r="AJ142" i="2"/>
  <c r="AP142" i="2"/>
  <c r="K143" i="2"/>
  <c r="AO143" i="2"/>
  <c r="AP143" i="2"/>
  <c r="X144" i="2"/>
  <c r="AB144" i="2"/>
  <c r="AF144" i="2"/>
  <c r="AJ144" i="2"/>
  <c r="AP144" i="2"/>
  <c r="K145" i="2"/>
  <c r="AO145" i="2"/>
  <c r="AP145" i="2"/>
  <c r="X146" i="2"/>
  <c r="AB146" i="2"/>
  <c r="AF146" i="2"/>
  <c r="AJ146" i="2"/>
  <c r="AP146" i="2"/>
  <c r="AC141" i="2" l="1"/>
  <c r="AU141" i="2"/>
  <c r="AV141" i="2"/>
  <c r="AI147" i="2"/>
  <c r="AU147" i="2"/>
  <c r="AV147" i="2"/>
  <c r="V143" i="2"/>
  <c r="AU143" i="2"/>
  <c r="AV143" i="2"/>
  <c r="AA145" i="2"/>
  <c r="AV145" i="2"/>
  <c r="AU145" i="2"/>
  <c r="Y139" i="2"/>
  <c r="AU139" i="2"/>
  <c r="AV139" i="2"/>
  <c r="AA137" i="2"/>
  <c r="AA138" i="2" s="1"/>
  <c r="AB138" i="2" s="1"/>
  <c r="AK138" i="2" s="1"/>
  <c r="AU137" i="2"/>
  <c r="AV137" i="2"/>
  <c r="W149" i="2"/>
  <c r="AU149" i="2"/>
  <c r="AV149" i="2"/>
  <c r="W147" i="2"/>
  <c r="Y149" i="2"/>
  <c r="AA149" i="2"/>
  <c r="AK148" i="2"/>
  <c r="AA147" i="2"/>
  <c r="AC149" i="2"/>
  <c r="AD149" i="2"/>
  <c r="AI149" i="2"/>
  <c r="Z149" i="2"/>
  <c r="V147" i="2"/>
  <c r="U147" i="2"/>
  <c r="Z147" i="2"/>
  <c r="AD147" i="2"/>
  <c r="Y147" i="2"/>
  <c r="AC147" i="2"/>
  <c r="AH147" i="2"/>
  <c r="AH137" i="2"/>
  <c r="AC137" i="2"/>
  <c r="AH145" i="2"/>
  <c r="AG147" i="2"/>
  <c r="AE147" i="2"/>
  <c r="AK158" i="2"/>
  <c r="AK164" i="2"/>
  <c r="AK146" i="2"/>
  <c r="AK166" i="2"/>
  <c r="AK160" i="2"/>
  <c r="Z141" i="2"/>
  <c r="AK152" i="2"/>
  <c r="Y141" i="2"/>
  <c r="AF155" i="2"/>
  <c r="AK154" i="2"/>
  <c r="AJ155" i="2"/>
  <c r="AB157" i="2"/>
  <c r="AB153" i="2"/>
  <c r="AK150" i="2"/>
  <c r="AK156" i="2"/>
  <c r="AK162" i="2"/>
  <c r="AK168" i="2"/>
  <c r="X161" i="2"/>
  <c r="AB161" i="2"/>
  <c r="X155" i="2"/>
  <c r="AJ161" i="2"/>
  <c r="AB167" i="2"/>
  <c r="AJ151" i="2"/>
  <c r="AJ157" i="2"/>
  <c r="Y137" i="2"/>
  <c r="AE149" i="2"/>
  <c r="AE159" i="2"/>
  <c r="AF159" i="2" s="1"/>
  <c r="W137" i="2"/>
  <c r="AI165" i="2"/>
  <c r="AJ165" i="2" s="1"/>
  <c r="W165" i="2"/>
  <c r="X165" i="2" s="1"/>
  <c r="V137" i="2"/>
  <c r="U159" i="2"/>
  <c r="AG159" i="2"/>
  <c r="U137" i="2"/>
  <c r="U149" i="2"/>
  <c r="AG149" i="2"/>
  <c r="Z151" i="2"/>
  <c r="AE153" i="2"/>
  <c r="AF153" i="2" s="1"/>
  <c r="AC157" i="2"/>
  <c r="V159" i="2"/>
  <c r="AH159" i="2"/>
  <c r="Y165" i="2"/>
  <c r="AD167" i="2"/>
  <c r="Z137" i="2"/>
  <c r="AE163" i="2"/>
  <c r="AF163" i="2" s="1"/>
  <c r="AI137" i="2"/>
  <c r="V149" i="2"/>
  <c r="AH149" i="2"/>
  <c r="AA151" i="2"/>
  <c r="Y155" i="2"/>
  <c r="AD157" i="2"/>
  <c r="W159" i="2"/>
  <c r="AI159" i="2"/>
  <c r="U163" i="2"/>
  <c r="AG163" i="2"/>
  <c r="Z165" i="2"/>
  <c r="AE167" i="2"/>
  <c r="U153" i="2"/>
  <c r="AG153" i="2"/>
  <c r="AJ153" i="2" s="1"/>
  <c r="Z155" i="2"/>
  <c r="AE157" i="2"/>
  <c r="V163" i="2"/>
  <c r="AH163" i="2"/>
  <c r="AA165" i="2"/>
  <c r="AH139" i="2"/>
  <c r="AG137" i="2"/>
  <c r="AC151" i="2"/>
  <c r="V153" i="2"/>
  <c r="AA155" i="2"/>
  <c r="Y159" i="2"/>
  <c r="AD161" i="2"/>
  <c r="AF161" i="2" s="1"/>
  <c r="W163" i="2"/>
  <c r="AI163" i="2"/>
  <c r="U167" i="2"/>
  <c r="AG167" i="2"/>
  <c r="U157" i="2"/>
  <c r="X157" i="2" s="1"/>
  <c r="Z159" i="2"/>
  <c r="AC165" i="2"/>
  <c r="V167" i="2"/>
  <c r="AH167" i="2"/>
  <c r="AE137" i="2"/>
  <c r="AD137" i="2"/>
  <c r="AE151" i="2"/>
  <c r="AA159" i="2"/>
  <c r="Y163" i="2"/>
  <c r="AB163" i="2" s="1"/>
  <c r="AD165" i="2"/>
  <c r="U151" i="2"/>
  <c r="X151" i="2" s="1"/>
  <c r="AK140" i="2"/>
  <c r="AI141" i="2"/>
  <c r="AE141" i="2"/>
  <c r="AI139" i="2"/>
  <c r="AE145" i="2"/>
  <c r="AD145" i="2"/>
  <c r="AG139" i="2"/>
  <c r="AC145" i="2"/>
  <c r="AK142" i="2"/>
  <c r="AE139" i="2"/>
  <c r="Z145" i="2"/>
  <c r="AK144" i="2"/>
  <c r="AD139" i="2"/>
  <c r="AC139" i="2"/>
  <c r="AG145" i="2"/>
  <c r="Y145" i="2"/>
  <c r="W145" i="2"/>
  <c r="AG143" i="2"/>
  <c r="Z139" i="2"/>
  <c r="AA139" i="2"/>
  <c r="V145" i="2"/>
  <c r="AE143" i="2"/>
  <c r="W139" i="2"/>
  <c r="U145" i="2"/>
  <c r="U143" i="2"/>
  <c r="V139" i="2"/>
  <c r="AI145" i="2"/>
  <c r="AA141" i="2"/>
  <c r="U139" i="2"/>
  <c r="AC143" i="2"/>
  <c r="W141" i="2"/>
  <c r="AA143" i="2"/>
  <c r="AH141" i="2"/>
  <c r="V141" i="2"/>
  <c r="AD143" i="2"/>
  <c r="Z143" i="2"/>
  <c r="AG141" i="2"/>
  <c r="U141" i="2"/>
  <c r="Y143" i="2"/>
  <c r="AI143" i="2"/>
  <c r="W143" i="2"/>
  <c r="AD141" i="2"/>
  <c r="AH143" i="2"/>
  <c r="X56" i="18"/>
  <c r="AF149" i="2" l="1"/>
  <c r="X147" i="2"/>
  <c r="AB149" i="2"/>
  <c r="AJ147" i="2"/>
  <c r="AF147" i="2"/>
  <c r="AB147" i="2"/>
  <c r="AF137" i="2"/>
  <c r="X153" i="2"/>
  <c r="AK153" i="2" s="1"/>
  <c r="AJ137" i="2"/>
  <c r="AK161" i="2"/>
  <c r="AB159" i="2"/>
  <c r="X137" i="2"/>
  <c r="AB141" i="2"/>
  <c r="AB137" i="2"/>
  <c r="X159" i="2"/>
  <c r="AB139" i="2"/>
  <c r="AJ159" i="2"/>
  <c r="AJ163" i="2"/>
  <c r="AF165" i="2"/>
  <c r="X163" i="2"/>
  <c r="AF167" i="2"/>
  <c r="AB165" i="2"/>
  <c r="X149" i="2"/>
  <c r="AF157" i="2"/>
  <c r="AK157" i="2" s="1"/>
  <c r="AJ167" i="2"/>
  <c r="AF141" i="2"/>
  <c r="AF145" i="2"/>
  <c r="X167" i="2"/>
  <c r="AB155" i="2"/>
  <c r="AK155" i="2" s="1"/>
  <c r="AJ139" i="2"/>
  <c r="AB151" i="2"/>
  <c r="AF151" i="2"/>
  <c r="X143" i="2"/>
  <c r="AJ149" i="2"/>
  <c r="X145" i="2"/>
  <c r="AB145" i="2"/>
  <c r="AJ143" i="2"/>
  <c r="X139" i="2"/>
  <c r="AJ145" i="2"/>
  <c r="AF139" i="2"/>
  <c r="AF143" i="2"/>
  <c r="AB143" i="2"/>
  <c r="X141" i="2"/>
  <c r="AJ141" i="2"/>
  <c r="AK151" i="2" l="1"/>
  <c r="AK147" i="2"/>
  <c r="AK137" i="2"/>
  <c r="AK159" i="2"/>
  <c r="AK163" i="2"/>
  <c r="AK167" i="2"/>
  <c r="AK165" i="2"/>
  <c r="AK149" i="2"/>
  <c r="AK143" i="2"/>
  <c r="AK145" i="2"/>
  <c r="L46" i="34" s="1"/>
  <c r="AK139" i="2"/>
  <c r="AK141" i="2"/>
  <c r="I109" i="24" l="1"/>
  <c r="G109" i="24"/>
  <c r="U75" i="18" l="1"/>
  <c r="AO75" i="18"/>
  <c r="AP75" i="18"/>
  <c r="X76" i="18"/>
  <c r="AB76" i="18"/>
  <c r="AF76" i="18"/>
  <c r="AJ76" i="18"/>
  <c r="AP76" i="18"/>
  <c r="AK76" i="18" l="1"/>
  <c r="Z75" i="18"/>
  <c r="Y75" i="18"/>
  <c r="AA75" i="18"/>
  <c r="AI75" i="18"/>
  <c r="AH75" i="18"/>
  <c r="V75" i="18"/>
  <c r="AE75" i="18"/>
  <c r="AD75" i="18"/>
  <c r="AC75" i="18"/>
  <c r="W75" i="18"/>
  <c r="AG75" i="18"/>
  <c r="X75" i="18" l="1"/>
  <c r="AJ75" i="18"/>
  <c r="AB75" i="18"/>
  <c r="AF75" i="18"/>
  <c r="AK75" i="18" l="1"/>
  <c r="K87" i="17"/>
  <c r="AV87" i="17" l="1"/>
  <c r="AU87" i="17"/>
  <c r="I107" i="24"/>
  <c r="T74" i="20" l="1"/>
  <c r="AC12" i="20" s="1"/>
  <c r="T73" i="20"/>
  <c r="AB12" i="20" s="1"/>
  <c r="T72" i="20"/>
  <c r="T71" i="20"/>
  <c r="T70" i="20"/>
  <c r="T69" i="20"/>
  <c r="AC11" i="20"/>
  <c r="AB11" i="20"/>
  <c r="T62" i="20"/>
  <c r="AC9" i="20" s="1"/>
  <c r="T61" i="20"/>
  <c r="AB9" i="20" s="1"/>
  <c r="AC10" i="20"/>
  <c r="AB10" i="20"/>
  <c r="T64" i="20"/>
  <c r="T63" i="20"/>
  <c r="T60" i="20"/>
  <c r="AC8" i="20" s="1"/>
  <c r="T59" i="20"/>
  <c r="AB8" i="20" s="1"/>
  <c r="J55" i="24" l="1"/>
  <c r="D405" i="38" l="1"/>
  <c r="K55" i="24"/>
  <c r="AW55" i="24" s="1"/>
  <c r="D38" i="8"/>
  <c r="X60" i="20" l="1"/>
  <c r="J31" i="17" l="1"/>
  <c r="B12" i="8"/>
  <c r="O7" i="8" l="1"/>
  <c r="O5" i="8" s="1"/>
  <c r="AP36" i="8" l="1"/>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35" i="8"/>
  <c r="AP34" i="8"/>
  <c r="F238" i="34"/>
  <c r="F239" i="34"/>
  <c r="F240" i="34"/>
  <c r="F241" i="34"/>
  <c r="F242" i="34"/>
  <c r="F243" i="34"/>
  <c r="F244" i="34"/>
  <c r="F245" i="34"/>
  <c r="AO145" i="17" a="1"/>
  <c r="AO146" i="17" a="1"/>
  <c r="AO147" i="17" a="1"/>
  <c r="AO148" i="17" a="1"/>
  <c r="AO149" i="17" a="1"/>
  <c r="AO150" i="17" a="1"/>
  <c r="AO151" i="17" a="1"/>
  <c r="AO152" i="17" a="1"/>
  <c r="AO153" i="17" a="1"/>
  <c r="AO154" i="17" a="1"/>
  <c r="AO155" i="17" a="1"/>
  <c r="AO156" i="17" a="1"/>
  <c r="AO157" i="17" a="1"/>
  <c r="AO158" i="17" a="1"/>
  <c r="AO159" i="17" a="1"/>
  <c r="AO160" i="17" a="1"/>
  <c r="AO161" i="17" a="1"/>
  <c r="AO162" i="17" a="1"/>
  <c r="AO163" i="17" a="1"/>
  <c r="AO164" i="17" a="1"/>
  <c r="AO165" i="17" a="1"/>
  <c r="AO166" i="17" a="1"/>
  <c r="AO167" i="17" a="1"/>
  <c r="AO168" i="17" a="1"/>
  <c r="AO169" i="17" a="1"/>
  <c r="AO170" i="17" a="1"/>
  <c r="AO171" i="17" a="1"/>
  <c r="AO172" i="17" a="1"/>
  <c r="AO173" i="17" a="1"/>
  <c r="AO174" i="17" a="1"/>
  <c r="AO175" i="17" a="1"/>
  <c r="AO176" i="17" a="1"/>
  <c r="AO177" i="17" a="1"/>
  <c r="AO178" i="17" a="1"/>
  <c r="AO179" i="17" a="1"/>
  <c r="AO180" i="17" a="1"/>
  <c r="AO181" i="17" a="1"/>
  <c r="AO182" i="17" a="1"/>
  <c r="AO183" i="17" a="1"/>
  <c r="AO184" i="17" a="1"/>
  <c r="AO185" i="17" a="1"/>
  <c r="AO186" i="17" a="1"/>
  <c r="AO187" i="17" a="1"/>
  <c r="AO188" i="17" a="1"/>
  <c r="AO189" i="17" a="1"/>
  <c r="AO190" i="17" a="1"/>
  <c r="AO191" i="17" a="1"/>
  <c r="AO192" i="17" a="1"/>
  <c r="AO193" i="17" a="1"/>
  <c r="AO194" i="17" a="1"/>
  <c r="K63" i="2" l="1"/>
  <c r="J35" i="17"/>
  <c r="J32" i="17"/>
  <c r="L31" i="2"/>
  <c r="AU63" i="2" l="1"/>
  <c r="AV63" i="2"/>
  <c r="M46" i="8"/>
  <c r="L46" i="8"/>
  <c r="J46" i="8"/>
  <c r="I46" i="8"/>
  <c r="H46" i="8"/>
  <c r="G46" i="8"/>
  <c r="F46" i="8"/>
  <c r="D46" i="8"/>
  <c r="I44" i="8"/>
  <c r="H44" i="8"/>
  <c r="G44" i="8"/>
  <c r="F44" i="8"/>
  <c r="D44" i="8"/>
  <c r="U92" i="8" l="1"/>
  <c r="S92" i="8"/>
  <c r="W92" i="8"/>
  <c r="T92" i="8"/>
  <c r="V92" i="8"/>
  <c r="D40" i="8"/>
  <c r="D42" i="8"/>
  <c r="F40" i="8"/>
  <c r="F42" i="8"/>
  <c r="F38" i="8"/>
  <c r="G40" i="8"/>
  <c r="G42" i="8"/>
  <c r="G38" i="8"/>
  <c r="H42" i="8"/>
  <c r="H38" i="8"/>
  <c r="J36" i="8"/>
  <c r="J42" i="8"/>
  <c r="I38" i="8"/>
  <c r="I40" i="8"/>
  <c r="I42" i="8"/>
  <c r="M38" i="8"/>
  <c r="D16" i="8" s="1"/>
  <c r="C16" i="8" l="1"/>
  <c r="D17" i="8"/>
  <c r="T36" i="8"/>
  <c r="U36" i="8"/>
  <c r="C7" i="8"/>
  <c r="C5" i="8"/>
  <c r="G5" i="8"/>
  <c r="L26" i="32" s="1"/>
  <c r="G7" i="8"/>
  <c r="I103" i="24"/>
  <c r="I101" i="24"/>
  <c r="G103" i="24"/>
  <c r="E236" i="18"/>
  <c r="E367" i="19"/>
  <c r="E322" i="20"/>
  <c r="E265" i="17"/>
  <c r="E340" i="2"/>
  <c r="AO36" i="8"/>
  <c r="AO37" i="8"/>
  <c r="AO38" i="8"/>
  <c r="AO39" i="8"/>
  <c r="AO40" i="8"/>
  <c r="AO41" i="8"/>
  <c r="AO42" i="8"/>
  <c r="AO43" i="8"/>
  <c r="AO44" i="8"/>
  <c r="AO45" i="8"/>
  <c r="AO46" i="8"/>
  <c r="AO47" i="8"/>
  <c r="AO48" i="8"/>
  <c r="AO49" i="8"/>
  <c r="AO50" i="8"/>
  <c r="AO51" i="8"/>
  <c r="AO52" i="8"/>
  <c r="AO53" i="8"/>
  <c r="AO54" i="8"/>
  <c r="AO55" i="8"/>
  <c r="AO56" i="8"/>
  <c r="AO57" i="8"/>
  <c r="AO58" i="8"/>
  <c r="AO59" i="8"/>
  <c r="AO60" i="8"/>
  <c r="AO61" i="8"/>
  <c r="AO62" i="8"/>
  <c r="AO63" i="8"/>
  <c r="AO64" i="8"/>
  <c r="AO65" i="8"/>
  <c r="AO66" i="8"/>
  <c r="AO67" i="8"/>
  <c r="AO68" i="8"/>
  <c r="AO69" i="8"/>
  <c r="AO70" i="8"/>
  <c r="AO71" i="8"/>
  <c r="AO72" i="8"/>
  <c r="AO73" i="8"/>
  <c r="AO74" i="8"/>
  <c r="AO75" i="8"/>
  <c r="AO76" i="8"/>
  <c r="AO77" i="8"/>
  <c r="AO78" i="8"/>
  <c r="AO79" i="8"/>
  <c r="AO80" i="8"/>
  <c r="AO81" i="8"/>
  <c r="AO82" i="8"/>
  <c r="AO83" i="8"/>
  <c r="AO35" i="8"/>
  <c r="AO34" i="8"/>
  <c r="C15" i="8"/>
  <c r="F20" i="32" s="1"/>
  <c r="B15" i="8"/>
  <c r="E20" i="32" s="1"/>
  <c r="C14" i="8"/>
  <c r="B14" i="8"/>
  <c r="C13" i="8"/>
  <c r="B13" i="8"/>
  <c r="C12" i="8"/>
  <c r="C11" i="8"/>
  <c r="B11" i="8"/>
  <c r="T10" i="8"/>
  <c r="X10" i="8" s="1"/>
  <c r="R10" i="8" a="1"/>
  <c r="T20" i="8" s="1"/>
  <c r="X20" i="8" s="1"/>
  <c r="Q6" i="19"/>
  <c r="R6" i="19" s="1"/>
  <c r="O6" i="19" a="1"/>
  <c r="C17" i="8" l="1"/>
  <c r="AR56" i="8" a="1"/>
  <c r="AR57" i="8" a="1"/>
  <c r="AR72" i="8" a="1"/>
  <c r="AR73" i="8" a="1"/>
  <c r="AR78" i="8" a="1"/>
  <c r="AR79" i="8" a="1"/>
  <c r="AR66" i="8" a="1"/>
  <c r="AR67" i="8" a="1"/>
  <c r="AR54" i="8" a="1"/>
  <c r="AR55" i="8" a="1"/>
  <c r="AR80" i="8" a="1"/>
  <c r="AR81" i="8" a="1"/>
  <c r="AR69" i="8" a="1"/>
  <c r="AR68" i="8" a="1"/>
  <c r="AR76" i="8" a="1"/>
  <c r="AR77" i="8" a="1"/>
  <c r="AR64" i="8" a="1"/>
  <c r="AR65" i="8" a="1"/>
  <c r="AR52" i="8" a="1"/>
  <c r="AR53" i="8" a="1"/>
  <c r="AR62" i="8" a="1"/>
  <c r="AR63" i="8" a="1"/>
  <c r="AR60" i="8" a="1"/>
  <c r="AR61" i="8" a="1"/>
  <c r="AR83" i="8" a="1"/>
  <c r="AR82" i="8" a="1"/>
  <c r="AR71" i="8" a="1"/>
  <c r="AR70" i="8" a="1"/>
  <c r="AR59" i="8" a="1"/>
  <c r="AR58" i="8" a="1"/>
  <c r="AR74" i="8" a="1"/>
  <c r="AR75" i="8" a="1"/>
  <c r="AR50" i="8" a="1"/>
  <c r="AR51" i="8" a="1"/>
  <c r="T15" i="8"/>
  <c r="X15" i="8" s="1"/>
  <c r="S15" i="8" s="1"/>
  <c r="T25" i="8"/>
  <c r="X25" i="8" s="1"/>
  <c r="AI25" i="8" s="1"/>
  <c r="T11" i="8"/>
  <c r="X11" i="8" s="1"/>
  <c r="U11" i="8" s="1"/>
  <c r="T28" i="8"/>
  <c r="X28" i="8" s="1"/>
  <c r="S28" i="8" s="1"/>
  <c r="T30" i="8"/>
  <c r="X30" i="8" s="1"/>
  <c r="S30" i="8" s="1"/>
  <c r="T17" i="8"/>
  <c r="X17" i="8" s="1"/>
  <c r="AI17" i="8" s="1"/>
  <c r="S10" i="8"/>
  <c r="U10" i="8"/>
  <c r="AH10" i="8"/>
  <c r="AH20" i="8"/>
  <c r="S20" i="8"/>
  <c r="AI20" i="8"/>
  <c r="T21" i="8"/>
  <c r="X21" i="8" s="1"/>
  <c r="AI21" i="8" s="1"/>
  <c r="T14" i="8"/>
  <c r="T23" i="8"/>
  <c r="X23" i="8" s="1"/>
  <c r="U6" i="19"/>
  <c r="AI10" i="8"/>
  <c r="T26" i="8"/>
  <c r="X26" i="8" s="1"/>
  <c r="T19" i="8"/>
  <c r="X19" i="8" s="1"/>
  <c r="T24" i="8"/>
  <c r="X24" i="8" s="1"/>
  <c r="T22" i="8"/>
  <c r="X22" i="8" s="1"/>
  <c r="T29" i="8"/>
  <c r="X29" i="8" s="1"/>
  <c r="T12" i="8"/>
  <c r="T18" i="8"/>
  <c r="X18" i="8" s="1"/>
  <c r="T27" i="8"/>
  <c r="X27" i="8" s="1"/>
  <c r="T13" i="8"/>
  <c r="Q21" i="19"/>
  <c r="Q19" i="19"/>
  <c r="Q9" i="19"/>
  <c r="Q22" i="19"/>
  <c r="Q20" i="19"/>
  <c r="Q24" i="19"/>
  <c r="U24" i="19" s="1"/>
  <c r="Q7" i="19"/>
  <c r="Q16" i="19"/>
  <c r="Q14" i="19"/>
  <c r="Q11" i="19"/>
  <c r="Q18" i="19"/>
  <c r="Q12" i="19"/>
  <c r="Q8" i="19"/>
  <c r="Q25" i="19"/>
  <c r="Q10" i="19"/>
  <c r="Q23" i="19"/>
  <c r="Q17" i="19"/>
  <c r="Q15" i="19"/>
  <c r="U15" i="19" s="1"/>
  <c r="Q13" i="19"/>
  <c r="T55" i="17"/>
  <c r="AF36" i="8"/>
  <c r="L87" i="8"/>
  <c r="W41" i="8"/>
  <c r="AA41" i="8"/>
  <c r="AE41" i="8"/>
  <c r="W43" i="8"/>
  <c r="AA43" i="8"/>
  <c r="AE43" i="8"/>
  <c r="W45" i="8"/>
  <c r="AA45" i="8"/>
  <c r="AE45" i="8"/>
  <c r="W47" i="8"/>
  <c r="AA47" i="8"/>
  <c r="AE47" i="8"/>
  <c r="W49" i="8"/>
  <c r="AA49" i="8"/>
  <c r="AE49" i="8"/>
  <c r="W51" i="8"/>
  <c r="AA51" i="8"/>
  <c r="AE51" i="8"/>
  <c r="W53" i="8"/>
  <c r="AA53" i="8"/>
  <c r="AE53" i="8"/>
  <c r="W55" i="8"/>
  <c r="AA55" i="8"/>
  <c r="AE55" i="8"/>
  <c r="W57" i="8"/>
  <c r="AA57" i="8"/>
  <c r="AE57" i="8"/>
  <c r="W59" i="8"/>
  <c r="AA59" i="8"/>
  <c r="AE59" i="8"/>
  <c r="W61" i="8"/>
  <c r="AA61" i="8"/>
  <c r="AE61" i="8"/>
  <c r="W63" i="8"/>
  <c r="AA63" i="8"/>
  <c r="AE63" i="8"/>
  <c r="W65" i="8"/>
  <c r="AA65" i="8"/>
  <c r="AE65" i="8"/>
  <c r="W67" i="8"/>
  <c r="AA67" i="8"/>
  <c r="AE67" i="8"/>
  <c r="W69" i="8"/>
  <c r="AA69" i="8"/>
  <c r="AE69" i="8"/>
  <c r="W71" i="8"/>
  <c r="AA71" i="8"/>
  <c r="AE71" i="8"/>
  <c r="W73" i="8"/>
  <c r="AA73" i="8"/>
  <c r="AE73" i="8"/>
  <c r="W75" i="8"/>
  <c r="AA75" i="8"/>
  <c r="AE75" i="8"/>
  <c r="W77" i="8"/>
  <c r="AA77" i="8"/>
  <c r="AE77" i="8"/>
  <c r="W79" i="8"/>
  <c r="AA79" i="8"/>
  <c r="AE79" i="8"/>
  <c r="W81" i="8"/>
  <c r="AA81" i="8"/>
  <c r="AE81" i="8"/>
  <c r="W83" i="8"/>
  <c r="AA83" i="8"/>
  <c r="AE83" i="8"/>
  <c r="W37" i="8"/>
  <c r="AA37" i="8"/>
  <c r="AE37" i="8"/>
  <c r="V42" i="8"/>
  <c r="J50" i="8"/>
  <c r="AC50" i="8" s="1"/>
  <c r="J52" i="8"/>
  <c r="X52" i="8" s="1"/>
  <c r="J54" i="8"/>
  <c r="AF54" i="8" s="1"/>
  <c r="J56" i="8"/>
  <c r="Z56" i="8" s="1"/>
  <c r="J58" i="8"/>
  <c r="V58" i="8" s="1"/>
  <c r="J60" i="8"/>
  <c r="AD60" i="8" s="1"/>
  <c r="J62" i="8"/>
  <c r="Z62" i="8" s="1"/>
  <c r="J64" i="8"/>
  <c r="T64" i="8" s="1"/>
  <c r="J66" i="8"/>
  <c r="AC66" i="8" s="1"/>
  <c r="J68" i="8"/>
  <c r="X68" i="8" s="1"/>
  <c r="J70" i="8"/>
  <c r="J72" i="8"/>
  <c r="J74" i="8"/>
  <c r="X74" i="8" s="1"/>
  <c r="J76" i="8"/>
  <c r="AD76" i="8" s="1"/>
  <c r="J78" i="8"/>
  <c r="Z78" i="8" s="1"/>
  <c r="J80" i="8"/>
  <c r="T80" i="8" s="1"/>
  <c r="J82" i="8"/>
  <c r="AC82" i="8" s="1"/>
  <c r="AB60" i="20"/>
  <c r="AF60" i="20"/>
  <c r="AB62" i="20"/>
  <c r="AF62" i="20"/>
  <c r="X64" i="20"/>
  <c r="AB64" i="20"/>
  <c r="AF64" i="20"/>
  <c r="X66" i="20"/>
  <c r="AB66" i="20"/>
  <c r="AF66" i="20"/>
  <c r="X68" i="20"/>
  <c r="AB68" i="20"/>
  <c r="AF68" i="20"/>
  <c r="X70" i="20"/>
  <c r="AB70" i="20"/>
  <c r="AF70" i="20"/>
  <c r="X72" i="20"/>
  <c r="AB72" i="20"/>
  <c r="AF72" i="20"/>
  <c r="X74" i="20"/>
  <c r="AB74" i="20"/>
  <c r="AF74" i="20"/>
  <c r="X76" i="20"/>
  <c r="AB76" i="20"/>
  <c r="AF76" i="20"/>
  <c r="X78" i="20"/>
  <c r="AB78" i="20"/>
  <c r="AF78" i="20"/>
  <c r="X80" i="20"/>
  <c r="AB80" i="20"/>
  <c r="AF80" i="20"/>
  <c r="X82" i="20"/>
  <c r="AB82" i="20"/>
  <c r="AF82" i="20"/>
  <c r="X84" i="20"/>
  <c r="AB84" i="20"/>
  <c r="AF84" i="20"/>
  <c r="X86" i="20"/>
  <c r="AB86" i="20"/>
  <c r="AF86" i="20"/>
  <c r="X88" i="20"/>
  <c r="AB88" i="20"/>
  <c r="AF88" i="20"/>
  <c r="X90" i="20"/>
  <c r="AB90" i="20"/>
  <c r="AF90" i="20"/>
  <c r="X92" i="20"/>
  <c r="AB92" i="20"/>
  <c r="AF92" i="20"/>
  <c r="X94" i="20"/>
  <c r="AB94" i="20"/>
  <c r="AF94" i="20"/>
  <c r="X96" i="20"/>
  <c r="AB96" i="20"/>
  <c r="AF96" i="20"/>
  <c r="X98" i="20"/>
  <c r="AB98" i="20"/>
  <c r="AF98" i="20"/>
  <c r="X100" i="20"/>
  <c r="AB100" i="20"/>
  <c r="AF100" i="20"/>
  <c r="X102" i="20"/>
  <c r="AB102" i="20"/>
  <c r="AF102" i="20"/>
  <c r="K59" i="20"/>
  <c r="N59" i="20" s="1"/>
  <c r="K61" i="20"/>
  <c r="N61" i="20" s="1"/>
  <c r="AG63" i="20"/>
  <c r="K65" i="20"/>
  <c r="K67" i="20"/>
  <c r="AA69" i="20"/>
  <c r="W71" i="20"/>
  <c r="K73" i="20"/>
  <c r="AA75" i="20"/>
  <c r="AG77" i="20"/>
  <c r="AD79" i="20"/>
  <c r="Y81" i="20"/>
  <c r="AG83" i="20"/>
  <c r="K85" i="20"/>
  <c r="K87" i="20"/>
  <c r="K89" i="20"/>
  <c r="K91" i="20"/>
  <c r="K93" i="20"/>
  <c r="K95" i="20"/>
  <c r="K97" i="20"/>
  <c r="K99" i="20"/>
  <c r="K101" i="20"/>
  <c r="K57" i="20"/>
  <c r="K55" i="20"/>
  <c r="AF144" i="17"/>
  <c r="AB144" i="17"/>
  <c r="X144" i="17"/>
  <c r="AF106" i="17"/>
  <c r="AB106" i="17"/>
  <c r="X106" i="17"/>
  <c r="AF92" i="17"/>
  <c r="AB92" i="17"/>
  <c r="X92" i="17"/>
  <c r="AF90" i="17"/>
  <c r="AB90" i="17"/>
  <c r="X90" i="17"/>
  <c r="AF88" i="17"/>
  <c r="AB88" i="17"/>
  <c r="X88" i="17"/>
  <c r="AF86" i="17"/>
  <c r="AB86" i="17"/>
  <c r="X86" i="17"/>
  <c r="AF84" i="17"/>
  <c r="AB84" i="17"/>
  <c r="X84" i="17"/>
  <c r="AF80" i="17"/>
  <c r="AB80" i="17"/>
  <c r="X80" i="17"/>
  <c r="AF78" i="17"/>
  <c r="AB78" i="17"/>
  <c r="AF76" i="17"/>
  <c r="AB76" i="17"/>
  <c r="X76" i="17"/>
  <c r="AF74" i="17"/>
  <c r="AB74" i="17"/>
  <c r="X74" i="17"/>
  <c r="AF72" i="17"/>
  <c r="AB72" i="17"/>
  <c r="X72" i="17"/>
  <c r="AF70" i="17"/>
  <c r="AB70" i="17"/>
  <c r="X70" i="17"/>
  <c r="AF68" i="17"/>
  <c r="AB68" i="17"/>
  <c r="X68" i="17"/>
  <c r="AF58" i="17"/>
  <c r="AB58" i="17"/>
  <c r="X58" i="17"/>
  <c r="AF56" i="17"/>
  <c r="AB56" i="17"/>
  <c r="X56" i="17"/>
  <c r="AJ56" i="17"/>
  <c r="AJ58" i="17"/>
  <c r="K59" i="17"/>
  <c r="K61" i="17"/>
  <c r="K63" i="17"/>
  <c r="N63" i="17" s="1"/>
  <c r="K65" i="17"/>
  <c r="K67" i="17"/>
  <c r="K69" i="17"/>
  <c r="K71" i="17"/>
  <c r="AD73" i="17"/>
  <c r="K75" i="17"/>
  <c r="K77" i="17"/>
  <c r="K79" i="17"/>
  <c r="K83" i="17"/>
  <c r="K85" i="17"/>
  <c r="AI87" i="17"/>
  <c r="K89" i="17"/>
  <c r="K91" i="17"/>
  <c r="K143" i="17"/>
  <c r="K57" i="17"/>
  <c r="S15" i="19" l="1"/>
  <c r="S24" i="19"/>
  <c r="S6" i="19"/>
  <c r="P6" i="19"/>
  <c r="G17" i="17"/>
  <c r="D13" i="17"/>
  <c r="E5" i="17"/>
  <c r="D12" i="20"/>
  <c r="D15" i="20" s="1"/>
  <c r="G17" i="20"/>
  <c r="Y65" i="20"/>
  <c r="AU65" i="20"/>
  <c r="AV65" i="20"/>
  <c r="V75" i="17"/>
  <c r="AV75" i="17"/>
  <c r="AU75" i="17"/>
  <c r="AA59" i="20"/>
  <c r="AU59" i="20"/>
  <c r="AV59" i="20"/>
  <c r="W77" i="17"/>
  <c r="AU77" i="17"/>
  <c r="AV77" i="17"/>
  <c r="V57" i="17"/>
  <c r="AU57" i="17"/>
  <c r="AV57" i="17"/>
  <c r="AU71" i="17"/>
  <c r="AV71" i="17"/>
  <c r="W105" i="17"/>
  <c r="AU105" i="17"/>
  <c r="AV105" i="17"/>
  <c r="AI67" i="17"/>
  <c r="AU67" i="17"/>
  <c r="AV67" i="17"/>
  <c r="U99" i="20"/>
  <c r="AV99" i="20"/>
  <c r="AU99" i="20"/>
  <c r="AD143" i="17"/>
  <c r="AU143" i="17"/>
  <c r="AV143" i="17"/>
  <c r="V69" i="17"/>
  <c r="AU69" i="17"/>
  <c r="AV69" i="17"/>
  <c r="AC97" i="20"/>
  <c r="AU97" i="20"/>
  <c r="AV97" i="20"/>
  <c r="AE89" i="20"/>
  <c r="AU89" i="20"/>
  <c r="AV89" i="20"/>
  <c r="AV61" i="20"/>
  <c r="AU61" i="20"/>
  <c r="AG65" i="17"/>
  <c r="AU65" i="17"/>
  <c r="AV65" i="17"/>
  <c r="AI63" i="17"/>
  <c r="AV63" i="17"/>
  <c r="AU63" i="17"/>
  <c r="AD95" i="20"/>
  <c r="AU95" i="20"/>
  <c r="AV95" i="20"/>
  <c r="AG57" i="20"/>
  <c r="AU57" i="20"/>
  <c r="AV57" i="20"/>
  <c r="V91" i="17"/>
  <c r="AV91" i="17"/>
  <c r="AU91" i="17"/>
  <c r="AA85" i="17"/>
  <c r="AU85" i="17"/>
  <c r="AV85" i="17"/>
  <c r="U93" i="20"/>
  <c r="AU93" i="20"/>
  <c r="AV93" i="20"/>
  <c r="AE79" i="17"/>
  <c r="AU79" i="17"/>
  <c r="AV79" i="17"/>
  <c r="U87" i="20"/>
  <c r="AV87" i="20"/>
  <c r="AU87" i="20"/>
  <c r="AU85" i="20"/>
  <c r="AV85" i="20"/>
  <c r="U101" i="20"/>
  <c r="AU101" i="20"/>
  <c r="AV101" i="20"/>
  <c r="AE89" i="17"/>
  <c r="AV89" i="17"/>
  <c r="AU89" i="17"/>
  <c r="AV73" i="20"/>
  <c r="AU73" i="20"/>
  <c r="AG61" i="17"/>
  <c r="AU61" i="17"/>
  <c r="AV61" i="17"/>
  <c r="AU83" i="17"/>
  <c r="AV83" i="17"/>
  <c r="AH59" i="17"/>
  <c r="AU59" i="17"/>
  <c r="AV59" i="17"/>
  <c r="V91" i="20"/>
  <c r="AU91" i="20"/>
  <c r="AV91" i="20"/>
  <c r="U67" i="20"/>
  <c r="AU67" i="20"/>
  <c r="AV67" i="20"/>
  <c r="AH61" i="20"/>
  <c r="Y61" i="20"/>
  <c r="AE73" i="20"/>
  <c r="Y73" i="20"/>
  <c r="U25" i="19"/>
  <c r="P24" i="19"/>
  <c r="AI71" i="17"/>
  <c r="V71" i="17"/>
  <c r="W71" i="17"/>
  <c r="Z34" i="8"/>
  <c r="T34" i="8"/>
  <c r="U34" i="8"/>
  <c r="AH15" i="8"/>
  <c r="AI11" i="8"/>
  <c r="Z83" i="17"/>
  <c r="W83" i="17"/>
  <c r="AH17" i="8"/>
  <c r="S25" i="8"/>
  <c r="AI15" i="8"/>
  <c r="S17" i="8"/>
  <c r="AH11" i="8"/>
  <c r="AH30" i="8"/>
  <c r="AI30" i="8"/>
  <c r="AH28" i="8"/>
  <c r="S11" i="8"/>
  <c r="T31" i="8" s="1"/>
  <c r="AC13" i="8" s="1"/>
  <c r="AI28" i="8"/>
  <c r="AH25" i="8"/>
  <c r="AH21" i="8"/>
  <c r="S24" i="8"/>
  <c r="S19" i="8"/>
  <c r="S23" i="8"/>
  <c r="X14" i="8"/>
  <c r="V99" i="20"/>
  <c r="S26" i="8"/>
  <c r="X13" i="8"/>
  <c r="AI13" i="8" s="1"/>
  <c r="Z75" i="20"/>
  <c r="S27" i="8"/>
  <c r="AH23" i="8"/>
  <c r="S21" i="8"/>
  <c r="AI23" i="8"/>
  <c r="Y75" i="20"/>
  <c r="X12" i="8"/>
  <c r="AI12" i="8" s="1"/>
  <c r="S18" i="8"/>
  <c r="S29" i="8"/>
  <c r="AH87" i="20"/>
  <c r="S22" i="8"/>
  <c r="AH29" i="8"/>
  <c r="AI29" i="8"/>
  <c r="AH27" i="8"/>
  <c r="AI27" i="8"/>
  <c r="AH22" i="8"/>
  <c r="AI22" i="8"/>
  <c r="AI24" i="8"/>
  <c r="AH24" i="8"/>
  <c r="AI19" i="8"/>
  <c r="AH19" i="8"/>
  <c r="AI18" i="8"/>
  <c r="AH18" i="8"/>
  <c r="AI26" i="8"/>
  <c r="AH26" i="8"/>
  <c r="AC36" i="8"/>
  <c r="AH36" i="8"/>
  <c r="AG36" i="8"/>
  <c r="R15" i="19"/>
  <c r="R7" i="19"/>
  <c r="U7" i="19"/>
  <c r="R17" i="19"/>
  <c r="U17" i="19"/>
  <c r="R24" i="19"/>
  <c r="R20" i="19"/>
  <c r="U20" i="19"/>
  <c r="R10" i="19"/>
  <c r="U10" i="19"/>
  <c r="R22" i="19"/>
  <c r="U22" i="19"/>
  <c r="R16" i="19"/>
  <c r="U16" i="19"/>
  <c r="R23" i="19"/>
  <c r="U23" i="19"/>
  <c r="R25" i="19"/>
  <c r="R9" i="19"/>
  <c r="U9" i="19"/>
  <c r="U11" i="19"/>
  <c r="R11" i="19"/>
  <c r="R13" i="19"/>
  <c r="U13" i="19"/>
  <c r="R8" i="19"/>
  <c r="U8" i="19"/>
  <c r="R19" i="19"/>
  <c r="U19" i="19"/>
  <c r="U18" i="19"/>
  <c r="R18" i="19"/>
  <c r="R14" i="19"/>
  <c r="U14" i="19"/>
  <c r="R12" i="19"/>
  <c r="U12" i="19"/>
  <c r="R21" i="19"/>
  <c r="U21" i="19"/>
  <c r="W75" i="20"/>
  <c r="AE99" i="20"/>
  <c r="U79" i="20"/>
  <c r="AD99" i="20"/>
  <c r="AA99" i="20"/>
  <c r="W99" i="20"/>
  <c r="Y59" i="20"/>
  <c r="AC42" i="8"/>
  <c r="AG71" i="20"/>
  <c r="AA81" i="20"/>
  <c r="AG75" i="20"/>
  <c r="AD71" i="20"/>
  <c r="Z59" i="20"/>
  <c r="U95" i="20"/>
  <c r="Z81" i="20"/>
  <c r="AE75" i="20"/>
  <c r="AE69" i="17"/>
  <c r="AA105" i="17"/>
  <c r="U65" i="17"/>
  <c r="U63" i="17"/>
  <c r="AC73" i="17"/>
  <c r="AA63" i="17"/>
  <c r="AI73" i="17"/>
  <c r="AE105" i="17"/>
  <c r="AA77" i="17"/>
  <c r="AH105" i="17"/>
  <c r="W67" i="17"/>
  <c r="AC91" i="17"/>
  <c r="U75" i="17"/>
  <c r="AD91" i="17"/>
  <c r="Y57" i="17"/>
  <c r="AA75" i="17"/>
  <c r="AG79" i="17"/>
  <c r="AI91" i="17"/>
  <c r="AD75" i="17"/>
  <c r="AE75" i="17"/>
  <c r="AH75" i="17"/>
  <c r="V87" i="17"/>
  <c r="Z59" i="17"/>
  <c r="Y69" i="17"/>
  <c r="AI75" i="17"/>
  <c r="Y105" i="17"/>
  <c r="U61" i="17"/>
  <c r="AD69" i="17"/>
  <c r="V73" i="17"/>
  <c r="Z105" i="17"/>
  <c r="Z57" i="17"/>
  <c r="V61" i="17"/>
  <c r="AD57" i="17"/>
  <c r="Y61" i="17"/>
  <c r="Z65" i="17"/>
  <c r="AH69" i="17"/>
  <c r="AI79" i="17"/>
  <c r="AA87" i="17"/>
  <c r="AI101" i="20"/>
  <c r="AA95" i="20"/>
  <c r="AD81" i="20"/>
  <c r="AA79" i="20"/>
  <c r="AI71" i="20"/>
  <c r="Y69" i="20"/>
  <c r="V67" i="20"/>
  <c r="Y74" i="8"/>
  <c r="AD54" i="8"/>
  <c r="AG57" i="17"/>
  <c r="Z61" i="17"/>
  <c r="AI69" i="17"/>
  <c r="V85" i="17"/>
  <c r="AD87" i="17"/>
  <c r="W95" i="20"/>
  <c r="AC81" i="20"/>
  <c r="W79" i="20"/>
  <c r="AH71" i="20"/>
  <c r="U69" i="20"/>
  <c r="U50" i="8"/>
  <c r="AH91" i="20"/>
  <c r="Y78" i="8"/>
  <c r="AB66" i="8"/>
  <c r="AC85" i="17"/>
  <c r="AD85" i="17"/>
  <c r="AI55" i="20"/>
  <c r="AG91" i="20"/>
  <c r="AD89" i="20"/>
  <c r="AD61" i="17"/>
  <c r="Z67" i="17"/>
  <c r="AE61" i="17"/>
  <c r="AG67" i="17"/>
  <c r="W75" i="17"/>
  <c r="AD77" i="17"/>
  <c r="AE85" i="17"/>
  <c r="U57" i="20"/>
  <c r="AE97" i="20"/>
  <c r="AE91" i="20"/>
  <c r="AC89" i="20"/>
  <c r="W81" i="20"/>
  <c r="V71" i="20"/>
  <c r="AI65" i="20"/>
  <c r="U58" i="8"/>
  <c r="AH52" i="8"/>
  <c r="AC61" i="17"/>
  <c r="U59" i="17"/>
  <c r="AH61" i="17"/>
  <c r="AH67" i="17"/>
  <c r="U69" i="17"/>
  <c r="U71" i="17"/>
  <c r="Y75" i="17"/>
  <c r="AI85" i="17"/>
  <c r="W89" i="17"/>
  <c r="Y57" i="20"/>
  <c r="AI99" i="20"/>
  <c r="W97" i="20"/>
  <c r="AD91" i="20"/>
  <c r="AA89" i="20"/>
  <c r="AE83" i="20"/>
  <c r="V81" i="20"/>
  <c r="U71" i="20"/>
  <c r="AI67" i="20"/>
  <c r="AE65" i="20"/>
  <c r="AG52" i="8"/>
  <c r="V59" i="17"/>
  <c r="AI61" i="17"/>
  <c r="W69" i="17"/>
  <c r="Z75" i="17"/>
  <c r="Z89" i="17"/>
  <c r="AA57" i="20"/>
  <c r="AG99" i="20"/>
  <c r="V97" i="20"/>
  <c r="AH93" i="20"/>
  <c r="AC91" i="20"/>
  <c r="V89" i="20"/>
  <c r="U81" i="20"/>
  <c r="AH77" i="20"/>
  <c r="AG67" i="20"/>
  <c r="AC65" i="20"/>
  <c r="Y76" i="8"/>
  <c r="AF52" i="8"/>
  <c r="AH57" i="20"/>
  <c r="AG93" i="20"/>
  <c r="AA91" i="20"/>
  <c r="AD73" i="20"/>
  <c r="AE67" i="20"/>
  <c r="W65" i="20"/>
  <c r="X76" i="8"/>
  <c r="AD52" i="8"/>
  <c r="AC59" i="17"/>
  <c r="V63" i="17"/>
  <c r="Z69" i="17"/>
  <c r="AA71" i="17"/>
  <c r="W79" i="17"/>
  <c r="AH89" i="17"/>
  <c r="AI57" i="20"/>
  <c r="AE93" i="20"/>
  <c r="Z91" i="20"/>
  <c r="AC73" i="20"/>
  <c r="AD67" i="20"/>
  <c r="V65" i="20"/>
  <c r="V56" i="8"/>
  <c r="U52" i="8"/>
  <c r="AG89" i="17"/>
  <c r="W57" i="17"/>
  <c r="AI59" i="17"/>
  <c r="Y63" i="17"/>
  <c r="AA69" i="17"/>
  <c r="AD71" i="17"/>
  <c r="Z79" i="17"/>
  <c r="U87" i="17"/>
  <c r="AI89" i="17"/>
  <c r="AA93" i="20"/>
  <c r="Y91" i="20"/>
  <c r="AI81" i="20"/>
  <c r="AI69" i="20"/>
  <c r="AA67" i="20"/>
  <c r="U65" i="20"/>
  <c r="Y62" i="8"/>
  <c r="T52" i="8"/>
  <c r="Y99" i="20"/>
  <c r="AH95" i="20"/>
  <c r="Y93" i="20"/>
  <c r="W91" i="20"/>
  <c r="AG81" i="20"/>
  <c r="AH79" i="20"/>
  <c r="AG69" i="20"/>
  <c r="Y67" i="20"/>
  <c r="AD80" i="8"/>
  <c r="AD68" i="8"/>
  <c r="AH79" i="17"/>
  <c r="W87" i="17"/>
  <c r="AC95" i="20"/>
  <c r="U91" i="20"/>
  <c r="AE81" i="20"/>
  <c r="AC79" i="20"/>
  <c r="Z69" i="20"/>
  <c r="W67" i="20"/>
  <c r="AG74" i="8"/>
  <c r="AD63" i="20"/>
  <c r="AE63" i="20"/>
  <c r="U63" i="20"/>
  <c r="AH63" i="20"/>
  <c r="V63" i="20"/>
  <c r="AI63" i="20"/>
  <c r="W63" i="20"/>
  <c r="Y63" i="20"/>
  <c r="Z63" i="20"/>
  <c r="AA63" i="20"/>
  <c r="V87" i="20"/>
  <c r="AA85" i="20"/>
  <c r="AC85" i="20"/>
  <c r="AD85" i="20"/>
  <c r="AE85" i="20"/>
  <c r="AG85" i="20"/>
  <c r="AH85" i="20"/>
  <c r="U85" i="20"/>
  <c r="AI85" i="20"/>
  <c r="V85" i="20"/>
  <c r="W85" i="20"/>
  <c r="Z72" i="8"/>
  <c r="U72" i="8"/>
  <c r="T72" i="8"/>
  <c r="V72" i="8"/>
  <c r="X72" i="8"/>
  <c r="Y72" i="8"/>
  <c r="AH72" i="8"/>
  <c r="AH63" i="17"/>
  <c r="U77" i="17"/>
  <c r="AG61" i="20"/>
  <c r="AF70" i="8"/>
  <c r="Y70" i="8"/>
  <c r="Z70" i="8"/>
  <c r="AB70" i="8"/>
  <c r="AC70" i="8"/>
  <c r="AD70" i="8"/>
  <c r="Z46" i="8"/>
  <c r="T46" i="8"/>
  <c r="U46" i="8"/>
  <c r="V46" i="8"/>
  <c r="X46" i="8"/>
  <c r="Y46" i="8"/>
  <c r="AF46" i="8"/>
  <c r="AG46" i="8"/>
  <c r="AH46" i="8"/>
  <c r="T48" i="8"/>
  <c r="Z48" i="8"/>
  <c r="AB48" i="8"/>
  <c r="AC48" i="8"/>
  <c r="AD48" i="8"/>
  <c r="AF48" i="8"/>
  <c r="AG48" i="8"/>
  <c r="AE67" i="17"/>
  <c r="AD67" i="17"/>
  <c r="AC67" i="17"/>
  <c r="AA67" i="17"/>
  <c r="Y67" i="17"/>
  <c r="V67" i="17"/>
  <c r="U67" i="17"/>
  <c r="AE65" i="17"/>
  <c r="AD65" i="17"/>
  <c r="AC65" i="17"/>
  <c r="AA65" i="17"/>
  <c r="Y65" i="17"/>
  <c r="W65" i="17"/>
  <c r="V65" i="17"/>
  <c r="V77" i="17"/>
  <c r="V83" i="17"/>
  <c r="U83" i="17"/>
  <c r="AI83" i="17"/>
  <c r="AG83" i="17"/>
  <c r="AD83" i="17"/>
  <c r="AC83" i="17"/>
  <c r="AG63" i="17"/>
  <c r="AE63" i="17"/>
  <c r="AD63" i="17"/>
  <c r="AC63" i="17"/>
  <c r="Z63" i="17"/>
  <c r="W63" i="17"/>
  <c r="Y83" i="17"/>
  <c r="AA101" i="20"/>
  <c r="AC101" i="20"/>
  <c r="AG101" i="20"/>
  <c r="AD101" i="20"/>
  <c r="AE101" i="20"/>
  <c r="AH101" i="20"/>
  <c r="V101" i="20"/>
  <c r="W101" i="20"/>
  <c r="U77" i="20"/>
  <c r="V77" i="20"/>
  <c r="W77" i="20"/>
  <c r="Y77" i="20"/>
  <c r="Z77" i="20"/>
  <c r="AA77" i="20"/>
  <c r="AC77" i="20"/>
  <c r="AE77" i="20"/>
  <c r="AD77" i="20"/>
  <c r="Z85" i="20"/>
  <c r="U61" i="20"/>
  <c r="AI61" i="20"/>
  <c r="V61" i="20"/>
  <c r="W61" i="20"/>
  <c r="Z61" i="20"/>
  <c r="AA61" i="20"/>
  <c r="AC61" i="20"/>
  <c r="AD61" i="20"/>
  <c r="AE61" i="20"/>
  <c r="AA83" i="17"/>
  <c r="Y85" i="20"/>
  <c r="AI143" i="17"/>
  <c r="AH143" i="17"/>
  <c r="AG143" i="17"/>
  <c r="AE143" i="17"/>
  <c r="AC143" i="17"/>
  <c r="Z143" i="17"/>
  <c r="W143" i="17"/>
  <c r="Y143" i="17"/>
  <c r="AI77" i="17"/>
  <c r="AH77" i="17"/>
  <c r="AG77" i="17"/>
  <c r="AE77" i="17"/>
  <c r="AC77" i="17"/>
  <c r="Z77" i="17"/>
  <c r="Y77" i="17"/>
  <c r="U143" i="17"/>
  <c r="AH65" i="17"/>
  <c r="AH83" i="17"/>
  <c r="V143" i="17"/>
  <c r="Z101" i="20"/>
  <c r="AC63" i="20"/>
  <c r="W87" i="20"/>
  <c r="Y87" i="20"/>
  <c r="Z87" i="20"/>
  <c r="AA87" i="20"/>
  <c r="AC87" i="20"/>
  <c r="AD87" i="20"/>
  <c r="AE87" i="20"/>
  <c r="AG87" i="20"/>
  <c r="AE83" i="17"/>
  <c r="AA91" i="17"/>
  <c r="Z91" i="17"/>
  <c r="Y91" i="17"/>
  <c r="W91" i="17"/>
  <c r="U91" i="17"/>
  <c r="AH91" i="17"/>
  <c r="AE91" i="17"/>
  <c r="AG91" i="17"/>
  <c r="AA73" i="17"/>
  <c r="Z73" i="17"/>
  <c r="Y73" i="17"/>
  <c r="W73" i="17"/>
  <c r="U73" i="17"/>
  <c r="AH73" i="17"/>
  <c r="AG73" i="17"/>
  <c r="AI65" i="17"/>
  <c r="AE73" i="17"/>
  <c r="AA143" i="17"/>
  <c r="Y101" i="20"/>
  <c r="AI87" i="20"/>
  <c r="AC80" i="8"/>
  <c r="AF74" i="8"/>
  <c r="AC68" i="8"/>
  <c r="Z66" i="8"/>
  <c r="T58" i="8"/>
  <c r="AC54" i="8"/>
  <c r="U42" i="8"/>
  <c r="Z68" i="8"/>
  <c r="Y66" i="8"/>
  <c r="AB54" i="8"/>
  <c r="AI97" i="20"/>
  <c r="U97" i="20"/>
  <c r="AD83" i="20"/>
  <c r="W59" i="20"/>
  <c r="AA57" i="17"/>
  <c r="W59" i="17"/>
  <c r="W61" i="17"/>
  <c r="AC69" i="17"/>
  <c r="Y71" i="17"/>
  <c r="AC75" i="17"/>
  <c r="U79" i="17"/>
  <c r="AG85" i="17"/>
  <c r="Y87" i="17"/>
  <c r="U89" i="17"/>
  <c r="AC105" i="17"/>
  <c r="V57" i="20"/>
  <c r="AC99" i="20"/>
  <c r="AH97" i="20"/>
  <c r="Z95" i="20"/>
  <c r="AD93" i="20"/>
  <c r="AI91" i="20"/>
  <c r="Z89" i="20"/>
  <c r="AC83" i="20"/>
  <c r="AH81" i="20"/>
  <c r="Z79" i="20"/>
  <c r="AI75" i="20"/>
  <c r="V75" i="20"/>
  <c r="Z73" i="20"/>
  <c r="W69" i="20"/>
  <c r="AC67" i="20"/>
  <c r="AH65" i="20"/>
  <c r="AI59" i="20"/>
  <c r="V59" i="20"/>
  <c r="AC76" i="8"/>
  <c r="AD74" i="8"/>
  <c r="Y68" i="8"/>
  <c r="X66" i="8"/>
  <c r="AA73" i="20"/>
  <c r="AC57" i="17"/>
  <c r="Y59" i="17"/>
  <c r="Z71" i="17"/>
  <c r="V79" i="17"/>
  <c r="AH85" i="17"/>
  <c r="Z87" i="17"/>
  <c r="V89" i="17"/>
  <c r="AD105" i="17"/>
  <c r="W57" i="20"/>
  <c r="AG97" i="20"/>
  <c r="Y95" i="20"/>
  <c r="AC93" i="20"/>
  <c r="Y89" i="20"/>
  <c r="Y79" i="20"/>
  <c r="AH75" i="20"/>
  <c r="U75" i="20"/>
  <c r="AE71" i="20"/>
  <c r="V69" i="20"/>
  <c r="AG65" i="20"/>
  <c r="AH59" i="20"/>
  <c r="U59" i="20"/>
  <c r="AB76" i="8"/>
  <c r="AC74" i="8"/>
  <c r="V68" i="8"/>
  <c r="V66" i="8"/>
  <c r="AC60" i="8"/>
  <c r="AH50" i="8"/>
  <c r="AB82" i="8"/>
  <c r="AH78" i="8"/>
  <c r="Z76" i="8"/>
  <c r="AB74" i="8"/>
  <c r="U68" i="8"/>
  <c r="U66" i="8"/>
  <c r="AB60" i="8"/>
  <c r="Y56" i="8"/>
  <c r="AF50" i="8"/>
  <c r="AA83" i="20"/>
  <c r="AG59" i="20"/>
  <c r="AE57" i="17"/>
  <c r="AA59" i="17"/>
  <c r="AA61" i="17"/>
  <c r="AG69" i="17"/>
  <c r="AC71" i="17"/>
  <c r="AG75" i="17"/>
  <c r="Y79" i="17"/>
  <c r="U85" i="17"/>
  <c r="AC87" i="17"/>
  <c r="Y89" i="17"/>
  <c r="AG105" i="17"/>
  <c r="Z57" i="20"/>
  <c r="Z99" i="20"/>
  <c r="AD97" i="20"/>
  <c r="AI95" i="20"/>
  <c r="V95" i="20"/>
  <c r="Z93" i="20"/>
  <c r="W89" i="20"/>
  <c r="Z83" i="20"/>
  <c r="AI79" i="20"/>
  <c r="V79" i="20"/>
  <c r="W73" i="20"/>
  <c r="AC71" i="20"/>
  <c r="AH69" i="20"/>
  <c r="Z67" i="20"/>
  <c r="AD65" i="20"/>
  <c r="Z82" i="8"/>
  <c r="AG78" i="8"/>
  <c r="Z74" i="8"/>
  <c r="T68" i="8"/>
  <c r="X56" i="8"/>
  <c r="AB50" i="8"/>
  <c r="AE71" i="17"/>
  <c r="AA79" i="17"/>
  <c r="W85" i="17"/>
  <c r="AE87" i="17"/>
  <c r="AA89" i="17"/>
  <c r="AI105" i="17"/>
  <c r="AC57" i="20"/>
  <c r="AA97" i="20"/>
  <c r="AG95" i="20"/>
  <c r="AI89" i="20"/>
  <c r="U89" i="20"/>
  <c r="W83" i="20"/>
  <c r="AG79" i="20"/>
  <c r="AD75" i="20"/>
  <c r="AI73" i="20"/>
  <c r="U73" i="20"/>
  <c r="AA71" i="20"/>
  <c r="AE69" i="20"/>
  <c r="AA65" i="20"/>
  <c r="AD59" i="20"/>
  <c r="X78" i="8"/>
  <c r="V74" i="8"/>
  <c r="Z50" i="8"/>
  <c r="Y83" i="20"/>
  <c r="AE59" i="20"/>
  <c r="AH57" i="17"/>
  <c r="AD59" i="17"/>
  <c r="Y85" i="17"/>
  <c r="AC89" i="17"/>
  <c r="U105" i="17"/>
  <c r="AD57" i="20"/>
  <c r="Z97" i="20"/>
  <c r="W93" i="20"/>
  <c r="AH89" i="20"/>
  <c r="AI83" i="20"/>
  <c r="V83" i="20"/>
  <c r="AC75" i="20"/>
  <c r="AH73" i="20"/>
  <c r="Z71" i="20"/>
  <c r="AD69" i="20"/>
  <c r="Z65" i="20"/>
  <c r="AC59" i="20"/>
  <c r="V78" i="8"/>
  <c r="U74" i="8"/>
  <c r="AH68" i="8"/>
  <c r="AH58" i="8"/>
  <c r="Y50" i="8"/>
  <c r="AG42" i="8"/>
  <c r="AI57" i="17"/>
  <c r="AE59" i="17"/>
  <c r="AG71" i="17"/>
  <c r="AC79" i="17"/>
  <c r="AG87" i="17"/>
  <c r="U57" i="17"/>
  <c r="AG59" i="17"/>
  <c r="AH71" i="17"/>
  <c r="AD79" i="17"/>
  <c r="Z85" i="17"/>
  <c r="AH87" i="17"/>
  <c r="AD89" i="17"/>
  <c r="V105" i="17"/>
  <c r="AE57" i="20"/>
  <c r="AH99" i="20"/>
  <c r="Y97" i="20"/>
  <c r="AE95" i="20"/>
  <c r="V93" i="20"/>
  <c r="AG89" i="20"/>
  <c r="AH83" i="20"/>
  <c r="U83" i="20"/>
  <c r="AE79" i="20"/>
  <c r="AG73" i="20"/>
  <c r="Y71" i="20"/>
  <c r="AC69" i="20"/>
  <c r="AH67" i="20"/>
  <c r="AB34" i="8"/>
  <c r="AG80" i="8"/>
  <c r="U78" i="8"/>
  <c r="T74" i="8"/>
  <c r="AG68" i="8"/>
  <c r="AH66" i="8"/>
  <c r="AG58" i="8"/>
  <c r="V52" i="8"/>
  <c r="X50" i="8"/>
  <c r="AF42" i="8"/>
  <c r="V73" i="20"/>
  <c r="AI93" i="20"/>
  <c r="AF80" i="8"/>
  <c r="T78" i="8"/>
  <c r="AH74" i="8"/>
  <c r="AF68" i="8"/>
  <c r="AF58" i="8"/>
  <c r="V50" i="8"/>
  <c r="AD42" i="8"/>
  <c r="T42" i="8"/>
  <c r="AH42" i="8"/>
  <c r="V62" i="8"/>
  <c r="AF34" i="8"/>
  <c r="Z80" i="8"/>
  <c r="AH82" i="8"/>
  <c r="V76" i="8"/>
  <c r="AG64" i="8"/>
  <c r="AC34" i="8"/>
  <c r="AF64" i="8"/>
  <c r="AD34" i="8"/>
  <c r="AD64" i="8"/>
  <c r="Z60" i="8"/>
  <c r="AC64" i="8"/>
  <c r="AH62" i="8"/>
  <c r="Y60" i="8"/>
  <c r="AG34" i="8"/>
  <c r="X82" i="8"/>
  <c r="AB64" i="8"/>
  <c r="AG62" i="8"/>
  <c r="AD58" i="8"/>
  <c r="U56" i="8"/>
  <c r="AH34" i="8"/>
  <c r="AF78" i="8"/>
  <c r="AF62" i="8"/>
  <c r="AH56" i="8"/>
  <c r="T56" i="8"/>
  <c r="Z54" i="8"/>
  <c r="U82" i="8"/>
  <c r="Y80" i="8"/>
  <c r="AG72" i="8"/>
  <c r="Y64" i="8"/>
  <c r="V60" i="8"/>
  <c r="AB58" i="8"/>
  <c r="AG56" i="8"/>
  <c r="Y54" i="8"/>
  <c r="AC52" i="8"/>
  <c r="Y48" i="8"/>
  <c r="AB42" i="8"/>
  <c r="V34" i="8"/>
  <c r="AG82" i="8"/>
  <c r="T82" i="8"/>
  <c r="X80" i="8"/>
  <c r="AD78" i="8"/>
  <c r="U76" i="8"/>
  <c r="AF72" i="8"/>
  <c r="X70" i="8"/>
  <c r="AB68" i="8"/>
  <c r="AG66" i="8"/>
  <c r="T66" i="8"/>
  <c r="X64" i="8"/>
  <c r="AD62" i="8"/>
  <c r="U60" i="8"/>
  <c r="AF56" i="8"/>
  <c r="X54" i="8"/>
  <c r="AB52" i="8"/>
  <c r="AG50" i="8"/>
  <c r="T50" i="8"/>
  <c r="X48" i="8"/>
  <c r="AD46" i="8"/>
  <c r="AB80" i="8"/>
  <c r="X60" i="8"/>
  <c r="V82" i="8"/>
  <c r="X36" i="8"/>
  <c r="AF82" i="8"/>
  <c r="AC78" i="8"/>
  <c r="AH76" i="8"/>
  <c r="T76" i="8"/>
  <c r="AD72" i="8"/>
  <c r="V70" i="8"/>
  <c r="AF66" i="8"/>
  <c r="AC62" i="8"/>
  <c r="AH60" i="8"/>
  <c r="T60" i="8"/>
  <c r="Z58" i="8"/>
  <c r="AD56" i="8"/>
  <c r="V54" i="8"/>
  <c r="Z52" i="8"/>
  <c r="AC46" i="8"/>
  <c r="Z42" i="8"/>
  <c r="X62" i="8"/>
  <c r="X34" i="8"/>
  <c r="V80" i="8"/>
  <c r="AG76" i="8"/>
  <c r="AC72" i="8"/>
  <c r="AH70" i="8"/>
  <c r="V64" i="8"/>
  <c r="AB62" i="8"/>
  <c r="AG60" i="8"/>
  <c r="Y58" i="8"/>
  <c r="AC56" i="8"/>
  <c r="AH54" i="8"/>
  <c r="U54" i="8"/>
  <c r="Y52" i="8"/>
  <c r="V48" i="8"/>
  <c r="AB46" i="8"/>
  <c r="Y42" i="8"/>
  <c r="Y82" i="8"/>
  <c r="AC58" i="8"/>
  <c r="Y36" i="8"/>
  <c r="AB78" i="8"/>
  <c r="U70" i="8"/>
  <c r="Y34" i="8"/>
  <c r="Z36" i="8"/>
  <c r="AD82" i="8"/>
  <c r="U80" i="8"/>
  <c r="AF76" i="8"/>
  <c r="AB72" i="8"/>
  <c r="AG70" i="8"/>
  <c r="T70" i="8"/>
  <c r="AD66" i="8"/>
  <c r="U64" i="8"/>
  <c r="AF60" i="8"/>
  <c r="X58" i="8"/>
  <c r="AB56" i="8"/>
  <c r="AG54" i="8"/>
  <c r="T54" i="8"/>
  <c r="AD50" i="8"/>
  <c r="U48" i="8"/>
  <c r="X42" i="8"/>
  <c r="U62" i="8"/>
  <c r="T62" i="8"/>
  <c r="Z64" i="8"/>
  <c r="AD36" i="8"/>
  <c r="AH80" i="8"/>
  <c r="AH64" i="8"/>
  <c r="AH48" i="8"/>
  <c r="V36" i="8"/>
  <c r="AB36" i="8"/>
  <c r="U78" i="2"/>
  <c r="Z77" i="2"/>
  <c r="K79" i="2"/>
  <c r="X136" i="2"/>
  <c r="AB136" i="2"/>
  <c r="AF136" i="2"/>
  <c r="X170" i="2"/>
  <c r="AB170" i="2"/>
  <c r="AF170" i="2"/>
  <c r="X172" i="2"/>
  <c r="AB172" i="2"/>
  <c r="AF172" i="2"/>
  <c r="X174" i="2"/>
  <c r="AB174" i="2"/>
  <c r="AF174" i="2"/>
  <c r="X176" i="2"/>
  <c r="AB176" i="2"/>
  <c r="AF176" i="2"/>
  <c r="AF134" i="2"/>
  <c r="AB134" i="2"/>
  <c r="X134" i="2"/>
  <c r="AF132" i="2"/>
  <c r="AB132" i="2"/>
  <c r="X132" i="2"/>
  <c r="AF130" i="2"/>
  <c r="AB130" i="2"/>
  <c r="X130" i="2"/>
  <c r="AF128" i="2"/>
  <c r="AB128" i="2"/>
  <c r="X128" i="2"/>
  <c r="AF126" i="2"/>
  <c r="AB126" i="2"/>
  <c r="X126" i="2"/>
  <c r="AF124" i="2"/>
  <c r="AB124" i="2"/>
  <c r="X124" i="2"/>
  <c r="AF122" i="2"/>
  <c r="AB122" i="2"/>
  <c r="X122" i="2"/>
  <c r="AF120" i="2"/>
  <c r="AB120" i="2"/>
  <c r="X120" i="2"/>
  <c r="AF118" i="2"/>
  <c r="AB118" i="2"/>
  <c r="X118" i="2"/>
  <c r="AF116" i="2"/>
  <c r="AB116" i="2"/>
  <c r="X116" i="2"/>
  <c r="AF114" i="2"/>
  <c r="AB114" i="2"/>
  <c r="X114" i="2"/>
  <c r="AF112" i="2"/>
  <c r="AB112" i="2"/>
  <c r="X112" i="2"/>
  <c r="AF110" i="2"/>
  <c r="AB110" i="2"/>
  <c r="X110" i="2"/>
  <c r="AF108" i="2"/>
  <c r="AE39" i="8" s="1"/>
  <c r="AB108" i="2"/>
  <c r="AA39" i="8" s="1"/>
  <c r="X108" i="2"/>
  <c r="W39" i="8" s="1"/>
  <c r="AF106" i="2"/>
  <c r="AB106" i="2"/>
  <c r="X106" i="2"/>
  <c r="AF104" i="2"/>
  <c r="AB104" i="2"/>
  <c r="X104" i="2"/>
  <c r="AF102" i="2"/>
  <c r="AB102" i="2"/>
  <c r="X102" i="2"/>
  <c r="AF100" i="2"/>
  <c r="AB100" i="2"/>
  <c r="X100" i="2"/>
  <c r="AF98" i="2"/>
  <c r="AB98" i="2"/>
  <c r="X98" i="2"/>
  <c r="AF96" i="2"/>
  <c r="AB96" i="2"/>
  <c r="X96" i="2"/>
  <c r="X90" i="2"/>
  <c r="AB90" i="2"/>
  <c r="AF90" i="2"/>
  <c r="X92" i="2"/>
  <c r="AB92" i="2"/>
  <c r="AF92" i="2"/>
  <c r="AI83" i="2"/>
  <c r="AH83" i="2"/>
  <c r="AG83" i="2"/>
  <c r="AE83" i="2"/>
  <c r="AD83" i="2"/>
  <c r="AC83" i="2"/>
  <c r="AA83" i="2"/>
  <c r="Z83" i="2"/>
  <c r="Y83" i="2"/>
  <c r="W83" i="2"/>
  <c r="V83" i="2"/>
  <c r="U83" i="2"/>
  <c r="AF80" i="2"/>
  <c r="AB80" i="2"/>
  <c r="X80" i="2"/>
  <c r="AI77" i="2"/>
  <c r="AH77" i="2"/>
  <c r="AG77" i="2"/>
  <c r="AE77" i="2"/>
  <c r="AD77" i="2"/>
  <c r="AC77" i="2"/>
  <c r="AA77" i="2"/>
  <c r="Y77" i="2"/>
  <c r="W77" i="2"/>
  <c r="V77" i="2"/>
  <c r="U77" i="2"/>
  <c r="X64" i="2"/>
  <c r="AB64" i="2"/>
  <c r="AF64" i="2"/>
  <c r="X66" i="2"/>
  <c r="AB66" i="2"/>
  <c r="AF66" i="2"/>
  <c r="X68" i="2"/>
  <c r="AB68" i="2"/>
  <c r="AF68" i="2"/>
  <c r="X70" i="2"/>
  <c r="AB70" i="2"/>
  <c r="AF70" i="2"/>
  <c r="X72" i="2"/>
  <c r="AB72" i="2"/>
  <c r="AF72" i="2"/>
  <c r="X74" i="2"/>
  <c r="AB74" i="2"/>
  <c r="AF74" i="2"/>
  <c r="X76" i="2"/>
  <c r="AB76" i="2"/>
  <c r="AF76" i="2"/>
  <c r="K59" i="2"/>
  <c r="K61" i="2"/>
  <c r="Y63" i="2"/>
  <c r="K65" i="2"/>
  <c r="K67" i="2"/>
  <c r="K69" i="2"/>
  <c r="K71" i="2"/>
  <c r="AD71" i="2" s="1"/>
  <c r="K73" i="2"/>
  <c r="AE75" i="2"/>
  <c r="K81" i="2"/>
  <c r="K85" i="2"/>
  <c r="K87" i="2"/>
  <c r="K89" i="2"/>
  <c r="K91" i="2"/>
  <c r="K93" i="2"/>
  <c r="K95" i="2"/>
  <c r="K97" i="2"/>
  <c r="K99" i="2"/>
  <c r="K101" i="2"/>
  <c r="K103" i="2"/>
  <c r="K105" i="2"/>
  <c r="K107" i="2"/>
  <c r="K109" i="2"/>
  <c r="K111" i="2"/>
  <c r="K113" i="2"/>
  <c r="K115" i="2"/>
  <c r="K117" i="2"/>
  <c r="K119" i="2"/>
  <c r="K121" i="2"/>
  <c r="K123" i="2"/>
  <c r="K125" i="2"/>
  <c r="K127" i="2"/>
  <c r="K129" i="2"/>
  <c r="K131" i="2"/>
  <c r="K133" i="2"/>
  <c r="K135" i="2"/>
  <c r="V169" i="2"/>
  <c r="K171" i="2"/>
  <c r="K173" i="2"/>
  <c r="K175" i="2"/>
  <c r="AD57" i="2"/>
  <c r="K55" i="2"/>
  <c r="V59" i="18"/>
  <c r="AC63" i="18"/>
  <c r="AC65" i="18"/>
  <c r="Z69" i="18"/>
  <c r="AE71" i="18"/>
  <c r="AA73" i="18"/>
  <c r="W77" i="18"/>
  <c r="U83" i="18"/>
  <c r="AC97" i="18"/>
  <c r="W99" i="18"/>
  <c r="X62" i="18"/>
  <c r="AB62" i="18"/>
  <c r="AF62" i="18"/>
  <c r="X64" i="18"/>
  <c r="AB64" i="18"/>
  <c r="AF64" i="18"/>
  <c r="X66" i="18"/>
  <c r="AB66" i="18"/>
  <c r="AF66" i="18"/>
  <c r="X68" i="18"/>
  <c r="AB68" i="18"/>
  <c r="AF68" i="18"/>
  <c r="X70" i="18"/>
  <c r="AB70" i="18"/>
  <c r="AF70" i="18"/>
  <c r="X72" i="18"/>
  <c r="AB72" i="18"/>
  <c r="AF72" i="18"/>
  <c r="X74" i="18"/>
  <c r="AB74" i="18"/>
  <c r="AF74" i="18"/>
  <c r="X78" i="18"/>
  <c r="AB78" i="18"/>
  <c r="AF78" i="18"/>
  <c r="X80" i="18"/>
  <c r="AB80" i="18"/>
  <c r="AF80" i="18"/>
  <c r="X84" i="18"/>
  <c r="AB84" i="18"/>
  <c r="AF84" i="18"/>
  <c r="X98" i="18"/>
  <c r="AB98" i="18"/>
  <c r="AF98" i="18"/>
  <c r="X100" i="18"/>
  <c r="AB100" i="18"/>
  <c r="AF100" i="18"/>
  <c r="K57" i="18"/>
  <c r="K59" i="19"/>
  <c r="K61" i="19"/>
  <c r="K63" i="19"/>
  <c r="K67" i="19"/>
  <c r="K71" i="19"/>
  <c r="K73" i="19"/>
  <c r="K75" i="19"/>
  <c r="K81" i="19"/>
  <c r="K83" i="19"/>
  <c r="K85" i="19"/>
  <c r="K89" i="19"/>
  <c r="K91" i="19"/>
  <c r="K93" i="19"/>
  <c r="K95" i="19"/>
  <c r="K97" i="19"/>
  <c r="K99" i="19"/>
  <c r="K101" i="19"/>
  <c r="K103" i="19"/>
  <c r="K113" i="19"/>
  <c r="K117" i="19"/>
  <c r="K57" i="19"/>
  <c r="K55" i="19"/>
  <c r="Y36" i="24"/>
  <c r="AC36" i="24"/>
  <c r="AG36" i="24"/>
  <c r="Y38" i="24"/>
  <c r="AC38" i="24"/>
  <c r="AG38" i="24"/>
  <c r="Y40" i="24"/>
  <c r="AC40" i="24"/>
  <c r="AG40" i="24"/>
  <c r="Y42" i="24"/>
  <c r="AC42" i="24"/>
  <c r="AG42" i="24"/>
  <c r="Y44" i="24"/>
  <c r="AC44" i="24"/>
  <c r="AG44" i="24"/>
  <c r="Y46" i="24"/>
  <c r="AC46" i="24"/>
  <c r="AG46" i="24"/>
  <c r="Y48" i="24"/>
  <c r="AC48" i="24"/>
  <c r="AG48" i="24"/>
  <c r="Y50" i="24"/>
  <c r="AC50" i="24"/>
  <c r="AG50" i="24"/>
  <c r="Y52" i="24"/>
  <c r="AC52" i="24"/>
  <c r="AG52" i="24"/>
  <c r="Y54" i="24"/>
  <c r="AC54" i="24"/>
  <c r="AG54" i="24"/>
  <c r="Y56" i="24"/>
  <c r="AC56" i="24"/>
  <c r="AG56" i="24"/>
  <c r="Y58" i="24"/>
  <c r="AC58" i="24"/>
  <c r="AG58" i="24"/>
  <c r="Y60" i="24"/>
  <c r="AC60" i="24"/>
  <c r="AG60" i="24"/>
  <c r="Y62" i="24"/>
  <c r="AC62" i="24"/>
  <c r="AG62" i="24"/>
  <c r="Y64" i="24"/>
  <c r="AC64" i="24"/>
  <c r="AG64" i="24"/>
  <c r="Y66" i="24"/>
  <c r="AC66" i="24"/>
  <c r="AG66" i="24"/>
  <c r="Y68" i="24"/>
  <c r="AC68" i="24"/>
  <c r="AG68" i="24"/>
  <c r="Y70" i="24"/>
  <c r="AC70" i="24"/>
  <c r="AG70" i="24"/>
  <c r="Y72" i="24"/>
  <c r="AC72" i="24"/>
  <c r="AG72" i="24"/>
  <c r="Y74" i="24"/>
  <c r="AC74" i="24"/>
  <c r="AG74" i="24"/>
  <c r="Y76" i="24"/>
  <c r="AC76" i="24"/>
  <c r="AG76" i="24"/>
  <c r="Y78" i="24"/>
  <c r="AC78" i="24"/>
  <c r="AG78" i="24"/>
  <c r="Y80" i="24"/>
  <c r="AC80" i="24"/>
  <c r="AG80" i="24"/>
  <c r="Y82" i="24"/>
  <c r="AC82" i="24"/>
  <c r="AG82" i="24"/>
  <c r="Y84" i="24"/>
  <c r="AC84" i="24"/>
  <c r="AG84" i="24"/>
  <c r="Y86" i="24"/>
  <c r="AC86" i="24"/>
  <c r="AG86" i="24"/>
  <c r="Y88" i="24"/>
  <c r="AC88" i="24"/>
  <c r="AG88" i="24"/>
  <c r="Y92" i="24"/>
  <c r="AC92" i="24"/>
  <c r="AG92" i="24"/>
  <c r="Y94" i="24"/>
  <c r="AC94" i="24"/>
  <c r="AG94" i="24"/>
  <c r="Y96" i="24"/>
  <c r="AC96" i="24"/>
  <c r="AG96" i="24"/>
  <c r="Y98" i="24"/>
  <c r="AC98" i="24"/>
  <c r="AG98" i="24"/>
  <c r="Y100" i="24"/>
  <c r="AC100" i="24"/>
  <c r="AG100" i="24"/>
  <c r="Y102" i="24"/>
  <c r="AC102" i="24"/>
  <c r="AG102" i="24"/>
  <c r="Y104" i="24"/>
  <c r="AC104" i="24"/>
  <c r="AG104" i="24"/>
  <c r="Y106" i="24"/>
  <c r="AC106" i="24"/>
  <c r="AG106" i="24"/>
  <c r="Y108" i="24"/>
  <c r="AC108" i="24"/>
  <c r="AG108" i="24"/>
  <c r="Y110" i="24"/>
  <c r="AC110" i="24"/>
  <c r="AG110" i="24"/>
  <c r="Y34" i="24"/>
  <c r="AC34" i="24"/>
  <c r="AG34" i="24"/>
  <c r="S16" i="19" l="1"/>
  <c r="S25" i="19"/>
  <c r="S8" i="19"/>
  <c r="S7" i="19"/>
  <c r="S22" i="19"/>
  <c r="S21" i="19"/>
  <c r="S13" i="19"/>
  <c r="S10" i="19"/>
  <c r="S19" i="19"/>
  <c r="S12" i="19"/>
  <c r="S11" i="19"/>
  <c r="S20" i="19"/>
  <c r="S14" i="19"/>
  <c r="S9" i="19"/>
  <c r="S17" i="19"/>
  <c r="S18" i="19"/>
  <c r="S23" i="19"/>
  <c r="N25" i="32"/>
  <c r="G18" i="32"/>
  <c r="D15" i="17"/>
  <c r="X153" i="17"/>
  <c r="AA153" i="17"/>
  <c r="AC153" i="17"/>
  <c r="Y153" i="17"/>
  <c r="AD153" i="17"/>
  <c r="V153" i="17"/>
  <c r="U153" i="17"/>
  <c r="AB153" i="17"/>
  <c r="T153" i="17"/>
  <c r="Z153" i="17"/>
  <c r="S153" i="17"/>
  <c r="W153" i="17"/>
  <c r="T111" i="20"/>
  <c r="AI59" i="19"/>
  <c r="AD59" i="19"/>
  <c r="U59" i="19"/>
  <c r="Y59" i="19"/>
  <c r="AC59" i="19"/>
  <c r="V59" i="19"/>
  <c r="AE59" i="19"/>
  <c r="Z59" i="19"/>
  <c r="AG59" i="19"/>
  <c r="W59" i="19"/>
  <c r="AH59" i="19"/>
  <c r="AA59" i="19"/>
  <c r="AD61" i="19"/>
  <c r="Z61" i="19"/>
  <c r="Y61" i="19"/>
  <c r="AI61" i="19"/>
  <c r="W61" i="19"/>
  <c r="AE61" i="19"/>
  <c r="AC61" i="19"/>
  <c r="U61" i="19"/>
  <c r="AG61" i="19"/>
  <c r="AH61" i="19"/>
  <c r="AA61" i="19"/>
  <c r="V61" i="19"/>
  <c r="AI63" i="19"/>
  <c r="AG63" i="19"/>
  <c r="AC63" i="19"/>
  <c r="AE63" i="19"/>
  <c r="AH63" i="19"/>
  <c r="V63" i="19"/>
  <c r="Y63" i="19"/>
  <c r="AD63" i="19"/>
  <c r="AA63" i="19"/>
  <c r="U63" i="19"/>
  <c r="W63" i="19"/>
  <c r="Z63" i="19"/>
  <c r="AE67" i="19"/>
  <c r="AI67" i="19"/>
  <c r="AG67" i="19"/>
  <c r="W67" i="19"/>
  <c r="AH67" i="19"/>
  <c r="AD67" i="19"/>
  <c r="Y67" i="19"/>
  <c r="U67" i="19"/>
  <c r="AA67" i="19"/>
  <c r="AC67" i="19"/>
  <c r="V67" i="19"/>
  <c r="Z67" i="19"/>
  <c r="U71" i="19"/>
  <c r="W71" i="19"/>
  <c r="AG71" i="19"/>
  <c r="AC71" i="19"/>
  <c r="AE71" i="19"/>
  <c r="AH71" i="19"/>
  <c r="AD71" i="19"/>
  <c r="Z71" i="19"/>
  <c r="V71" i="19"/>
  <c r="AI71" i="19"/>
  <c r="AA71" i="19"/>
  <c r="Y71" i="19"/>
  <c r="Z73" i="19"/>
  <c r="AA73" i="19"/>
  <c r="V73" i="19"/>
  <c r="U73" i="19"/>
  <c r="AE73" i="19"/>
  <c r="AD73" i="19"/>
  <c r="AI73" i="19"/>
  <c r="AC73" i="19"/>
  <c r="AH73" i="19"/>
  <c r="Y73" i="19"/>
  <c r="AG73" i="19"/>
  <c r="W73" i="19"/>
  <c r="AH75" i="19"/>
  <c r="U75" i="19"/>
  <c r="AC75" i="19"/>
  <c r="AG75" i="19"/>
  <c r="Y75" i="19"/>
  <c r="V75" i="19"/>
  <c r="AD75" i="19"/>
  <c r="AI75" i="19"/>
  <c r="AE75" i="19"/>
  <c r="AA75" i="19"/>
  <c r="W75" i="19"/>
  <c r="Z75" i="19"/>
  <c r="Z81" i="19"/>
  <c r="U81" i="19"/>
  <c r="AA81" i="19"/>
  <c r="AC81" i="19"/>
  <c r="W81" i="19"/>
  <c r="V81" i="19"/>
  <c r="AD81" i="19"/>
  <c r="AG81" i="19"/>
  <c r="Y81" i="19"/>
  <c r="AH81" i="19"/>
  <c r="AI81" i="19"/>
  <c r="AE81" i="19"/>
  <c r="V83" i="19"/>
  <c r="Y83" i="19"/>
  <c r="AD83" i="19"/>
  <c r="U83" i="19"/>
  <c r="AH83" i="19"/>
  <c r="Z83" i="19"/>
  <c r="W83" i="19"/>
  <c r="AC83" i="19"/>
  <c r="AE83" i="19"/>
  <c r="AI83" i="19"/>
  <c r="AA83" i="19"/>
  <c r="AG83" i="19"/>
  <c r="AE85" i="19"/>
  <c r="Z85" i="19"/>
  <c r="U85" i="19"/>
  <c r="AA85" i="19"/>
  <c r="AI85" i="19"/>
  <c r="AH85" i="19"/>
  <c r="AG85" i="19"/>
  <c r="AD85" i="19"/>
  <c r="V85" i="19"/>
  <c r="Y85" i="19"/>
  <c r="W85" i="19"/>
  <c r="AC85" i="19"/>
  <c r="AD89" i="19"/>
  <c r="Y89" i="19"/>
  <c r="AE89" i="19"/>
  <c r="U89" i="19"/>
  <c r="V89" i="19"/>
  <c r="AI89" i="19"/>
  <c r="AA89" i="19"/>
  <c r="W89" i="19"/>
  <c r="AG89" i="19"/>
  <c r="Z89" i="19"/>
  <c r="AH89" i="19"/>
  <c r="AC89" i="19"/>
  <c r="U91" i="19"/>
  <c r="AI91" i="19"/>
  <c r="AE91" i="19"/>
  <c r="Z91" i="19"/>
  <c r="AG91" i="19"/>
  <c r="AC91" i="19"/>
  <c r="W91" i="19"/>
  <c r="AH91" i="19"/>
  <c r="AD91" i="19"/>
  <c r="AA91" i="19"/>
  <c r="V91" i="19"/>
  <c r="Y91" i="19"/>
  <c r="AC93" i="19"/>
  <c r="W93" i="19"/>
  <c r="AG93" i="19"/>
  <c r="AI93" i="19"/>
  <c r="AH93" i="19"/>
  <c r="Y93" i="19"/>
  <c r="V93" i="19"/>
  <c r="AA93" i="19"/>
  <c r="AE93" i="19"/>
  <c r="U93" i="19"/>
  <c r="Z93" i="19"/>
  <c r="AD93" i="19"/>
  <c r="U95" i="19"/>
  <c r="Y95" i="19"/>
  <c r="AE95" i="19"/>
  <c r="AG95" i="19"/>
  <c r="W95" i="19"/>
  <c r="AC95" i="19"/>
  <c r="V95" i="19"/>
  <c r="Z95" i="19"/>
  <c r="AD95" i="19"/>
  <c r="AH95" i="19"/>
  <c r="AA95" i="19"/>
  <c r="AI95" i="19"/>
  <c r="AD97" i="19"/>
  <c r="AI97" i="19"/>
  <c r="U97" i="19"/>
  <c r="Y97" i="19"/>
  <c r="AG97" i="19"/>
  <c r="W97" i="19"/>
  <c r="AA97" i="19"/>
  <c r="AH97" i="19"/>
  <c r="AE97" i="19"/>
  <c r="V97" i="19"/>
  <c r="Z97" i="19"/>
  <c r="AC97" i="19"/>
  <c r="AC99" i="19"/>
  <c r="U99" i="19"/>
  <c r="Z99" i="19"/>
  <c r="AG99" i="19"/>
  <c r="Y99" i="19"/>
  <c r="AA99" i="19"/>
  <c r="AH99" i="19"/>
  <c r="AE99" i="19"/>
  <c r="W99" i="19"/>
  <c r="V99" i="19"/>
  <c r="AI99" i="19"/>
  <c r="AD99" i="19"/>
  <c r="AC101" i="19"/>
  <c r="AA101" i="19"/>
  <c r="U101" i="19"/>
  <c r="AI101" i="19"/>
  <c r="AE101" i="19"/>
  <c r="W101" i="19"/>
  <c r="AG101" i="19"/>
  <c r="AH101" i="19"/>
  <c r="AD101" i="19"/>
  <c r="Z101" i="19"/>
  <c r="Y101" i="19"/>
  <c r="V101" i="19"/>
  <c r="W103" i="19"/>
  <c r="AD103" i="19"/>
  <c r="AA103" i="19"/>
  <c r="AG103" i="19"/>
  <c r="AE103" i="19"/>
  <c r="Y103" i="19"/>
  <c r="V103" i="19"/>
  <c r="AI103" i="19"/>
  <c r="U103" i="19"/>
  <c r="AH103" i="19"/>
  <c r="AC103" i="19"/>
  <c r="Z103" i="19"/>
  <c r="U113" i="19"/>
  <c r="AE113" i="19"/>
  <c r="AD113" i="19"/>
  <c r="AG113" i="19"/>
  <c r="AC113" i="19"/>
  <c r="AA113" i="19"/>
  <c r="V113" i="19"/>
  <c r="AH113" i="19"/>
  <c r="AI113" i="19"/>
  <c r="W113" i="19"/>
  <c r="Y113" i="19"/>
  <c r="Z113" i="19"/>
  <c r="AD117" i="19"/>
  <c r="V117" i="19"/>
  <c r="Y117" i="19"/>
  <c r="AC117" i="19"/>
  <c r="AI117" i="19"/>
  <c r="U117" i="19"/>
  <c r="W117" i="19"/>
  <c r="Z117" i="19"/>
  <c r="AA117" i="19"/>
  <c r="AH117" i="19"/>
  <c r="AG117" i="19"/>
  <c r="AE117" i="19"/>
  <c r="W57" i="19"/>
  <c r="AA57" i="19"/>
  <c r="AD57" i="19"/>
  <c r="AE57" i="19"/>
  <c r="U57" i="19"/>
  <c r="AH57" i="19"/>
  <c r="AC57" i="19"/>
  <c r="Y57" i="19"/>
  <c r="AG57" i="19"/>
  <c r="V57" i="19"/>
  <c r="Z57" i="19"/>
  <c r="AI57" i="19"/>
  <c r="Y111" i="20"/>
  <c r="U111" i="20"/>
  <c r="AB111" i="20"/>
  <c r="S111" i="20"/>
  <c r="Z111" i="20"/>
  <c r="V111" i="20"/>
  <c r="AA111" i="20"/>
  <c r="AD111" i="20"/>
  <c r="AC111" i="20"/>
  <c r="X111" i="20"/>
  <c r="W111" i="20"/>
  <c r="AU91" i="19"/>
  <c r="AT91" i="19"/>
  <c r="AH55" i="18"/>
  <c r="AU55" i="18"/>
  <c r="AV55" i="18"/>
  <c r="AC61" i="18"/>
  <c r="AV61" i="18"/>
  <c r="AU61" i="18"/>
  <c r="AI127" i="2"/>
  <c r="AU127" i="2"/>
  <c r="AV127" i="2"/>
  <c r="V103" i="2"/>
  <c r="AU103" i="2"/>
  <c r="AV103" i="2"/>
  <c r="AA73" i="2"/>
  <c r="AU73" i="2"/>
  <c r="AV73" i="2"/>
  <c r="AT89" i="19"/>
  <c r="AU89" i="19"/>
  <c r="V57" i="18"/>
  <c r="AU57" i="18"/>
  <c r="AV57" i="18"/>
  <c r="W125" i="2"/>
  <c r="AU125" i="2"/>
  <c r="AV125" i="2"/>
  <c r="Z101" i="2"/>
  <c r="AU101" i="2"/>
  <c r="AV101" i="2"/>
  <c r="AV71" i="2"/>
  <c r="AU71" i="2"/>
  <c r="AV53" i="17"/>
  <c r="C5" i="17" s="1"/>
  <c r="AU107" i="2"/>
  <c r="AV107" i="2"/>
  <c r="AT93" i="19"/>
  <c r="AU93" i="19"/>
  <c r="AD129" i="2"/>
  <c r="AU129" i="2"/>
  <c r="AV129" i="2"/>
  <c r="Z131" i="2"/>
  <c r="AU131" i="2"/>
  <c r="AV131" i="2"/>
  <c r="Y81" i="2"/>
  <c r="AU81" i="2"/>
  <c r="AV81" i="2"/>
  <c r="AH105" i="2"/>
  <c r="AU105" i="2"/>
  <c r="AV105" i="2"/>
  <c r="AD55" i="2"/>
  <c r="AV55" i="2"/>
  <c r="AU55" i="2"/>
  <c r="W69" i="2"/>
  <c r="AV69" i="2"/>
  <c r="AU69" i="2"/>
  <c r="AH97" i="2"/>
  <c r="AV97" i="2"/>
  <c r="AU97" i="2"/>
  <c r="AT117" i="19"/>
  <c r="AU117" i="19"/>
  <c r="AU119" i="2"/>
  <c r="AV119" i="2"/>
  <c r="AA95" i="2"/>
  <c r="AU95" i="2"/>
  <c r="AV95" i="2"/>
  <c r="AH65" i="2"/>
  <c r="AU65" i="2"/>
  <c r="AV65" i="2"/>
  <c r="AG79" i="2"/>
  <c r="AU79" i="2"/>
  <c r="AV79" i="2"/>
  <c r="AT113" i="19"/>
  <c r="AU113" i="19"/>
  <c r="AT75" i="19"/>
  <c r="AU75" i="19"/>
  <c r="Z173" i="2"/>
  <c r="AV173" i="2"/>
  <c r="AU173" i="2"/>
  <c r="AU117" i="2"/>
  <c r="AV117" i="2"/>
  <c r="AU93" i="2"/>
  <c r="AV93" i="2"/>
  <c r="AT85" i="19"/>
  <c r="AU85" i="19"/>
  <c r="AD99" i="2"/>
  <c r="AU99" i="2"/>
  <c r="AV99" i="2"/>
  <c r="AT83" i="19"/>
  <c r="AU83" i="19"/>
  <c r="AT81" i="19"/>
  <c r="AU81" i="19"/>
  <c r="U175" i="2"/>
  <c r="AU175" i="2"/>
  <c r="AV175" i="2"/>
  <c r="AT103" i="19"/>
  <c r="AU103" i="19"/>
  <c r="AT73" i="19"/>
  <c r="AU73" i="19"/>
  <c r="AE171" i="2"/>
  <c r="AU171" i="2"/>
  <c r="AV171" i="2"/>
  <c r="AU115" i="2"/>
  <c r="AV115" i="2"/>
  <c r="V91" i="2"/>
  <c r="AU91" i="2"/>
  <c r="AV91" i="2"/>
  <c r="AH61" i="2"/>
  <c r="AU61" i="2"/>
  <c r="AV61" i="2"/>
  <c r="AV53" i="20"/>
  <c r="C5" i="20" s="1"/>
  <c r="AU57" i="19"/>
  <c r="AT57" i="19"/>
  <c r="AE121" i="2"/>
  <c r="AV121" i="2"/>
  <c r="AU121" i="2"/>
  <c r="AC67" i="2"/>
  <c r="AU67" i="2"/>
  <c r="AV67" i="2"/>
  <c r="AT71" i="19"/>
  <c r="AU71" i="19"/>
  <c r="AC59" i="2"/>
  <c r="AU59" i="2"/>
  <c r="AV59" i="2"/>
  <c r="AU53" i="20"/>
  <c r="D5" i="20" s="1"/>
  <c r="AT99" i="19"/>
  <c r="AU99" i="19"/>
  <c r="AE135" i="2"/>
  <c r="AU135" i="2"/>
  <c r="AV135" i="2"/>
  <c r="V111" i="2"/>
  <c r="AU111" i="2"/>
  <c r="AV111" i="2"/>
  <c r="W87" i="2"/>
  <c r="AU87" i="2"/>
  <c r="AV87" i="2"/>
  <c r="AU53" i="17"/>
  <c r="D5" i="17" s="1"/>
  <c r="AE55" i="19"/>
  <c r="AA123" i="2"/>
  <c r="AU123" i="2"/>
  <c r="AV123" i="2"/>
  <c r="AT101" i="19"/>
  <c r="AU101" i="19"/>
  <c r="AU113" i="2"/>
  <c r="AV113" i="2"/>
  <c r="AV89" i="2"/>
  <c r="AU89" i="2"/>
  <c r="AG67" i="18"/>
  <c r="AV67" i="18"/>
  <c r="AU67" i="18"/>
  <c r="U133" i="2"/>
  <c r="AV133" i="2"/>
  <c r="AU133" i="2"/>
  <c r="Z109" i="2"/>
  <c r="AV109" i="2"/>
  <c r="AU109" i="2"/>
  <c r="W85" i="2"/>
  <c r="AV85" i="2"/>
  <c r="AU85" i="2"/>
  <c r="AT105" i="19"/>
  <c r="AU105" i="19"/>
  <c r="AT97" i="19"/>
  <c r="AU97" i="19"/>
  <c r="AU95" i="19"/>
  <c r="AT95" i="19"/>
  <c r="AT67" i="19"/>
  <c r="AU67" i="19"/>
  <c r="AT63" i="19"/>
  <c r="AU63" i="19"/>
  <c r="AT61" i="19"/>
  <c r="AU61" i="19"/>
  <c r="AU59" i="19"/>
  <c r="AT59" i="19"/>
  <c r="AC89" i="2"/>
  <c r="AE93" i="2"/>
  <c r="U113" i="2"/>
  <c r="J40" i="8"/>
  <c r="AD107" i="2"/>
  <c r="J38" i="8"/>
  <c r="J44" i="8"/>
  <c r="X59" i="17"/>
  <c r="AF89" i="20"/>
  <c r="AA74" i="8"/>
  <c r="W83" i="18"/>
  <c r="AC14" i="8"/>
  <c r="X95" i="20"/>
  <c r="AB59" i="20"/>
  <c r="AA78" i="8"/>
  <c r="AB75" i="20"/>
  <c r="AF73" i="17"/>
  <c r="AH13" i="8"/>
  <c r="X93" i="20"/>
  <c r="AA77" i="18"/>
  <c r="AE66" i="8"/>
  <c r="AB93" i="20"/>
  <c r="AH12" i="8"/>
  <c r="Z77" i="18"/>
  <c r="AA62" i="8"/>
  <c r="X91" i="20"/>
  <c r="X71" i="20"/>
  <c r="AD59" i="2"/>
  <c r="AB69" i="20"/>
  <c r="AF97" i="20"/>
  <c r="AF99" i="20"/>
  <c r="AF75" i="20"/>
  <c r="AF81" i="20"/>
  <c r="AH14" i="8"/>
  <c r="S14" i="8"/>
  <c r="AI14" i="8"/>
  <c r="AB63" i="17"/>
  <c r="AF73" i="20"/>
  <c r="AF91" i="20"/>
  <c r="AB81" i="20"/>
  <c r="AC12" i="8"/>
  <c r="AI55" i="2"/>
  <c r="AC11" i="8"/>
  <c r="AC10" i="8"/>
  <c r="AD10" i="8" s="1"/>
  <c r="S12" i="8"/>
  <c r="S13" i="8"/>
  <c r="AB91" i="20"/>
  <c r="X97" i="20"/>
  <c r="X99" i="20"/>
  <c r="W58" i="8"/>
  <c r="AE48" i="8"/>
  <c r="AA70" i="8"/>
  <c r="AE60" i="8"/>
  <c r="AA72" i="8"/>
  <c r="AA76" i="8"/>
  <c r="W52" i="8"/>
  <c r="AE42" i="8"/>
  <c r="AE80" i="8"/>
  <c r="AA68" i="8"/>
  <c r="Y63" i="18"/>
  <c r="AA83" i="18"/>
  <c r="Y83" i="18"/>
  <c r="Y55" i="18"/>
  <c r="Y67" i="18"/>
  <c r="W63" i="18"/>
  <c r="AD55" i="18"/>
  <c r="Z97" i="18"/>
  <c r="Z55" i="18"/>
  <c r="AE55" i="18"/>
  <c r="Y97" i="18"/>
  <c r="AG55" i="18"/>
  <c r="AH65" i="18"/>
  <c r="AG61" i="18"/>
  <c r="Z67" i="18"/>
  <c r="AA65" i="18"/>
  <c r="Z65" i="18"/>
  <c r="AC83" i="18"/>
  <c r="V69" i="18"/>
  <c r="U65" i="18"/>
  <c r="Z83" i="18"/>
  <c r="P17" i="19"/>
  <c r="P16" i="19"/>
  <c r="P11" i="19"/>
  <c r="P18" i="19"/>
  <c r="P9" i="19"/>
  <c r="P19" i="19"/>
  <c r="P12" i="19"/>
  <c r="P7" i="19"/>
  <c r="Q26" i="19" s="1"/>
  <c r="P8" i="19"/>
  <c r="P10" i="19"/>
  <c r="R26" i="19"/>
  <c r="P22" i="19"/>
  <c r="P14" i="19"/>
  <c r="P13" i="19"/>
  <c r="P20" i="19"/>
  <c r="P15" i="19"/>
  <c r="P21" i="19"/>
  <c r="P23" i="19"/>
  <c r="P25" i="19"/>
  <c r="AB67" i="20"/>
  <c r="AF67" i="20"/>
  <c r="AF65" i="20"/>
  <c r="X81" i="20"/>
  <c r="AF95" i="20"/>
  <c r="X79" i="20"/>
  <c r="AF83" i="20"/>
  <c r="W67" i="18"/>
  <c r="Y65" i="18"/>
  <c r="W66" i="8"/>
  <c r="AA56" i="8"/>
  <c r="X69" i="17"/>
  <c r="X101" i="20"/>
  <c r="W65" i="18"/>
  <c r="AB65" i="20"/>
  <c r="W59" i="18"/>
  <c r="V65" i="18"/>
  <c r="W76" i="8"/>
  <c r="AE68" i="8"/>
  <c r="AE34" i="8"/>
  <c r="AF79" i="20"/>
  <c r="X65" i="20"/>
  <c r="Y59" i="18"/>
  <c r="AI61" i="18"/>
  <c r="AI65" i="18"/>
  <c r="AH61" i="18"/>
  <c r="AC101" i="2"/>
  <c r="AH83" i="18"/>
  <c r="Y79" i="18"/>
  <c r="Z73" i="18"/>
  <c r="AG65" i="18"/>
  <c r="AA61" i="18"/>
  <c r="W64" i="8"/>
  <c r="AB99" i="20"/>
  <c r="AF69" i="17"/>
  <c r="X75" i="17"/>
  <c r="X67" i="20"/>
  <c r="AG83" i="18"/>
  <c r="Y73" i="18"/>
  <c r="AE65" i="18"/>
  <c r="AH63" i="18"/>
  <c r="Z61" i="18"/>
  <c r="AE83" i="18"/>
  <c r="AD65" i="18"/>
  <c r="AA63" i="18"/>
  <c r="U61" i="18"/>
  <c r="AF63" i="20"/>
  <c r="AD83" i="18"/>
  <c r="AI67" i="18"/>
  <c r="Z63" i="18"/>
  <c r="U71" i="2"/>
  <c r="AI79" i="2"/>
  <c r="X69" i="20"/>
  <c r="AA66" i="8"/>
  <c r="AB85" i="20"/>
  <c r="AF75" i="17"/>
  <c r="AB67" i="17"/>
  <c r="AB61" i="17"/>
  <c r="AB57" i="17"/>
  <c r="X71" i="17"/>
  <c r="AJ55" i="17"/>
  <c r="X65" i="17"/>
  <c r="AB105" i="17"/>
  <c r="X63" i="17"/>
  <c r="X73" i="17"/>
  <c r="AF85" i="17"/>
  <c r="AB69" i="17"/>
  <c r="AB75" i="17"/>
  <c r="AF91" i="17"/>
  <c r="X57" i="17"/>
  <c r="X61" i="17"/>
  <c r="X83" i="17"/>
  <c r="AB77" i="17"/>
  <c r="AF83" i="17"/>
  <c r="AB83" i="17"/>
  <c r="AF61" i="17"/>
  <c r="W111" i="2"/>
  <c r="AE73" i="2"/>
  <c r="AI67" i="2"/>
  <c r="AA79" i="2"/>
  <c r="AC85" i="2"/>
  <c r="Y79" i="2"/>
  <c r="Z79" i="2"/>
  <c r="U73" i="2"/>
  <c r="AA67" i="2"/>
  <c r="AC79" i="2"/>
  <c r="Z87" i="2"/>
  <c r="Z67" i="2"/>
  <c r="AD79" i="2"/>
  <c r="AA85" i="2"/>
  <c r="U79" i="2"/>
  <c r="AA87" i="2"/>
  <c r="U67" i="2"/>
  <c r="AH79" i="2"/>
  <c r="AA101" i="2"/>
  <c r="W123" i="2"/>
  <c r="AH71" i="2"/>
  <c r="AH69" i="2"/>
  <c r="V99" i="2"/>
  <c r="Y125" i="2"/>
  <c r="AG169" i="2"/>
  <c r="AE57" i="2"/>
  <c r="AG71" i="2"/>
  <c r="AG69" i="2"/>
  <c r="W99" i="2"/>
  <c r="Z133" i="2"/>
  <c r="AE169" i="2"/>
  <c r="AE101" i="2"/>
  <c r="AC71" i="2"/>
  <c r="AC69" i="2"/>
  <c r="AH99" i="2"/>
  <c r="AA133" i="2"/>
  <c r="AA169" i="2"/>
  <c r="AA71" i="2"/>
  <c r="AA69" i="2"/>
  <c r="AI99" i="2"/>
  <c r="AA103" i="2"/>
  <c r="AA109" i="2"/>
  <c r="AC133" i="2"/>
  <c r="U169" i="2"/>
  <c r="AI73" i="2"/>
  <c r="Z71" i="2"/>
  <c r="Z69" i="2"/>
  <c r="AA81" i="2"/>
  <c r="AC103" i="2"/>
  <c r="AC109" i="2"/>
  <c r="AD171" i="2"/>
  <c r="AG55" i="2"/>
  <c r="AH73" i="2"/>
  <c r="W71" i="2"/>
  <c r="AD81" i="2"/>
  <c r="AD103" i="2"/>
  <c r="AD109" i="2"/>
  <c r="AC171" i="2"/>
  <c r="AH55" i="2"/>
  <c r="AG73" i="2"/>
  <c r="V71" i="2"/>
  <c r="Z85" i="2"/>
  <c r="AE109" i="2"/>
  <c r="V123" i="2"/>
  <c r="Y171" i="2"/>
  <c r="W171" i="2"/>
  <c r="V171" i="2"/>
  <c r="AD101" i="2"/>
  <c r="AI135" i="2"/>
  <c r="AI69" i="2"/>
  <c r="U99" i="2"/>
  <c r="AG101" i="2"/>
  <c r="AA111" i="2"/>
  <c r="U125" i="2"/>
  <c r="AD135" i="2"/>
  <c r="Y61" i="18"/>
  <c r="V75" i="2"/>
  <c r="AA97" i="2"/>
  <c r="AA55" i="18"/>
  <c r="AE69" i="18"/>
  <c r="U67" i="18"/>
  <c r="W61" i="18"/>
  <c r="U57" i="2"/>
  <c r="AG59" i="2"/>
  <c r="V69" i="2"/>
  <c r="V79" i="2"/>
  <c r="AD85" i="2"/>
  <c r="AI97" i="2"/>
  <c r="W103" i="2"/>
  <c r="Y105" i="2"/>
  <c r="Y111" i="2"/>
  <c r="AH123" i="2"/>
  <c r="AE127" i="2"/>
  <c r="AE131" i="2"/>
  <c r="AI173" i="2"/>
  <c r="AA171" i="2"/>
  <c r="AD169" i="2"/>
  <c r="W78" i="8"/>
  <c r="AB95" i="20"/>
  <c r="AB59" i="17"/>
  <c r="AB71" i="17"/>
  <c r="AF67" i="17"/>
  <c r="AE59" i="2"/>
  <c r="Y67" i="2"/>
  <c r="AD131" i="2"/>
  <c r="AC55" i="18"/>
  <c r="Y69" i="18"/>
  <c r="V61" i="18"/>
  <c r="V57" i="2"/>
  <c r="AI71" i="2"/>
  <c r="U69" i="2"/>
  <c r="W67" i="2"/>
  <c r="W79" i="2"/>
  <c r="Y87" i="2"/>
  <c r="Y103" i="2"/>
  <c r="Z105" i="2"/>
  <c r="Z111" i="2"/>
  <c r="AI123" i="2"/>
  <c r="AH173" i="2"/>
  <c r="Z171" i="2"/>
  <c r="AC169" i="2"/>
  <c r="W46" i="8"/>
  <c r="X77" i="17"/>
  <c r="Z57" i="2"/>
  <c r="V67" i="2"/>
  <c r="Z81" i="2"/>
  <c r="Y95" i="2"/>
  <c r="Z103" i="2"/>
  <c r="AI105" i="2"/>
  <c r="Y173" i="2"/>
  <c r="AA64" i="8"/>
  <c r="W42" i="8"/>
  <c r="X91" i="17"/>
  <c r="AI175" i="2"/>
  <c r="AG57" i="2"/>
  <c r="AI75" i="2"/>
  <c r="AC81" i="2"/>
  <c r="U129" i="2"/>
  <c r="AH175" i="2"/>
  <c r="W173" i="2"/>
  <c r="AF87" i="17"/>
  <c r="AE82" i="8"/>
  <c r="AF105" i="17"/>
  <c r="V129" i="2"/>
  <c r="AG175" i="2"/>
  <c r="V173" i="2"/>
  <c r="AB73" i="20"/>
  <c r="AF77" i="17"/>
  <c r="AF143" i="17"/>
  <c r="AE81" i="2"/>
  <c r="U107" i="2"/>
  <c r="T38" i="8" s="1"/>
  <c r="AE175" i="2"/>
  <c r="AF89" i="17"/>
  <c r="X85" i="17"/>
  <c r="X75" i="20"/>
  <c r="AB87" i="17"/>
  <c r="AF101" i="20"/>
  <c r="W57" i="18"/>
  <c r="Y77" i="18"/>
  <c r="AC57" i="18"/>
  <c r="AE61" i="18"/>
  <c r="AI57" i="2"/>
  <c r="AC75" i="2"/>
  <c r="AH67" i="2"/>
  <c r="U97" i="2"/>
  <c r="U173" i="2"/>
  <c r="AA55" i="19"/>
  <c r="AD57" i="18"/>
  <c r="AC67" i="18"/>
  <c r="AD61" i="18"/>
  <c r="U55" i="2"/>
  <c r="AE61" i="2"/>
  <c r="W73" i="2"/>
  <c r="Y71" i="2"/>
  <c r="AE69" i="2"/>
  <c r="AG67" i="2"/>
  <c r="AE79" i="2"/>
  <c r="AG81" i="2"/>
  <c r="V97" i="2"/>
  <c r="AE99" i="2"/>
  <c r="AH101" i="2"/>
  <c r="V107" i="2"/>
  <c r="AG109" i="2"/>
  <c r="AH125" i="2"/>
  <c r="AE133" i="2"/>
  <c r="AD175" i="2"/>
  <c r="AE46" i="8"/>
  <c r="AA82" i="8"/>
  <c r="X83" i="20"/>
  <c r="W68" i="8"/>
  <c r="AH57" i="2"/>
  <c r="AD75" i="2"/>
  <c r="AG57" i="18"/>
  <c r="AA97" i="18"/>
  <c r="AA67" i="18"/>
  <c r="AE55" i="2"/>
  <c r="AG61" i="2"/>
  <c r="AA75" i="2"/>
  <c r="V73" i="2"/>
  <c r="AD69" i="2"/>
  <c r="X83" i="2"/>
  <c r="Y85" i="2"/>
  <c r="W91" i="2"/>
  <c r="W97" i="2"/>
  <c r="AG99" i="2"/>
  <c r="AI101" i="2"/>
  <c r="AE107" i="2"/>
  <c r="AI125" i="2"/>
  <c r="AG133" i="2"/>
  <c r="AC175" i="2"/>
  <c r="AH169" i="2"/>
  <c r="AE78" i="8"/>
  <c r="AB79" i="17"/>
  <c r="AE76" i="8"/>
  <c r="AB65" i="17"/>
  <c r="X67" i="17"/>
  <c r="X87" i="17"/>
  <c r="Z75" i="2"/>
  <c r="Y97" i="2"/>
  <c r="U105" i="2"/>
  <c r="AG107" i="2"/>
  <c r="AA131" i="2"/>
  <c r="X73" i="20"/>
  <c r="Y75" i="2"/>
  <c r="Z97" i="2"/>
  <c r="V105" i="2"/>
  <c r="AH107" i="2"/>
  <c r="AC131" i="2"/>
  <c r="W74" i="8"/>
  <c r="X87" i="20"/>
  <c r="W105" i="2"/>
  <c r="AI107" i="2"/>
  <c r="AJ57" i="17"/>
  <c r="AF87" i="20"/>
  <c r="AA46" i="8"/>
  <c r="AC55" i="19"/>
  <c r="U119" i="2"/>
  <c r="V119" i="2"/>
  <c r="Z95" i="2"/>
  <c r="AB63" i="20"/>
  <c r="V65" i="2"/>
  <c r="AI65" i="2"/>
  <c r="W65" i="2"/>
  <c r="AC65" i="2"/>
  <c r="AD65" i="2"/>
  <c r="AE65" i="2"/>
  <c r="Y65" i="2"/>
  <c r="Z65" i="2"/>
  <c r="AA65" i="2"/>
  <c r="AD55" i="19"/>
  <c r="AA79" i="18"/>
  <c r="Z79" i="18"/>
  <c r="AE79" i="18"/>
  <c r="Y117" i="2"/>
  <c r="AC117" i="2"/>
  <c r="AI117" i="2"/>
  <c r="AD117" i="2"/>
  <c r="AE117" i="2"/>
  <c r="U93" i="2"/>
  <c r="AH93" i="2"/>
  <c r="AC93" i="2"/>
  <c r="AD93" i="2"/>
  <c r="V93" i="2"/>
  <c r="AI93" i="2"/>
  <c r="W93" i="2"/>
  <c r="Y93" i="2"/>
  <c r="Z93" i="2"/>
  <c r="AA93" i="2"/>
  <c r="Z63" i="2"/>
  <c r="AA63" i="2"/>
  <c r="AC63" i="2"/>
  <c r="V63" i="2"/>
  <c r="AD63" i="2"/>
  <c r="AH63" i="2"/>
  <c r="U63" i="2"/>
  <c r="AE63" i="2"/>
  <c r="AG63" i="2"/>
  <c r="AI63" i="2"/>
  <c r="W95" i="2"/>
  <c r="AD95" i="2"/>
  <c r="V95" i="2"/>
  <c r="U95" i="2"/>
  <c r="AI95" i="2"/>
  <c r="AH95" i="2"/>
  <c r="AG95" i="2"/>
  <c r="AE95" i="2"/>
  <c r="AC95" i="2"/>
  <c r="AC77" i="18"/>
  <c r="AG77" i="18"/>
  <c r="U77" i="18"/>
  <c r="V77" i="18"/>
  <c r="AD77" i="18"/>
  <c r="AE77" i="18"/>
  <c r="AH77" i="18"/>
  <c r="AI77" i="18"/>
  <c r="Z115" i="2"/>
  <c r="AI115" i="2"/>
  <c r="AD115" i="2"/>
  <c r="AC115" i="2"/>
  <c r="AA115" i="2"/>
  <c r="W115" i="2"/>
  <c r="Y91" i="2"/>
  <c r="AH91" i="2"/>
  <c r="Z91" i="2"/>
  <c r="AA91" i="2"/>
  <c r="AC91" i="2"/>
  <c r="AD91" i="2"/>
  <c r="AE91" i="2"/>
  <c r="AG91" i="2"/>
  <c r="AI91" i="2"/>
  <c r="U91" i="2"/>
  <c r="AD61" i="2"/>
  <c r="Z61" i="2"/>
  <c r="AC61" i="2"/>
  <c r="AA61" i="2"/>
  <c r="Y61" i="2"/>
  <c r="W61" i="2"/>
  <c r="V61" i="2"/>
  <c r="U61" i="2"/>
  <c r="AI61" i="2"/>
  <c r="W63" i="2"/>
  <c r="Z117" i="2"/>
  <c r="AG113" i="2"/>
  <c r="AE113" i="2"/>
  <c r="V113" i="2"/>
  <c r="AD113" i="2"/>
  <c r="AC113" i="2"/>
  <c r="AA113" i="2"/>
  <c r="W113" i="2"/>
  <c r="Z113" i="2"/>
  <c r="Y113" i="2"/>
  <c r="AE89" i="2"/>
  <c r="Z89" i="2"/>
  <c r="AG89" i="2"/>
  <c r="U89" i="2"/>
  <c r="AH89" i="2"/>
  <c r="V89" i="2"/>
  <c r="AI89" i="2"/>
  <c r="W89" i="2"/>
  <c r="Y89" i="2"/>
  <c r="AA117" i="2"/>
  <c r="X89" i="17"/>
  <c r="AB85" i="17"/>
  <c r="AH113" i="2"/>
  <c r="Z55" i="19"/>
  <c r="W55" i="19"/>
  <c r="Y55" i="19"/>
  <c r="V55" i="19"/>
  <c r="U55" i="19"/>
  <c r="AI55" i="19"/>
  <c r="AH55" i="19"/>
  <c r="AG55" i="19"/>
  <c r="AG65" i="2"/>
  <c r="AI113" i="2"/>
  <c r="AB77" i="20"/>
  <c r="U65" i="2"/>
  <c r="AG93" i="2"/>
  <c r="AD89" i="2"/>
  <c r="AF59" i="17"/>
  <c r="U59" i="2"/>
  <c r="AB79" i="20"/>
  <c r="AE85" i="2"/>
  <c r="AD87" i="2"/>
  <c r="AH109" i="2"/>
  <c r="AC111" i="2"/>
  <c r="U127" i="2"/>
  <c r="AH133" i="2"/>
  <c r="AG173" i="2"/>
  <c r="AA135" i="2"/>
  <c r="W48" i="8"/>
  <c r="AA48" i="8"/>
  <c r="AB89" i="20"/>
  <c r="AB91" i="17"/>
  <c r="AB87" i="20"/>
  <c r="AF83" i="2"/>
  <c r="AB61" i="20"/>
  <c r="V55" i="2"/>
  <c r="W57" i="2"/>
  <c r="W59" i="2"/>
  <c r="AD73" i="2"/>
  <c r="AH81" i="2"/>
  <c r="AG85" i="2"/>
  <c r="AE87" i="2"/>
  <c r="AE103" i="2"/>
  <c r="AA105" i="2"/>
  <c r="W107" i="2"/>
  <c r="AI109" i="2"/>
  <c r="AD111" i="2"/>
  <c r="V127" i="2"/>
  <c r="Y129" i="2"/>
  <c r="AA175" i="2"/>
  <c r="Z135" i="2"/>
  <c r="AA52" i="8"/>
  <c r="W50" i="8"/>
  <c r="AB97" i="20"/>
  <c r="X79" i="17"/>
  <c r="X61" i="20"/>
  <c r="X77" i="20"/>
  <c r="W55" i="2"/>
  <c r="AI55" i="18"/>
  <c r="Y55" i="2"/>
  <c r="Y57" i="2"/>
  <c r="W75" i="2"/>
  <c r="AC73" i="2"/>
  <c r="U81" i="2"/>
  <c r="AI81" i="2"/>
  <c r="AH85" i="2"/>
  <c r="AG87" i="2"/>
  <c r="AC97" i="2"/>
  <c r="Y99" i="2"/>
  <c r="U101" i="2"/>
  <c r="AG103" i="2"/>
  <c r="AC105" i="2"/>
  <c r="Y107" i="2"/>
  <c r="U109" i="2"/>
  <c r="AE111" i="2"/>
  <c r="Y123" i="2"/>
  <c r="Z125" i="2"/>
  <c r="W127" i="2"/>
  <c r="AE129" i="2"/>
  <c r="Z175" i="2"/>
  <c r="AE173" i="2"/>
  <c r="U171" i="2"/>
  <c r="Z169" i="2"/>
  <c r="Y135" i="2"/>
  <c r="AF71" i="17"/>
  <c r="AF93" i="20"/>
  <c r="X143" i="17"/>
  <c r="AE70" i="8"/>
  <c r="X85" i="20"/>
  <c r="AC87" i="2"/>
  <c r="V59" i="2"/>
  <c r="V81" i="2"/>
  <c r="U85" i="2"/>
  <c r="AI85" i="2"/>
  <c r="AH87" i="2"/>
  <c r="AD97" i="2"/>
  <c r="Z99" i="2"/>
  <c r="V101" i="2"/>
  <c r="AH103" i="2"/>
  <c r="AD105" i="2"/>
  <c r="Z107" i="2"/>
  <c r="V109" i="2"/>
  <c r="AG111" i="2"/>
  <c r="AC123" i="2"/>
  <c r="AA125" i="2"/>
  <c r="Y127" i="2"/>
  <c r="AG129" i="2"/>
  <c r="Y175" i="2"/>
  <c r="AD173" i="2"/>
  <c r="AI171" i="2"/>
  <c r="Y169" i="2"/>
  <c r="AE50" i="8"/>
  <c r="W80" i="8"/>
  <c r="AE52" i="8"/>
  <c r="AB83" i="20"/>
  <c r="X59" i="20"/>
  <c r="AF85" i="20"/>
  <c r="X63" i="20"/>
  <c r="AC135" i="2"/>
  <c r="U55" i="18"/>
  <c r="Y57" i="18"/>
  <c r="AH67" i="18"/>
  <c r="AA55" i="2"/>
  <c r="AA57" i="2"/>
  <c r="Z59" i="2"/>
  <c r="AH75" i="2"/>
  <c r="U75" i="2"/>
  <c r="Z73" i="2"/>
  <c r="Y69" i="2"/>
  <c r="AE67" i="2"/>
  <c r="W81" i="2"/>
  <c r="V85" i="2"/>
  <c r="U87" i="2"/>
  <c r="AI87" i="2"/>
  <c r="AE97" i="2"/>
  <c r="AA99" i="2"/>
  <c r="W101" i="2"/>
  <c r="AI103" i="2"/>
  <c r="AE105" i="2"/>
  <c r="AA107" i="2"/>
  <c r="W109" i="2"/>
  <c r="AH111" i="2"/>
  <c r="AD123" i="2"/>
  <c r="AC125" i="2"/>
  <c r="Z127" i="2"/>
  <c r="AH129" i="2"/>
  <c r="V133" i="2"/>
  <c r="W175" i="2"/>
  <c r="AC173" i="2"/>
  <c r="AH171" i="2"/>
  <c r="AF69" i="20"/>
  <c r="X89" i="20"/>
  <c r="AE74" i="8"/>
  <c r="AF57" i="17"/>
  <c r="AE54" i="8"/>
  <c r="AB73" i="17"/>
  <c r="W72" i="8"/>
  <c r="W55" i="18"/>
  <c r="Z57" i="18"/>
  <c r="AE67" i="18"/>
  <c r="AC55" i="2"/>
  <c r="AC57" i="2"/>
  <c r="AA59" i="2"/>
  <c r="AG75" i="2"/>
  <c r="Y73" i="2"/>
  <c r="AE71" i="2"/>
  <c r="AD67" i="2"/>
  <c r="V87" i="2"/>
  <c r="AG97" i="2"/>
  <c r="AC99" i="2"/>
  <c r="Y101" i="2"/>
  <c r="U103" i="2"/>
  <c r="AG105" i="2"/>
  <c r="AC107" i="2"/>
  <c r="Y109" i="2"/>
  <c r="U111" i="2"/>
  <c r="AI111" i="2"/>
  <c r="AE123" i="2"/>
  <c r="AD125" i="2"/>
  <c r="AA127" i="2"/>
  <c r="AI129" i="2"/>
  <c r="W133" i="2"/>
  <c r="V175" i="2"/>
  <c r="AA173" i="2"/>
  <c r="AG171" i="2"/>
  <c r="W169" i="2"/>
  <c r="AB71" i="20"/>
  <c r="AF79" i="17"/>
  <c r="AF71" i="20"/>
  <c r="AB101" i="20"/>
  <c r="AF63" i="17"/>
  <c r="AF65" i="17"/>
  <c r="AH59" i="2"/>
  <c r="AI59" i="2"/>
  <c r="Z55" i="2"/>
  <c r="Y59" i="2"/>
  <c r="V55" i="18"/>
  <c r="AA57" i="18"/>
  <c r="AD67" i="18"/>
  <c r="AB83" i="2"/>
  <c r="AG123" i="2"/>
  <c r="AE125" i="2"/>
  <c r="AD127" i="2"/>
  <c r="Y133" i="2"/>
  <c r="AI169" i="2"/>
  <c r="AE56" i="8"/>
  <c r="AA50" i="8"/>
  <c r="AF59" i="20"/>
  <c r="X105" i="17"/>
  <c r="AB89" i="17"/>
  <c r="AB143" i="17"/>
  <c r="AF61" i="20"/>
  <c r="AF77" i="20"/>
  <c r="W36" i="8"/>
  <c r="AG121" i="2"/>
  <c r="W119" i="2"/>
  <c r="Y119" i="2"/>
  <c r="AC119" i="2"/>
  <c r="W129" i="2"/>
  <c r="AG131" i="2"/>
  <c r="AD119" i="2"/>
  <c r="Y121" i="2"/>
  <c r="U123" i="2"/>
  <c r="AG125" i="2"/>
  <c r="AC127" i="2"/>
  <c r="AH131" i="2"/>
  <c r="AD133" i="2"/>
  <c r="W135" i="2"/>
  <c r="AH121" i="2"/>
  <c r="AI121" i="2"/>
  <c r="AE119" i="2"/>
  <c r="AG119" i="2"/>
  <c r="AG135" i="2"/>
  <c r="Z119" i="2"/>
  <c r="V121" i="2"/>
  <c r="AA119" i="2"/>
  <c r="U131" i="2"/>
  <c r="V135" i="2"/>
  <c r="AA121" i="2"/>
  <c r="V131" i="2"/>
  <c r="AH135" i="2"/>
  <c r="U135" i="2"/>
  <c r="AH119" i="2"/>
  <c r="AG127" i="2"/>
  <c r="AA129" i="2"/>
  <c r="W131" i="2"/>
  <c r="AI119" i="2"/>
  <c r="AD121" i="2"/>
  <c r="Z123" i="2"/>
  <c r="V125" i="2"/>
  <c r="AH127" i="2"/>
  <c r="AC129" i="2"/>
  <c r="Y131" i="2"/>
  <c r="AI133" i="2"/>
  <c r="U121" i="2"/>
  <c r="W121" i="2"/>
  <c r="Z121" i="2"/>
  <c r="AI131" i="2"/>
  <c r="Z129" i="2"/>
  <c r="AC121" i="2"/>
  <c r="AG117" i="2"/>
  <c r="AH117" i="2"/>
  <c r="V117" i="2"/>
  <c r="U117" i="2"/>
  <c r="W117" i="2"/>
  <c r="AE115" i="2"/>
  <c r="AG115" i="2"/>
  <c r="AH115" i="2"/>
  <c r="U115" i="2"/>
  <c r="V115" i="2"/>
  <c r="Y115" i="2"/>
  <c r="W70" i="8"/>
  <c r="AA42" i="8"/>
  <c r="AE72" i="8"/>
  <c r="AA34" i="8"/>
  <c r="AA36" i="8"/>
  <c r="W56" i="8"/>
  <c r="AE64" i="8"/>
  <c r="W62" i="8"/>
  <c r="W54" i="8"/>
  <c r="W60" i="8"/>
  <c r="AA60" i="8"/>
  <c r="AA54" i="8"/>
  <c r="AA80" i="8"/>
  <c r="AE58" i="8"/>
  <c r="W82" i="8"/>
  <c r="AE36" i="8"/>
  <c r="AA58" i="8"/>
  <c r="AE62" i="8"/>
  <c r="V73" i="18"/>
  <c r="W73" i="18"/>
  <c r="AD59" i="18"/>
  <c r="V99" i="18"/>
  <c r="AI73" i="18"/>
  <c r="U73" i="18"/>
  <c r="V63" i="18"/>
  <c r="Z59" i="18"/>
  <c r="AE57" i="18"/>
  <c r="AE59" i="18"/>
  <c r="U99" i="18"/>
  <c r="AH73" i="18"/>
  <c r="AI63" i="18"/>
  <c r="U63" i="18"/>
  <c r="AA59" i="18"/>
  <c r="AI99" i="18"/>
  <c r="AG73" i="18"/>
  <c r="AH57" i="18"/>
  <c r="AH59" i="18"/>
  <c r="AE73" i="18"/>
  <c r="W69" i="18"/>
  <c r="AG63" i="18"/>
  <c r="AC59" i="18"/>
  <c r="AG59" i="18"/>
  <c r="AI57" i="18"/>
  <c r="AI59" i="18"/>
  <c r="AD73" i="18"/>
  <c r="AD71" i="18"/>
  <c r="AE63" i="18"/>
  <c r="U57" i="18"/>
  <c r="U59" i="18"/>
  <c r="AG97" i="18"/>
  <c r="V83" i="18"/>
  <c r="AC73" i="18"/>
  <c r="AD63" i="18"/>
  <c r="AI83" i="18"/>
  <c r="AB77" i="2"/>
  <c r="X77" i="2"/>
  <c r="AF77" i="2"/>
  <c r="AH99" i="18"/>
  <c r="W97" i="18"/>
  <c r="Z71" i="18"/>
  <c r="AI69" i="18"/>
  <c r="U69" i="18"/>
  <c r="AA71" i="18"/>
  <c r="AG99" i="18"/>
  <c r="AE99" i="18"/>
  <c r="V97" i="18"/>
  <c r="AI79" i="18"/>
  <c r="Y71" i="18"/>
  <c r="AH69" i="18"/>
  <c r="AD99" i="18"/>
  <c r="AH79" i="18"/>
  <c r="W71" i="18"/>
  <c r="AG69" i="18"/>
  <c r="AI97" i="18"/>
  <c r="U97" i="18"/>
  <c r="AC99" i="18"/>
  <c r="AH97" i="18"/>
  <c r="AG79" i="18"/>
  <c r="V71" i="18"/>
  <c r="V67" i="18"/>
  <c r="AI71" i="18"/>
  <c r="AH71" i="18"/>
  <c r="AD69" i="18"/>
  <c r="Y99" i="18"/>
  <c r="AE97" i="18"/>
  <c r="AD79" i="18"/>
  <c r="AG71" i="18"/>
  <c r="AC69" i="18"/>
  <c r="AA99" i="18"/>
  <c r="U71" i="18"/>
  <c r="AC79" i="18"/>
  <c r="AA69" i="18"/>
  <c r="AC71" i="18"/>
  <c r="Z99" i="18"/>
  <c r="AD97" i="18"/>
  <c r="AJ100" i="18"/>
  <c r="AJ98" i="18"/>
  <c r="AJ84" i="18"/>
  <c r="AK84" i="18" s="1"/>
  <c r="AJ80" i="18"/>
  <c r="AJ78" i="18"/>
  <c r="AJ74" i="18"/>
  <c r="AK74" i="18" s="1"/>
  <c r="AJ72" i="18"/>
  <c r="AJ70" i="18"/>
  <c r="AJ68" i="18"/>
  <c r="AJ66" i="18"/>
  <c r="AK66" i="18" s="1"/>
  <c r="AJ64" i="18"/>
  <c r="AK64" i="18" s="1"/>
  <c r="AJ62" i="18"/>
  <c r="AJ60" i="18"/>
  <c r="AF60" i="18"/>
  <c r="AB60" i="18"/>
  <c r="X60" i="18"/>
  <c r="AJ58" i="18"/>
  <c r="AF58" i="18"/>
  <c r="AB58" i="18"/>
  <c r="X58" i="18"/>
  <c r="AJ56" i="18"/>
  <c r="AF56" i="18"/>
  <c r="AB56" i="18"/>
  <c r="AJ56" i="19"/>
  <c r="AJ58" i="19"/>
  <c r="AJ60" i="19"/>
  <c r="AJ62" i="19"/>
  <c r="AJ64" i="19"/>
  <c r="AJ66" i="19"/>
  <c r="AJ68" i="19"/>
  <c r="AJ70" i="19"/>
  <c r="AJ72" i="19"/>
  <c r="AJ74" i="19"/>
  <c r="AJ76" i="19"/>
  <c r="AJ78" i="19"/>
  <c r="AJ80" i="19"/>
  <c r="AJ82" i="19"/>
  <c r="AJ84" i="19"/>
  <c r="AJ86" i="19"/>
  <c r="AJ88" i="19"/>
  <c r="AJ90" i="19"/>
  <c r="AJ92" i="19"/>
  <c r="AJ94" i="19"/>
  <c r="AJ96" i="19"/>
  <c r="AJ98" i="19"/>
  <c r="AJ100" i="19"/>
  <c r="AJ102" i="19"/>
  <c r="AJ104" i="19"/>
  <c r="AJ106" i="19"/>
  <c r="AJ108" i="19"/>
  <c r="AJ110" i="19"/>
  <c r="AJ112" i="19"/>
  <c r="AJ114" i="19"/>
  <c r="AJ116" i="19"/>
  <c r="AJ118" i="19"/>
  <c r="AJ120" i="19"/>
  <c r="AJ122" i="19"/>
  <c r="AJ124" i="19"/>
  <c r="AF56" i="19"/>
  <c r="AF58" i="19"/>
  <c r="AF60" i="19"/>
  <c r="AF62" i="19"/>
  <c r="AF64" i="19"/>
  <c r="AF66" i="19"/>
  <c r="AF68" i="19"/>
  <c r="AF70" i="19"/>
  <c r="AF72" i="19"/>
  <c r="AF74" i="19"/>
  <c r="AF76" i="19"/>
  <c r="AF78" i="19"/>
  <c r="AF80" i="19"/>
  <c r="AF82" i="19"/>
  <c r="AF84" i="19"/>
  <c r="AF86" i="19"/>
  <c r="AF88" i="19"/>
  <c r="AF90" i="19"/>
  <c r="AF92" i="19"/>
  <c r="AF94" i="19"/>
  <c r="AF96" i="19"/>
  <c r="AF98" i="19"/>
  <c r="AF100" i="19"/>
  <c r="AF102" i="19"/>
  <c r="AF104" i="19"/>
  <c r="AF106" i="19"/>
  <c r="AF108" i="19"/>
  <c r="AF110" i="19"/>
  <c r="AF112" i="19"/>
  <c r="AF114" i="19"/>
  <c r="AF116" i="19"/>
  <c r="AF118" i="19"/>
  <c r="AF120" i="19"/>
  <c r="AF122" i="19"/>
  <c r="AF124" i="19"/>
  <c r="AB56" i="19"/>
  <c r="AB58" i="19"/>
  <c r="AB60" i="19"/>
  <c r="AB62" i="19"/>
  <c r="AB64" i="19"/>
  <c r="AB66" i="19"/>
  <c r="AB68" i="19"/>
  <c r="AB70" i="19"/>
  <c r="AB72" i="19"/>
  <c r="AB74" i="19"/>
  <c r="AB76" i="19"/>
  <c r="AB78" i="19"/>
  <c r="AB80" i="19"/>
  <c r="AB82" i="19"/>
  <c r="AB84" i="19"/>
  <c r="AB86" i="19"/>
  <c r="AB88" i="19"/>
  <c r="AB90" i="19"/>
  <c r="AB92" i="19"/>
  <c r="AB94" i="19"/>
  <c r="AB96" i="19"/>
  <c r="AB98" i="19"/>
  <c r="AB100" i="19"/>
  <c r="AB102" i="19"/>
  <c r="AB104" i="19"/>
  <c r="AB106" i="19"/>
  <c r="AB108" i="19"/>
  <c r="AB110" i="19"/>
  <c r="AB112" i="19"/>
  <c r="AB114" i="19"/>
  <c r="AB116" i="19"/>
  <c r="AB118" i="19"/>
  <c r="AB120" i="19"/>
  <c r="AB122" i="19"/>
  <c r="AB124" i="19"/>
  <c r="X56" i="19"/>
  <c r="X58" i="19"/>
  <c r="X60" i="19"/>
  <c r="X62" i="19"/>
  <c r="X64" i="19"/>
  <c r="X66" i="19"/>
  <c r="X68" i="19"/>
  <c r="X70" i="19"/>
  <c r="X72" i="19"/>
  <c r="X74" i="19"/>
  <c r="X76" i="19"/>
  <c r="X78" i="19"/>
  <c r="X80" i="19"/>
  <c r="X82" i="19"/>
  <c r="X84" i="19"/>
  <c r="X86" i="19"/>
  <c r="X90" i="19"/>
  <c r="X92" i="19"/>
  <c r="X94" i="19"/>
  <c r="X96" i="19"/>
  <c r="X98" i="19"/>
  <c r="X100" i="19"/>
  <c r="X102" i="19"/>
  <c r="X104" i="19"/>
  <c r="X106" i="19"/>
  <c r="X108" i="19"/>
  <c r="X110" i="19"/>
  <c r="X112" i="19"/>
  <c r="X114" i="19"/>
  <c r="X116" i="19"/>
  <c r="X118" i="19"/>
  <c r="X120" i="19"/>
  <c r="X122" i="19"/>
  <c r="X124" i="19"/>
  <c r="U121" i="19"/>
  <c r="V121" i="19"/>
  <c r="W121" i="19"/>
  <c r="Y121" i="19"/>
  <c r="Z121" i="19"/>
  <c r="AF57" i="19" l="1"/>
  <c r="AF113" i="19"/>
  <c r="AJ75" i="19"/>
  <c r="X81" i="19"/>
  <c r="AB73" i="19"/>
  <c r="AF89" i="19"/>
  <c r="AB85" i="19"/>
  <c r="AF103" i="19"/>
  <c r="X75" i="19"/>
  <c r="X93" i="19"/>
  <c r="AF73" i="19"/>
  <c r="AF97" i="19"/>
  <c r="AE153" i="17"/>
  <c r="AB71" i="19"/>
  <c r="AF85" i="19"/>
  <c r="AC115" i="18"/>
  <c r="AB115" i="18"/>
  <c r="W153" i="19"/>
  <c r="U115" i="18"/>
  <c r="X115" i="18"/>
  <c r="AB91" i="19"/>
  <c r="AJ83" i="19"/>
  <c r="AA115" i="18"/>
  <c r="AJ117" i="19"/>
  <c r="AD153" i="19"/>
  <c r="AJ73" i="19"/>
  <c r="S115" i="18"/>
  <c r="W115" i="18"/>
  <c r="AD115" i="18"/>
  <c r="X103" i="19"/>
  <c r="Z115" i="18"/>
  <c r="AF61" i="19"/>
  <c r="V115" i="18"/>
  <c r="X89" i="19"/>
  <c r="T115" i="18"/>
  <c r="Y115" i="18"/>
  <c r="X59" i="19"/>
  <c r="AB59" i="19"/>
  <c r="AF59" i="19"/>
  <c r="AJ59" i="19"/>
  <c r="AB61" i="19"/>
  <c r="X61" i="19"/>
  <c r="AJ63" i="19"/>
  <c r="X63" i="19"/>
  <c r="AJ67" i="19"/>
  <c r="X67" i="19"/>
  <c r="AF71" i="19"/>
  <c r="X73" i="19"/>
  <c r="AF81" i="19"/>
  <c r="AJ81" i="19"/>
  <c r="AF83" i="19"/>
  <c r="X85" i="19"/>
  <c r="AB89" i="19"/>
  <c r="AF91" i="19"/>
  <c r="AJ93" i="19"/>
  <c r="AB93" i="19"/>
  <c r="X95" i="19"/>
  <c r="AJ95" i="19"/>
  <c r="AJ97" i="19"/>
  <c r="X99" i="19"/>
  <c r="AB99" i="19"/>
  <c r="AB185" i="2"/>
  <c r="AF93" i="19"/>
  <c r="AB95" i="19"/>
  <c r="AB97" i="19"/>
  <c r="X101" i="19"/>
  <c r="U185" i="2"/>
  <c r="Y185" i="2"/>
  <c r="AB101" i="19"/>
  <c r="AJ103" i="19"/>
  <c r="AB103" i="19"/>
  <c r="X113" i="19"/>
  <c r="AJ113" i="19"/>
  <c r="AB113" i="19"/>
  <c r="AB117" i="19"/>
  <c r="AF117" i="19"/>
  <c r="X117" i="19"/>
  <c r="X57" i="19"/>
  <c r="AB57" i="19"/>
  <c r="AJ57" i="19"/>
  <c r="AA185" i="2"/>
  <c r="AD185" i="2"/>
  <c r="AE185" i="2"/>
  <c r="W185" i="2"/>
  <c r="Z185" i="2"/>
  <c r="AC185" i="2"/>
  <c r="T185" i="2"/>
  <c r="AF75" i="19"/>
  <c r="AB75" i="19"/>
  <c r="AB83" i="19"/>
  <c r="X83" i="19"/>
  <c r="AJ85" i="19"/>
  <c r="AJ89" i="19"/>
  <c r="X91" i="19"/>
  <c r="AJ91" i="19"/>
  <c r="AF95" i="19"/>
  <c r="X97" i="19"/>
  <c r="AF99" i="19"/>
  <c r="AJ99" i="19"/>
  <c r="AF101" i="19"/>
  <c r="AJ101" i="19"/>
  <c r="V185" i="2"/>
  <c r="X185" i="2"/>
  <c r="AJ61" i="19"/>
  <c r="AF63" i="19"/>
  <c r="AB63" i="19"/>
  <c r="AB67" i="19"/>
  <c r="AF67" i="19"/>
  <c r="X71" i="19"/>
  <c r="AJ71" i="19"/>
  <c r="AB81" i="19"/>
  <c r="V153" i="19"/>
  <c r="AE111" i="20"/>
  <c r="AB153" i="19"/>
  <c r="U153" i="19"/>
  <c r="T153" i="19"/>
  <c r="S153" i="19"/>
  <c r="AC153" i="19"/>
  <c r="AA153" i="19"/>
  <c r="Z153" i="19"/>
  <c r="Y153" i="19"/>
  <c r="X153" i="19"/>
  <c r="AU53" i="18"/>
  <c r="D5" i="18" s="1"/>
  <c r="AV53" i="18"/>
  <c r="C5" i="18" s="1"/>
  <c r="AV53" i="2"/>
  <c r="C5" i="2" s="1"/>
  <c r="AU53" i="2"/>
  <c r="D5" i="2" s="1"/>
  <c r="AT53" i="19"/>
  <c r="D5" i="19" s="1"/>
  <c r="AU53" i="19"/>
  <c r="C5" i="19" s="1"/>
  <c r="AK122" i="19"/>
  <c r="S147" i="19"/>
  <c r="T147" i="19"/>
  <c r="AG38" i="8"/>
  <c r="U38" i="8"/>
  <c r="AH38" i="8"/>
  <c r="V38" i="8"/>
  <c r="X38" i="8"/>
  <c r="Y38" i="8"/>
  <c r="Z38" i="8"/>
  <c r="AB38" i="8"/>
  <c r="AC38" i="8"/>
  <c r="AD38" i="8"/>
  <c r="AF38" i="8"/>
  <c r="Z40" i="8"/>
  <c r="Q92" i="8" s="1"/>
  <c r="Y40" i="8"/>
  <c r="P92" i="8" s="1"/>
  <c r="AB40" i="8"/>
  <c r="R92" i="8" s="1"/>
  <c r="X40" i="8"/>
  <c r="O92" i="8" s="1"/>
  <c r="V40" i="8"/>
  <c r="N92" i="8" s="1"/>
  <c r="U40" i="8"/>
  <c r="M92" i="8" s="1"/>
  <c r="T40" i="8"/>
  <c r="L92" i="8" s="1"/>
  <c r="AD44" i="8"/>
  <c r="AB44" i="8"/>
  <c r="AH44" i="8"/>
  <c r="U44" i="8"/>
  <c r="T44" i="8"/>
  <c r="AF44" i="8"/>
  <c r="V44" i="8"/>
  <c r="AG44" i="8"/>
  <c r="AC44" i="8"/>
  <c r="Z44" i="8"/>
  <c r="X44" i="8"/>
  <c r="Y44" i="8"/>
  <c r="AB81" i="2"/>
  <c r="X83" i="18"/>
  <c r="AB101" i="2"/>
  <c r="AF65" i="18"/>
  <c r="AF61" i="18"/>
  <c r="U31" i="8"/>
  <c r="AB175" i="2"/>
  <c r="X77" i="18"/>
  <c r="AB83" i="18"/>
  <c r="AF59" i="2"/>
  <c r="AB73" i="18"/>
  <c r="AB77" i="18"/>
  <c r="X99" i="2"/>
  <c r="AB171" i="2"/>
  <c r="X103" i="2"/>
  <c r="AB97" i="18"/>
  <c r="AB131" i="2"/>
  <c r="AB67" i="2"/>
  <c r="X61" i="18"/>
  <c r="AB121" i="2"/>
  <c r="AF97" i="18"/>
  <c r="X71" i="2"/>
  <c r="X65" i="18"/>
  <c r="AB67" i="18"/>
  <c r="AD11" i="8"/>
  <c r="AD12" i="8" s="1"/>
  <c r="AD13" i="8" s="1"/>
  <c r="AD14" i="8" s="1"/>
  <c r="AF89" i="2"/>
  <c r="AF101" i="2"/>
  <c r="AF171" i="2"/>
  <c r="AF135" i="2"/>
  <c r="AB135" i="2"/>
  <c r="AF99" i="2"/>
  <c r="AB87" i="2"/>
  <c r="AB123" i="2"/>
  <c r="AB173" i="2"/>
  <c r="AB79" i="2"/>
  <c r="AB69" i="2"/>
  <c r="X123" i="2"/>
  <c r="AB69" i="18"/>
  <c r="AJ55" i="18"/>
  <c r="AF67" i="18"/>
  <c r="AF55" i="18"/>
  <c r="AB65" i="18"/>
  <c r="AB61" i="18"/>
  <c r="AF83" i="18"/>
  <c r="X67" i="18"/>
  <c r="AJ63" i="18"/>
  <c r="AB55" i="18"/>
  <c r="AF57" i="18"/>
  <c r="AB63" i="18"/>
  <c r="AB117" i="2"/>
  <c r="X67" i="2"/>
  <c r="AB71" i="2"/>
  <c r="X59" i="18"/>
  <c r="X59" i="2"/>
  <c r="X57" i="18"/>
  <c r="X79" i="18"/>
  <c r="AJ83" i="18"/>
  <c r="AF129" i="2"/>
  <c r="X133" i="2"/>
  <c r="X175" i="2"/>
  <c r="AB85" i="2"/>
  <c r="AB95" i="2"/>
  <c r="X79" i="2"/>
  <c r="X125" i="2"/>
  <c r="AF127" i="2"/>
  <c r="AF67" i="2"/>
  <c r="AF75" i="2"/>
  <c r="AF175" i="2"/>
  <c r="AB115" i="2"/>
  <c r="AF71" i="2"/>
  <c r="AB61" i="2"/>
  <c r="AF95" i="2"/>
  <c r="X111" i="2"/>
  <c r="AF109" i="2"/>
  <c r="AF61" i="2"/>
  <c r="X73" i="2"/>
  <c r="X69" i="2"/>
  <c r="X169" i="2"/>
  <c r="AF107" i="2"/>
  <c r="X105" i="2"/>
  <c r="AF79" i="2"/>
  <c r="AF103" i="2"/>
  <c r="X75" i="2"/>
  <c r="AB133" i="2"/>
  <c r="AF69" i="2"/>
  <c r="AF131" i="2"/>
  <c r="AB103" i="2"/>
  <c r="AF81" i="2"/>
  <c r="AF133" i="2"/>
  <c r="AB109" i="2"/>
  <c r="X107" i="2"/>
  <c r="AF173" i="2"/>
  <c r="X171" i="2"/>
  <c r="X129" i="2"/>
  <c r="AB169" i="2"/>
  <c r="AB105" i="2"/>
  <c r="AF85" i="2"/>
  <c r="AB111" i="2"/>
  <c r="AB75" i="2"/>
  <c r="AF63" i="18"/>
  <c r="AF73" i="2"/>
  <c r="X63" i="2"/>
  <c r="AF91" i="2"/>
  <c r="AB79" i="18"/>
  <c r="X173" i="2"/>
  <c r="X97" i="2"/>
  <c r="AB63" i="2"/>
  <c r="AF79" i="18"/>
  <c r="AJ59" i="18"/>
  <c r="X99" i="18"/>
  <c r="AF169" i="2"/>
  <c r="AF59" i="18"/>
  <c r="X65" i="2"/>
  <c r="X113" i="2"/>
  <c r="X91" i="2"/>
  <c r="AF115" i="2"/>
  <c r="AF77" i="18"/>
  <c r="X95" i="2"/>
  <c r="X87" i="2"/>
  <c r="AF111" i="2"/>
  <c r="X89" i="2"/>
  <c r="AB113" i="2"/>
  <c r="AF125" i="2"/>
  <c r="AB125" i="2"/>
  <c r="X55" i="18"/>
  <c r="AB57" i="18"/>
  <c r="AF63" i="2"/>
  <c r="AB97" i="2"/>
  <c r="X119" i="2"/>
  <c r="X93" i="2"/>
  <c r="AB127" i="2"/>
  <c r="AF113" i="2"/>
  <c r="AB65" i="2"/>
  <c r="AB107" i="2"/>
  <c r="AB89" i="2"/>
  <c r="X85" i="2"/>
  <c r="X101" i="2"/>
  <c r="AF123" i="2"/>
  <c r="AB99" i="2"/>
  <c r="AF117" i="2"/>
  <c r="AF105" i="2"/>
  <c r="X121" i="19"/>
  <c r="AB59" i="18"/>
  <c r="AF97" i="2"/>
  <c r="X61" i="2"/>
  <c r="AB93" i="2"/>
  <c r="AF65" i="2"/>
  <c r="AF73" i="18"/>
  <c r="AB73" i="2"/>
  <c r="AF87" i="2"/>
  <c r="X127" i="2"/>
  <c r="X69" i="18"/>
  <c r="AB59" i="2"/>
  <c r="AB91" i="2"/>
  <c r="AF93" i="2"/>
  <c r="X81" i="2"/>
  <c r="X109" i="2"/>
  <c r="AF121" i="2"/>
  <c r="AF119" i="2"/>
  <c r="AB119" i="2"/>
  <c r="AB129" i="2"/>
  <c r="X121" i="2"/>
  <c r="X131" i="2"/>
  <c r="X135" i="2"/>
  <c r="X117" i="2"/>
  <c r="X115" i="2"/>
  <c r="X73" i="18"/>
  <c r="X63" i="18"/>
  <c r="AF71" i="18"/>
  <c r="X71" i="18"/>
  <c r="AF99" i="18"/>
  <c r="AB71" i="18"/>
  <c r="AB99" i="18"/>
  <c r="X97" i="18"/>
  <c r="AF69" i="18"/>
  <c r="AJ99" i="18"/>
  <c r="AJ57" i="18"/>
  <c r="AJ61" i="18"/>
  <c r="AJ67" i="18"/>
  <c r="AJ71" i="18"/>
  <c r="AJ77" i="18"/>
  <c r="AJ73" i="18"/>
  <c r="AJ65" i="18"/>
  <c r="AK58" i="18"/>
  <c r="AJ69" i="18"/>
  <c r="AJ79" i="18"/>
  <c r="AJ97" i="18"/>
  <c r="AK70" i="18"/>
  <c r="AK80" i="18"/>
  <c r="AK98" i="18"/>
  <c r="AK60" i="18"/>
  <c r="AK100" i="18"/>
  <c r="AK62" i="18"/>
  <c r="AK68" i="18"/>
  <c r="AK72" i="18"/>
  <c r="AK78" i="18"/>
  <c r="AF121" i="19"/>
  <c r="AB121" i="19"/>
  <c r="AK56" i="18"/>
  <c r="E9" i="18" s="1"/>
  <c r="AJ121" i="19"/>
  <c r="D447" i="38"/>
  <c r="D445" i="38"/>
  <c r="J85" i="24"/>
  <c r="J75" i="24"/>
  <c r="J37" i="24"/>
  <c r="AE115" i="18" l="1"/>
  <c r="AF185" i="2"/>
  <c r="D425" i="38"/>
  <c r="K75" i="24"/>
  <c r="D439" i="38"/>
  <c r="D387" i="38"/>
  <c r="K37" i="24"/>
  <c r="D435" i="38"/>
  <c r="K85" i="24"/>
  <c r="AW85" i="24" s="1"/>
  <c r="L102" i="34"/>
  <c r="L101" i="34"/>
  <c r="L103" i="34"/>
  <c r="L100" i="34"/>
  <c r="E12" i="18"/>
  <c r="E11" i="18"/>
  <c r="E14" i="18"/>
  <c r="S150" i="19"/>
  <c r="T150" i="19" s="1"/>
  <c r="S86" i="8"/>
  <c r="AE38" i="8"/>
  <c r="W38" i="8"/>
  <c r="AA38" i="8"/>
  <c r="AK63" i="18"/>
  <c r="AA40" i="8"/>
  <c r="W40" i="8"/>
  <c r="AE40" i="8"/>
  <c r="AA44" i="8"/>
  <c r="W44" i="8"/>
  <c r="AE44" i="8"/>
  <c r="AK55" i="18"/>
  <c r="AK59" i="18"/>
  <c r="AK73" i="18"/>
  <c r="AF95" i="24"/>
  <c r="V95" i="24"/>
  <c r="AE95" i="24"/>
  <c r="AD95" i="24"/>
  <c r="AH95" i="24"/>
  <c r="AI95" i="24"/>
  <c r="Z95" i="24"/>
  <c r="AJ95" i="24"/>
  <c r="AA95" i="24"/>
  <c r="W95" i="24"/>
  <c r="AB95" i="24"/>
  <c r="X95" i="24"/>
  <c r="V97" i="24"/>
  <c r="W83" i="24"/>
  <c r="V83" i="24"/>
  <c r="AK83" i="18"/>
  <c r="AK99" i="18"/>
  <c r="AK71" i="18"/>
  <c r="AK61" i="18"/>
  <c r="AK65" i="18"/>
  <c r="AK67" i="18"/>
  <c r="AK57" i="18"/>
  <c r="AK77" i="18"/>
  <c r="AK79" i="18"/>
  <c r="AK69" i="18"/>
  <c r="AK97" i="18"/>
  <c r="AH37" i="24" l="1"/>
  <c r="AW37" i="24"/>
  <c r="AV37" i="24"/>
  <c r="AW75" i="24"/>
  <c r="AV75" i="24"/>
  <c r="V75" i="24"/>
  <c r="AH75" i="24"/>
  <c r="AF75" i="24"/>
  <c r="AA37" i="24"/>
  <c r="AA75" i="24"/>
  <c r="X75" i="24"/>
  <c r="AF37" i="24"/>
  <c r="AD37" i="24"/>
  <c r="AD75" i="24"/>
  <c r="AB37" i="24"/>
  <c r="AJ75" i="24"/>
  <c r="Z75" i="24"/>
  <c r="W75" i="24"/>
  <c r="Z37" i="24"/>
  <c r="AE75" i="24"/>
  <c r="AI75" i="24"/>
  <c r="AB75" i="24"/>
  <c r="W85" i="24"/>
  <c r="X37" i="24"/>
  <c r="AJ37" i="24"/>
  <c r="W37" i="24"/>
  <c r="AI37" i="24"/>
  <c r="V37" i="24"/>
  <c r="V85" i="24"/>
  <c r="AE37" i="24"/>
  <c r="E15" i="18"/>
  <c r="G5" i="18"/>
  <c r="AG95" i="24"/>
  <c r="Y95" i="24"/>
  <c r="AC95" i="24"/>
  <c r="AP128" i="2"/>
  <c r="AJ128" i="2"/>
  <c r="AP127" i="2"/>
  <c r="AO127" i="2"/>
  <c r="AJ127" i="2"/>
  <c r="AP126" i="2"/>
  <c r="AJ126" i="2"/>
  <c r="AP125" i="2"/>
  <c r="AO125" i="2"/>
  <c r="AJ125" i="2"/>
  <c r="AP124" i="2"/>
  <c r="AJ124" i="2"/>
  <c r="AP123" i="2"/>
  <c r="AO123" i="2"/>
  <c r="AJ123" i="2"/>
  <c r="AP122" i="2"/>
  <c r="AJ122" i="2"/>
  <c r="AP121" i="2"/>
  <c r="AO121" i="2"/>
  <c r="AJ121" i="2"/>
  <c r="AP120" i="2"/>
  <c r="AJ120" i="2"/>
  <c r="AK120" i="2" s="1"/>
  <c r="AP119" i="2"/>
  <c r="AO119" i="2"/>
  <c r="AJ119" i="2"/>
  <c r="AP118" i="2"/>
  <c r="AJ118" i="2"/>
  <c r="AP117" i="2"/>
  <c r="AO117" i="2"/>
  <c r="AJ117" i="2"/>
  <c r="AP116" i="2"/>
  <c r="AJ116" i="2"/>
  <c r="AP115" i="2"/>
  <c r="AO115" i="2"/>
  <c r="AJ115" i="2"/>
  <c r="AP114" i="2"/>
  <c r="AJ114" i="2"/>
  <c r="AP113" i="2"/>
  <c r="AO113" i="2"/>
  <c r="AJ113" i="2"/>
  <c r="AP112" i="2"/>
  <c r="AJ112" i="2"/>
  <c r="AP111" i="2"/>
  <c r="AO111" i="2"/>
  <c r="AJ111" i="2"/>
  <c r="AP110" i="2"/>
  <c r="AJ110" i="2"/>
  <c r="AP109" i="2"/>
  <c r="AO109" i="2"/>
  <c r="AJ109" i="2"/>
  <c r="AP170" i="2"/>
  <c r="AJ170" i="2"/>
  <c r="AP169" i="2"/>
  <c r="AO169" i="2"/>
  <c r="AJ169" i="2"/>
  <c r="T169" i="2"/>
  <c r="O169" i="2"/>
  <c r="AP136" i="2"/>
  <c r="AJ136" i="2"/>
  <c r="AP135" i="2"/>
  <c r="AO135" i="2"/>
  <c r="AJ135" i="2"/>
  <c r="AP134" i="2"/>
  <c r="AJ134" i="2"/>
  <c r="AP133" i="2"/>
  <c r="AO133" i="2"/>
  <c r="AJ133" i="2"/>
  <c r="AK133" i="2" s="1"/>
  <c r="L55" i="34" s="1"/>
  <c r="AP132" i="2"/>
  <c r="AJ132" i="2"/>
  <c r="AP131" i="2"/>
  <c r="AO131" i="2"/>
  <c r="AJ131" i="2"/>
  <c r="AK131" i="2" s="1"/>
  <c r="L54" i="34" s="1"/>
  <c r="AP130" i="2"/>
  <c r="AJ130" i="2"/>
  <c r="AP129" i="2"/>
  <c r="AO129" i="2"/>
  <c r="AJ129" i="2"/>
  <c r="AG37" i="24" l="1"/>
  <c r="Y75" i="24"/>
  <c r="AG75" i="24"/>
  <c r="AC75" i="24"/>
  <c r="AC37" i="24"/>
  <c r="Y37" i="24"/>
  <c r="AK114" i="2"/>
  <c r="AK126" i="2"/>
  <c r="AK112" i="2"/>
  <c r="AK118" i="2"/>
  <c r="AK124" i="2"/>
  <c r="AK113" i="2"/>
  <c r="AK125" i="2"/>
  <c r="AK115" i="2"/>
  <c r="AK117" i="2"/>
  <c r="AK127" i="2"/>
  <c r="L52" i="34" s="1"/>
  <c r="AK135" i="2"/>
  <c r="AK130" i="2"/>
  <c r="AK110" i="2"/>
  <c r="AK122" i="2"/>
  <c r="AK119" i="2"/>
  <c r="L44" i="34" s="1"/>
  <c r="AK109" i="2"/>
  <c r="AK111" i="2"/>
  <c r="AK121" i="2"/>
  <c r="L50" i="34" s="1"/>
  <c r="AK123" i="2"/>
  <c r="L43" i="34" s="1"/>
  <c r="AK136" i="2"/>
  <c r="AK116" i="2"/>
  <c r="AK128" i="2"/>
  <c r="AK170" i="2"/>
  <c r="AK132" i="2"/>
  <c r="AK169" i="2"/>
  <c r="AK134" i="2"/>
  <c r="AK129" i="2"/>
  <c r="L57" i="34" l="1"/>
  <c r="L56" i="34"/>
  <c r="L48" i="34"/>
  <c r="L47" i="34"/>
  <c r="I99" i="24"/>
  <c r="G99" i="24"/>
  <c r="AA97" i="24" l="1"/>
  <c r="AB97" i="24"/>
  <c r="W97" i="24"/>
  <c r="X97" i="24"/>
  <c r="Z97" i="24"/>
  <c r="AD97" i="24"/>
  <c r="AE97" i="24"/>
  <c r="AI97" i="24"/>
  <c r="AF97" i="24"/>
  <c r="AH97" i="24"/>
  <c r="AJ97" i="24"/>
  <c r="AN34" i="8"/>
  <c r="AG97" i="24" l="1"/>
  <c r="AC97" i="24"/>
  <c r="Y97" i="24"/>
  <c r="W34" i="8"/>
  <c r="AI34" i="8"/>
  <c r="AJ34" i="8"/>
  <c r="W35" i="8"/>
  <c r="AA35" i="8"/>
  <c r="AE35" i="8"/>
  <c r="AI35" i="8"/>
  <c r="AJ35" i="8"/>
  <c r="AR45" i="8" l="1" a="1"/>
  <c r="AR35" i="8" a="1"/>
  <c r="AR47" i="8" a="1"/>
  <c r="AR37" i="8" a="1"/>
  <c r="AR49" i="8" a="1"/>
  <c r="AR39" i="8" a="1"/>
  <c r="AR41" i="8" a="1"/>
  <c r="AR43" i="8" a="1"/>
  <c r="AR44" i="8" a="1"/>
  <c r="AR46" i="8" a="1"/>
  <c r="AR36" i="8" a="1"/>
  <c r="AR48" i="8" a="1"/>
  <c r="AR38" i="8" a="1"/>
  <c r="AR40" i="8" a="1"/>
  <c r="AR42" i="8" a="1"/>
  <c r="AR34" i="8" a="1"/>
  <c r="AP100" i="19"/>
  <c r="AP99" i="19"/>
  <c r="AO99" i="19"/>
  <c r="T99" i="19"/>
  <c r="AP98" i="19"/>
  <c r="AP97" i="19"/>
  <c r="AO97" i="19"/>
  <c r="AP124" i="19"/>
  <c r="AP123" i="19"/>
  <c r="AO123" i="19"/>
  <c r="C323" i="38"/>
  <c r="AP122" i="19"/>
  <c r="AP121" i="19"/>
  <c r="AO121" i="19"/>
  <c r="C321" i="38"/>
  <c r="C319" i="38"/>
  <c r="AP120" i="19"/>
  <c r="AP119" i="19"/>
  <c r="AO119" i="19"/>
  <c r="C317" i="38"/>
  <c r="AP118" i="19"/>
  <c r="AP117" i="19"/>
  <c r="AO117" i="19"/>
  <c r="T117" i="19"/>
  <c r="C315" i="38"/>
  <c r="AP116" i="19"/>
  <c r="AP115" i="19"/>
  <c r="AO115" i="19"/>
  <c r="C313" i="38"/>
  <c r="AP114" i="19"/>
  <c r="AP113" i="19"/>
  <c r="AO113" i="19"/>
  <c r="AP112" i="19"/>
  <c r="AP111" i="19"/>
  <c r="AO111" i="19"/>
  <c r="T111" i="19"/>
  <c r="C309" i="38"/>
  <c r="AP110" i="19"/>
  <c r="AP109" i="19"/>
  <c r="AO109" i="19"/>
  <c r="AP108" i="19"/>
  <c r="AP107" i="19"/>
  <c r="AO107" i="19"/>
  <c r="AP106" i="19"/>
  <c r="AP105" i="19"/>
  <c r="AO105" i="19"/>
  <c r="AP104" i="19"/>
  <c r="AP103" i="19"/>
  <c r="AO103" i="19"/>
  <c r="AP102" i="19"/>
  <c r="AP101" i="19"/>
  <c r="AO101" i="19"/>
  <c r="AP55" i="17"/>
  <c r="AP56" i="17"/>
  <c r="AP57" i="17"/>
  <c r="AP58" i="17"/>
  <c r="B5" i="17"/>
  <c r="B5" i="19"/>
  <c r="H24" i="32" s="1"/>
  <c r="C13" i="24"/>
  <c r="B13" i="24"/>
  <c r="M88" i="8" a="1"/>
  <c r="N88" i="8" a="1"/>
  <c r="O88" i="8" a="1"/>
  <c r="P88" i="8" a="1"/>
  <c r="Q88" i="8" a="1"/>
  <c r="R88" i="8" a="1"/>
  <c r="S88" i="8" a="1"/>
  <c r="T88" i="8" a="1"/>
  <c r="U88" i="8" a="1"/>
  <c r="V88" i="8" a="1"/>
  <c r="W88" i="8" a="1"/>
  <c r="L88" i="8" a="1"/>
  <c r="L90" i="8"/>
  <c r="V86" i="8"/>
  <c r="W86" i="8"/>
  <c r="U86" i="8"/>
  <c r="T86" i="8"/>
  <c r="R86" i="8"/>
  <c r="P86" i="8"/>
  <c r="Q86" i="8"/>
  <c r="O86" i="8"/>
  <c r="M86" i="8"/>
  <c r="N86" i="8"/>
  <c r="L86" i="8"/>
  <c r="U181" i="2" a="1"/>
  <c r="V181" i="2" a="1"/>
  <c r="W181" i="2" a="1"/>
  <c r="Y181" i="2" a="1"/>
  <c r="Z181" i="2" a="1"/>
  <c r="AA181" i="2" a="1"/>
  <c r="AC181" i="2" a="1"/>
  <c r="AD181" i="2" a="1"/>
  <c r="AE181" i="2" a="1"/>
  <c r="AD179" i="2"/>
  <c r="AE179" i="2"/>
  <c r="AD180" i="2"/>
  <c r="AE180" i="2"/>
  <c r="AC180" i="2"/>
  <c r="AC179" i="2"/>
  <c r="AB179" i="2"/>
  <c r="AA179" i="2"/>
  <c r="AA180" i="2"/>
  <c r="AB180" i="2"/>
  <c r="Z180" i="2"/>
  <c r="Z179" i="2"/>
  <c r="X179" i="2"/>
  <c r="Y179" i="2"/>
  <c r="X180" i="2"/>
  <c r="Y180" i="2"/>
  <c r="W180" i="2"/>
  <c r="W179" i="2"/>
  <c r="U179" i="2"/>
  <c r="U180" i="2"/>
  <c r="V180" i="2"/>
  <c r="T179" i="2"/>
  <c r="T109" i="18"/>
  <c r="AD149" i="17" a="1"/>
  <c r="AC149" i="17" a="1"/>
  <c r="AB149" i="17" a="1"/>
  <c r="AA149" i="17" a="1"/>
  <c r="Z149" i="17" a="1"/>
  <c r="Y149" i="17" a="1"/>
  <c r="X149" i="17" a="1"/>
  <c r="W149" i="17" a="1"/>
  <c r="V149" i="17" a="1"/>
  <c r="U149" i="17" a="1"/>
  <c r="T149" i="17" a="1"/>
  <c r="S149" i="17" a="1"/>
  <c r="AD148" i="17"/>
  <c r="AC148" i="17"/>
  <c r="AB148" i="17"/>
  <c r="AA148" i="17"/>
  <c r="Z148" i="17"/>
  <c r="Y148" i="17"/>
  <c r="X148" i="17"/>
  <c r="AD147" i="17"/>
  <c r="AC147" i="17"/>
  <c r="AB147" i="17"/>
  <c r="AA147" i="17"/>
  <c r="Z147" i="17"/>
  <c r="Y147" i="17"/>
  <c r="X147" i="17"/>
  <c r="W147" i="17"/>
  <c r="V147" i="17"/>
  <c r="U147" i="17"/>
  <c r="T147" i="17"/>
  <c r="S147" i="17"/>
  <c r="S107" i="20" a="1"/>
  <c r="AC105" i="20"/>
  <c r="AD105" i="20"/>
  <c r="AC106" i="20"/>
  <c r="AD106" i="20"/>
  <c r="AB106" i="20"/>
  <c r="AB105" i="20"/>
  <c r="Z105" i="20"/>
  <c r="AA105" i="20"/>
  <c r="Z106" i="20"/>
  <c r="AA106" i="20"/>
  <c r="Y106" i="20"/>
  <c r="Y105" i="20"/>
  <c r="W105" i="20"/>
  <c r="X105" i="20"/>
  <c r="W106" i="20"/>
  <c r="X106" i="20"/>
  <c r="V106" i="20"/>
  <c r="V105" i="20"/>
  <c r="T105" i="20"/>
  <c r="U105" i="20"/>
  <c r="T106" i="20"/>
  <c r="U106" i="20"/>
  <c r="T107" i="20" a="1"/>
  <c r="U107" i="20" a="1"/>
  <c r="V107" i="20" a="1"/>
  <c r="W107" i="20" a="1"/>
  <c r="X107" i="20" a="1"/>
  <c r="Y107" i="20" a="1"/>
  <c r="Z107" i="20" a="1"/>
  <c r="AA107" i="20" a="1"/>
  <c r="AB107" i="20" a="1"/>
  <c r="AC107" i="20" a="1"/>
  <c r="AD107" i="20" a="1"/>
  <c r="S106" i="20"/>
  <c r="S105" i="20"/>
  <c r="Z148" i="24"/>
  <c r="AA148" i="24"/>
  <c r="Y148" i="24"/>
  <c r="W148" i="24"/>
  <c r="X148" i="24"/>
  <c r="V148" i="24"/>
  <c r="U148" i="24"/>
  <c r="T148" i="24"/>
  <c r="S148" i="24"/>
  <c r="Q148" i="24"/>
  <c r="R148" i="24"/>
  <c r="P148" i="24"/>
  <c r="AD111" i="18" a="1"/>
  <c r="AC111" i="18" a="1"/>
  <c r="AB111" i="18" a="1"/>
  <c r="AA111" i="18" a="1"/>
  <c r="Z111" i="18" a="1"/>
  <c r="Y111" i="18" a="1"/>
  <c r="X111" i="18" a="1"/>
  <c r="W111" i="18" a="1"/>
  <c r="V111" i="18" a="1"/>
  <c r="U111" i="18" a="1"/>
  <c r="T111" i="18" a="1"/>
  <c r="S111" i="18" a="1"/>
  <c r="AD110" i="18"/>
  <c r="AC110" i="18"/>
  <c r="AB110" i="18"/>
  <c r="AA110" i="18"/>
  <c r="Z110" i="18"/>
  <c r="Y110" i="18"/>
  <c r="X110" i="18"/>
  <c r="W110" i="18"/>
  <c r="V110" i="18"/>
  <c r="U110" i="18"/>
  <c r="T110" i="18"/>
  <c r="S110" i="18"/>
  <c r="S109" i="18"/>
  <c r="AC148" i="19"/>
  <c r="AD148" i="19"/>
  <c r="AB148" i="19"/>
  <c r="Z148" i="19"/>
  <c r="AA148" i="19"/>
  <c r="Y148" i="19"/>
  <c r="W148" i="19"/>
  <c r="X148" i="19"/>
  <c r="V148" i="19"/>
  <c r="U148" i="19"/>
  <c r="AC147" i="19"/>
  <c r="AD147" i="19"/>
  <c r="AB147" i="19"/>
  <c r="AA147" i="19"/>
  <c r="Z147" i="19"/>
  <c r="Y147" i="19"/>
  <c r="X147" i="19"/>
  <c r="W147" i="19"/>
  <c r="V147" i="19"/>
  <c r="U147" i="19"/>
  <c r="AB57" i="32" l="1"/>
  <c r="AG57" i="32"/>
  <c r="AE57" i="32"/>
  <c r="AC57" i="32"/>
  <c r="AD57" i="32"/>
  <c r="AF57" i="32"/>
  <c r="AH57" i="32"/>
  <c r="S150" i="17"/>
  <c r="T182" i="2"/>
  <c r="U182" i="2" s="1"/>
  <c r="N5" i="38"/>
  <c r="H5" i="38"/>
  <c r="K5" i="38"/>
  <c r="S109" i="20"/>
  <c r="S110" i="20" s="1"/>
  <c r="U151" i="19"/>
  <c r="V151" i="19" s="1"/>
  <c r="W151" i="19" s="1"/>
  <c r="X151" i="19" s="1"/>
  <c r="Y151" i="19" s="1"/>
  <c r="Z151" i="19" s="1"/>
  <c r="AA151" i="19" s="1"/>
  <c r="AB151" i="19" s="1"/>
  <c r="AC151" i="19" s="1"/>
  <c r="AD151" i="19" s="1"/>
  <c r="P151" i="24"/>
  <c r="G9" i="19"/>
  <c r="U150" i="19"/>
  <c r="V150" i="19" s="1"/>
  <c r="W150" i="19" s="1"/>
  <c r="X150" i="19" s="1"/>
  <c r="Y150" i="19" s="1"/>
  <c r="Z150" i="19" s="1"/>
  <c r="AA150" i="19" s="1"/>
  <c r="AB150" i="19" s="1"/>
  <c r="AC150" i="19" s="1"/>
  <c r="AD150" i="19" s="1"/>
  <c r="AK117" i="19"/>
  <c r="AK112" i="19"/>
  <c r="AK106" i="19"/>
  <c r="AK101" i="19"/>
  <c r="AK111" i="19"/>
  <c r="AK121" i="19"/>
  <c r="AK102" i="19"/>
  <c r="AK118" i="19"/>
  <c r="AK99" i="19"/>
  <c r="AK107" i="19"/>
  <c r="AK114" i="19"/>
  <c r="AK124" i="19"/>
  <c r="AK109" i="19"/>
  <c r="AK98" i="19"/>
  <c r="AK100" i="19"/>
  <c r="AK116" i="19"/>
  <c r="AK103" i="19"/>
  <c r="AK120" i="19"/>
  <c r="AK97" i="19"/>
  <c r="AK105" i="19"/>
  <c r="AK113" i="19"/>
  <c r="AK115" i="19"/>
  <c r="AK123" i="19"/>
  <c r="AK108" i="19"/>
  <c r="AK104" i="19"/>
  <c r="AK110" i="19"/>
  <c r="AE147" i="17"/>
  <c r="M90" i="8"/>
  <c r="N90" i="8" s="1"/>
  <c r="O90" i="8" s="1"/>
  <c r="P90" i="8" s="1"/>
  <c r="Q90" i="8" s="1"/>
  <c r="R90" i="8" s="1"/>
  <c r="L89" i="8"/>
  <c r="M89" i="8" s="1"/>
  <c r="N89" i="8" s="1"/>
  <c r="O89" i="8" s="1"/>
  <c r="P89" i="8" s="1"/>
  <c r="Q89" i="8" s="1"/>
  <c r="AE105" i="20"/>
  <c r="AE106" i="20"/>
  <c r="S108" i="20"/>
  <c r="AE110" i="18"/>
  <c r="S112" i="18"/>
  <c r="T112" i="18" s="1"/>
  <c r="T114" i="18" s="1"/>
  <c r="S113" i="18"/>
  <c r="AB148" i="24"/>
  <c r="E11" i="19" l="1"/>
  <c r="T150" i="17"/>
  <c r="U150" i="17" s="1"/>
  <c r="V150" i="17" s="1"/>
  <c r="W150" i="17" s="1"/>
  <c r="X150" i="17" s="1"/>
  <c r="Y150" i="17" s="1"/>
  <c r="Z150" i="17" s="1"/>
  <c r="AA150" i="17" s="1"/>
  <c r="AB150" i="17" s="1"/>
  <c r="AC150" i="17" s="1"/>
  <c r="AD150" i="17" s="1"/>
  <c r="E8" i="19"/>
  <c r="T109" i="20"/>
  <c r="U109" i="20" s="1"/>
  <c r="V109" i="20" s="1"/>
  <c r="W109" i="20" s="1"/>
  <c r="X109" i="20" s="1"/>
  <c r="Y109" i="20" s="1"/>
  <c r="Z109" i="20" s="1"/>
  <c r="AA109" i="20" s="1"/>
  <c r="AB109" i="20" s="1"/>
  <c r="AC109" i="20" s="1"/>
  <c r="AD109" i="20" s="1"/>
  <c r="T113" i="18"/>
  <c r="U113" i="18" s="1"/>
  <c r="V113" i="18" s="1"/>
  <c r="W113" i="18" s="1"/>
  <c r="X113" i="18" s="1"/>
  <c r="Y113" i="18" s="1"/>
  <c r="Z113" i="18" s="1"/>
  <c r="AA113" i="18" s="1"/>
  <c r="AB113" i="18" s="1"/>
  <c r="AC113" i="18" s="1"/>
  <c r="AD113" i="18" s="1"/>
  <c r="S114" i="18"/>
  <c r="Q151" i="24"/>
  <c r="Q152" i="24" s="1"/>
  <c r="P152" i="24"/>
  <c r="R89" i="8"/>
  <c r="T108" i="20"/>
  <c r="S89" i="8" l="1"/>
  <c r="T89" i="8" s="1"/>
  <c r="U89" i="8" s="1"/>
  <c r="T110" i="20"/>
  <c r="R151" i="24"/>
  <c r="S151" i="24" s="1"/>
  <c r="U108" i="20"/>
  <c r="T151" i="24" l="1"/>
  <c r="V89" i="8"/>
  <c r="V108" i="20"/>
  <c r="U151" i="24" l="1"/>
  <c r="W89" i="8"/>
  <c r="W108" i="20"/>
  <c r="V151" i="24" l="1"/>
  <c r="X108" i="20"/>
  <c r="W151" i="24" l="1"/>
  <c r="Y108" i="20"/>
  <c r="X151" i="24" l="1"/>
  <c r="Z108" i="20"/>
  <c r="Y151" i="24" l="1"/>
  <c r="AA108" i="20"/>
  <c r="Z151" i="24" l="1"/>
  <c r="AB108" i="20"/>
  <c r="AA151" i="24" l="1"/>
  <c r="AC108" i="20"/>
  <c r="G95" i="24"/>
  <c r="AD108" i="20" l="1"/>
  <c r="I59" i="24"/>
  <c r="I61" i="24"/>
  <c r="I69" i="24"/>
  <c r="I71" i="24"/>
  <c r="I73" i="24"/>
  <c r="I77" i="24"/>
  <c r="I81" i="24"/>
  <c r="I83" i="24"/>
  <c r="AV83" i="24" s="1"/>
  <c r="I85" i="24"/>
  <c r="I87" i="24"/>
  <c r="I91" i="24"/>
  <c r="I93" i="24"/>
  <c r="I55" i="24"/>
  <c r="AV55" i="24" s="1"/>
  <c r="I53" i="24"/>
  <c r="I47" i="24"/>
  <c r="I45" i="24"/>
  <c r="I43" i="24"/>
  <c r="I39" i="24"/>
  <c r="AP37" i="24"/>
  <c r="I35" i="24"/>
  <c r="I33" i="24"/>
  <c r="I31" i="24"/>
  <c r="G61" i="24"/>
  <c r="G63" i="24"/>
  <c r="G67" i="24"/>
  <c r="G69" i="24"/>
  <c r="G71" i="24"/>
  <c r="G83" i="24"/>
  <c r="G47" i="24"/>
  <c r="G35" i="24"/>
  <c r="G33" i="24"/>
  <c r="AN60" i="8"/>
  <c r="AN62" i="8"/>
  <c r="AN64" i="8"/>
  <c r="AN66" i="8"/>
  <c r="AN68" i="8"/>
  <c r="AN70" i="8"/>
  <c r="AN72" i="8"/>
  <c r="AN74" i="8"/>
  <c r="AN76" i="8"/>
  <c r="AN78" i="8"/>
  <c r="AN80" i="8"/>
  <c r="AN82" i="8"/>
  <c r="AN58" i="8"/>
  <c r="AN56" i="8"/>
  <c r="AN54" i="8"/>
  <c r="AN52" i="8"/>
  <c r="AN50" i="8"/>
  <c r="AN48" i="8"/>
  <c r="AN46" i="8"/>
  <c r="AN44" i="8"/>
  <c r="AN42" i="8"/>
  <c r="AN40" i="8"/>
  <c r="AN38" i="8"/>
  <c r="AN36" i="8"/>
  <c r="AI36" i="8"/>
  <c r="AJ36" i="8"/>
  <c r="AI37" i="8"/>
  <c r="AJ37" i="8"/>
  <c r="AI38" i="8"/>
  <c r="AJ38" i="8"/>
  <c r="AI39" i="8"/>
  <c r="AJ39" i="8"/>
  <c r="AI40" i="8"/>
  <c r="AJ40" i="8"/>
  <c r="AI41" i="8"/>
  <c r="AJ41" i="8"/>
  <c r="AI42" i="8"/>
  <c r="AJ42" i="8"/>
  <c r="AI43" i="8"/>
  <c r="AJ43" i="8"/>
  <c r="AI44" i="8"/>
  <c r="AJ44" i="8"/>
  <c r="AI45" i="8"/>
  <c r="AJ45" i="8"/>
  <c r="AI46" i="8"/>
  <c r="AJ46" i="8"/>
  <c r="AI47" i="8"/>
  <c r="AJ47" i="8"/>
  <c r="AI48" i="8"/>
  <c r="AJ48" i="8"/>
  <c r="AI49" i="8"/>
  <c r="AJ49" i="8"/>
  <c r="AI50" i="8"/>
  <c r="AJ50" i="8"/>
  <c r="AI51" i="8"/>
  <c r="AJ51" i="8"/>
  <c r="AI52" i="8"/>
  <c r="AJ52" i="8"/>
  <c r="AI53" i="8"/>
  <c r="AJ53" i="8"/>
  <c r="AI54" i="8"/>
  <c r="AJ54" i="8"/>
  <c r="AI55" i="8"/>
  <c r="AJ55" i="8"/>
  <c r="AI56" i="8"/>
  <c r="AJ56" i="8"/>
  <c r="AI57" i="8"/>
  <c r="AJ57" i="8"/>
  <c r="AI58" i="8"/>
  <c r="AJ58" i="8"/>
  <c r="AI59" i="8"/>
  <c r="AJ59" i="8"/>
  <c r="AI60" i="8"/>
  <c r="AJ60" i="8"/>
  <c r="AI61" i="8"/>
  <c r="AJ61" i="8"/>
  <c r="AI62" i="8"/>
  <c r="AJ62" i="8"/>
  <c r="AI63" i="8"/>
  <c r="AJ63" i="8"/>
  <c r="AI64" i="8"/>
  <c r="AJ64" i="8"/>
  <c r="AI65" i="8"/>
  <c r="AJ65" i="8"/>
  <c r="AI66" i="8"/>
  <c r="AJ66" i="8"/>
  <c r="AI67" i="8"/>
  <c r="AJ67" i="8"/>
  <c r="AI68" i="8"/>
  <c r="AJ68" i="8"/>
  <c r="AI69" i="8"/>
  <c r="AJ69" i="8"/>
  <c r="AI70" i="8"/>
  <c r="AJ70" i="8"/>
  <c r="AI71" i="8"/>
  <c r="AJ71" i="8"/>
  <c r="AI72" i="8"/>
  <c r="AJ72" i="8"/>
  <c r="AI73" i="8"/>
  <c r="AJ73" i="8"/>
  <c r="AI74" i="8"/>
  <c r="AJ74" i="8"/>
  <c r="AI75" i="8"/>
  <c r="AJ75" i="8"/>
  <c r="AI76" i="8"/>
  <c r="AJ76" i="8"/>
  <c r="AI77" i="8"/>
  <c r="AJ77" i="8"/>
  <c r="AI78" i="8"/>
  <c r="AJ78" i="8"/>
  <c r="AI79" i="8"/>
  <c r="AJ79" i="8"/>
  <c r="AI80" i="8"/>
  <c r="AJ80" i="8"/>
  <c r="AI81" i="8"/>
  <c r="AJ81" i="8"/>
  <c r="AI82" i="8"/>
  <c r="AJ82" i="8"/>
  <c r="AI83" i="8"/>
  <c r="AJ83" i="8"/>
  <c r="AP107" i="24"/>
  <c r="AP109" i="24"/>
  <c r="AP143" i="24"/>
  <c r="AP103" i="24"/>
  <c r="AP101" i="24"/>
  <c r="AP99" i="24"/>
  <c r="AP97" i="24"/>
  <c r="AP95" i="24"/>
  <c r="AM23" i="24"/>
  <c r="AM24" i="24"/>
  <c r="AM25" i="24"/>
  <c r="AM26" i="24"/>
  <c r="AM27" i="24"/>
  <c r="AK32" i="24"/>
  <c r="AK34" i="24"/>
  <c r="AK36" i="24"/>
  <c r="AK37" i="24"/>
  <c r="AK38" i="24"/>
  <c r="AK40" i="24"/>
  <c r="AK42" i="24"/>
  <c r="AK44" i="24"/>
  <c r="AK46" i="24"/>
  <c r="AK48" i="24"/>
  <c r="AK50" i="24"/>
  <c r="AK52" i="24"/>
  <c r="AK54" i="24"/>
  <c r="AK56" i="24"/>
  <c r="AK58" i="24"/>
  <c r="AK60" i="24"/>
  <c r="AK62" i="24"/>
  <c r="AK64" i="24"/>
  <c r="AK66" i="24"/>
  <c r="AK68" i="24"/>
  <c r="AK70" i="24"/>
  <c r="AK72" i="24"/>
  <c r="AK74" i="24"/>
  <c r="AK76" i="24"/>
  <c r="AK78" i="24"/>
  <c r="AK80" i="24"/>
  <c r="AK82" i="24"/>
  <c r="AK84" i="24"/>
  <c r="AK86" i="24"/>
  <c r="AK88" i="24"/>
  <c r="AK92" i="24"/>
  <c r="AK94" i="24"/>
  <c r="AK95" i="24"/>
  <c r="AK96" i="24"/>
  <c r="AK97" i="24"/>
  <c r="AK98" i="24"/>
  <c r="AK100" i="24"/>
  <c r="AK102" i="24"/>
  <c r="AK104" i="24"/>
  <c r="AK106" i="24"/>
  <c r="AK108" i="24"/>
  <c r="AK110" i="24"/>
  <c r="AG32" i="24"/>
  <c r="AC32" i="24"/>
  <c r="Y32" i="24"/>
  <c r="AV85" i="24" l="1"/>
  <c r="X85" i="24"/>
  <c r="Y85" i="24" s="1"/>
  <c r="AB85" i="24"/>
  <c r="AD85" i="24"/>
  <c r="AA85" i="24"/>
  <c r="Z85" i="24"/>
  <c r="AP93" i="24"/>
  <c r="AP69" i="24"/>
  <c r="AP91" i="24"/>
  <c r="E7" i="8"/>
  <c r="L29" i="32" s="1"/>
  <c r="E5" i="8"/>
  <c r="AA55" i="24"/>
  <c r="AB55" i="24"/>
  <c r="AH55" i="24"/>
  <c r="AF55" i="24"/>
  <c r="AI55" i="24"/>
  <c r="AJ55" i="24"/>
  <c r="W55" i="24"/>
  <c r="AD55" i="24"/>
  <c r="X55" i="24"/>
  <c r="V55" i="24"/>
  <c r="AE55" i="24"/>
  <c r="Z55" i="24"/>
  <c r="AH85" i="24"/>
  <c r="AI85" i="24"/>
  <c r="AJ85" i="24"/>
  <c r="AF85" i="24"/>
  <c r="AE85" i="24"/>
  <c r="AJ83" i="24"/>
  <c r="X83" i="24"/>
  <c r="Y83" i="24" s="1"/>
  <c r="AF83" i="24"/>
  <c r="Z83" i="24"/>
  <c r="AH83" i="24"/>
  <c r="AA83" i="24"/>
  <c r="AE83" i="24"/>
  <c r="AD83" i="24"/>
  <c r="AI83" i="24"/>
  <c r="AB83" i="24"/>
  <c r="S90" i="8"/>
  <c r="AP43" i="24"/>
  <c r="AP83" i="24"/>
  <c r="AP59" i="24"/>
  <c r="AP51" i="24"/>
  <c r="AP31" i="24"/>
  <c r="AP73" i="24"/>
  <c r="AP33" i="24"/>
  <c r="AP55" i="24"/>
  <c r="AP65" i="24"/>
  <c r="AP39" i="24"/>
  <c r="AP87" i="24"/>
  <c r="AP41" i="24"/>
  <c r="AP61" i="24"/>
  <c r="AP45" i="24"/>
  <c r="AP81" i="24"/>
  <c r="AP77" i="24"/>
  <c r="AP75" i="24"/>
  <c r="AP53" i="24"/>
  <c r="AP71" i="24"/>
  <c r="AP35" i="24"/>
  <c r="AP85" i="24"/>
  <c r="AP47" i="24"/>
  <c r="AP79" i="24"/>
  <c r="J31" i="2"/>
  <c r="AL94" i="24"/>
  <c r="L200" i="2"/>
  <c r="L199" i="2"/>
  <c r="AC85" i="24" l="1"/>
  <c r="AC83" i="24"/>
  <c r="T90" i="8"/>
  <c r="U90" i="8" s="1"/>
  <c r="V90" i="8" s="1"/>
  <c r="W90" i="8" s="1"/>
  <c r="AG85" i="24"/>
  <c r="AG43" i="24"/>
  <c r="Y55" i="24"/>
  <c r="AG55" i="24"/>
  <c r="AC55" i="24"/>
  <c r="AG83" i="24"/>
  <c r="AK85" i="24"/>
  <c r="AK83" i="24"/>
  <c r="AK55" i="24"/>
  <c r="AK43" i="24"/>
  <c r="AK75" i="24"/>
  <c r="AO99" i="18"/>
  <c r="AO95" i="19"/>
  <c r="AO93" i="19"/>
  <c r="AO91" i="19"/>
  <c r="AO89" i="19"/>
  <c r="AO87" i="19"/>
  <c r="AO85" i="19"/>
  <c r="AO83" i="19"/>
  <c r="AO81" i="19"/>
  <c r="AO79" i="19"/>
  <c r="AO77" i="19"/>
  <c r="AO75" i="19"/>
  <c r="AO73" i="19"/>
  <c r="AO71" i="19"/>
  <c r="AO69" i="19"/>
  <c r="AO67" i="19"/>
  <c r="AO65" i="19"/>
  <c r="AO63" i="19"/>
  <c r="AO61" i="19"/>
  <c r="AO59" i="19"/>
  <c r="AO57" i="19"/>
  <c r="AO55" i="19"/>
  <c r="AK51" i="19"/>
  <c r="AK50" i="19"/>
  <c r="AK49" i="19"/>
  <c r="AK48" i="19"/>
  <c r="AK47" i="19"/>
  <c r="AO97" i="18"/>
  <c r="AO83" i="18"/>
  <c r="AO79" i="18"/>
  <c r="AO77" i="18"/>
  <c r="AO73" i="18"/>
  <c r="AO71" i="18"/>
  <c r="AO69" i="18"/>
  <c r="AO67" i="18"/>
  <c r="AO65" i="18"/>
  <c r="AO63" i="18"/>
  <c r="AO61" i="18"/>
  <c r="AO59" i="18"/>
  <c r="AO57" i="18"/>
  <c r="AO55" i="18"/>
  <c r="AK51" i="18"/>
  <c r="AK50" i="18"/>
  <c r="AK49" i="18"/>
  <c r="AK48" i="18"/>
  <c r="AK47" i="18"/>
  <c r="AO107" i="2"/>
  <c r="AO171" i="2"/>
  <c r="AO173" i="2"/>
  <c r="AO175" i="2"/>
  <c r="AO101" i="20"/>
  <c r="AO99" i="20"/>
  <c r="AO97" i="20"/>
  <c r="AO95" i="20"/>
  <c r="AO93" i="20"/>
  <c r="AO91" i="20"/>
  <c r="AO89" i="20"/>
  <c r="AO87" i="20"/>
  <c r="AO85" i="20"/>
  <c r="AO83" i="20"/>
  <c r="AO81" i="20"/>
  <c r="AO79" i="20"/>
  <c r="AO77" i="20"/>
  <c r="AO75" i="20"/>
  <c r="AO73" i="20"/>
  <c r="AO71" i="20"/>
  <c r="AO69" i="20"/>
  <c r="AO67" i="20"/>
  <c r="AO65" i="20"/>
  <c r="AO63" i="20"/>
  <c r="AO61" i="20"/>
  <c r="AO59" i="20"/>
  <c r="AO57" i="20"/>
  <c r="AO55" i="20"/>
  <c r="AO105" i="2"/>
  <c r="AO103" i="2"/>
  <c r="AO101" i="2"/>
  <c r="AO99" i="2"/>
  <c r="AO97" i="2"/>
  <c r="AO95" i="2"/>
  <c r="AO93" i="2"/>
  <c r="AO91" i="2"/>
  <c r="AO89" i="2"/>
  <c r="AO87" i="2"/>
  <c r="AO85" i="2"/>
  <c r="AO83" i="2"/>
  <c r="AO81" i="2"/>
  <c r="AO79" i="2"/>
  <c r="AO77" i="2"/>
  <c r="AO75" i="2"/>
  <c r="AO73" i="2"/>
  <c r="AO71" i="2"/>
  <c r="AO69" i="2"/>
  <c r="AO67" i="2"/>
  <c r="AO65" i="2"/>
  <c r="AO63" i="2"/>
  <c r="AO61" i="2"/>
  <c r="AO59" i="2"/>
  <c r="AO57" i="2"/>
  <c r="AO55" i="2"/>
  <c r="AH51" i="2"/>
  <c r="AH50" i="2"/>
  <c r="AH49" i="2"/>
  <c r="AH48" i="2"/>
  <c r="AH47" i="2"/>
  <c r="AP107" i="2"/>
  <c r="AP108" i="2"/>
  <c r="AP171" i="2"/>
  <c r="AP172" i="2"/>
  <c r="AP173" i="2"/>
  <c r="AP174" i="2"/>
  <c r="AP175" i="2"/>
  <c r="AP176" i="2"/>
  <c r="AK51" i="17"/>
  <c r="AK50" i="17"/>
  <c r="AK49" i="17"/>
  <c r="AK48" i="17"/>
  <c r="AO143" i="17"/>
  <c r="AO105" i="17"/>
  <c r="AO91" i="17"/>
  <c r="AO89" i="17"/>
  <c r="AO87" i="17"/>
  <c r="AO85" i="17"/>
  <c r="AO83" i="17"/>
  <c r="AO79" i="17"/>
  <c r="AO77" i="17"/>
  <c r="AO75" i="17"/>
  <c r="AO73" i="17"/>
  <c r="AO71" i="17"/>
  <c r="AO69" i="17"/>
  <c r="AO67" i="17"/>
  <c r="AO65" i="17"/>
  <c r="AO63" i="17"/>
  <c r="AO61" i="17"/>
  <c r="AO59" i="17"/>
  <c r="AO57" i="17"/>
  <c r="AO55" i="17"/>
  <c r="M14" i="36"/>
  <c r="M16" i="36"/>
  <c r="M17" i="36"/>
  <c r="N55" i="36"/>
  <c r="M13" i="36" s="1"/>
  <c r="N63" i="36"/>
  <c r="M15" i="36" s="1"/>
  <c r="I176" i="36"/>
  <c r="B176" i="36"/>
  <c r="I175" i="36"/>
  <c r="D175" i="36"/>
  <c r="C175" i="36"/>
  <c r="B175" i="36"/>
  <c r="I174" i="36"/>
  <c r="D174" i="36"/>
  <c r="C174" i="36"/>
  <c r="B174" i="36"/>
  <c r="B171" i="36"/>
  <c r="E171" i="36" s="1"/>
  <c r="B170" i="36"/>
  <c r="E170" i="36" s="1"/>
  <c r="B169" i="36"/>
  <c r="E169" i="36" s="1"/>
  <c r="B168" i="36"/>
  <c r="E168" i="36" s="1"/>
  <c r="E164" i="36"/>
  <c r="D176" i="36" s="1"/>
  <c r="K140" i="36"/>
  <c r="J140" i="36"/>
  <c r="I140" i="36"/>
  <c r="H140" i="36"/>
  <c r="L137" i="36"/>
  <c r="L136" i="36"/>
  <c r="L135" i="36"/>
  <c r="L134" i="36"/>
  <c r="L133" i="36"/>
  <c r="L132" i="36"/>
  <c r="L131" i="36"/>
  <c r="L130" i="36"/>
  <c r="L129" i="36"/>
  <c r="L128" i="36"/>
  <c r="L127" i="36"/>
  <c r="L126" i="36"/>
  <c r="L125" i="36"/>
  <c r="L124" i="36"/>
  <c r="L123" i="36"/>
  <c r="L122" i="36"/>
  <c r="L121" i="36"/>
  <c r="L120" i="36"/>
  <c r="AD119" i="36" a="1"/>
  <c r="AC119" i="36" a="1"/>
  <c r="AB119" i="36" a="1"/>
  <c r="AA119" i="36" a="1"/>
  <c r="Z119" i="36" a="1"/>
  <c r="Y119" i="36" a="1"/>
  <c r="X119" i="36" a="1"/>
  <c r="W119" i="36" a="1"/>
  <c r="V119" i="36" a="1"/>
  <c r="U119" i="36" a="1"/>
  <c r="T119" i="36" a="1"/>
  <c r="S119" i="36" a="1"/>
  <c r="L119" i="36"/>
  <c r="AD118" i="36" a="1"/>
  <c r="AC118" i="36" a="1"/>
  <c r="AB118" i="36" a="1"/>
  <c r="AA118" i="36" a="1"/>
  <c r="Z118" i="36" a="1"/>
  <c r="Y118" i="36" a="1"/>
  <c r="X118" i="36" a="1"/>
  <c r="W118" i="36" a="1"/>
  <c r="V118" i="36" a="1"/>
  <c r="T118" i="36" a="1"/>
  <c r="L118" i="36"/>
  <c r="AD117" i="36" a="1"/>
  <c r="AC117" i="36" a="1"/>
  <c r="AB117" i="36" a="1"/>
  <c r="AA117" i="36" a="1"/>
  <c r="Z117" i="36" a="1"/>
  <c r="Y117" i="36" a="1"/>
  <c r="X117" i="36" a="1"/>
  <c r="W117" i="36" a="1"/>
  <c r="V117" i="36" a="1"/>
  <c r="T117" i="36" a="1"/>
  <c r="F117" i="36" a="1"/>
  <c r="AK114" i="36"/>
  <c r="AH114" i="36"/>
  <c r="AD114" i="36"/>
  <c r="Z114" i="36"/>
  <c r="V114" i="36"/>
  <c r="AL113" i="36"/>
  <c r="AK113" i="36"/>
  <c r="AH113" i="36"/>
  <c r="AD113" i="36"/>
  <c r="Z113" i="36"/>
  <c r="V113" i="36"/>
  <c r="R113" i="36"/>
  <c r="AK112" i="36"/>
  <c r="AH112" i="36"/>
  <c r="AD112" i="36"/>
  <c r="Z112" i="36"/>
  <c r="V112" i="36"/>
  <c r="AL111" i="36"/>
  <c r="AK111" i="36"/>
  <c r="AH111" i="36"/>
  <c r="AD111" i="36"/>
  <c r="Z111" i="36"/>
  <c r="V111" i="36"/>
  <c r="R111" i="36"/>
  <c r="AK110" i="36"/>
  <c r="AH110" i="36"/>
  <c r="AD110" i="36"/>
  <c r="Z110" i="36"/>
  <c r="V110" i="36"/>
  <c r="AL109" i="36"/>
  <c r="AK109" i="36"/>
  <c r="AH109" i="36"/>
  <c r="AD109" i="36"/>
  <c r="Z109" i="36"/>
  <c r="V109" i="36"/>
  <c r="R109" i="36"/>
  <c r="AK108" i="36"/>
  <c r="AH108" i="36"/>
  <c r="AD108" i="36"/>
  <c r="Z108" i="36"/>
  <c r="V108" i="36"/>
  <c r="AL107" i="36"/>
  <c r="AK107" i="36"/>
  <c r="AH107" i="36"/>
  <c r="AD107" i="36"/>
  <c r="Z107" i="36"/>
  <c r="V107" i="36"/>
  <c r="R107" i="36"/>
  <c r="AK106" i="36"/>
  <c r="AH106" i="36"/>
  <c r="AD106" i="36"/>
  <c r="Z106" i="36"/>
  <c r="V106" i="36"/>
  <c r="AL105" i="36"/>
  <c r="AK105" i="36"/>
  <c r="AH105" i="36"/>
  <c r="AD105" i="36"/>
  <c r="Z105" i="36"/>
  <c r="V105" i="36"/>
  <c r="R105" i="36"/>
  <c r="AK104" i="36"/>
  <c r="AH104" i="36"/>
  <c r="AD104" i="36"/>
  <c r="Z104" i="36"/>
  <c r="V104" i="36"/>
  <c r="AL103" i="36"/>
  <c r="AK103" i="36"/>
  <c r="AH103" i="36"/>
  <c r="AD103" i="36"/>
  <c r="Z103" i="36"/>
  <c r="V103" i="36"/>
  <c r="R103" i="36"/>
  <c r="AK102" i="36"/>
  <c r="AH102" i="36"/>
  <c r="AD102" i="36"/>
  <c r="Z102" i="36"/>
  <c r="V102" i="36"/>
  <c r="AL101" i="36"/>
  <c r="AK101" i="36"/>
  <c r="AH101" i="36"/>
  <c r="AD101" i="36"/>
  <c r="Z101" i="36"/>
  <c r="V101" i="36"/>
  <c r="R101" i="36"/>
  <c r="AK100" i="36"/>
  <c r="AH100" i="36"/>
  <c r="AD100" i="36"/>
  <c r="Z100" i="36"/>
  <c r="V100" i="36"/>
  <c r="AL99" i="36"/>
  <c r="AK99" i="36"/>
  <c r="AH99" i="36"/>
  <c r="AD99" i="36"/>
  <c r="Z99" i="36"/>
  <c r="V99" i="36"/>
  <c r="H99" i="36"/>
  <c r="AK98" i="36"/>
  <c r="AH98" i="36"/>
  <c r="AD98" i="36"/>
  <c r="Z98" i="36"/>
  <c r="V98" i="36"/>
  <c r="AL97" i="36"/>
  <c r="AK97" i="36"/>
  <c r="AH97" i="36"/>
  <c r="AD97" i="36"/>
  <c r="Z97" i="36"/>
  <c r="V97" i="36"/>
  <c r="R97" i="36"/>
  <c r="AK96" i="36"/>
  <c r="AH96" i="36"/>
  <c r="AD96" i="36"/>
  <c r="Z96" i="36"/>
  <c r="V96" i="36"/>
  <c r="AL95" i="36"/>
  <c r="AK95" i="36"/>
  <c r="AH95" i="36"/>
  <c r="AD95" i="36"/>
  <c r="Z95" i="36"/>
  <c r="V95" i="36"/>
  <c r="R95" i="36"/>
  <c r="H95" i="36"/>
  <c r="AK94" i="36"/>
  <c r="AH94" i="36"/>
  <c r="AD94" i="36"/>
  <c r="Z94" i="36"/>
  <c r="S94" i="36"/>
  <c r="V94" i="36" s="1"/>
  <c r="AL93" i="36"/>
  <c r="AK93" i="36"/>
  <c r="AH93" i="36"/>
  <c r="AD93" i="36"/>
  <c r="Z93" i="36"/>
  <c r="V93" i="36"/>
  <c r="R93" i="36"/>
  <c r="AK92" i="36"/>
  <c r="AH92" i="36"/>
  <c r="AD92" i="36"/>
  <c r="Z92" i="36"/>
  <c r="V92" i="36"/>
  <c r="AL91" i="36"/>
  <c r="AK91" i="36"/>
  <c r="AH91" i="36"/>
  <c r="AD91" i="36"/>
  <c r="Z91" i="36"/>
  <c r="V91" i="36"/>
  <c r="R91" i="36"/>
  <c r="AK90" i="36"/>
  <c r="AH90" i="36"/>
  <c r="AD90" i="36"/>
  <c r="Z90" i="36"/>
  <c r="V90" i="36"/>
  <c r="AL89" i="36"/>
  <c r="AK89" i="36"/>
  <c r="AH89" i="36"/>
  <c r="AD89" i="36"/>
  <c r="Z89" i="36"/>
  <c r="V89" i="36"/>
  <c r="R89" i="36"/>
  <c r="AK88" i="36"/>
  <c r="AH88" i="36"/>
  <c r="AD88" i="36"/>
  <c r="Z88" i="36"/>
  <c r="V88" i="36"/>
  <c r="AL87" i="36"/>
  <c r="AK87" i="36"/>
  <c r="AH87" i="36"/>
  <c r="AD87" i="36"/>
  <c r="Z87" i="36"/>
  <c r="V87" i="36"/>
  <c r="R87" i="36"/>
  <c r="H87" i="36"/>
  <c r="AK86" i="36"/>
  <c r="AH86" i="36"/>
  <c r="AD86" i="36"/>
  <c r="Z86" i="36"/>
  <c r="V86" i="36"/>
  <c r="AL85" i="36"/>
  <c r="AK85" i="36"/>
  <c r="AH85" i="36"/>
  <c r="AD85" i="36"/>
  <c r="Z85" i="36"/>
  <c r="V85" i="36"/>
  <c r="R85" i="36"/>
  <c r="AK84" i="36"/>
  <c r="AH84" i="36"/>
  <c r="AD84" i="36"/>
  <c r="Z84" i="36"/>
  <c r="V84" i="36"/>
  <c r="AL83" i="36"/>
  <c r="AK83" i="36"/>
  <c r="AH83" i="36"/>
  <c r="AD83" i="36"/>
  <c r="Z83" i="36"/>
  <c r="V83" i="36"/>
  <c r="R83" i="36"/>
  <c r="AK82" i="36"/>
  <c r="AH82" i="36"/>
  <c r="AD82" i="36"/>
  <c r="Z82" i="36"/>
  <c r="V82" i="36"/>
  <c r="AL81" i="36"/>
  <c r="AK81" i="36"/>
  <c r="AH81" i="36"/>
  <c r="AD81" i="36"/>
  <c r="Z81" i="36"/>
  <c r="V81" i="36"/>
  <c r="R81" i="36"/>
  <c r="AK80" i="36"/>
  <c r="AH80" i="36"/>
  <c r="AD80" i="36"/>
  <c r="Z80" i="36"/>
  <c r="V80" i="36"/>
  <c r="AL79" i="36"/>
  <c r="AK79" i="36"/>
  <c r="AH79" i="36"/>
  <c r="AD79" i="36"/>
  <c r="Z79" i="36"/>
  <c r="V79" i="36"/>
  <c r="R79" i="36"/>
  <c r="AK78" i="36"/>
  <c r="AH78" i="36"/>
  <c r="AD78" i="36"/>
  <c r="Z78" i="36"/>
  <c r="S78" i="36"/>
  <c r="V78" i="36" s="1"/>
  <c r="AL77" i="36"/>
  <c r="AK77" i="36"/>
  <c r="AH77" i="36"/>
  <c r="AD77" i="36"/>
  <c r="Z77" i="36"/>
  <c r="V77" i="36"/>
  <c r="R77" i="36"/>
  <c r="AK76" i="36"/>
  <c r="AH76" i="36"/>
  <c r="AD76" i="36"/>
  <c r="Z76" i="36"/>
  <c r="V76" i="36"/>
  <c r="AL75" i="36"/>
  <c r="AK75" i="36"/>
  <c r="AH75" i="36"/>
  <c r="AD75" i="36"/>
  <c r="Z75" i="36"/>
  <c r="V75" i="36"/>
  <c r="R75" i="36"/>
  <c r="AK74" i="36"/>
  <c r="AH74" i="36"/>
  <c r="AD74" i="36"/>
  <c r="Z74" i="36"/>
  <c r="V74" i="36"/>
  <c r="AL73" i="36"/>
  <c r="AK73" i="36"/>
  <c r="AH73" i="36"/>
  <c r="AD73" i="36"/>
  <c r="Z73" i="36"/>
  <c r="V73" i="36"/>
  <c r="R73" i="36"/>
  <c r="AK72" i="36"/>
  <c r="AH72" i="36"/>
  <c r="AD72" i="36"/>
  <c r="Z72" i="36"/>
  <c r="V72" i="36"/>
  <c r="AK71" i="36"/>
  <c r="AH71" i="36"/>
  <c r="AD71" i="36"/>
  <c r="Z71" i="36"/>
  <c r="U71" i="36"/>
  <c r="U117" i="36" s="1" a="1"/>
  <c r="R71" i="36"/>
  <c r="H71" i="36"/>
  <c r="I11" i="36" s="1"/>
  <c r="AK70" i="36"/>
  <c r="AH70" i="36"/>
  <c r="AD70" i="36"/>
  <c r="Z70" i="36"/>
  <c r="V70" i="36"/>
  <c r="AL69" i="36"/>
  <c r="AK69" i="36"/>
  <c r="AH69" i="36"/>
  <c r="AD69" i="36"/>
  <c r="Z69" i="36"/>
  <c r="V69" i="36"/>
  <c r="R69" i="36"/>
  <c r="AK68" i="36"/>
  <c r="AH68" i="36"/>
  <c r="AD68" i="36"/>
  <c r="Z68" i="36"/>
  <c r="V68" i="36"/>
  <c r="AL67" i="36"/>
  <c r="AK67" i="36"/>
  <c r="AH67" i="36"/>
  <c r="AD67" i="36"/>
  <c r="Z67" i="36"/>
  <c r="V67" i="36"/>
  <c r="R67" i="36"/>
  <c r="H67" i="36"/>
  <c r="AK66" i="36"/>
  <c r="AH66" i="36"/>
  <c r="AD66" i="36"/>
  <c r="Z66" i="36"/>
  <c r="V66" i="36"/>
  <c r="AL65" i="36"/>
  <c r="AK65" i="36"/>
  <c r="AH65" i="36"/>
  <c r="AD65" i="36"/>
  <c r="Z65" i="36"/>
  <c r="V65" i="36"/>
  <c r="R65" i="36"/>
  <c r="AK64" i="36"/>
  <c r="AH64" i="36"/>
  <c r="AD64" i="36"/>
  <c r="Z64" i="36"/>
  <c r="V64" i="36"/>
  <c r="AL63" i="36"/>
  <c r="AK63" i="36"/>
  <c r="AH63" i="36"/>
  <c r="AD63" i="36"/>
  <c r="Z63" i="36"/>
  <c r="V63" i="36"/>
  <c r="R63" i="36"/>
  <c r="H63" i="36"/>
  <c r="AK62" i="36"/>
  <c r="AH62" i="36"/>
  <c r="AD62" i="36"/>
  <c r="Z62" i="36"/>
  <c r="V62" i="36"/>
  <c r="AL61" i="36"/>
  <c r="AK61" i="36"/>
  <c r="AH61" i="36"/>
  <c r="AD61" i="36"/>
  <c r="Z61" i="36"/>
  <c r="V61" i="36"/>
  <c r="R61" i="36"/>
  <c r="AK60" i="36"/>
  <c r="AH60" i="36"/>
  <c r="AD60" i="36"/>
  <c r="Z60" i="36"/>
  <c r="V60" i="36"/>
  <c r="AL59" i="36"/>
  <c r="AK59" i="36"/>
  <c r="AH59" i="36"/>
  <c r="AD59" i="36"/>
  <c r="Z59" i="36"/>
  <c r="V59" i="36"/>
  <c r="R59" i="36"/>
  <c r="AK58" i="36"/>
  <c r="AH58" i="36"/>
  <c r="AD58" i="36"/>
  <c r="Z58" i="36"/>
  <c r="V58" i="36"/>
  <c r="AL57" i="36"/>
  <c r="AK57" i="36"/>
  <c r="AH57" i="36"/>
  <c r="AD57" i="36"/>
  <c r="Z57" i="36"/>
  <c r="V57" i="36"/>
  <c r="R57" i="36"/>
  <c r="AK56" i="36"/>
  <c r="AH56" i="36"/>
  <c r="AD56" i="36"/>
  <c r="Z56" i="36"/>
  <c r="V56" i="36"/>
  <c r="AL55" i="36"/>
  <c r="AK55" i="36"/>
  <c r="AH55" i="36"/>
  <c r="AD55" i="36"/>
  <c r="Z55" i="36"/>
  <c r="V55" i="36"/>
  <c r="R55" i="36"/>
  <c r="H55" i="36"/>
  <c r="J31" i="36"/>
  <c r="AT17" i="36"/>
  <c r="AS17" i="36"/>
  <c r="B12" i="36"/>
  <c r="H11" i="36"/>
  <c r="C11" i="36"/>
  <c r="B11" i="36"/>
  <c r="H10" i="36"/>
  <c r="B10" i="36"/>
  <c r="H9" i="36"/>
  <c r="B9" i="36"/>
  <c r="AY8" i="36"/>
  <c r="AX8" i="36"/>
  <c r="O6" i="36" a="1"/>
  <c r="E5" i="36"/>
  <c r="A5" i="36"/>
  <c r="AK47" i="17" l="1"/>
  <c r="C12" i="36"/>
  <c r="K10" i="36"/>
  <c r="AI64" i="36"/>
  <c r="AI105" i="36"/>
  <c r="AI109" i="36"/>
  <c r="AI111" i="36"/>
  <c r="B177" i="36"/>
  <c r="AI106" i="36"/>
  <c r="AI110" i="36"/>
  <c r="AI112" i="36"/>
  <c r="AI114" i="36"/>
  <c r="AI69" i="36"/>
  <c r="L5" i="36"/>
  <c r="AI99" i="36"/>
  <c r="AI72" i="36"/>
  <c r="AI78" i="36"/>
  <c r="AI80" i="36"/>
  <c r="AI96" i="36"/>
  <c r="AI104" i="36"/>
  <c r="AI59" i="36"/>
  <c r="AI88" i="36"/>
  <c r="AI63" i="36"/>
  <c r="B13" i="36"/>
  <c r="AI73" i="36"/>
  <c r="AI75" i="36"/>
  <c r="AI77" i="36"/>
  <c r="AI79" i="36"/>
  <c r="AI87" i="36"/>
  <c r="AI93" i="36"/>
  <c r="AI56" i="36"/>
  <c r="V71" i="36"/>
  <c r="AI71" i="36" s="1"/>
  <c r="L140" i="36"/>
  <c r="M10" i="36" s="1"/>
  <c r="AI83" i="36"/>
  <c r="H83" i="36" s="1"/>
  <c r="Q8" i="36" s="1"/>
  <c r="I10" i="36"/>
  <c r="U118" i="36" a="1"/>
  <c r="AI60" i="36"/>
  <c r="E174" i="36"/>
  <c r="AI70" i="36"/>
  <c r="AI81" i="36"/>
  <c r="AI91" i="36"/>
  <c r="AI97" i="36"/>
  <c r="AI103" i="36"/>
  <c r="AI108" i="36"/>
  <c r="C10" i="36"/>
  <c r="AI66" i="36"/>
  <c r="AL71" i="36"/>
  <c r="AI101" i="36"/>
  <c r="E175" i="36"/>
  <c r="AI89" i="36"/>
  <c r="AU17" i="36"/>
  <c r="AI65" i="36"/>
  <c r="AI86" i="36"/>
  <c r="AI76" i="36"/>
  <c r="AI61" i="36"/>
  <c r="AI67" i="36"/>
  <c r="AI74" i="36"/>
  <c r="AI92" i="36"/>
  <c r="AI94" i="36"/>
  <c r="AI113" i="36"/>
  <c r="AI84" i="36"/>
  <c r="AI98" i="36"/>
  <c r="AI100" i="36"/>
  <c r="AI102" i="36"/>
  <c r="D171" i="36"/>
  <c r="F171" i="36" s="1"/>
  <c r="D170" i="36"/>
  <c r="F170" i="36" s="1"/>
  <c r="AI58" i="36"/>
  <c r="AI95" i="36"/>
  <c r="S117" i="36" a="1"/>
  <c r="S118" i="36" a="1"/>
  <c r="D169" i="36"/>
  <c r="F169" i="36" s="1"/>
  <c r="AI62" i="36"/>
  <c r="AI90" i="36"/>
  <c r="AI55" i="36"/>
  <c r="AI85" i="36"/>
  <c r="AI57" i="36"/>
  <c r="E176" i="36"/>
  <c r="AI68" i="36"/>
  <c r="AI82" i="36"/>
  <c r="AI107" i="36"/>
  <c r="C176" i="36"/>
  <c r="X57" i="20"/>
  <c r="X55" i="20"/>
  <c r="AP104" i="2"/>
  <c r="AJ104" i="2"/>
  <c r="AP103" i="2"/>
  <c r="AJ103" i="2"/>
  <c r="AP102" i="2"/>
  <c r="AJ102" i="2"/>
  <c r="AP101" i="2"/>
  <c r="AJ101" i="2"/>
  <c r="AJ108" i="2"/>
  <c r="AB181" i="2" a="1"/>
  <c r="X181" i="2" a="1"/>
  <c r="T181" i="2" a="1"/>
  <c r="AJ107" i="2"/>
  <c r="AP106" i="2"/>
  <c r="AJ106" i="2"/>
  <c r="AP105" i="2"/>
  <c r="AJ105" i="2"/>
  <c r="AK105" i="2" l="1"/>
  <c r="I9" i="36"/>
  <c r="Q13" i="36"/>
  <c r="S13" i="36" s="1"/>
  <c r="Q21" i="36"/>
  <c r="R21" i="36" s="1"/>
  <c r="Q18" i="36"/>
  <c r="S18" i="36" s="1"/>
  <c r="Q17" i="36"/>
  <c r="R17" i="36" s="1"/>
  <c r="Q19" i="36"/>
  <c r="R19" i="36" s="1"/>
  <c r="G5" i="36"/>
  <c r="J5" i="36" s="1"/>
  <c r="Q20" i="36"/>
  <c r="R20" i="36" s="1"/>
  <c r="Q22" i="36"/>
  <c r="S22" i="36" s="1"/>
  <c r="Q23" i="36"/>
  <c r="S23" i="36" s="1"/>
  <c r="Q7" i="36"/>
  <c r="R7" i="36" s="1"/>
  <c r="Q12" i="36"/>
  <c r="R12" i="36" s="1"/>
  <c r="Q24" i="36"/>
  <c r="S24" i="36" s="1"/>
  <c r="Q11" i="36"/>
  <c r="R11" i="36" s="1"/>
  <c r="Q14" i="36"/>
  <c r="S14" i="36" s="1"/>
  <c r="Q9" i="36"/>
  <c r="R9" i="36" s="1"/>
  <c r="Q6" i="36"/>
  <c r="R6" i="36" s="1"/>
  <c r="Q15" i="36"/>
  <c r="C9" i="36"/>
  <c r="C13" i="36" s="1"/>
  <c r="D10" i="36" s="1"/>
  <c r="E10" i="36" s="1"/>
  <c r="Q25" i="36"/>
  <c r="S25" i="36" s="1"/>
  <c r="Q10" i="36"/>
  <c r="R10" i="36" s="1"/>
  <c r="Q16" i="36"/>
  <c r="S16" i="36" s="1"/>
  <c r="S8" i="36"/>
  <c r="R8" i="36"/>
  <c r="AK106" i="2"/>
  <c r="AK108" i="2"/>
  <c r="AK102" i="2"/>
  <c r="AK101" i="2"/>
  <c r="AK104" i="2"/>
  <c r="AK103" i="2"/>
  <c r="L39" i="34" s="1"/>
  <c r="AK107" i="2"/>
  <c r="T180" i="2"/>
  <c r="L38" i="34" l="1"/>
  <c r="T183" i="2"/>
  <c r="U183" i="2" s="1"/>
  <c r="AF180" i="2"/>
  <c r="S11" i="36"/>
  <c r="Z11" i="36" s="1" a="1"/>
  <c r="S9" i="36"/>
  <c r="AD9" i="36" s="1"/>
  <c r="R13" i="36"/>
  <c r="S17" i="36"/>
  <c r="AA17" i="36" s="1" a="1"/>
  <c r="S21" i="36"/>
  <c r="P21" i="36" s="1"/>
  <c r="S12" i="36"/>
  <c r="Z12" i="36" s="1" a="1"/>
  <c r="R14" i="36"/>
  <c r="R24" i="36"/>
  <c r="S7" i="36"/>
  <c r="Z7" i="36" s="1" a="1"/>
  <c r="R16" i="36"/>
  <c r="R23" i="36"/>
  <c r="S10" i="36"/>
  <c r="P10" i="36" s="1"/>
  <c r="R25" i="36"/>
  <c r="S6" i="36"/>
  <c r="AD6" i="36" s="1"/>
  <c r="C5" i="36"/>
  <c r="X11" i="36" s="1"/>
  <c r="R22" i="36"/>
  <c r="Q26" i="36"/>
  <c r="D12" i="36"/>
  <c r="E12" i="36" s="1"/>
  <c r="S19" i="36"/>
  <c r="AA19" i="36" s="1" a="1"/>
  <c r="R18" i="36"/>
  <c r="R15" i="36"/>
  <c r="D9" i="36"/>
  <c r="S20" i="36"/>
  <c r="P20" i="36" s="1"/>
  <c r="S15" i="36"/>
  <c r="Z15" i="36" s="1" a="1"/>
  <c r="D11" i="36"/>
  <c r="E11" i="36" s="1"/>
  <c r="AA8" i="36" a="1"/>
  <c r="AD8" i="36"/>
  <c r="Z8" i="36" a="1"/>
  <c r="P8" i="36"/>
  <c r="AA16" i="36" a="1"/>
  <c r="Z16" i="36" a="1"/>
  <c r="AD16" i="36"/>
  <c r="P16" i="36"/>
  <c r="P22" i="36"/>
  <c r="AD22" i="36"/>
  <c r="AA22" i="36" a="1"/>
  <c r="Z22" i="36" a="1"/>
  <c r="AA13" i="36" a="1"/>
  <c r="Z13" i="36" a="1"/>
  <c r="AD13" i="36"/>
  <c r="P13" i="36"/>
  <c r="P25" i="36"/>
  <c r="AD25" i="36"/>
  <c r="AA25" i="36" a="1"/>
  <c r="Z25" i="36" a="1"/>
  <c r="P18" i="36"/>
  <c r="AD18" i="36"/>
  <c r="AA18" i="36" a="1"/>
  <c r="Z18" i="36" a="1"/>
  <c r="P24" i="36"/>
  <c r="AD24" i="36"/>
  <c r="AA24" i="36" a="1"/>
  <c r="Z24" i="36" a="1"/>
  <c r="AD14" i="36"/>
  <c r="AA14" i="36" a="1"/>
  <c r="Z14" i="36" a="1"/>
  <c r="P14" i="36"/>
  <c r="P23" i="36"/>
  <c r="AD23" i="36"/>
  <c r="Z23" i="36" a="1"/>
  <c r="AA23" i="36" a="1"/>
  <c r="L13" i="14"/>
  <c r="L12" i="14"/>
  <c r="L11" i="14"/>
  <c r="L10" i="14"/>
  <c r="L9" i="14"/>
  <c r="L8" i="14"/>
  <c r="V183" i="2" l="1"/>
  <c r="W183" i="2" s="1"/>
  <c r="X183" i="2" s="1"/>
  <c r="Y183" i="2" s="1"/>
  <c r="Z183" i="2" s="1"/>
  <c r="AA183" i="2" s="1"/>
  <c r="AB183" i="2" s="1"/>
  <c r="AC183" i="2" s="1"/>
  <c r="AD183" i="2" s="1"/>
  <c r="AE183" i="2" s="1"/>
  <c r="U184" i="2"/>
  <c r="T184" i="2"/>
  <c r="Z9" i="36" a="1"/>
  <c r="AA9" i="36" a="1"/>
  <c r="P9" i="36"/>
  <c r="P11" i="36"/>
  <c r="AD11" i="36"/>
  <c r="AA11" i="36" a="1"/>
  <c r="AD7" i="36"/>
  <c r="AA7" i="36" a="1"/>
  <c r="AA10" i="36" a="1"/>
  <c r="AD17" i="36"/>
  <c r="AD21" i="36"/>
  <c r="P17" i="36"/>
  <c r="Z17" i="36" a="1"/>
  <c r="AD10" i="36"/>
  <c r="AA21" i="36" a="1"/>
  <c r="AD12" i="36"/>
  <c r="X26" i="36"/>
  <c r="X18" i="36"/>
  <c r="Z21" i="36" a="1"/>
  <c r="X10" i="36"/>
  <c r="AA12" i="36" a="1"/>
  <c r="X22" i="36"/>
  <c r="P12" i="36"/>
  <c r="X21" i="36"/>
  <c r="R26" i="36"/>
  <c r="Z19" i="36" a="1"/>
  <c r="Z10" i="36" a="1"/>
  <c r="AA6" i="36" a="1"/>
  <c r="Z6" i="36" a="1"/>
  <c r="P7" i="36"/>
  <c r="X16" i="36"/>
  <c r="P6" i="36"/>
  <c r="X19" i="36"/>
  <c r="X20" i="36"/>
  <c r="X6" i="36"/>
  <c r="Y6" i="36" s="1"/>
  <c r="X24" i="36"/>
  <c r="D13" i="36"/>
  <c r="AC6" i="36" a="1"/>
  <c r="AD15" i="36"/>
  <c r="AA15" i="36" a="1"/>
  <c r="AD19" i="36"/>
  <c r="P19" i="36"/>
  <c r="P15" i="36"/>
  <c r="E9" i="36"/>
  <c r="X9" i="36"/>
  <c r="X13" i="36"/>
  <c r="X12" i="36"/>
  <c r="X17" i="36"/>
  <c r="Z20" i="36" a="1"/>
  <c r="AA20" i="36" a="1"/>
  <c r="X25" i="36"/>
  <c r="X7" i="36"/>
  <c r="X23" i="36"/>
  <c r="X14" i="36"/>
  <c r="X8" i="36"/>
  <c r="AD20" i="36"/>
  <c r="X15" i="36"/>
  <c r="Y7" i="36" l="1"/>
  <c r="Y8" i="36" s="1"/>
  <c r="Y9" i="36" s="1"/>
  <c r="Y10" i="36" s="1"/>
  <c r="Y11" i="36" s="1"/>
  <c r="Y12" i="36" s="1"/>
  <c r="Y13" i="36" s="1"/>
  <c r="Y14" i="36" s="1"/>
  <c r="Y15" i="36" s="1"/>
  <c r="Y16" i="36" s="1"/>
  <c r="Y17" i="36" s="1"/>
  <c r="Y18" i="36" s="1"/>
  <c r="Y19" i="36" s="1"/>
  <c r="Y20" i="36" s="1"/>
  <c r="Y21" i="36" s="1"/>
  <c r="Y22" i="36" s="1"/>
  <c r="Y23" i="36" s="1"/>
  <c r="Y24" i="36" s="1"/>
  <c r="Y25" i="36" s="1"/>
  <c r="AL36" i="24" l="1"/>
  <c r="AL37" i="24"/>
  <c r="AL38" i="24"/>
  <c r="AL40" i="24"/>
  <c r="AL42" i="24"/>
  <c r="AL44" i="24"/>
  <c r="AL46" i="24"/>
  <c r="AL48" i="24"/>
  <c r="AL50" i="24"/>
  <c r="AL52" i="24"/>
  <c r="AL54" i="24"/>
  <c r="AL55" i="24"/>
  <c r="AL56" i="24"/>
  <c r="AL58" i="24"/>
  <c r="AL60" i="24"/>
  <c r="AL62" i="24"/>
  <c r="AL64" i="24"/>
  <c r="AL66" i="24"/>
  <c r="AL68" i="24"/>
  <c r="AL70" i="24"/>
  <c r="AL72" i="24"/>
  <c r="AL74" i="24"/>
  <c r="AL75" i="24"/>
  <c r="AL76" i="24"/>
  <c r="AL78" i="24"/>
  <c r="AL80" i="24"/>
  <c r="AL82" i="24"/>
  <c r="AL83" i="24"/>
  <c r="AL84" i="24"/>
  <c r="AL85" i="24"/>
  <c r="AL86" i="24"/>
  <c r="AL88" i="24"/>
  <c r="AL92" i="24"/>
  <c r="AL95" i="24"/>
  <c r="AL96" i="24"/>
  <c r="AL97" i="24"/>
  <c r="AL98" i="24"/>
  <c r="AL100" i="24"/>
  <c r="E13" i="24" s="1"/>
  <c r="AL102" i="24"/>
  <c r="AL104" i="24"/>
  <c r="AL106" i="24"/>
  <c r="AL108" i="24"/>
  <c r="AL110" i="24"/>
  <c r="AL32" i="24"/>
  <c r="AL34" i="24"/>
  <c r="E10" i="24" l="1"/>
  <c r="I5" i="24"/>
  <c r="AJ77" i="20" l="1"/>
  <c r="AJ78" i="20"/>
  <c r="AJ79" i="20"/>
  <c r="AJ80" i="20"/>
  <c r="AK78" i="20" l="1"/>
  <c r="AK80" i="20"/>
  <c r="AK79" i="20"/>
  <c r="AK77" i="20"/>
  <c r="L13" i="24" l="1"/>
  <c r="M9" i="24"/>
  <c r="M10" i="24"/>
  <c r="M12" i="24"/>
  <c r="M8" i="24"/>
  <c r="L9" i="24"/>
  <c r="L10" i="24"/>
  <c r="L11" i="24"/>
  <c r="L12" i="24"/>
  <c r="L8" i="24"/>
  <c r="AP98" i="18"/>
  <c r="AR98" i="18" s="1" a="1"/>
  <c r="AP97" i="18"/>
  <c r="AR97" i="18" s="1" a="1"/>
  <c r="AP84" i="18"/>
  <c r="AP83" i="18"/>
  <c r="AP80" i="18"/>
  <c r="AP79" i="18"/>
  <c r="AP78" i="18"/>
  <c r="AP77" i="18"/>
  <c r="AP74" i="18"/>
  <c r="AP73" i="18"/>
  <c r="AP72" i="18"/>
  <c r="AP71" i="18"/>
  <c r="AP70" i="18"/>
  <c r="AP69" i="18"/>
  <c r="AP68" i="18"/>
  <c r="AP67" i="18"/>
  <c r="AP66" i="18"/>
  <c r="AP65" i="18"/>
  <c r="AP64" i="18"/>
  <c r="AP63" i="18"/>
  <c r="AP62" i="18"/>
  <c r="AP61" i="18"/>
  <c r="AP60" i="18"/>
  <c r="AP59" i="18"/>
  <c r="AP58" i="18"/>
  <c r="AP57" i="18"/>
  <c r="AP56" i="18"/>
  <c r="AP55" i="18"/>
  <c r="O6" i="18" a="1"/>
  <c r="Q7" i="18" s="1"/>
  <c r="AJ75" i="20"/>
  <c r="AJ76" i="20"/>
  <c r="AJ81" i="20"/>
  <c r="AJ82" i="20"/>
  <c r="AJ83" i="20"/>
  <c r="AJ84" i="20"/>
  <c r="AJ85" i="20"/>
  <c r="AJ86" i="20"/>
  <c r="AJ87" i="20"/>
  <c r="AJ88" i="20"/>
  <c r="AJ89" i="20"/>
  <c r="AJ90" i="20"/>
  <c r="AJ91" i="20"/>
  <c r="AJ92" i="20"/>
  <c r="AJ93" i="20"/>
  <c r="AJ94" i="20"/>
  <c r="AJ95" i="20"/>
  <c r="AJ96" i="20"/>
  <c r="AJ97" i="20"/>
  <c r="AJ98" i="20"/>
  <c r="AJ99" i="20"/>
  <c r="AJ100" i="20"/>
  <c r="AJ101" i="20"/>
  <c r="AJ102" i="20"/>
  <c r="O6" i="20" a="1"/>
  <c r="T101" i="20"/>
  <c r="T99" i="20"/>
  <c r="T97" i="20"/>
  <c r="T95" i="20"/>
  <c r="T93" i="20"/>
  <c r="T91" i="20"/>
  <c r="T89" i="20"/>
  <c r="T87" i="20"/>
  <c r="T83" i="20"/>
  <c r="AC13" i="20" s="1"/>
  <c r="T81" i="20"/>
  <c r="T75" i="20"/>
  <c r="AP102" i="20"/>
  <c r="AR102" i="20" s="1" a="1"/>
  <c r="AP101" i="20"/>
  <c r="AR101" i="20" s="1" a="1"/>
  <c r="AP100" i="20"/>
  <c r="AR100" i="20" s="1" a="1"/>
  <c r="AP99" i="20"/>
  <c r="AR99" i="20" s="1" a="1"/>
  <c r="AP98" i="20"/>
  <c r="AR98" i="20" s="1" a="1"/>
  <c r="AP97" i="20"/>
  <c r="AR97" i="20" s="1" a="1"/>
  <c r="AP96" i="20"/>
  <c r="AR96" i="20" s="1" a="1"/>
  <c r="AP95" i="20"/>
  <c r="AR95" i="20" s="1" a="1"/>
  <c r="AP94" i="20"/>
  <c r="AR94" i="20" s="1" a="1"/>
  <c r="AP93" i="20"/>
  <c r="AR93" i="20" s="1" a="1"/>
  <c r="AP92" i="20"/>
  <c r="AR92" i="20" s="1" a="1"/>
  <c r="AP91" i="20"/>
  <c r="AR91" i="20" s="1" a="1"/>
  <c r="AP90" i="20"/>
  <c r="AR90" i="20" s="1" a="1"/>
  <c r="AP89" i="20"/>
  <c r="AR89" i="20" s="1" a="1"/>
  <c r="AP88" i="20"/>
  <c r="AR88" i="20" s="1" a="1"/>
  <c r="AP87" i="20"/>
  <c r="AR87" i="20" s="1" a="1"/>
  <c r="AP86" i="20"/>
  <c r="AP85" i="20"/>
  <c r="AP84" i="20"/>
  <c r="AP83" i="20"/>
  <c r="AP82" i="20"/>
  <c r="AP81" i="20"/>
  <c r="AP80" i="20"/>
  <c r="AP79" i="20"/>
  <c r="AP78" i="20"/>
  <c r="AP77" i="20"/>
  <c r="AP76" i="20"/>
  <c r="AP75" i="20"/>
  <c r="AP74" i="20"/>
  <c r="AP73" i="20"/>
  <c r="AP72" i="20"/>
  <c r="AP71" i="20"/>
  <c r="AP70" i="20"/>
  <c r="AP69" i="20"/>
  <c r="AP68" i="20"/>
  <c r="AP67" i="20"/>
  <c r="AP66" i="20"/>
  <c r="AP65" i="20"/>
  <c r="AP64" i="20"/>
  <c r="AP63" i="20"/>
  <c r="AP62" i="20"/>
  <c r="AP61" i="20"/>
  <c r="AP60" i="20"/>
  <c r="AP59" i="20"/>
  <c r="AP58" i="20"/>
  <c r="AP57" i="20"/>
  <c r="AP56" i="20"/>
  <c r="AP55" i="20"/>
  <c r="B12" i="20"/>
  <c r="B14" i="20"/>
  <c r="Q9" i="20" l="1"/>
  <c r="U9" i="20" s="1"/>
  <c r="Q7" i="20"/>
  <c r="Q10" i="20"/>
  <c r="Q11" i="20"/>
  <c r="U11" i="20" s="1"/>
  <c r="Q12" i="20"/>
  <c r="Q14" i="20"/>
  <c r="Q13" i="20"/>
  <c r="Q8" i="20"/>
  <c r="Z11" i="20" l="1"/>
  <c r="R11" i="20"/>
  <c r="U10" i="20"/>
  <c r="Z10" i="20"/>
  <c r="R10" i="20"/>
  <c r="U14" i="20"/>
  <c r="R14" i="20"/>
  <c r="Z14" i="20"/>
  <c r="R8" i="20"/>
  <c r="Z8" i="20"/>
  <c r="U8" i="20"/>
  <c r="Z13" i="20"/>
  <c r="U13" i="20"/>
  <c r="R13" i="20"/>
  <c r="Z12" i="20"/>
  <c r="U12" i="20"/>
  <c r="R12" i="20"/>
  <c r="Z7" i="20"/>
  <c r="U7" i="20"/>
  <c r="R7" i="20"/>
  <c r="Z9" i="20"/>
  <c r="R9" i="20"/>
  <c r="AE6" i="20" l="1" a="1"/>
  <c r="S9" i="20"/>
  <c r="P9" i="20"/>
  <c r="S14" i="20"/>
  <c r="P14" i="20"/>
  <c r="P7" i="20"/>
  <c r="S7" i="20"/>
  <c r="S10" i="20"/>
  <c r="P10" i="20"/>
  <c r="S13" i="20"/>
  <c r="P13" i="20"/>
  <c r="S8" i="20"/>
  <c r="P8" i="20"/>
  <c r="P12" i="20"/>
  <c r="S12" i="20"/>
  <c r="P11" i="20"/>
  <c r="S11" i="20"/>
  <c r="AD6" i="20"/>
  <c r="AD9" i="20" l="1"/>
  <c r="AD13" i="20"/>
  <c r="AD7" i="20"/>
  <c r="C183" i="34" l="1"/>
  <c r="C182" i="34"/>
  <c r="B182" i="34"/>
  <c r="E5" i="20"/>
  <c r="AJ71" i="20"/>
  <c r="AJ72" i="20"/>
  <c r="AJ69" i="20"/>
  <c r="AJ70" i="20"/>
  <c r="AJ67" i="20"/>
  <c r="AJ68" i="20"/>
  <c r="AJ63" i="20"/>
  <c r="AJ64" i="20"/>
  <c r="AJ61" i="20"/>
  <c r="AJ62" i="20"/>
  <c r="AB57" i="20"/>
  <c r="AF57" i="20"/>
  <c r="AJ57" i="20"/>
  <c r="X58" i="20"/>
  <c r="AB58" i="20"/>
  <c r="AF58" i="20"/>
  <c r="AJ58" i="20"/>
  <c r="AB55" i="20"/>
  <c r="AF55" i="20"/>
  <c r="AJ55" i="20"/>
  <c r="X56" i="20"/>
  <c r="AB56" i="20"/>
  <c r="AF56" i="20"/>
  <c r="AJ56" i="20"/>
  <c r="C11" i="24"/>
  <c r="C12" i="24"/>
  <c r="C9" i="24"/>
  <c r="F16" i="32" s="1"/>
  <c r="C12" i="18"/>
  <c r="C13" i="18"/>
  <c r="C12" i="2"/>
  <c r="Q6" i="17"/>
  <c r="U6" i="17" s="1"/>
  <c r="S6" i="17" s="1"/>
  <c r="O6" i="17" a="1"/>
  <c r="AP59" i="17"/>
  <c r="AP60" i="17"/>
  <c r="AP61" i="17"/>
  <c r="AP62" i="17"/>
  <c r="AP63" i="17"/>
  <c r="AP64" i="17"/>
  <c r="AP65" i="17"/>
  <c r="AP66" i="17"/>
  <c r="AP67" i="17"/>
  <c r="AP68" i="17"/>
  <c r="AP69" i="17"/>
  <c r="AP70" i="17"/>
  <c r="AP71" i="17"/>
  <c r="AP72" i="17"/>
  <c r="AP73" i="17"/>
  <c r="AP74" i="17"/>
  <c r="AP75" i="17"/>
  <c r="AP76" i="17"/>
  <c r="AP77" i="17"/>
  <c r="AP78" i="17"/>
  <c r="AP79" i="17"/>
  <c r="AP80" i="17"/>
  <c r="AP83" i="17"/>
  <c r="AP84" i="17"/>
  <c r="AP85" i="17"/>
  <c r="AP86" i="17"/>
  <c r="AP87" i="17"/>
  <c r="AP88" i="17"/>
  <c r="AP89" i="17"/>
  <c r="AP90" i="17"/>
  <c r="AP91" i="17"/>
  <c r="AP92" i="17"/>
  <c r="AQ35" i="24"/>
  <c r="AQ36" i="24"/>
  <c r="AQ37" i="24"/>
  <c r="AQ38" i="24"/>
  <c r="AQ39" i="24"/>
  <c r="AQ40" i="24"/>
  <c r="AQ41" i="24"/>
  <c r="AQ42" i="24"/>
  <c r="AQ43" i="24"/>
  <c r="AQ44" i="24"/>
  <c r="AQ45" i="24"/>
  <c r="AQ46" i="24"/>
  <c r="AQ47" i="24"/>
  <c r="AQ48" i="24"/>
  <c r="AQ49" i="24"/>
  <c r="AQ50" i="24"/>
  <c r="AQ51" i="24"/>
  <c r="AQ52" i="24"/>
  <c r="AQ53" i="24"/>
  <c r="AQ54" i="24"/>
  <c r="AQ55" i="24"/>
  <c r="AQ56" i="24"/>
  <c r="AQ57" i="24"/>
  <c r="AQ58" i="24"/>
  <c r="AQ59" i="24"/>
  <c r="AQ60" i="24"/>
  <c r="AQ61" i="24"/>
  <c r="AQ62" i="24"/>
  <c r="AQ63" i="24"/>
  <c r="AQ64" i="24"/>
  <c r="AQ65" i="24"/>
  <c r="AQ66" i="24"/>
  <c r="AQ67" i="24"/>
  <c r="AQ68" i="24"/>
  <c r="AQ69" i="24"/>
  <c r="AQ70" i="24"/>
  <c r="AQ71" i="24"/>
  <c r="AQ72" i="24"/>
  <c r="AQ73" i="24"/>
  <c r="AQ74" i="24"/>
  <c r="AQ75" i="24"/>
  <c r="AQ76" i="24"/>
  <c r="AQ77" i="24"/>
  <c r="AQ78" i="24"/>
  <c r="AQ79" i="24"/>
  <c r="AQ80" i="24"/>
  <c r="AQ81" i="24"/>
  <c r="AQ82" i="24"/>
  <c r="AQ83" i="24"/>
  <c r="AQ84" i="24"/>
  <c r="AQ85" i="24"/>
  <c r="AQ86" i="24"/>
  <c r="AQ87" i="24"/>
  <c r="AQ88" i="24"/>
  <c r="AQ91" i="24"/>
  <c r="AQ92" i="24"/>
  <c r="AQ93" i="24"/>
  <c r="AQ94" i="24"/>
  <c r="AQ95" i="24"/>
  <c r="AQ96" i="24"/>
  <c r="AQ97" i="24"/>
  <c r="AQ98" i="24"/>
  <c r="AQ99" i="24"/>
  <c r="AQ100" i="24"/>
  <c r="AQ101" i="24"/>
  <c r="AQ102" i="24"/>
  <c r="AQ103" i="24"/>
  <c r="AQ104" i="24"/>
  <c r="AQ105" i="24"/>
  <c r="AQ106" i="24"/>
  <c r="AQ107" i="24"/>
  <c r="AQ108" i="24"/>
  <c r="AQ109" i="24"/>
  <c r="AQ110" i="24"/>
  <c r="AQ143" i="24"/>
  <c r="AS143" i="24" s="1" a="1"/>
  <c r="AQ144" i="24"/>
  <c r="AS144" i="24" s="1" a="1"/>
  <c r="AQ34" i="24"/>
  <c r="AQ33" i="24"/>
  <c r="AQ32" i="24"/>
  <c r="AQ31" i="24"/>
  <c r="R6" i="24" a="1"/>
  <c r="T77" i="19"/>
  <c r="AP96" i="19"/>
  <c r="AP95" i="19"/>
  <c r="AP94" i="19"/>
  <c r="AP93" i="19"/>
  <c r="AP92" i="19"/>
  <c r="AP91" i="19"/>
  <c r="AP90" i="19"/>
  <c r="AP89" i="19"/>
  <c r="AP88" i="19"/>
  <c r="AP87" i="19"/>
  <c r="AP86" i="19"/>
  <c r="AP85" i="19"/>
  <c r="AP84" i="19"/>
  <c r="AP83" i="19"/>
  <c r="AP82" i="19"/>
  <c r="AP81" i="19"/>
  <c r="AP80" i="19"/>
  <c r="AP79" i="19"/>
  <c r="AP78" i="19"/>
  <c r="AP77" i="19"/>
  <c r="AP76" i="19"/>
  <c r="AP75" i="19"/>
  <c r="AP74" i="19"/>
  <c r="AP73" i="19"/>
  <c r="AP72" i="19"/>
  <c r="AP71" i="19"/>
  <c r="AP70" i="19"/>
  <c r="AP69" i="19"/>
  <c r="AP68" i="19"/>
  <c r="AP67" i="19"/>
  <c r="AP66" i="19"/>
  <c r="AP65" i="19"/>
  <c r="AP64" i="19"/>
  <c r="AP63" i="19"/>
  <c r="AP62" i="19"/>
  <c r="AP61" i="19"/>
  <c r="AP60" i="19"/>
  <c r="AP59" i="19"/>
  <c r="AP58" i="19"/>
  <c r="AP57" i="19"/>
  <c r="AP56" i="19"/>
  <c r="AP55" i="19"/>
  <c r="C15" i="18" l="1"/>
  <c r="F18" i="32"/>
  <c r="I183" i="34"/>
  <c r="L183" i="34"/>
  <c r="I182" i="34"/>
  <c r="L182" i="34"/>
  <c r="AB16" i="19" a="1"/>
  <c r="AC16" i="19" a="1"/>
  <c r="AC24" i="19" a="1"/>
  <c r="AB24" i="19" a="1"/>
  <c r="G182" i="34"/>
  <c r="H182" i="34"/>
  <c r="G183" i="34"/>
  <c r="H183" i="34"/>
  <c r="AC7" i="19" a="1"/>
  <c r="AC20" i="19" a="1"/>
  <c r="AC22" i="19" a="1"/>
  <c r="AC11" i="19" a="1"/>
  <c r="AC9" i="19" a="1"/>
  <c r="AB6" i="19" a="1"/>
  <c r="AC15" i="19" a="1"/>
  <c r="AC13" i="19" a="1"/>
  <c r="AC12" i="19" a="1"/>
  <c r="AC18" i="19" a="1"/>
  <c r="AC25" i="19" a="1"/>
  <c r="AC21" i="19" a="1"/>
  <c r="AC23" i="19" a="1"/>
  <c r="AC8" i="19" a="1"/>
  <c r="AC10" i="19" a="1"/>
  <c r="AB14" i="19" a="1"/>
  <c r="AC14" i="19" a="1"/>
  <c r="AB7" i="19" a="1"/>
  <c r="AB13" i="19" a="1"/>
  <c r="AB9" i="19" a="1"/>
  <c r="AB8" i="19" a="1"/>
  <c r="AB18" i="19" a="1"/>
  <c r="AB23" i="19" a="1"/>
  <c r="AB25" i="19" a="1"/>
  <c r="AB15" i="19" a="1"/>
  <c r="AB10" i="19" a="1"/>
  <c r="AB11" i="19" a="1"/>
  <c r="AB12" i="19" a="1"/>
  <c r="AB17" i="19" a="1"/>
  <c r="AB22" i="19" a="1"/>
  <c r="AB21" i="19" a="1"/>
  <c r="AB20" i="19" a="1"/>
  <c r="R6" i="17"/>
  <c r="Z16" i="20"/>
  <c r="Z15" i="20"/>
  <c r="AK71" i="20"/>
  <c r="AK55" i="20"/>
  <c r="AK62" i="20"/>
  <c r="AK61" i="20"/>
  <c r="AK64" i="20"/>
  <c r="AK67" i="20"/>
  <c r="AK63" i="20"/>
  <c r="AK69" i="20"/>
  <c r="Q17" i="17"/>
  <c r="R17" i="17" s="1"/>
  <c r="AK72" i="20"/>
  <c r="AK76" i="20"/>
  <c r="AK56" i="20"/>
  <c r="AK68" i="20"/>
  <c r="AK75" i="20"/>
  <c r="AK57" i="20"/>
  <c r="AK58" i="20"/>
  <c r="AK70" i="20"/>
  <c r="Q8" i="17"/>
  <c r="R8" i="17" s="1"/>
  <c r="Q9" i="17"/>
  <c r="R9" i="17" s="1"/>
  <c r="Q12" i="17"/>
  <c r="R12" i="17" s="1"/>
  <c r="Q13" i="17"/>
  <c r="R13" i="17" s="1"/>
  <c r="Q14" i="17"/>
  <c r="R14" i="17" s="1"/>
  <c r="Q16" i="17"/>
  <c r="R16" i="17" s="1"/>
  <c r="Q21" i="17"/>
  <c r="R21" i="17" s="1"/>
  <c r="Q22" i="17"/>
  <c r="Q18" i="17"/>
  <c r="R18" i="17" s="1"/>
  <c r="Q10" i="17"/>
  <c r="R10" i="17" s="1"/>
  <c r="Q25" i="17"/>
  <c r="Q20" i="17"/>
  <c r="Q24" i="17"/>
  <c r="Q7" i="17"/>
  <c r="R7" i="17" s="1"/>
  <c r="Q11" i="17"/>
  <c r="R11" i="17" s="1"/>
  <c r="Q15" i="17"/>
  <c r="R15" i="17" s="1"/>
  <c r="Q19" i="17"/>
  <c r="R19" i="17" s="1"/>
  <c r="Q23" i="17"/>
  <c r="AP59" i="2"/>
  <c r="AP60" i="2"/>
  <c r="AP61" i="2"/>
  <c r="AP62" i="2"/>
  <c r="AP63" i="2"/>
  <c r="AP64" i="2"/>
  <c r="AP65" i="2"/>
  <c r="AP66" i="2"/>
  <c r="AP67" i="2"/>
  <c r="AP68" i="2"/>
  <c r="AP69" i="2"/>
  <c r="AP70" i="2"/>
  <c r="AP71" i="2"/>
  <c r="AP72" i="2"/>
  <c r="AP73" i="2"/>
  <c r="AP74" i="2"/>
  <c r="AP75" i="2"/>
  <c r="AP76" i="2"/>
  <c r="AP77" i="2"/>
  <c r="AP78" i="2"/>
  <c r="AP79" i="2"/>
  <c r="AP80" i="2"/>
  <c r="AP81" i="2"/>
  <c r="AP82" i="2"/>
  <c r="AP83" i="2"/>
  <c r="AP84" i="2"/>
  <c r="AP85" i="2"/>
  <c r="AP86" i="2"/>
  <c r="AP87" i="2"/>
  <c r="AP88" i="2"/>
  <c r="AP89" i="2"/>
  <c r="AP90" i="2"/>
  <c r="AP91" i="2"/>
  <c r="AP92" i="2"/>
  <c r="AP93" i="2"/>
  <c r="AP94" i="2"/>
  <c r="AP95" i="2"/>
  <c r="AP96" i="2"/>
  <c r="AP97" i="2"/>
  <c r="AP98" i="2"/>
  <c r="AP99" i="2"/>
  <c r="AP100" i="2"/>
  <c r="AP58" i="2"/>
  <c r="AP57" i="2"/>
  <c r="AP56" i="2"/>
  <c r="AP55" i="2"/>
  <c r="R22" i="17" l="1"/>
  <c r="U22" i="17"/>
  <c r="S22" i="17" s="1"/>
  <c r="R23" i="17"/>
  <c r="U23" i="17"/>
  <c r="S23" i="17" s="1"/>
  <c r="R24" i="17"/>
  <c r="U24" i="17"/>
  <c r="S24" i="17" s="1"/>
  <c r="R25" i="17"/>
  <c r="U25" i="17"/>
  <c r="S25" i="17" s="1"/>
  <c r="R20" i="17"/>
  <c r="U20" i="17"/>
  <c r="S20" i="17" s="1"/>
  <c r="P6" i="17"/>
  <c r="AC6" i="17" a="1"/>
  <c r="U19" i="17"/>
  <c r="S19" i="17" s="1"/>
  <c r="U16" i="17"/>
  <c r="S16" i="17" s="1"/>
  <c r="U15" i="17"/>
  <c r="S15" i="17" s="1"/>
  <c r="U14" i="17"/>
  <c r="S14" i="17" s="1"/>
  <c r="U10" i="17"/>
  <c r="S10" i="17" s="1"/>
  <c r="U11" i="17"/>
  <c r="S11" i="17" s="1"/>
  <c r="U13" i="17"/>
  <c r="S13" i="17" s="1"/>
  <c r="U17" i="17"/>
  <c r="S17" i="17" s="1"/>
  <c r="U12" i="17"/>
  <c r="S12" i="17" s="1"/>
  <c r="U8" i="17"/>
  <c r="S8" i="17" s="1"/>
  <c r="U9" i="17"/>
  <c r="S9" i="17" s="1"/>
  <c r="U18" i="17"/>
  <c r="S18" i="17" s="1"/>
  <c r="U21" i="17"/>
  <c r="S21" i="17" s="1"/>
  <c r="U7" i="17"/>
  <c r="S7" i="17" s="1"/>
  <c r="AE6" i="17" l="1" a="1"/>
  <c r="R26" i="17"/>
  <c r="P9" i="17"/>
  <c r="AC9" i="17" a="1"/>
  <c r="AC14" i="17" a="1"/>
  <c r="P16" i="17"/>
  <c r="AC16" i="17" a="1"/>
  <c r="P22" i="17"/>
  <c r="P14" i="17"/>
  <c r="AC18" i="17" a="1"/>
  <c r="P13" i="17"/>
  <c r="AC13" i="17" a="1"/>
  <c r="P25" i="17"/>
  <c r="AC25" i="17" a="1"/>
  <c r="AC23" i="17" a="1"/>
  <c r="AC21" i="17" a="1"/>
  <c r="AC20" i="17" a="1"/>
  <c r="P23" i="17"/>
  <c r="P17" i="17"/>
  <c r="P8" i="17"/>
  <c r="P18" i="17"/>
  <c r="P11" i="17"/>
  <c r="P19" i="17"/>
  <c r="P10" i="17"/>
  <c r="AC19" i="17" a="1"/>
  <c r="AC11" i="17" a="1"/>
  <c r="AC10" i="17" a="1"/>
  <c r="P15" i="17"/>
  <c r="AC15" i="17" a="1"/>
  <c r="P24" i="17"/>
  <c r="AC24" i="17" a="1"/>
  <c r="P21" i="17"/>
  <c r="AC22" i="17" a="1"/>
  <c r="AC8" i="17" a="1"/>
  <c r="AC17" i="17" a="1"/>
  <c r="P12" i="17"/>
  <c r="AC12" i="17" a="1"/>
  <c r="P7" i="17"/>
  <c r="Q26" i="17" s="1"/>
  <c r="AC7" i="17" a="1"/>
  <c r="F204" i="34" l="1"/>
  <c r="F205" i="34"/>
  <c r="F206" i="34"/>
  <c r="F207" i="34"/>
  <c r="F208" i="34"/>
  <c r="F209" i="34"/>
  <c r="F210" i="34"/>
  <c r="F211" i="34"/>
  <c r="A182" i="34" a="1"/>
  <c r="F171" i="34"/>
  <c r="F172" i="34"/>
  <c r="F173" i="34"/>
  <c r="F174" i="34"/>
  <c r="F175" i="34"/>
  <c r="F176" i="34"/>
  <c r="F177" i="34"/>
  <c r="F178" i="34"/>
  <c r="A149" i="34" a="1"/>
  <c r="F138" i="34"/>
  <c r="F139" i="34"/>
  <c r="F140" i="34"/>
  <c r="F141" i="34"/>
  <c r="F142" i="34"/>
  <c r="F143" i="34"/>
  <c r="F144" i="34"/>
  <c r="F145" i="34"/>
  <c r="A116" i="34" a="1"/>
  <c r="F26" i="34"/>
  <c r="F27" i="34"/>
  <c r="F28" i="34"/>
  <c r="F29" i="34"/>
  <c r="F30" i="34"/>
  <c r="F31" i="34"/>
  <c r="F32" i="34"/>
  <c r="F33" i="34"/>
  <c r="F92" i="34"/>
  <c r="F93" i="34"/>
  <c r="F94" i="34"/>
  <c r="F95" i="34"/>
  <c r="F96" i="34"/>
  <c r="F97" i="34"/>
  <c r="F98" i="34"/>
  <c r="F99" i="34"/>
  <c r="B98" i="34"/>
  <c r="B86" i="34"/>
  <c r="B95" i="34"/>
  <c r="B79" i="34"/>
  <c r="B90" i="34"/>
  <c r="B89" i="34"/>
  <c r="B88" i="34"/>
  <c r="B85" i="34"/>
  <c r="B94" i="34"/>
  <c r="B97" i="34"/>
  <c r="B84" i="34"/>
  <c r="B93" i="34"/>
  <c r="B99" i="34"/>
  <c r="B83" i="34"/>
  <c r="B92" i="34"/>
  <c r="B82" i="34"/>
  <c r="B81" i="34"/>
  <c r="B80" i="34"/>
  <c r="B91" i="34"/>
  <c r="B87" i="34"/>
  <c r="B96" i="34"/>
  <c r="B143" i="34" l="1"/>
  <c r="C143" i="34" s="1"/>
  <c r="B144" i="34"/>
  <c r="C144" i="34" s="1"/>
  <c r="B145" i="34"/>
  <c r="C145" i="34" s="1"/>
  <c r="B142" i="34"/>
  <c r="C142" i="34" s="1"/>
  <c r="B135" i="34"/>
  <c r="B141" i="34"/>
  <c r="C141" i="34" s="1"/>
  <c r="B136" i="34"/>
  <c r="B139" i="34"/>
  <c r="C139" i="34" s="1"/>
  <c r="B137" i="34"/>
  <c r="B138" i="34"/>
  <c r="C138" i="34" s="1"/>
  <c r="B140" i="34"/>
  <c r="C140" i="34" s="1"/>
  <c r="B188" i="34"/>
  <c r="B189" i="34"/>
  <c r="B190" i="34"/>
  <c r="B194" i="34"/>
  <c r="B191" i="34"/>
  <c r="B192" i="34"/>
  <c r="B193" i="34"/>
  <c r="B195" i="34"/>
  <c r="B184" i="34"/>
  <c r="B196" i="34"/>
  <c r="B197" i="34"/>
  <c r="C197" i="34" s="1"/>
  <c r="B198" i="34"/>
  <c r="B206" i="34"/>
  <c r="C206" i="34" s="1"/>
  <c r="B210" i="34"/>
  <c r="C210" i="34" s="1"/>
  <c r="B203" i="34"/>
  <c r="C203" i="34" s="1"/>
  <c r="B202" i="34"/>
  <c r="C202" i="34" s="1"/>
  <c r="B185" i="34"/>
  <c r="B186" i="34"/>
  <c r="B183" i="34"/>
  <c r="B187" i="34"/>
  <c r="B200" i="34"/>
  <c r="B205" i="34"/>
  <c r="C205" i="34" s="1"/>
  <c r="B204" i="34"/>
  <c r="C204" i="34" s="1"/>
  <c r="B199" i="34"/>
  <c r="B201" i="34"/>
  <c r="B211" i="34"/>
  <c r="C211" i="34" s="1"/>
  <c r="B209" i="34"/>
  <c r="C209" i="34" s="1"/>
  <c r="B208" i="34"/>
  <c r="C208" i="34" s="1"/>
  <c r="B207" i="34"/>
  <c r="C207" i="34" s="1"/>
  <c r="C93" i="34"/>
  <c r="C92" i="34"/>
  <c r="C84" i="34"/>
  <c r="C81" i="34"/>
  <c r="C82" i="34"/>
  <c r="C97" i="34"/>
  <c r="C95" i="34"/>
  <c r="C96" i="34"/>
  <c r="C94" i="34"/>
  <c r="C87" i="34"/>
  <c r="C85" i="34"/>
  <c r="C91" i="34"/>
  <c r="C88" i="34"/>
  <c r="C90" i="34"/>
  <c r="C79" i="34"/>
  <c r="C80" i="34"/>
  <c r="C89" i="34"/>
  <c r="C83" i="34"/>
  <c r="C86" i="34"/>
  <c r="C99" i="34"/>
  <c r="C98" i="34"/>
  <c r="I140" i="34" l="1"/>
  <c r="I206" i="34"/>
  <c r="L206" i="34"/>
  <c r="I204" i="34"/>
  <c r="L204" i="34"/>
  <c r="I197" i="34"/>
  <c r="L197" i="34"/>
  <c r="I138" i="34"/>
  <c r="I89" i="34"/>
  <c r="L89" i="34"/>
  <c r="I82" i="34"/>
  <c r="L82" i="34"/>
  <c r="I205" i="34"/>
  <c r="L205" i="34"/>
  <c r="I80" i="34"/>
  <c r="L80" i="34"/>
  <c r="I81" i="34"/>
  <c r="L81" i="34"/>
  <c r="I139" i="34"/>
  <c r="I79" i="34"/>
  <c r="L79" i="34"/>
  <c r="I99" i="34"/>
  <c r="L99" i="34"/>
  <c r="I95" i="34"/>
  <c r="L95" i="34"/>
  <c r="I97" i="34"/>
  <c r="L97" i="34"/>
  <c r="I90" i="34"/>
  <c r="L90" i="34"/>
  <c r="I92" i="34"/>
  <c r="I141" i="34"/>
  <c r="I83" i="34"/>
  <c r="L83" i="34"/>
  <c r="I88" i="34"/>
  <c r="L88" i="34"/>
  <c r="I93" i="34"/>
  <c r="L93" i="34"/>
  <c r="I91" i="34"/>
  <c r="L91" i="34"/>
  <c r="I207" i="34"/>
  <c r="L207" i="34"/>
  <c r="I142" i="34"/>
  <c r="I96" i="34"/>
  <c r="L96" i="34"/>
  <c r="I85" i="34"/>
  <c r="L85" i="34"/>
  <c r="I208" i="34"/>
  <c r="L208" i="34"/>
  <c r="I202" i="34"/>
  <c r="L202" i="34"/>
  <c r="I145" i="34"/>
  <c r="L145" i="34"/>
  <c r="I86" i="34"/>
  <c r="L86" i="34"/>
  <c r="I84" i="34"/>
  <c r="L84" i="34"/>
  <c r="I209" i="34"/>
  <c r="L209" i="34"/>
  <c r="I203" i="34"/>
  <c r="L203" i="34"/>
  <c r="I144" i="34"/>
  <c r="I87" i="34"/>
  <c r="L87" i="34"/>
  <c r="I98" i="34"/>
  <c r="L98" i="34"/>
  <c r="I94" i="34"/>
  <c r="L94" i="34"/>
  <c r="I211" i="34"/>
  <c r="L211" i="34"/>
  <c r="I210" i="34"/>
  <c r="L210" i="34"/>
  <c r="I143" i="34"/>
  <c r="H208" i="34"/>
  <c r="G208" i="34"/>
  <c r="H207" i="34"/>
  <c r="G207" i="34"/>
  <c r="H143" i="34"/>
  <c r="G143" i="34"/>
  <c r="G203" i="34"/>
  <c r="H203" i="34"/>
  <c r="G209" i="34"/>
  <c r="H209" i="34"/>
  <c r="G197" i="34"/>
  <c r="H197" i="34"/>
  <c r="G210" i="34"/>
  <c r="H210" i="34"/>
  <c r="G211" i="34"/>
  <c r="H211" i="34"/>
  <c r="G206" i="34"/>
  <c r="H206" i="34"/>
  <c r="G204" i="34"/>
  <c r="H204" i="34"/>
  <c r="G205" i="34"/>
  <c r="H205" i="34"/>
  <c r="G202" i="34"/>
  <c r="H202" i="34"/>
  <c r="G145" i="34"/>
  <c r="H145" i="34"/>
  <c r="G142" i="34"/>
  <c r="H142" i="34"/>
  <c r="G140" i="34"/>
  <c r="H140" i="34"/>
  <c r="G139" i="34"/>
  <c r="H139" i="34"/>
  <c r="G141" i="34"/>
  <c r="H141" i="34"/>
  <c r="G144" i="34"/>
  <c r="H144" i="34"/>
  <c r="G138" i="34"/>
  <c r="H138" i="34"/>
  <c r="K204" i="34" a="1"/>
  <c r="J204" i="34"/>
  <c r="J211" i="34"/>
  <c r="K211" i="34" a="1"/>
  <c r="J207" i="34"/>
  <c r="K207" i="34" a="1"/>
  <c r="J205" i="34"/>
  <c r="K205" i="34" a="1"/>
  <c r="J206" i="34"/>
  <c r="K206" i="34" a="1"/>
  <c r="K202" i="34" a="1"/>
  <c r="J202" i="34"/>
  <c r="J208" i="34"/>
  <c r="K208" i="34" a="1"/>
  <c r="K203" i="34" a="1"/>
  <c r="J203" i="34"/>
  <c r="J209" i="34"/>
  <c r="K209" i="34" a="1"/>
  <c r="J197" i="34"/>
  <c r="K197" i="34" a="1"/>
  <c r="J210" i="34"/>
  <c r="K210" i="34" a="1"/>
  <c r="C196" i="34"/>
  <c r="C201" i="34"/>
  <c r="C198" i="34"/>
  <c r="C195" i="34"/>
  <c r="C199" i="34"/>
  <c r="C200" i="34"/>
  <c r="C194" i="34"/>
  <c r="C137" i="34"/>
  <c r="G87" i="34"/>
  <c r="H87" i="34"/>
  <c r="G94" i="34"/>
  <c r="H94" i="34"/>
  <c r="G96" i="34"/>
  <c r="H96" i="34"/>
  <c r="G83" i="34"/>
  <c r="H83" i="34"/>
  <c r="G85" i="34"/>
  <c r="H85" i="34"/>
  <c r="G98" i="34"/>
  <c r="H98" i="34"/>
  <c r="G95" i="34"/>
  <c r="H95" i="34"/>
  <c r="G86" i="34"/>
  <c r="H86" i="34"/>
  <c r="G99" i="34"/>
  <c r="H99" i="34"/>
  <c r="G97" i="34"/>
  <c r="H97" i="34"/>
  <c r="G92" i="34"/>
  <c r="H92" i="34"/>
  <c r="G89" i="34"/>
  <c r="H89" i="34"/>
  <c r="G93" i="34"/>
  <c r="H93" i="34"/>
  <c r="G80" i="34"/>
  <c r="H80" i="34"/>
  <c r="G79" i="34"/>
  <c r="H79" i="34"/>
  <c r="G90" i="34"/>
  <c r="H90" i="34"/>
  <c r="G81" i="34"/>
  <c r="H81" i="34"/>
  <c r="G88" i="34"/>
  <c r="H88" i="34"/>
  <c r="G82" i="34"/>
  <c r="H82" i="34"/>
  <c r="G84" i="34"/>
  <c r="H84" i="34"/>
  <c r="G91" i="34"/>
  <c r="H91" i="34"/>
  <c r="I196" i="34" l="1"/>
  <c r="L196" i="34"/>
  <c r="I137" i="34"/>
  <c r="I194" i="34"/>
  <c r="L194" i="34"/>
  <c r="I199" i="34"/>
  <c r="L199" i="34"/>
  <c r="I195" i="34"/>
  <c r="L195" i="34"/>
  <c r="I200" i="34"/>
  <c r="L200" i="34"/>
  <c r="I198" i="34"/>
  <c r="L198" i="34"/>
  <c r="I201" i="34"/>
  <c r="L201" i="34"/>
  <c r="G137" i="34"/>
  <c r="H200" i="34"/>
  <c r="H194" i="34"/>
  <c r="G194" i="34"/>
  <c r="G200" i="34"/>
  <c r="K200" i="34" a="1"/>
  <c r="J200" i="34"/>
  <c r="H137" i="34"/>
  <c r="G199" i="34"/>
  <c r="H199" i="34"/>
  <c r="G195" i="34"/>
  <c r="H195" i="34"/>
  <c r="G198" i="34"/>
  <c r="H198" i="34"/>
  <c r="G201" i="34"/>
  <c r="H201" i="34"/>
  <c r="J199" i="34"/>
  <c r="J201" i="34"/>
  <c r="J196" i="34"/>
  <c r="G196" i="34"/>
  <c r="H196" i="34"/>
  <c r="J198" i="34"/>
  <c r="K198" i="34" a="1"/>
  <c r="K201" i="34" a="1"/>
  <c r="K199" i="34" a="1"/>
  <c r="K196" i="34" a="1"/>
  <c r="F217" i="34"/>
  <c r="F218" i="34"/>
  <c r="F219" i="34"/>
  <c r="F220" i="34"/>
  <c r="F221" i="34"/>
  <c r="F222" i="34"/>
  <c r="F223" i="34"/>
  <c r="F224" i="34"/>
  <c r="F225" i="34"/>
  <c r="F226" i="34"/>
  <c r="F227" i="34"/>
  <c r="F228" i="34"/>
  <c r="F229" i="34"/>
  <c r="F230" i="34"/>
  <c r="F231" i="34"/>
  <c r="F232" i="34"/>
  <c r="F233" i="34"/>
  <c r="F234" i="34"/>
  <c r="F235" i="34"/>
  <c r="F236" i="34"/>
  <c r="F237" i="34"/>
  <c r="F216" i="34"/>
  <c r="AJ75" i="17"/>
  <c r="C13" i="2" l="1"/>
  <c r="I228" i="2"/>
  <c r="L152" i="19"/>
  <c r="L149" i="19"/>
  <c r="F19" i="32" l="1"/>
  <c r="C14" i="2"/>
  <c r="F183" i="34"/>
  <c r="F184" i="34"/>
  <c r="F185" i="34"/>
  <c r="F186" i="34"/>
  <c r="F187" i="34"/>
  <c r="F188" i="34"/>
  <c r="F189" i="34"/>
  <c r="F190" i="34"/>
  <c r="F191" i="34"/>
  <c r="F192" i="34"/>
  <c r="F193" i="34"/>
  <c r="F194" i="34"/>
  <c r="F195" i="34"/>
  <c r="F196" i="34"/>
  <c r="F197" i="34"/>
  <c r="F198" i="34"/>
  <c r="F199" i="34"/>
  <c r="F200" i="34"/>
  <c r="F201" i="34"/>
  <c r="F202" i="34"/>
  <c r="F203" i="34"/>
  <c r="F182" i="34"/>
  <c r="F150" i="34"/>
  <c r="F151" i="34"/>
  <c r="F152" i="34"/>
  <c r="F153" i="34"/>
  <c r="F154" i="34"/>
  <c r="F155" i="34"/>
  <c r="F156" i="34"/>
  <c r="F157" i="34"/>
  <c r="F158" i="34"/>
  <c r="F159" i="34"/>
  <c r="F160" i="34"/>
  <c r="F161" i="34"/>
  <c r="F162" i="34"/>
  <c r="F163" i="34"/>
  <c r="F164" i="34"/>
  <c r="F165" i="34"/>
  <c r="F166" i="34"/>
  <c r="F167" i="34"/>
  <c r="F168" i="34"/>
  <c r="F169" i="34"/>
  <c r="F170" i="34"/>
  <c r="F149" i="34"/>
  <c r="F116" i="34"/>
  <c r="F117" i="34"/>
  <c r="F118" i="34"/>
  <c r="F119" i="34"/>
  <c r="F120" i="34"/>
  <c r="F121" i="34"/>
  <c r="F122" i="34"/>
  <c r="F123" i="34"/>
  <c r="F124" i="34"/>
  <c r="F125" i="34"/>
  <c r="F126" i="34"/>
  <c r="F127" i="34"/>
  <c r="F128" i="34"/>
  <c r="F129" i="34"/>
  <c r="F130" i="34"/>
  <c r="F131" i="34"/>
  <c r="F132" i="34"/>
  <c r="F133" i="34"/>
  <c r="F134" i="34"/>
  <c r="F135" i="34"/>
  <c r="F136" i="34"/>
  <c r="F137" i="34"/>
  <c r="F115" i="34"/>
  <c r="F71" i="34"/>
  <c r="F72" i="34"/>
  <c r="F73" i="34"/>
  <c r="F74" i="34"/>
  <c r="F75" i="34"/>
  <c r="F76" i="34"/>
  <c r="F77" i="34"/>
  <c r="F78" i="34"/>
  <c r="F79" i="34"/>
  <c r="F80" i="34"/>
  <c r="F81" i="34"/>
  <c r="F82" i="34"/>
  <c r="F83" i="34"/>
  <c r="F84" i="34"/>
  <c r="F85" i="34"/>
  <c r="F86" i="34"/>
  <c r="F87" i="34"/>
  <c r="F88" i="34"/>
  <c r="F89" i="34"/>
  <c r="F90" i="34"/>
  <c r="F91" i="34"/>
  <c r="F70" i="34"/>
  <c r="F4" i="34"/>
  <c r="F5" i="34"/>
  <c r="F6" i="34"/>
  <c r="F7" i="34"/>
  <c r="F8" i="34"/>
  <c r="F9" i="34"/>
  <c r="F10" i="34"/>
  <c r="F11" i="34"/>
  <c r="F12" i="34"/>
  <c r="F13" i="34"/>
  <c r="F14" i="34"/>
  <c r="F15" i="34"/>
  <c r="F16" i="34"/>
  <c r="F17" i="34"/>
  <c r="F18" i="34"/>
  <c r="F19" i="34"/>
  <c r="F20" i="34"/>
  <c r="F21" i="34"/>
  <c r="F22" i="34"/>
  <c r="F23" i="34"/>
  <c r="F24" i="34"/>
  <c r="F25" i="34"/>
  <c r="F3" i="34"/>
  <c r="AJ55" i="19"/>
  <c r="L92" i="34" s="1"/>
  <c r="AF55" i="19"/>
  <c r="AB55" i="19"/>
  <c r="X55" i="19"/>
  <c r="AR129" i="19" s="1" a="1"/>
  <c r="O6" i="2" a="1"/>
  <c r="Q9" i="2" s="1"/>
  <c r="B70" i="34"/>
  <c r="B74" i="34"/>
  <c r="B116" i="34"/>
  <c r="B129" i="34"/>
  <c r="C35" i="33"/>
  <c r="F35" i="33" s="1"/>
  <c r="B35" i="33" a="1"/>
  <c r="C39" i="33" s="1"/>
  <c r="C27" i="33"/>
  <c r="F27" i="33" s="1"/>
  <c r="B27" i="33" a="1"/>
  <c r="C28" i="33" s="1"/>
  <c r="B19" i="33" a="1"/>
  <c r="C11" i="33"/>
  <c r="F11" i="33" s="1"/>
  <c r="B11" i="33" a="1"/>
  <c r="B3" i="33" a="1"/>
  <c r="R9" i="2" l="1"/>
  <c r="U9" i="2"/>
  <c r="AR127" i="19" a="1"/>
  <c r="AR125" i="19" a="1"/>
  <c r="AR115" i="19" a="1"/>
  <c r="AR107" i="19" a="1"/>
  <c r="AR117" i="19" a="1"/>
  <c r="AR97" i="19" a="1"/>
  <c r="AR113" i="19" a="1"/>
  <c r="AR119" i="19" a="1"/>
  <c r="AR123" i="19" a="1"/>
  <c r="AR99" i="19" a="1"/>
  <c r="AR101" i="19" a="1"/>
  <c r="AR109" i="19" a="1"/>
  <c r="AR103" i="19" a="1"/>
  <c r="AR121" i="19" a="1"/>
  <c r="AR111" i="19" a="1"/>
  <c r="AR105" i="19" a="1"/>
  <c r="AR89" i="19" a="1"/>
  <c r="AR55" i="19" a="1"/>
  <c r="AR73" i="19" a="1"/>
  <c r="AR85" i="19" a="1"/>
  <c r="AR59" i="19" a="1"/>
  <c r="AR79" i="19" a="1"/>
  <c r="AR77" i="19" a="1"/>
  <c r="AR57" i="19" a="1"/>
  <c r="AR71" i="19" a="1"/>
  <c r="AR83" i="19" a="1"/>
  <c r="AR61" i="19" a="1"/>
  <c r="AR69" i="19" a="1"/>
  <c r="AR81" i="19" a="1"/>
  <c r="AR95" i="19" a="1"/>
  <c r="AR93" i="19" a="1"/>
  <c r="AR75" i="19" a="1"/>
  <c r="AR63" i="19" a="1"/>
  <c r="AR65" i="19" a="1"/>
  <c r="AR87" i="19" a="1"/>
  <c r="AR67" i="19" a="1"/>
  <c r="AR91" i="19" a="1"/>
  <c r="C193" i="34"/>
  <c r="C70" i="34"/>
  <c r="C38" i="33"/>
  <c r="D38" i="33" s="1"/>
  <c r="AE148" i="19"/>
  <c r="C31" i="33"/>
  <c r="D31" i="33" s="1"/>
  <c r="C29" i="33"/>
  <c r="D29" i="33" s="1"/>
  <c r="B73" i="34"/>
  <c r="C37" i="33"/>
  <c r="D37" i="33" s="1"/>
  <c r="C30" i="33"/>
  <c r="E30" i="33" s="1"/>
  <c r="B72" i="34"/>
  <c r="AE147" i="19"/>
  <c r="B125" i="34"/>
  <c r="B117" i="34"/>
  <c r="B124" i="34"/>
  <c r="B133" i="34"/>
  <c r="B130" i="34"/>
  <c r="B126" i="34"/>
  <c r="B131" i="34"/>
  <c r="B128" i="34"/>
  <c r="B127" i="34"/>
  <c r="B121" i="34"/>
  <c r="B119" i="34"/>
  <c r="B118" i="34"/>
  <c r="C74" i="34"/>
  <c r="C129" i="34"/>
  <c r="B123" i="34"/>
  <c r="B71" i="34"/>
  <c r="B134" i="34"/>
  <c r="B122" i="34"/>
  <c r="B78" i="34"/>
  <c r="B132" i="34"/>
  <c r="B120" i="34"/>
  <c r="B77" i="34"/>
  <c r="C12" i="33"/>
  <c r="D12" i="33" s="1"/>
  <c r="C15" i="33"/>
  <c r="D15" i="33" s="1"/>
  <c r="B76" i="34"/>
  <c r="B75" i="34"/>
  <c r="E35" i="33"/>
  <c r="C116" i="34"/>
  <c r="E28" i="33"/>
  <c r="F28" i="33"/>
  <c r="D39" i="33"/>
  <c r="F39" i="33"/>
  <c r="E39" i="33"/>
  <c r="C14" i="33"/>
  <c r="D14" i="33" s="1"/>
  <c r="C13" i="33"/>
  <c r="E13" i="33" s="1"/>
  <c r="C36" i="33"/>
  <c r="D35" i="33"/>
  <c r="D27" i="33"/>
  <c r="D28" i="33"/>
  <c r="E27" i="33"/>
  <c r="C23" i="33"/>
  <c r="C22" i="33"/>
  <c r="C21" i="33"/>
  <c r="D11" i="33"/>
  <c r="E11" i="33"/>
  <c r="J5" i="26"/>
  <c r="J5" i="15"/>
  <c r="P9" i="2" l="1"/>
  <c r="S9" i="2"/>
  <c r="I129" i="34"/>
  <c r="I193" i="34"/>
  <c r="I74" i="34"/>
  <c r="L74" i="34"/>
  <c r="I116" i="34"/>
  <c r="L116" i="34"/>
  <c r="I70" i="34"/>
  <c r="L70" i="34"/>
  <c r="D73" i="34"/>
  <c r="D72" i="34"/>
  <c r="D77" i="34"/>
  <c r="D71" i="34"/>
  <c r="D107" i="34"/>
  <c r="D70" i="34"/>
  <c r="D100" i="34"/>
  <c r="D104" i="34"/>
  <c r="D103" i="34"/>
  <c r="D101" i="34"/>
  <c r="D106" i="34"/>
  <c r="D105" i="34"/>
  <c r="D109" i="34"/>
  <c r="D102" i="34"/>
  <c r="D108" i="34"/>
  <c r="D79" i="34"/>
  <c r="D87" i="34"/>
  <c r="D99" i="34"/>
  <c r="D96" i="34"/>
  <c r="D93" i="34"/>
  <c r="D85" i="34"/>
  <c r="D97" i="34"/>
  <c r="D91" i="34"/>
  <c r="D81" i="34"/>
  <c r="D88" i="34"/>
  <c r="D82" i="34"/>
  <c r="D90" i="34"/>
  <c r="D84" i="34"/>
  <c r="D80" i="34"/>
  <c r="D89" i="34"/>
  <c r="D83" i="34"/>
  <c r="D95" i="34"/>
  <c r="D98" i="34"/>
  <c r="D94" i="34"/>
  <c r="D92" i="34"/>
  <c r="D86" i="34"/>
  <c r="D78" i="34"/>
  <c r="D75" i="34"/>
  <c r="D76" i="34"/>
  <c r="D74" i="34"/>
  <c r="G193" i="34"/>
  <c r="H193" i="34"/>
  <c r="G70" i="34"/>
  <c r="H70" i="34"/>
  <c r="G74" i="34"/>
  <c r="H74" i="34"/>
  <c r="G116" i="34"/>
  <c r="H116" i="34"/>
  <c r="G129" i="34"/>
  <c r="H129" i="34"/>
  <c r="D182" i="34"/>
  <c r="D192" i="34"/>
  <c r="D202" i="34"/>
  <c r="D193" i="34"/>
  <c r="D204" i="34"/>
  <c r="D185" i="34"/>
  <c r="D208" i="34"/>
  <c r="D201" i="34"/>
  <c r="D188" i="34"/>
  <c r="D209" i="34"/>
  <c r="D203" i="34"/>
  <c r="D210" i="34"/>
  <c r="D205" i="34"/>
  <c r="D189" i="34"/>
  <c r="D194" i="34"/>
  <c r="D211" i="34"/>
  <c r="D200" i="34"/>
  <c r="D184" i="34"/>
  <c r="D198" i="34"/>
  <c r="D206" i="34"/>
  <c r="D207" i="34"/>
  <c r="D199" i="34"/>
  <c r="D186" i="34"/>
  <c r="D187" i="34"/>
  <c r="D190" i="34"/>
  <c r="D195" i="34"/>
  <c r="D197" i="34"/>
  <c r="D191" i="34"/>
  <c r="D196" i="34"/>
  <c r="F31" i="33"/>
  <c r="D130" i="34"/>
  <c r="D120" i="34"/>
  <c r="D123" i="34"/>
  <c r="D117" i="34"/>
  <c r="D135" i="34"/>
  <c r="D124" i="34"/>
  <c r="D125" i="34"/>
  <c r="D131" i="34"/>
  <c r="D132" i="34"/>
  <c r="D128" i="34"/>
  <c r="D126" i="34"/>
  <c r="D118" i="34"/>
  <c r="D119" i="34"/>
  <c r="D134" i="34"/>
  <c r="D116" i="34"/>
  <c r="D122" i="34"/>
  <c r="D137" i="34"/>
  <c r="D127" i="34"/>
  <c r="D136" i="34"/>
  <c r="D121" i="34"/>
  <c r="D133" i="34"/>
  <c r="D129" i="34"/>
  <c r="D30" i="33"/>
  <c r="E31" i="33"/>
  <c r="E29" i="33"/>
  <c r="F29" i="33"/>
  <c r="F30" i="33"/>
  <c r="D183" i="34"/>
  <c r="E38" i="33"/>
  <c r="F38" i="33"/>
  <c r="C136" i="34"/>
  <c r="C72" i="34"/>
  <c r="C73" i="34"/>
  <c r="C188" i="34"/>
  <c r="C187" i="34"/>
  <c r="C192" i="34"/>
  <c r="F37" i="33"/>
  <c r="C185" i="34"/>
  <c r="C189" i="34"/>
  <c r="E37" i="33"/>
  <c r="C190" i="34"/>
  <c r="C184" i="34"/>
  <c r="C186" i="34"/>
  <c r="C191" i="34"/>
  <c r="C127" i="34"/>
  <c r="C124" i="34"/>
  <c r="C117" i="34"/>
  <c r="C119" i="34"/>
  <c r="C121" i="34"/>
  <c r="C130" i="34"/>
  <c r="C128" i="34"/>
  <c r="C118" i="34"/>
  <c r="C131" i="34"/>
  <c r="C125" i="34"/>
  <c r="C133" i="34"/>
  <c r="C126" i="34"/>
  <c r="F12" i="33"/>
  <c r="E12" i="33"/>
  <c r="C134" i="34"/>
  <c r="E15" i="33"/>
  <c r="C78" i="34"/>
  <c r="C77" i="34"/>
  <c r="F15" i="33"/>
  <c r="C75" i="34"/>
  <c r="C135" i="34"/>
  <c r="C76" i="34"/>
  <c r="C120" i="34"/>
  <c r="C71" i="34"/>
  <c r="C123" i="34"/>
  <c r="C122" i="34"/>
  <c r="C132" i="34"/>
  <c r="F14" i="33"/>
  <c r="F13" i="33"/>
  <c r="E14" i="33"/>
  <c r="D36" i="33"/>
  <c r="E36" i="33"/>
  <c r="F36" i="33"/>
  <c r="D13" i="33"/>
  <c r="B12" i="26"/>
  <c r="C12" i="26"/>
  <c r="B12" i="15"/>
  <c r="C12" i="15"/>
  <c r="L24" i="32"/>
  <c r="H11" i="24"/>
  <c r="H10" i="24"/>
  <c r="H11" i="14"/>
  <c r="H10" i="14"/>
  <c r="H9" i="14"/>
  <c r="B12" i="24"/>
  <c r="I121" i="34" l="1"/>
  <c r="I119" i="34"/>
  <c r="I192" i="34"/>
  <c r="L192" i="34"/>
  <c r="I134" i="34"/>
  <c r="I117" i="34"/>
  <c r="I187" i="34"/>
  <c r="L187" i="34"/>
  <c r="I78" i="34"/>
  <c r="L78" i="34"/>
  <c r="I122" i="34"/>
  <c r="I124" i="34"/>
  <c r="I188" i="34"/>
  <c r="I132" i="34"/>
  <c r="I123" i="34"/>
  <c r="I127" i="34"/>
  <c r="I73" i="34"/>
  <c r="L73" i="34"/>
  <c r="I191" i="34"/>
  <c r="L191" i="34"/>
  <c r="I186" i="34"/>
  <c r="I131" i="34"/>
  <c r="I190" i="34"/>
  <c r="L190" i="34"/>
  <c r="I126" i="34"/>
  <c r="I133" i="34"/>
  <c r="I76" i="34"/>
  <c r="L76" i="34"/>
  <c r="I71" i="34"/>
  <c r="L71" i="34"/>
  <c r="I136" i="34"/>
  <c r="I125" i="34"/>
  <c r="I75" i="34"/>
  <c r="L75" i="34"/>
  <c r="I128" i="34"/>
  <c r="I72" i="34"/>
  <c r="L72" i="34"/>
  <c r="I120" i="34"/>
  <c r="I184" i="34"/>
  <c r="I135" i="34"/>
  <c r="I118" i="34"/>
  <c r="I189" i="34"/>
  <c r="I77" i="34"/>
  <c r="L77" i="34"/>
  <c r="I130" i="34"/>
  <c r="I185" i="34"/>
  <c r="H72" i="34"/>
  <c r="H184" i="34"/>
  <c r="H76" i="34"/>
  <c r="H75" i="34"/>
  <c r="H77" i="34"/>
  <c r="H78" i="34"/>
  <c r="H71" i="34"/>
  <c r="H73" i="34"/>
  <c r="G191" i="34"/>
  <c r="H191" i="34"/>
  <c r="G186" i="34"/>
  <c r="H186" i="34"/>
  <c r="G192" i="34"/>
  <c r="H192" i="34"/>
  <c r="G185" i="34"/>
  <c r="H185" i="34"/>
  <c r="H187" i="34"/>
  <c r="G190" i="34"/>
  <c r="H190" i="34"/>
  <c r="G189" i="34"/>
  <c r="H189" i="34"/>
  <c r="G188" i="34"/>
  <c r="H188" i="34"/>
  <c r="G121" i="34"/>
  <c r="H121" i="34"/>
  <c r="G120" i="34"/>
  <c r="H120" i="34"/>
  <c r="G119" i="34"/>
  <c r="H119" i="34"/>
  <c r="G117" i="34"/>
  <c r="H117" i="34"/>
  <c r="G124" i="34"/>
  <c r="H124" i="34"/>
  <c r="G128" i="34"/>
  <c r="H128" i="34"/>
  <c r="G127" i="34"/>
  <c r="H127" i="34"/>
  <c r="G136" i="34"/>
  <c r="H136" i="34"/>
  <c r="G118" i="34"/>
  <c r="H118" i="34"/>
  <c r="G132" i="34"/>
  <c r="H132" i="34"/>
  <c r="G130" i="34"/>
  <c r="H130" i="34"/>
  <c r="G134" i="34"/>
  <c r="H134" i="34"/>
  <c r="G122" i="34"/>
  <c r="H122" i="34"/>
  <c r="G126" i="34"/>
  <c r="H126" i="34"/>
  <c r="G123" i="34"/>
  <c r="H123" i="34"/>
  <c r="G133" i="34"/>
  <c r="H133" i="34"/>
  <c r="G131" i="34"/>
  <c r="H131" i="34"/>
  <c r="G135" i="34"/>
  <c r="H135" i="34"/>
  <c r="G125" i="34"/>
  <c r="H125" i="34"/>
  <c r="G77" i="34"/>
  <c r="G75" i="34"/>
  <c r="G78" i="34"/>
  <c r="G76" i="34"/>
  <c r="G73" i="34"/>
  <c r="G72" i="34"/>
  <c r="G71" i="34"/>
  <c r="M5" i="14"/>
  <c r="J30" i="32" s="1"/>
  <c r="O5" i="24"/>
  <c r="K30" i="32" s="1"/>
  <c r="B13" i="2"/>
  <c r="E19" i="32" s="1"/>
  <c r="E182" i="34" l="1"/>
  <c r="AA6" i="20" s="1"/>
  <c r="E70" i="34"/>
  <c r="AA6" i="19" s="1"/>
  <c r="E116" i="34"/>
  <c r="W72" i="28" a="1"/>
  <c r="V72" i="28" a="1"/>
  <c r="U72" i="28" a="1"/>
  <c r="T72" i="28" a="1"/>
  <c r="S72" i="28" a="1"/>
  <c r="R72" i="28" a="1"/>
  <c r="Q72" i="28" a="1"/>
  <c r="P72" i="28" a="1"/>
  <c r="O72" i="28" a="1"/>
  <c r="N72" i="28" a="1"/>
  <c r="M72" i="28" a="1"/>
  <c r="L72" i="28" a="1"/>
  <c r="W71" i="28" a="1"/>
  <c r="V71" i="28" a="1"/>
  <c r="U71" i="28" a="1"/>
  <c r="T71" i="28" a="1"/>
  <c r="S71" i="28" a="1"/>
  <c r="R71" i="28" a="1"/>
  <c r="Q71" i="28" a="1"/>
  <c r="P71" i="28" a="1"/>
  <c r="O71" i="28" a="1"/>
  <c r="N71" i="28" a="1"/>
  <c r="M71" i="28" a="1"/>
  <c r="L71" i="28" a="1"/>
  <c r="W70" i="28" a="1"/>
  <c r="V70" i="28" a="1"/>
  <c r="U70" i="28" a="1"/>
  <c r="T70" i="28" a="1"/>
  <c r="S70" i="28" a="1"/>
  <c r="R70" i="28" a="1"/>
  <c r="Q70" i="28" a="1"/>
  <c r="P70" i="28" a="1"/>
  <c r="O70" i="28" a="1"/>
  <c r="N70" i="28" a="1"/>
  <c r="M70" i="28" a="1"/>
  <c r="L70" i="28" a="1"/>
  <c r="AD67" i="28"/>
  <c r="AC67" i="28"/>
  <c r="AA67" i="28"/>
  <c r="W67" i="28"/>
  <c r="S67" i="28"/>
  <c r="O67" i="28"/>
  <c r="AE66" i="28"/>
  <c r="AC66" i="28"/>
  <c r="AA66" i="28"/>
  <c r="W66" i="28"/>
  <c r="S66" i="28"/>
  <c r="O66" i="28"/>
  <c r="J66" i="28"/>
  <c r="AD66" i="28" s="1"/>
  <c r="AD65" i="28"/>
  <c r="AC65" i="28"/>
  <c r="AA65" i="28"/>
  <c r="W65" i="28"/>
  <c r="S65" i="28"/>
  <c r="O65" i="28"/>
  <c r="AE64" i="28"/>
  <c r="AC64" i="28"/>
  <c r="AA64" i="28"/>
  <c r="W64" i="28"/>
  <c r="S64" i="28"/>
  <c r="O64" i="28"/>
  <c r="J64" i="28"/>
  <c r="AD64" i="28" s="1"/>
  <c r="AD63" i="28"/>
  <c r="AC63" i="28"/>
  <c r="AA63" i="28"/>
  <c r="W63" i="28"/>
  <c r="S63" i="28"/>
  <c r="O63" i="28"/>
  <c r="AE62" i="28"/>
  <c r="AC62" i="28"/>
  <c r="AA62" i="28"/>
  <c r="W62" i="28"/>
  <c r="S62" i="28"/>
  <c r="O62" i="28"/>
  <c r="J62" i="28"/>
  <c r="AD62" i="28" s="1"/>
  <c r="AD61" i="28"/>
  <c r="AC61" i="28"/>
  <c r="AA61" i="28"/>
  <c r="W61" i="28"/>
  <c r="S61" i="28"/>
  <c r="O61" i="28"/>
  <c r="AE60" i="28"/>
  <c r="AC60" i="28"/>
  <c r="AA60" i="28"/>
  <c r="W60" i="28"/>
  <c r="S60" i="28"/>
  <c r="O60" i="28"/>
  <c r="J60" i="28"/>
  <c r="AD60" i="28" s="1"/>
  <c r="AD59" i="28"/>
  <c r="AC59" i="28"/>
  <c r="AA59" i="28"/>
  <c r="W59" i="28"/>
  <c r="S59" i="28"/>
  <c r="O59" i="28"/>
  <c r="AE58" i="28"/>
  <c r="AC58" i="28"/>
  <c r="AA58" i="28"/>
  <c r="W58" i="28"/>
  <c r="S58" i="28"/>
  <c r="O58" i="28"/>
  <c r="J58" i="28"/>
  <c r="AD58" i="28" s="1"/>
  <c r="AD57" i="28"/>
  <c r="AC57" i="28"/>
  <c r="AA57" i="28"/>
  <c r="W57" i="28"/>
  <c r="S57" i="28"/>
  <c r="O57" i="28"/>
  <c r="AE56" i="28"/>
  <c r="AC56" i="28"/>
  <c r="AA56" i="28"/>
  <c r="W56" i="28"/>
  <c r="S56" i="28"/>
  <c r="O56" i="28"/>
  <c r="J56" i="28"/>
  <c r="AD56" i="28" s="1"/>
  <c r="AD55" i="28"/>
  <c r="AC55" i="28"/>
  <c r="AA55" i="28"/>
  <c r="W55" i="28"/>
  <c r="S55" i="28"/>
  <c r="O55" i="28"/>
  <c r="AE54" i="28"/>
  <c r="AC54" i="28"/>
  <c r="AA54" i="28"/>
  <c r="W54" i="28"/>
  <c r="S54" i="28"/>
  <c r="O54" i="28"/>
  <c r="J54" i="28"/>
  <c r="AD54" i="28" s="1"/>
  <c r="AD53" i="28"/>
  <c r="AC53" i="28"/>
  <c r="AA53" i="28"/>
  <c r="W53" i="28"/>
  <c r="S53" i="28"/>
  <c r="O53" i="28"/>
  <c r="AE52" i="28"/>
  <c r="AC52" i="28"/>
  <c r="AA52" i="28"/>
  <c r="W52" i="28"/>
  <c r="S52" i="28"/>
  <c r="O52" i="28"/>
  <c r="J52" i="28"/>
  <c r="AD52" i="28" s="1"/>
  <c r="AD51" i="28"/>
  <c r="AC51" i="28"/>
  <c r="AA51" i="28"/>
  <c r="W51" i="28"/>
  <c r="S51" i="28"/>
  <c r="O51" i="28"/>
  <c r="AE50" i="28"/>
  <c r="AC50" i="28"/>
  <c r="AA50" i="28"/>
  <c r="W50" i="28"/>
  <c r="S50" i="28"/>
  <c r="O50" i="28"/>
  <c r="J50" i="28"/>
  <c r="AD50" i="28" s="1"/>
  <c r="AD49" i="28"/>
  <c r="AC49" i="28"/>
  <c r="AA49" i="28"/>
  <c r="W49" i="28"/>
  <c r="S49" i="28"/>
  <c r="O49" i="28"/>
  <c r="AE48" i="28"/>
  <c r="AC48" i="28"/>
  <c r="AA48" i="28"/>
  <c r="W48" i="28"/>
  <c r="S48" i="28"/>
  <c r="O48" i="28"/>
  <c r="J48" i="28"/>
  <c r="AD48" i="28" s="1"/>
  <c r="AD47" i="28"/>
  <c r="AC47" i="28"/>
  <c r="AA47" i="28"/>
  <c r="W47" i="28"/>
  <c r="S47" i="28"/>
  <c r="O47" i="28"/>
  <c r="AE46" i="28"/>
  <c r="AC46" i="28"/>
  <c r="AA46" i="28"/>
  <c r="W46" i="28"/>
  <c r="S46" i="28"/>
  <c r="O46" i="28"/>
  <c r="J46" i="28"/>
  <c r="AD46" i="28" s="1"/>
  <c r="AD45" i="28"/>
  <c r="AC45" i="28"/>
  <c r="AA45" i="28"/>
  <c r="W45" i="28"/>
  <c r="S45" i="28"/>
  <c r="O45" i="28"/>
  <c r="AE44" i="28"/>
  <c r="AC44" i="28"/>
  <c r="AA44" i="28"/>
  <c r="W44" i="28"/>
  <c r="S44" i="28"/>
  <c r="O44" i="28"/>
  <c r="J44" i="28"/>
  <c r="AD44" i="28" s="1"/>
  <c r="AD43" i="28"/>
  <c r="AC43" i="28"/>
  <c r="AA43" i="28"/>
  <c r="W43" i="28"/>
  <c r="S43" i="28"/>
  <c r="O43" i="28"/>
  <c r="AE42" i="28"/>
  <c r="AC42" i="28"/>
  <c r="AA42" i="28"/>
  <c r="W42" i="28"/>
  <c r="S42" i="28"/>
  <c r="O42" i="28"/>
  <c r="J42" i="28"/>
  <c r="AD42" i="28" s="1"/>
  <c r="AD41" i="28"/>
  <c r="AC41" i="28"/>
  <c r="AA41" i="28"/>
  <c r="W41" i="28"/>
  <c r="S41" i="28"/>
  <c r="O41" i="28"/>
  <c r="AE40" i="28"/>
  <c r="AC40" i="28"/>
  <c r="AA40" i="28"/>
  <c r="W40" i="28"/>
  <c r="S40" i="28"/>
  <c r="O40" i="28"/>
  <c r="J40" i="28"/>
  <c r="AD40" i="28" s="1"/>
  <c r="AD39" i="28"/>
  <c r="AC39" i="28"/>
  <c r="AA39" i="28"/>
  <c r="W39" i="28"/>
  <c r="S39" i="28"/>
  <c r="O39" i="28"/>
  <c r="AE38" i="28"/>
  <c r="AC38" i="28"/>
  <c r="AA38" i="28"/>
  <c r="W38" i="28"/>
  <c r="S38" i="28"/>
  <c r="O38" i="28"/>
  <c r="J38" i="28"/>
  <c r="AD38" i="28" s="1"/>
  <c r="AD37" i="28"/>
  <c r="AC37" i="28"/>
  <c r="AA37" i="28"/>
  <c r="W37" i="28"/>
  <c r="S37" i="28"/>
  <c r="O37" i="28"/>
  <c r="AE36" i="28"/>
  <c r="AC36" i="28"/>
  <c r="AA36" i="28"/>
  <c r="W36" i="28"/>
  <c r="S36" i="28"/>
  <c r="O36" i="28"/>
  <c r="J36" i="28"/>
  <c r="AD36" i="28" s="1"/>
  <c r="AD35" i="28"/>
  <c r="AC35" i="28"/>
  <c r="AA35" i="28"/>
  <c r="W35" i="28"/>
  <c r="S35" i="28"/>
  <c r="O35" i="28"/>
  <c r="AE34" i="28"/>
  <c r="AC34" i="28"/>
  <c r="AA34" i="28"/>
  <c r="W34" i="28"/>
  <c r="S34" i="28"/>
  <c r="O34" i="28"/>
  <c r="J34" i="28"/>
  <c r="AD34" i="28" s="1"/>
  <c r="AD33" i="28"/>
  <c r="AC33" i="28"/>
  <c r="AA33" i="28"/>
  <c r="W33" i="28"/>
  <c r="S33" i="28"/>
  <c r="O33" i="28"/>
  <c r="AE32" i="28"/>
  <c r="AC32" i="28"/>
  <c r="AA32" i="28"/>
  <c r="W32" i="28"/>
  <c r="S32" i="28"/>
  <c r="O32" i="28"/>
  <c r="J32" i="28"/>
  <c r="AD32" i="28" s="1"/>
  <c r="AD31" i="28"/>
  <c r="AC31" i="28"/>
  <c r="AA31" i="28"/>
  <c r="W31" i="28"/>
  <c r="S31" i="28"/>
  <c r="O31" i="28"/>
  <c r="AE30" i="28"/>
  <c r="AC30" i="28"/>
  <c r="AA30" i="28"/>
  <c r="W30" i="28"/>
  <c r="S30" i="28"/>
  <c r="O30" i="28"/>
  <c r="J30" i="28"/>
  <c r="AD30" i="28" s="1"/>
  <c r="AD29" i="28"/>
  <c r="AC29" i="28"/>
  <c r="AA29" i="28"/>
  <c r="W29" i="28"/>
  <c r="S29" i="28"/>
  <c r="O29" i="28"/>
  <c r="AE28" i="28"/>
  <c r="AC28" i="28"/>
  <c r="AA28" i="28"/>
  <c r="W28" i="28"/>
  <c r="S28" i="28"/>
  <c r="O28" i="28"/>
  <c r="J28" i="28"/>
  <c r="AD28" i="28" s="1"/>
  <c r="AD27" i="28"/>
  <c r="AC27" i="28"/>
  <c r="AA27" i="28"/>
  <c r="W27" i="28"/>
  <c r="S27" i="28"/>
  <c r="O27" i="28"/>
  <c r="AE26" i="28"/>
  <c r="AC26" i="28"/>
  <c r="AA26" i="28"/>
  <c r="W26" i="28"/>
  <c r="S26" i="28"/>
  <c r="O26" i="28"/>
  <c r="J26" i="28"/>
  <c r="AD26" i="28" s="1"/>
  <c r="AD25" i="28"/>
  <c r="AC25" i="28"/>
  <c r="AA25" i="28"/>
  <c r="W25" i="28"/>
  <c r="S25" i="28"/>
  <c r="O25" i="28"/>
  <c r="AE24" i="28"/>
  <c r="AC24" i="28"/>
  <c r="AA24" i="28"/>
  <c r="W24" i="28"/>
  <c r="S24" i="28"/>
  <c r="O24" i="28"/>
  <c r="J24" i="28"/>
  <c r="AD24" i="28" s="1"/>
  <c r="AD23" i="28"/>
  <c r="AC23" i="28"/>
  <c r="AA23" i="28"/>
  <c r="W23" i="28"/>
  <c r="S23" i="28"/>
  <c r="O23" i="28"/>
  <c r="AE22" i="28"/>
  <c r="AC22" i="28"/>
  <c r="AA22" i="28"/>
  <c r="W22" i="28"/>
  <c r="S22" i="28"/>
  <c r="O22" i="28"/>
  <c r="J22" i="28"/>
  <c r="AD22" i="28" s="1"/>
  <c r="AD21" i="28"/>
  <c r="AC21" i="28"/>
  <c r="AA21" i="28"/>
  <c r="W21" i="28"/>
  <c r="S21" i="28"/>
  <c r="O21" i="28"/>
  <c r="AE20" i="28"/>
  <c r="AC20" i="28"/>
  <c r="AA20" i="28"/>
  <c r="W20" i="28"/>
  <c r="S20" i="28"/>
  <c r="O20" i="28"/>
  <c r="J20" i="28"/>
  <c r="AD20" i="28" s="1"/>
  <c r="AD19" i="28"/>
  <c r="AC19" i="28"/>
  <c r="AA19" i="28"/>
  <c r="W19" i="28"/>
  <c r="S19" i="28"/>
  <c r="O19" i="28"/>
  <c r="AE18" i="28"/>
  <c r="AC18" i="28"/>
  <c r="AA18" i="28"/>
  <c r="W18" i="28"/>
  <c r="S18" i="28"/>
  <c r="O18" i="28"/>
  <c r="J18" i="28"/>
  <c r="AD18" i="28" s="1"/>
  <c r="AD17" i="28"/>
  <c r="AC17" i="28"/>
  <c r="AA17" i="28"/>
  <c r="W17" i="28"/>
  <c r="S17" i="28"/>
  <c r="O17" i="28"/>
  <c r="AE16" i="28"/>
  <c r="AC16" i="28"/>
  <c r="AA16" i="28"/>
  <c r="W16" i="28"/>
  <c r="S16" i="28"/>
  <c r="O16" i="28"/>
  <c r="J16" i="28"/>
  <c r="AD16" i="28" s="1"/>
  <c r="I11" i="28"/>
  <c r="H11" i="28"/>
  <c r="C11" i="28"/>
  <c r="B11" i="28"/>
  <c r="I10" i="28"/>
  <c r="C10" i="28"/>
  <c r="B10" i="28"/>
  <c r="I9" i="28"/>
  <c r="C9" i="28"/>
  <c r="B9" i="28"/>
  <c r="M5" i="28"/>
  <c r="E5" i="28"/>
  <c r="C5" i="28"/>
  <c r="A5" i="28"/>
  <c r="I11" i="26"/>
  <c r="I10" i="26"/>
  <c r="I9" i="26"/>
  <c r="I11" i="15"/>
  <c r="I10" i="15"/>
  <c r="I9" i="15"/>
  <c r="I11" i="24"/>
  <c r="I10" i="14"/>
  <c r="I11" i="14"/>
  <c r="I9" i="14"/>
  <c r="H10" i="19"/>
  <c r="H9" i="19"/>
  <c r="H8" i="19"/>
  <c r="H10" i="18"/>
  <c r="H9" i="18"/>
  <c r="H10" i="17"/>
  <c r="H9" i="17"/>
  <c r="H8" i="17"/>
  <c r="H10" i="2"/>
  <c r="W73" i="26" a="1"/>
  <c r="V73" i="26" a="1"/>
  <c r="U73" i="26" a="1"/>
  <c r="T73" i="26" a="1"/>
  <c r="S73" i="26" a="1"/>
  <c r="R73" i="26" a="1"/>
  <c r="Q73" i="26" a="1"/>
  <c r="P73" i="26" a="1"/>
  <c r="O73" i="26" a="1"/>
  <c r="N73" i="26" a="1"/>
  <c r="M73" i="26" a="1"/>
  <c r="L73" i="26" a="1"/>
  <c r="W72" i="26" a="1"/>
  <c r="V72" i="26" a="1"/>
  <c r="U72" i="26" a="1"/>
  <c r="T72" i="26" a="1"/>
  <c r="S72" i="26" a="1"/>
  <c r="R72" i="26" a="1"/>
  <c r="Q72" i="26" a="1"/>
  <c r="P72" i="26" a="1"/>
  <c r="O72" i="26" a="1"/>
  <c r="N72" i="26" a="1"/>
  <c r="M72" i="26" a="1"/>
  <c r="L72" i="26" a="1"/>
  <c r="W71" i="26" a="1"/>
  <c r="V71" i="26" a="1"/>
  <c r="U71" i="26" a="1"/>
  <c r="T71" i="26" a="1"/>
  <c r="S71" i="26" a="1"/>
  <c r="R71" i="26" a="1"/>
  <c r="Q71" i="26" a="1"/>
  <c r="P71" i="26" a="1"/>
  <c r="O71" i="26" a="1"/>
  <c r="N71" i="26" a="1"/>
  <c r="M71" i="26" a="1"/>
  <c r="L71" i="26" a="1"/>
  <c r="AE17" i="26"/>
  <c r="P17" i="26"/>
  <c r="T17" i="26"/>
  <c r="X17" i="26"/>
  <c r="AB17" i="26"/>
  <c r="AD17" i="26"/>
  <c r="AF17" i="26"/>
  <c r="P18" i="26"/>
  <c r="T18" i="26"/>
  <c r="X18" i="26"/>
  <c r="AB18" i="26"/>
  <c r="AD18" i="26"/>
  <c r="AE18" i="26"/>
  <c r="AE19" i="26"/>
  <c r="P19" i="26"/>
  <c r="T19" i="26"/>
  <c r="X19" i="26"/>
  <c r="AB19" i="26"/>
  <c r="AD19" i="26"/>
  <c r="AF19" i="26"/>
  <c r="P20" i="26"/>
  <c r="T20" i="26"/>
  <c r="X20" i="26"/>
  <c r="AB20" i="26"/>
  <c r="AD20" i="26"/>
  <c r="AE20" i="26"/>
  <c r="AE21" i="26"/>
  <c r="P21" i="26"/>
  <c r="T21" i="26"/>
  <c r="X21" i="26"/>
  <c r="AB21" i="26"/>
  <c r="AD21" i="26"/>
  <c r="AF21" i="26"/>
  <c r="P22" i="26"/>
  <c r="T22" i="26"/>
  <c r="X22" i="26"/>
  <c r="AB22" i="26"/>
  <c r="AD22" i="26"/>
  <c r="AE22" i="26"/>
  <c r="AE23" i="26"/>
  <c r="P23" i="26"/>
  <c r="T23" i="26"/>
  <c r="X23" i="26"/>
  <c r="AB23" i="26"/>
  <c r="AD23" i="26"/>
  <c r="AF23" i="26"/>
  <c r="P24" i="26"/>
  <c r="T24" i="26"/>
  <c r="X24" i="26"/>
  <c r="AB24" i="26"/>
  <c r="AD24" i="26"/>
  <c r="AE24" i="26"/>
  <c r="AE25" i="26"/>
  <c r="P25" i="26"/>
  <c r="T25" i="26"/>
  <c r="X25" i="26"/>
  <c r="AB25" i="26"/>
  <c r="AD25" i="26"/>
  <c r="AF25" i="26"/>
  <c r="P26" i="26"/>
  <c r="T26" i="26"/>
  <c r="X26" i="26"/>
  <c r="AB26" i="26"/>
  <c r="AD26" i="26"/>
  <c r="AE26" i="26"/>
  <c r="AE27" i="26"/>
  <c r="P27" i="26"/>
  <c r="T27" i="26"/>
  <c r="X27" i="26"/>
  <c r="AB27" i="26"/>
  <c r="AD27" i="26"/>
  <c r="AF27" i="26"/>
  <c r="P28" i="26"/>
  <c r="T28" i="26"/>
  <c r="X28" i="26"/>
  <c r="AB28" i="26"/>
  <c r="AD28" i="26"/>
  <c r="AE28" i="26"/>
  <c r="AE29" i="26"/>
  <c r="P29" i="26"/>
  <c r="T29" i="26"/>
  <c r="X29" i="26"/>
  <c r="AB29" i="26"/>
  <c r="AD29" i="26"/>
  <c r="AF29" i="26"/>
  <c r="P30" i="26"/>
  <c r="T30" i="26"/>
  <c r="X30" i="26"/>
  <c r="AB30" i="26"/>
  <c r="AD30" i="26"/>
  <c r="AE30" i="26"/>
  <c r="AE31" i="26"/>
  <c r="P31" i="26"/>
  <c r="T31" i="26"/>
  <c r="X31" i="26"/>
  <c r="AB31" i="26"/>
  <c r="AD31" i="26"/>
  <c r="AF31" i="26"/>
  <c r="P32" i="26"/>
  <c r="T32" i="26"/>
  <c r="X32" i="26"/>
  <c r="AB32" i="26"/>
  <c r="AD32" i="26"/>
  <c r="AE32" i="26"/>
  <c r="AE33" i="26"/>
  <c r="P33" i="26"/>
  <c r="T33" i="26"/>
  <c r="X33" i="26"/>
  <c r="AB33" i="26"/>
  <c r="AD33" i="26"/>
  <c r="AF33" i="26"/>
  <c r="P34" i="26"/>
  <c r="T34" i="26"/>
  <c r="X34" i="26"/>
  <c r="AB34" i="26"/>
  <c r="AD34" i="26"/>
  <c r="AE34" i="26"/>
  <c r="AE35" i="26"/>
  <c r="P35" i="26"/>
  <c r="T35" i="26"/>
  <c r="X35" i="26"/>
  <c r="AB35" i="26"/>
  <c r="AD35" i="26"/>
  <c r="AF35" i="26"/>
  <c r="P36" i="26"/>
  <c r="T36" i="26"/>
  <c r="X36" i="26"/>
  <c r="AB36" i="26"/>
  <c r="AD36" i="26"/>
  <c r="AE36" i="26"/>
  <c r="AE37" i="26"/>
  <c r="P37" i="26"/>
  <c r="T37" i="26"/>
  <c r="X37" i="26"/>
  <c r="AB37" i="26"/>
  <c r="AD37" i="26"/>
  <c r="AF37" i="26"/>
  <c r="P38" i="26"/>
  <c r="T38" i="26"/>
  <c r="X38" i="26"/>
  <c r="AB38" i="26"/>
  <c r="AD38" i="26"/>
  <c r="AE38" i="26"/>
  <c r="AE39" i="26"/>
  <c r="P39" i="26"/>
  <c r="T39" i="26"/>
  <c r="X39" i="26"/>
  <c r="AB39" i="26"/>
  <c r="AD39" i="26"/>
  <c r="AF39" i="26"/>
  <c r="P40" i="26"/>
  <c r="T40" i="26"/>
  <c r="X40" i="26"/>
  <c r="AB40" i="26"/>
  <c r="AD40" i="26"/>
  <c r="AE40" i="26"/>
  <c r="AE41" i="26"/>
  <c r="P41" i="26"/>
  <c r="T41" i="26"/>
  <c r="X41" i="26"/>
  <c r="AB41" i="26"/>
  <c r="AD41" i="26"/>
  <c r="AF41" i="26"/>
  <c r="P42" i="26"/>
  <c r="T42" i="26"/>
  <c r="X42" i="26"/>
  <c r="AB42" i="26"/>
  <c r="AD42" i="26"/>
  <c r="AE42" i="26"/>
  <c r="AE43" i="26"/>
  <c r="P43" i="26"/>
  <c r="T43" i="26"/>
  <c r="X43" i="26"/>
  <c r="AB43" i="26"/>
  <c r="AD43" i="26"/>
  <c r="AF43" i="26"/>
  <c r="P44" i="26"/>
  <c r="T44" i="26"/>
  <c r="X44" i="26"/>
  <c r="AB44" i="26"/>
  <c r="AD44" i="26"/>
  <c r="AE44" i="26"/>
  <c r="AE45" i="26"/>
  <c r="P45" i="26"/>
  <c r="T45" i="26"/>
  <c r="X45" i="26"/>
  <c r="AB45" i="26"/>
  <c r="AD45" i="26"/>
  <c r="AF45" i="26"/>
  <c r="P46" i="26"/>
  <c r="T46" i="26"/>
  <c r="X46" i="26"/>
  <c r="AB46" i="26"/>
  <c r="AD46" i="26"/>
  <c r="AE46" i="26"/>
  <c r="AE47" i="26"/>
  <c r="P47" i="26"/>
  <c r="T47" i="26"/>
  <c r="X47" i="26"/>
  <c r="AB47" i="26"/>
  <c r="AD47" i="26"/>
  <c r="AF47" i="26"/>
  <c r="P48" i="26"/>
  <c r="T48" i="26"/>
  <c r="X48" i="26"/>
  <c r="AB48" i="26"/>
  <c r="AD48" i="26"/>
  <c r="AE48" i="26"/>
  <c r="AE49" i="26"/>
  <c r="P49" i="26"/>
  <c r="T49" i="26"/>
  <c r="X49" i="26"/>
  <c r="AB49" i="26"/>
  <c r="AD49" i="26"/>
  <c r="AF49" i="26"/>
  <c r="P50" i="26"/>
  <c r="T50" i="26"/>
  <c r="X50" i="26"/>
  <c r="AB50" i="26"/>
  <c r="AD50" i="26"/>
  <c r="AE50" i="26"/>
  <c r="AE51" i="26"/>
  <c r="P51" i="26"/>
  <c r="T51" i="26"/>
  <c r="X51" i="26"/>
  <c r="AB51" i="26"/>
  <c r="AD51" i="26"/>
  <c r="AF51" i="26"/>
  <c r="P52" i="26"/>
  <c r="T52" i="26"/>
  <c r="X52" i="26"/>
  <c r="AB52" i="26"/>
  <c r="AD52" i="26"/>
  <c r="AE52" i="26"/>
  <c r="AE53" i="26"/>
  <c r="P53" i="26"/>
  <c r="T53" i="26"/>
  <c r="X53" i="26"/>
  <c r="AB53" i="26"/>
  <c r="AD53" i="26"/>
  <c r="AF53" i="26"/>
  <c r="P54" i="26"/>
  <c r="T54" i="26"/>
  <c r="X54" i="26"/>
  <c r="AB54" i="26"/>
  <c r="AD54" i="26"/>
  <c r="AE54" i="26"/>
  <c r="AE55" i="26"/>
  <c r="P55" i="26"/>
  <c r="T55" i="26"/>
  <c r="X55" i="26"/>
  <c r="AB55" i="26"/>
  <c r="AD55" i="26"/>
  <c r="AF55" i="26"/>
  <c r="P56" i="26"/>
  <c r="T56" i="26"/>
  <c r="X56" i="26"/>
  <c r="AB56" i="26"/>
  <c r="AD56" i="26"/>
  <c r="AE56" i="26"/>
  <c r="AE57" i="26"/>
  <c r="P57" i="26"/>
  <c r="T57" i="26"/>
  <c r="X57" i="26"/>
  <c r="AB57" i="26"/>
  <c r="AD57" i="26"/>
  <c r="AF57" i="26"/>
  <c r="P58" i="26"/>
  <c r="T58" i="26"/>
  <c r="X58" i="26"/>
  <c r="AB58" i="26"/>
  <c r="AD58" i="26"/>
  <c r="AE58" i="26"/>
  <c r="AE59" i="26"/>
  <c r="P59" i="26"/>
  <c r="T59" i="26"/>
  <c r="X59" i="26"/>
  <c r="AB59" i="26"/>
  <c r="AD59" i="26"/>
  <c r="AF59" i="26"/>
  <c r="P60" i="26"/>
  <c r="T60" i="26"/>
  <c r="X60" i="26"/>
  <c r="AB60" i="26"/>
  <c r="AD60" i="26"/>
  <c r="AE60" i="26"/>
  <c r="AE61" i="26"/>
  <c r="P61" i="26"/>
  <c r="T61" i="26"/>
  <c r="X61" i="26"/>
  <c r="AB61" i="26"/>
  <c r="AD61" i="26"/>
  <c r="AF61" i="26"/>
  <c r="P62" i="26"/>
  <c r="T62" i="26"/>
  <c r="X62" i="26"/>
  <c r="AB62" i="26"/>
  <c r="AD62" i="26"/>
  <c r="AE62" i="26"/>
  <c r="AE63" i="26"/>
  <c r="P63" i="26"/>
  <c r="T63" i="26"/>
  <c r="X63" i="26"/>
  <c r="AB63" i="26"/>
  <c r="AD63" i="26"/>
  <c r="AF63" i="26"/>
  <c r="P64" i="26"/>
  <c r="T64" i="26"/>
  <c r="X64" i="26"/>
  <c r="AB64" i="26"/>
  <c r="AD64" i="26"/>
  <c r="AE64" i="26"/>
  <c r="AE65" i="26"/>
  <c r="P65" i="26"/>
  <c r="T65" i="26"/>
  <c r="X65" i="26"/>
  <c r="AB65" i="26"/>
  <c r="AD65" i="26"/>
  <c r="AF65" i="26"/>
  <c r="P66" i="26"/>
  <c r="T66" i="26"/>
  <c r="X66" i="26"/>
  <c r="AB66" i="26"/>
  <c r="AD66" i="26"/>
  <c r="AE66" i="26"/>
  <c r="AE67" i="26"/>
  <c r="P67" i="26"/>
  <c r="T67" i="26"/>
  <c r="X67" i="26"/>
  <c r="AB67" i="26"/>
  <c r="AD67" i="26"/>
  <c r="AF67" i="26"/>
  <c r="P68" i="26"/>
  <c r="T68" i="26"/>
  <c r="X68" i="26"/>
  <c r="AB68" i="26"/>
  <c r="AD68" i="26"/>
  <c r="AE68" i="26"/>
  <c r="B9" i="26"/>
  <c r="C9" i="26"/>
  <c r="B10" i="26"/>
  <c r="C10" i="26"/>
  <c r="B11" i="26"/>
  <c r="C11" i="26"/>
  <c r="H11" i="26"/>
  <c r="C5" i="26"/>
  <c r="E5" i="26"/>
  <c r="E183" i="34" l="1"/>
  <c r="AA7" i="20" s="1"/>
  <c r="E117" i="34"/>
  <c r="E71" i="34"/>
  <c r="AA7" i="19" s="1"/>
  <c r="H25" i="32"/>
  <c r="F25" i="32"/>
  <c r="J25" i="32"/>
  <c r="L25" i="32"/>
  <c r="B13" i="26"/>
  <c r="C13" i="26"/>
  <c r="D10" i="26" s="1"/>
  <c r="E10" i="26" s="1"/>
  <c r="C12" i="28"/>
  <c r="D11" i="28" s="1"/>
  <c r="E11" i="28" s="1"/>
  <c r="B12" i="28"/>
  <c r="G5" i="28"/>
  <c r="G5" i="26"/>
  <c r="H9" i="28"/>
  <c r="H10" i="28"/>
  <c r="H9" i="26"/>
  <c r="H10" i="26"/>
  <c r="E184" i="34" l="1"/>
  <c r="AA8" i="20" s="1"/>
  <c r="D11" i="26"/>
  <c r="E11" i="26" s="1"/>
  <c r="D9" i="26"/>
  <c r="E9" i="26" s="1"/>
  <c r="E72" i="34"/>
  <c r="AA8" i="19" s="1"/>
  <c r="E118" i="34"/>
  <c r="E119" i="34" s="1"/>
  <c r="E120" i="34" s="1"/>
  <c r="E121" i="34" s="1"/>
  <c r="E122" i="34" s="1"/>
  <c r="E123" i="34" s="1"/>
  <c r="E124" i="34" s="1"/>
  <c r="E125" i="34" s="1"/>
  <c r="E126" i="34" s="1"/>
  <c r="E127" i="34" s="1"/>
  <c r="E128" i="34" s="1"/>
  <c r="E129" i="34" s="1"/>
  <c r="E130" i="34" s="1"/>
  <c r="E131" i="34" s="1"/>
  <c r="E132" i="34" s="1"/>
  <c r="E133" i="34" s="1"/>
  <c r="E134" i="34" s="1"/>
  <c r="E135" i="34" s="1"/>
  <c r="E136" i="34" s="1"/>
  <c r="E137" i="34" s="1"/>
  <c r="E138" i="34" s="1"/>
  <c r="E139" i="34" s="1"/>
  <c r="E140" i="34" s="1"/>
  <c r="E141" i="34" s="1"/>
  <c r="E142" i="34" s="1"/>
  <c r="E143" i="34" s="1"/>
  <c r="E144" i="34" s="1"/>
  <c r="E145" i="34" s="1"/>
  <c r="D9" i="28"/>
  <c r="E9" i="28" s="1"/>
  <c r="D10" i="28"/>
  <c r="E10" i="28" s="1"/>
  <c r="M5" i="26"/>
  <c r="D12" i="26"/>
  <c r="E12" i="26" s="1"/>
  <c r="J5" i="28"/>
  <c r="E185" i="34" l="1"/>
  <c r="AA9" i="20" s="1"/>
  <c r="E73" i="34"/>
  <c r="AA9" i="19" s="1"/>
  <c r="D12" i="28"/>
  <c r="D13" i="26"/>
  <c r="AZ8" i="2"/>
  <c r="AY8" i="2"/>
  <c r="AT17" i="2"/>
  <c r="AS17" i="2"/>
  <c r="H11" i="15"/>
  <c r="W73" i="15" a="1"/>
  <c r="V73" i="15" a="1"/>
  <c r="U73" i="15" a="1"/>
  <c r="T73" i="15" a="1"/>
  <c r="S73" i="15" a="1"/>
  <c r="R73" i="15" a="1"/>
  <c r="Q73" i="15" a="1"/>
  <c r="P73" i="15" a="1"/>
  <c r="O73" i="15" a="1"/>
  <c r="N73" i="15" a="1"/>
  <c r="M73" i="15" a="1"/>
  <c r="L73" i="15" a="1"/>
  <c r="AD149" i="19" a="1"/>
  <c r="AC149" i="19" a="1"/>
  <c r="AB149" i="19" a="1"/>
  <c r="AA149" i="19" a="1"/>
  <c r="Z149" i="19" a="1"/>
  <c r="Y149" i="19" a="1"/>
  <c r="X149" i="19" a="1"/>
  <c r="W149" i="19" a="1"/>
  <c r="V149" i="19" a="1"/>
  <c r="U149" i="19" a="1"/>
  <c r="L157" i="19"/>
  <c r="L156" i="19"/>
  <c r="L155" i="19"/>
  <c r="L154" i="19"/>
  <c r="L153" i="19"/>
  <c r="L151" i="19"/>
  <c r="L150" i="19"/>
  <c r="L148" i="19"/>
  <c r="L157" i="17"/>
  <c r="L156" i="17"/>
  <c r="L155" i="17"/>
  <c r="L154" i="17"/>
  <c r="L153" i="17"/>
  <c r="L152" i="17"/>
  <c r="L151" i="17"/>
  <c r="L150" i="17"/>
  <c r="L149" i="17"/>
  <c r="L148" i="17"/>
  <c r="W72" i="15" a="1"/>
  <c r="V72" i="15" a="1"/>
  <c r="U72" i="15" a="1"/>
  <c r="T72" i="15" a="1"/>
  <c r="S72" i="15" a="1"/>
  <c r="R72" i="15" a="1"/>
  <c r="Q72" i="15" a="1"/>
  <c r="P72" i="15" a="1"/>
  <c r="O72" i="15" a="1"/>
  <c r="N72" i="15" a="1"/>
  <c r="M72" i="15" a="1"/>
  <c r="L72" i="15" a="1"/>
  <c r="W71" i="15" a="1"/>
  <c r="V71" i="15" a="1"/>
  <c r="U71" i="15" a="1"/>
  <c r="T71" i="15" a="1"/>
  <c r="S71" i="15" a="1"/>
  <c r="R71" i="15" a="1"/>
  <c r="Q71" i="15" a="1"/>
  <c r="P71" i="15" a="1"/>
  <c r="O71" i="15" a="1"/>
  <c r="N71" i="15" a="1"/>
  <c r="M71" i="15" a="1"/>
  <c r="L71" i="15" a="1"/>
  <c r="E186" i="34" l="1"/>
  <c r="AA10" i="20" s="1"/>
  <c r="E74" i="34"/>
  <c r="AA10" i="19" s="1"/>
  <c r="AU17" i="2"/>
  <c r="E187" i="34" l="1"/>
  <c r="AA11" i="20" s="1"/>
  <c r="E75" i="34"/>
  <c r="AA11" i="19" s="1"/>
  <c r="A5" i="17"/>
  <c r="F23" i="32" l="1"/>
  <c r="F26" i="32"/>
  <c r="E188" i="34"/>
  <c r="AA12" i="20" s="1"/>
  <c r="E76" i="34"/>
  <c r="AA12" i="19" s="1"/>
  <c r="I26" i="32"/>
  <c r="AJ61" i="2"/>
  <c r="V179" i="2" l="1"/>
  <c r="E189" i="34"/>
  <c r="AA13" i="20" s="1"/>
  <c r="E77" i="34"/>
  <c r="AA13" i="19" s="1"/>
  <c r="H9" i="2"/>
  <c r="L119" i="18"/>
  <c r="L118" i="18"/>
  <c r="L117" i="18"/>
  <c r="L116" i="18"/>
  <c r="L115" i="18"/>
  <c r="L114" i="18"/>
  <c r="L113" i="18"/>
  <c r="L112" i="18"/>
  <c r="L111" i="18"/>
  <c r="L110" i="18"/>
  <c r="I31" i="32"/>
  <c r="V182" i="2" l="1"/>
  <c r="W182" i="2" s="1"/>
  <c r="X182" i="2" s="1"/>
  <c r="Y182" i="2" s="1"/>
  <c r="Z182" i="2" s="1"/>
  <c r="AA182" i="2" s="1"/>
  <c r="AB182" i="2" s="1"/>
  <c r="AC182" i="2" s="1"/>
  <c r="AD182" i="2" s="1"/>
  <c r="AE182" i="2" s="1"/>
  <c r="AF179" i="2"/>
  <c r="E190" i="34"/>
  <c r="AA14" i="20" s="1"/>
  <c r="E78" i="34"/>
  <c r="AA14" i="19" s="1"/>
  <c r="F32" i="32"/>
  <c r="E32" i="32"/>
  <c r="H32" i="32"/>
  <c r="G32" i="32"/>
  <c r="H31" i="32"/>
  <c r="G31" i="32"/>
  <c r="F31" i="32"/>
  <c r="R15" i="32"/>
  <c r="R16" i="32"/>
  <c r="R14" i="32"/>
  <c r="R13" i="32"/>
  <c r="L128" i="20"/>
  <c r="L170" i="19"/>
  <c r="K9" i="19" s="1"/>
  <c r="L130" i="18"/>
  <c r="K9" i="18" s="1"/>
  <c r="L170" i="17"/>
  <c r="K9" i="17" s="1"/>
  <c r="B11" i="24"/>
  <c r="B10" i="24"/>
  <c r="B9" i="24"/>
  <c r="A5" i="24"/>
  <c r="L219" i="2"/>
  <c r="Q13" i="32" s="1"/>
  <c r="E15" i="9"/>
  <c r="AE68" i="15"/>
  <c r="AD68" i="15"/>
  <c r="AB68" i="15"/>
  <c r="X68" i="15"/>
  <c r="T68" i="15"/>
  <c r="P68" i="15"/>
  <c r="AF67" i="15"/>
  <c r="AD67" i="15"/>
  <c r="AB67" i="15"/>
  <c r="X67" i="15"/>
  <c r="T67" i="15"/>
  <c r="P67" i="15"/>
  <c r="AE67" i="15"/>
  <c r="AE66" i="15"/>
  <c r="AD66" i="15"/>
  <c r="AB66" i="15"/>
  <c r="X66" i="15"/>
  <c r="T66" i="15"/>
  <c r="P66" i="15"/>
  <c r="AF65" i="15"/>
  <c r="AD65" i="15"/>
  <c r="AB65" i="15"/>
  <c r="X65" i="15"/>
  <c r="T65" i="15"/>
  <c r="P65" i="15"/>
  <c r="AE65" i="15"/>
  <c r="AE64" i="15"/>
  <c r="AD64" i="15"/>
  <c r="AB64" i="15"/>
  <c r="X64" i="15"/>
  <c r="T64" i="15"/>
  <c r="P64" i="15"/>
  <c r="AF63" i="15"/>
  <c r="AD63" i="15"/>
  <c r="AB63" i="15"/>
  <c r="X63" i="15"/>
  <c r="T63" i="15"/>
  <c r="P63" i="15"/>
  <c r="AE63" i="15"/>
  <c r="AE62" i="15"/>
  <c r="AD62" i="15"/>
  <c r="AB62" i="15"/>
  <c r="X62" i="15"/>
  <c r="T62" i="15"/>
  <c r="P62" i="15"/>
  <c r="AF61" i="15"/>
  <c r="AD61" i="15"/>
  <c r="AB61" i="15"/>
  <c r="X61" i="15"/>
  <c r="T61" i="15"/>
  <c r="P61" i="15"/>
  <c r="AE61" i="15"/>
  <c r="AE60" i="15"/>
  <c r="AD60" i="15"/>
  <c r="AB60" i="15"/>
  <c r="X60" i="15"/>
  <c r="T60" i="15"/>
  <c r="P60" i="15"/>
  <c r="AF59" i="15"/>
  <c r="AD59" i="15"/>
  <c r="AB59" i="15"/>
  <c r="X59" i="15"/>
  <c r="T59" i="15"/>
  <c r="P59" i="15"/>
  <c r="AE59" i="15"/>
  <c r="AE58" i="15"/>
  <c r="AD58" i="15"/>
  <c r="AB58" i="15"/>
  <c r="X58" i="15"/>
  <c r="T58" i="15"/>
  <c r="P58" i="15"/>
  <c r="AF57" i="15"/>
  <c r="AD57" i="15"/>
  <c r="AB57" i="15"/>
  <c r="X57" i="15"/>
  <c r="T57" i="15"/>
  <c r="P57" i="15"/>
  <c r="AE57" i="15"/>
  <c r="AE56" i="15"/>
  <c r="AD56" i="15"/>
  <c r="AB56" i="15"/>
  <c r="X56" i="15"/>
  <c r="T56" i="15"/>
  <c r="P56" i="15"/>
  <c r="AF55" i="15"/>
  <c r="AD55" i="15"/>
  <c r="AB55" i="15"/>
  <c r="X55" i="15"/>
  <c r="T55" i="15"/>
  <c r="P55" i="15"/>
  <c r="AE55" i="15"/>
  <c r="AE54" i="15"/>
  <c r="AD54" i="15"/>
  <c r="AB54" i="15"/>
  <c r="X54" i="15"/>
  <c r="T54" i="15"/>
  <c r="P54" i="15"/>
  <c r="AF53" i="15"/>
  <c r="AD53" i="15"/>
  <c r="AB53" i="15"/>
  <c r="X53" i="15"/>
  <c r="T53" i="15"/>
  <c r="P53" i="15"/>
  <c r="AE53" i="15"/>
  <c r="AE52" i="15"/>
  <c r="AD52" i="15"/>
  <c r="AB52" i="15"/>
  <c r="X52" i="15"/>
  <c r="T52" i="15"/>
  <c r="P52" i="15"/>
  <c r="AF51" i="15"/>
  <c r="AD51" i="15"/>
  <c r="AB51" i="15"/>
  <c r="X51" i="15"/>
  <c r="T51" i="15"/>
  <c r="P51" i="15"/>
  <c r="AE51" i="15"/>
  <c r="AE50" i="15"/>
  <c r="AD50" i="15"/>
  <c r="AB50" i="15"/>
  <c r="X50" i="15"/>
  <c r="T50" i="15"/>
  <c r="P50" i="15"/>
  <c r="AF49" i="15"/>
  <c r="AD49" i="15"/>
  <c r="AB49" i="15"/>
  <c r="X49" i="15"/>
  <c r="T49" i="15"/>
  <c r="P49" i="15"/>
  <c r="AE49" i="15"/>
  <c r="AE48" i="15"/>
  <c r="AD48" i="15"/>
  <c r="AB48" i="15"/>
  <c r="X48" i="15"/>
  <c r="T48" i="15"/>
  <c r="P48" i="15"/>
  <c r="AF47" i="15"/>
  <c r="AD47" i="15"/>
  <c r="AB47" i="15"/>
  <c r="X47" i="15"/>
  <c r="T47" i="15"/>
  <c r="P47" i="15"/>
  <c r="AE47" i="15"/>
  <c r="AE46" i="15"/>
  <c r="AD46" i="15"/>
  <c r="AB46" i="15"/>
  <c r="X46" i="15"/>
  <c r="T46" i="15"/>
  <c r="P46" i="15"/>
  <c r="AF45" i="15"/>
  <c r="AD45" i="15"/>
  <c r="AB45" i="15"/>
  <c r="X45" i="15"/>
  <c r="T45" i="15"/>
  <c r="P45" i="15"/>
  <c r="AE45" i="15"/>
  <c r="AE44" i="15"/>
  <c r="AD44" i="15"/>
  <c r="AB44" i="15"/>
  <c r="X44" i="15"/>
  <c r="T44" i="15"/>
  <c r="P44" i="15"/>
  <c r="AF43" i="15"/>
  <c r="AD43" i="15"/>
  <c r="AB43" i="15"/>
  <c r="X43" i="15"/>
  <c r="T43" i="15"/>
  <c r="P43" i="15"/>
  <c r="AE43" i="15"/>
  <c r="AE42" i="15"/>
  <c r="AD42" i="15"/>
  <c r="AB42" i="15"/>
  <c r="X42" i="15"/>
  <c r="T42" i="15"/>
  <c r="P42" i="15"/>
  <c r="AF41" i="15"/>
  <c r="AD41" i="15"/>
  <c r="AB41" i="15"/>
  <c r="X41" i="15"/>
  <c r="T41" i="15"/>
  <c r="P41" i="15"/>
  <c r="AE41" i="15"/>
  <c r="AE40" i="15"/>
  <c r="AD40" i="15"/>
  <c r="AB40" i="15"/>
  <c r="X40" i="15"/>
  <c r="T40" i="15"/>
  <c r="P40" i="15"/>
  <c r="AF39" i="15"/>
  <c r="AD39" i="15"/>
  <c r="AB39" i="15"/>
  <c r="X39" i="15"/>
  <c r="T39" i="15"/>
  <c r="P39" i="15"/>
  <c r="AE39" i="15"/>
  <c r="AE38" i="15"/>
  <c r="AD38" i="15"/>
  <c r="AB38" i="15"/>
  <c r="X38" i="15"/>
  <c r="T38" i="15"/>
  <c r="P38" i="15"/>
  <c r="AF37" i="15"/>
  <c r="AD37" i="15"/>
  <c r="AB37" i="15"/>
  <c r="X37" i="15"/>
  <c r="T37" i="15"/>
  <c r="P37" i="15"/>
  <c r="AE37" i="15"/>
  <c r="AE36" i="15"/>
  <c r="AD36" i="15"/>
  <c r="AB36" i="15"/>
  <c r="X36" i="15"/>
  <c r="T36" i="15"/>
  <c r="P36" i="15"/>
  <c r="AF35" i="15"/>
  <c r="AD35" i="15"/>
  <c r="AB35" i="15"/>
  <c r="X35" i="15"/>
  <c r="T35" i="15"/>
  <c r="P35" i="15"/>
  <c r="AE35" i="15"/>
  <c r="AE34" i="15"/>
  <c r="AD34" i="15"/>
  <c r="AB34" i="15"/>
  <c r="X34" i="15"/>
  <c r="T34" i="15"/>
  <c r="P34" i="15"/>
  <c r="AF33" i="15"/>
  <c r="AD33" i="15"/>
  <c r="AB33" i="15"/>
  <c r="X33" i="15"/>
  <c r="T33" i="15"/>
  <c r="P33" i="15"/>
  <c r="AE33" i="15"/>
  <c r="AE32" i="15"/>
  <c r="AD32" i="15"/>
  <c r="AB32" i="15"/>
  <c r="X32" i="15"/>
  <c r="T32" i="15"/>
  <c r="P32" i="15"/>
  <c r="AF31" i="15"/>
  <c r="AD31" i="15"/>
  <c r="AB31" i="15"/>
  <c r="X31" i="15"/>
  <c r="T31" i="15"/>
  <c r="P31" i="15"/>
  <c r="AE31" i="15"/>
  <c r="AE30" i="15"/>
  <c r="AD30" i="15"/>
  <c r="AB30" i="15"/>
  <c r="X30" i="15"/>
  <c r="T30" i="15"/>
  <c r="P30" i="15"/>
  <c r="AF29" i="15"/>
  <c r="AD29" i="15"/>
  <c r="AB29" i="15"/>
  <c r="X29" i="15"/>
  <c r="T29" i="15"/>
  <c r="P29" i="15"/>
  <c r="AE29" i="15"/>
  <c r="AE28" i="15"/>
  <c r="AD28" i="15"/>
  <c r="AB28" i="15"/>
  <c r="X28" i="15"/>
  <c r="T28" i="15"/>
  <c r="P28" i="15"/>
  <c r="AF27" i="15"/>
  <c r="AD27" i="15"/>
  <c r="AB27" i="15"/>
  <c r="X27" i="15"/>
  <c r="T27" i="15"/>
  <c r="P27" i="15"/>
  <c r="AE27" i="15"/>
  <c r="AE26" i="15"/>
  <c r="AD26" i="15"/>
  <c r="AB26" i="15"/>
  <c r="X26" i="15"/>
  <c r="T26" i="15"/>
  <c r="P26" i="15"/>
  <c r="AF25" i="15"/>
  <c r="AD25" i="15"/>
  <c r="AB25" i="15"/>
  <c r="X25" i="15"/>
  <c r="T25" i="15"/>
  <c r="P25" i="15"/>
  <c r="AE25" i="15"/>
  <c r="AE24" i="15"/>
  <c r="AD24" i="15"/>
  <c r="AB24" i="15"/>
  <c r="X24" i="15"/>
  <c r="T24" i="15"/>
  <c r="P24" i="15"/>
  <c r="AF23" i="15"/>
  <c r="AD23" i="15"/>
  <c r="AB23" i="15"/>
  <c r="X23" i="15"/>
  <c r="T23" i="15"/>
  <c r="P23" i="15"/>
  <c r="AE23" i="15"/>
  <c r="AE22" i="15"/>
  <c r="AD22" i="15"/>
  <c r="AB22" i="15"/>
  <c r="X22" i="15"/>
  <c r="T22" i="15"/>
  <c r="P22" i="15"/>
  <c r="AF21" i="15"/>
  <c r="AD21" i="15"/>
  <c r="AB21" i="15"/>
  <c r="X21" i="15"/>
  <c r="T21" i="15"/>
  <c r="P21" i="15"/>
  <c r="AE21" i="15"/>
  <c r="AE20" i="15"/>
  <c r="AD20" i="15"/>
  <c r="AB20" i="15"/>
  <c r="X20" i="15"/>
  <c r="T20" i="15"/>
  <c r="P20" i="15"/>
  <c r="AF19" i="15"/>
  <c r="AD19" i="15"/>
  <c r="AB19" i="15"/>
  <c r="X19" i="15"/>
  <c r="T19" i="15"/>
  <c r="P19" i="15"/>
  <c r="AE19" i="15"/>
  <c r="AE18" i="15"/>
  <c r="AD18" i="15"/>
  <c r="AB18" i="15"/>
  <c r="X18" i="15"/>
  <c r="T18" i="15"/>
  <c r="P18" i="15"/>
  <c r="AF17" i="15"/>
  <c r="AD17" i="15"/>
  <c r="AB17" i="15"/>
  <c r="X17" i="15"/>
  <c r="T17" i="15"/>
  <c r="P17" i="15"/>
  <c r="AE17" i="15"/>
  <c r="C11" i="15"/>
  <c r="B11" i="15"/>
  <c r="C10" i="15"/>
  <c r="B10" i="15"/>
  <c r="C9" i="15"/>
  <c r="B9" i="15"/>
  <c r="E5" i="15"/>
  <c r="C5" i="15"/>
  <c r="A5" i="14"/>
  <c r="J23" i="32" s="1"/>
  <c r="L23" i="32"/>
  <c r="E16" i="32" l="1"/>
  <c r="B14" i="24"/>
  <c r="K23" i="32"/>
  <c r="R152" i="24"/>
  <c r="S152" i="24" s="1"/>
  <c r="T152" i="24" s="1"/>
  <c r="U152" i="24" s="1"/>
  <c r="V152" i="24" s="1"/>
  <c r="W152" i="24" s="1"/>
  <c r="X152" i="24" s="1"/>
  <c r="Y152" i="24" s="1"/>
  <c r="Z152" i="24" s="1"/>
  <c r="AA152" i="24" s="1"/>
  <c r="AL27" i="8"/>
  <c r="AL26" i="8"/>
  <c r="AL28" i="8"/>
  <c r="AL30" i="8"/>
  <c r="AL29" i="8"/>
  <c r="E191" i="34"/>
  <c r="AA15" i="20" s="1"/>
  <c r="C13" i="15"/>
  <c r="D12" i="15" s="1"/>
  <c r="E12" i="15" s="1"/>
  <c r="E79" i="34"/>
  <c r="AA15" i="19" s="1"/>
  <c r="M14" i="32"/>
  <c r="I32" i="32"/>
  <c r="J24" i="32"/>
  <c r="J26" i="32"/>
  <c r="F33" i="32"/>
  <c r="H33" i="32"/>
  <c r="K26" i="32"/>
  <c r="G33" i="32"/>
  <c r="B13" i="15"/>
  <c r="K9" i="20"/>
  <c r="G5" i="15"/>
  <c r="G5" i="14"/>
  <c r="L222" i="2"/>
  <c r="Q16" i="32" s="1"/>
  <c r="L221" i="2"/>
  <c r="Q15" i="32" s="1"/>
  <c r="L220" i="2"/>
  <c r="Q14" i="32" s="1"/>
  <c r="H10" i="15"/>
  <c r="H9" i="15"/>
  <c r="AJ56" i="2"/>
  <c r="AF56" i="2"/>
  <c r="AB56" i="2"/>
  <c r="X56" i="2"/>
  <c r="AJ55" i="2"/>
  <c r="AF55" i="2"/>
  <c r="AB55" i="2"/>
  <c r="X55" i="2"/>
  <c r="E5" i="18"/>
  <c r="O101" i="20"/>
  <c r="O99" i="20"/>
  <c r="O97" i="20"/>
  <c r="O95" i="20"/>
  <c r="O93" i="20"/>
  <c r="O91" i="20"/>
  <c r="O89" i="20"/>
  <c r="O87" i="20"/>
  <c r="C158" i="38"/>
  <c r="A5" i="20"/>
  <c r="B13" i="20"/>
  <c r="G10" i="19"/>
  <c r="G8" i="19"/>
  <c r="T97" i="18"/>
  <c r="G10" i="17"/>
  <c r="G9" i="17"/>
  <c r="G8" i="17"/>
  <c r="T143" i="17"/>
  <c r="T105" i="17"/>
  <c r="T89" i="17"/>
  <c r="T87" i="17"/>
  <c r="T85" i="17"/>
  <c r="T83" i="17"/>
  <c r="AB6" i="17" a="1"/>
  <c r="T79" i="17"/>
  <c r="T77" i="17"/>
  <c r="T75" i="17"/>
  <c r="T73" i="17"/>
  <c r="T71" i="17"/>
  <c r="T69" i="17"/>
  <c r="T65" i="17"/>
  <c r="T61" i="17"/>
  <c r="T57" i="17"/>
  <c r="G9" i="18"/>
  <c r="G10" i="18"/>
  <c r="G8" i="18"/>
  <c r="F24" i="32"/>
  <c r="G9" i="2"/>
  <c r="G10" i="2"/>
  <c r="G8" i="2"/>
  <c r="L180" i="2"/>
  <c r="L181" i="2"/>
  <c r="L182" i="2"/>
  <c r="L183" i="2"/>
  <c r="L184" i="2"/>
  <c r="L188" i="2"/>
  <c r="L189" i="2"/>
  <c r="L190" i="2"/>
  <c r="L191" i="2"/>
  <c r="L192" i="2"/>
  <c r="L193" i="2"/>
  <c r="L194" i="2"/>
  <c r="L195" i="2"/>
  <c r="L196" i="2"/>
  <c r="L197" i="2"/>
  <c r="L198" i="2"/>
  <c r="B11" i="2"/>
  <c r="B12" i="2"/>
  <c r="A5" i="2"/>
  <c r="V184" i="2" s="1"/>
  <c r="W184" i="2" s="1"/>
  <c r="X184" i="2" s="1"/>
  <c r="Y184" i="2" s="1"/>
  <c r="Z184" i="2" s="1"/>
  <c r="AA184" i="2" s="1"/>
  <c r="AB184" i="2" s="1"/>
  <c r="AC184" i="2" s="1"/>
  <c r="AD184" i="2" s="1"/>
  <c r="AE184" i="2" s="1"/>
  <c r="H7" i="32" l="1"/>
  <c r="C160" i="38"/>
  <c r="G184" i="34"/>
  <c r="E18" i="32"/>
  <c r="E17" i="32"/>
  <c r="D11" i="2"/>
  <c r="C156" i="38"/>
  <c r="G187" i="34"/>
  <c r="B14" i="2"/>
  <c r="L5" i="17"/>
  <c r="L214" i="2"/>
  <c r="AD25" i="18"/>
  <c r="AD22" i="18"/>
  <c r="AD24" i="18"/>
  <c r="AD23" i="18"/>
  <c r="I23" i="32"/>
  <c r="U110" i="20"/>
  <c r="G26" i="32"/>
  <c r="D7" i="32"/>
  <c r="H23" i="32"/>
  <c r="E192" i="34"/>
  <c r="AA16" i="20" s="1"/>
  <c r="H10" i="20"/>
  <c r="H9" i="20"/>
  <c r="G10" i="20"/>
  <c r="J15" i="32" s="1"/>
  <c r="G9" i="20"/>
  <c r="G8" i="20"/>
  <c r="AB23" i="17" a="1"/>
  <c r="AB25" i="17" a="1"/>
  <c r="AB24" i="17" a="1"/>
  <c r="AB12" i="17" a="1"/>
  <c r="AB11" i="17" a="1"/>
  <c r="AB13" i="17" a="1"/>
  <c r="AB9" i="17" a="1"/>
  <c r="AB7" i="17" a="1"/>
  <c r="AB21" i="17" a="1"/>
  <c r="AB10" i="17" a="1"/>
  <c r="AB8" i="17" a="1"/>
  <c r="AB15" i="17" a="1"/>
  <c r="AB18" i="17" a="1"/>
  <c r="AB16" i="17" a="1"/>
  <c r="AB19" i="17" a="1"/>
  <c r="AB14" i="17" a="1"/>
  <c r="AB20" i="17" a="1"/>
  <c r="AB17" i="17" a="1"/>
  <c r="AB22" i="17" a="1"/>
  <c r="D10" i="15"/>
  <c r="E10" i="15" s="1"/>
  <c r="E80" i="34"/>
  <c r="AA16" i="19" s="1"/>
  <c r="L5" i="2"/>
  <c r="L5" i="19"/>
  <c r="H30" i="32" s="1"/>
  <c r="E23" i="32"/>
  <c r="G23" i="32"/>
  <c r="I24" i="32"/>
  <c r="J27" i="32"/>
  <c r="K27" i="32"/>
  <c r="L5" i="18"/>
  <c r="L27" i="32"/>
  <c r="H26" i="32"/>
  <c r="I33" i="32"/>
  <c r="E26" i="32"/>
  <c r="M5" i="15"/>
  <c r="B15" i="20"/>
  <c r="D9" i="15"/>
  <c r="H8" i="20"/>
  <c r="D11" i="15"/>
  <c r="E11" i="15" s="1"/>
  <c r="J5" i="14"/>
  <c r="L5" i="24"/>
  <c r="AK55" i="19"/>
  <c r="AK55" i="17"/>
  <c r="AK56" i="19"/>
  <c r="AK56" i="2"/>
  <c r="AK55" i="2"/>
  <c r="AK56" i="17"/>
  <c r="K6" i="38" l="1"/>
  <c r="E21" i="32"/>
  <c r="N7" i="32" s="1"/>
  <c r="E30" i="32"/>
  <c r="G17" i="32"/>
  <c r="G21" i="32" s="1"/>
  <c r="D14" i="2"/>
  <c r="N6" i="38"/>
  <c r="H6" i="38"/>
  <c r="F30" i="32"/>
  <c r="V110" i="20"/>
  <c r="W110" i="20" s="1"/>
  <c r="X110" i="20" s="1"/>
  <c r="Y110" i="20" s="1"/>
  <c r="Z110" i="20" s="1"/>
  <c r="AA110" i="20" s="1"/>
  <c r="AB110" i="20" s="1"/>
  <c r="AC110" i="20" s="1"/>
  <c r="L30" i="32"/>
  <c r="E193" i="34"/>
  <c r="AA17" i="20" s="1"/>
  <c r="E81" i="34"/>
  <c r="AA17" i="19" s="1"/>
  <c r="K9" i="2"/>
  <c r="N14" i="32" s="1"/>
  <c r="E33" i="32" s="1"/>
  <c r="L28" i="32"/>
  <c r="K28" i="32"/>
  <c r="J28" i="32"/>
  <c r="G30" i="32"/>
  <c r="L5" i="20"/>
  <c r="I25" i="32"/>
  <c r="K15" i="32"/>
  <c r="E9" i="15"/>
  <c r="D13" i="15"/>
  <c r="AD110" i="20" l="1"/>
  <c r="E194" i="34"/>
  <c r="AA18" i="20" s="1"/>
  <c r="E82" i="34"/>
  <c r="AA18" i="19" s="1"/>
  <c r="I30" i="32"/>
  <c r="AJ74" i="20"/>
  <c r="AJ73" i="20"/>
  <c r="L193" i="34" s="1"/>
  <c r="AJ66" i="20"/>
  <c r="AJ65" i="20"/>
  <c r="L186" i="34" s="1"/>
  <c r="AJ60" i="20"/>
  <c r="AJ59" i="20"/>
  <c r="AJ144" i="17"/>
  <c r="AJ143" i="17"/>
  <c r="AJ106" i="17"/>
  <c r="AJ105" i="17"/>
  <c r="AJ92" i="17"/>
  <c r="AJ91" i="17"/>
  <c r="AJ90" i="17"/>
  <c r="AJ89" i="17"/>
  <c r="AJ88" i="17"/>
  <c r="AJ87" i="17"/>
  <c r="AJ86" i="17"/>
  <c r="AJ85" i="17"/>
  <c r="L141" i="34" s="1"/>
  <c r="AJ84" i="17"/>
  <c r="AJ83" i="17"/>
  <c r="AJ80" i="17"/>
  <c r="AJ79" i="17"/>
  <c r="L138" i="34" s="1"/>
  <c r="AJ78" i="17"/>
  <c r="AJ77" i="17"/>
  <c r="AJ76" i="17"/>
  <c r="AJ74" i="17"/>
  <c r="AJ73" i="17"/>
  <c r="AJ72" i="17"/>
  <c r="AJ71" i="17"/>
  <c r="AJ70" i="17"/>
  <c r="AJ69" i="17"/>
  <c r="AJ68" i="17"/>
  <c r="AJ67" i="17"/>
  <c r="AJ66" i="17"/>
  <c r="AF66" i="17"/>
  <c r="AB66" i="17"/>
  <c r="AJ65" i="17"/>
  <c r="AJ64" i="17"/>
  <c r="AF64" i="17"/>
  <c r="AB64" i="17"/>
  <c r="X64" i="17"/>
  <c r="AJ63" i="17"/>
  <c r="AJ62" i="17"/>
  <c r="AF62" i="17"/>
  <c r="AB62" i="17"/>
  <c r="X62" i="17"/>
  <c r="AJ61" i="17"/>
  <c r="AJ60" i="17"/>
  <c r="AF60" i="17"/>
  <c r="AB60" i="17"/>
  <c r="X60" i="17"/>
  <c r="AJ59" i="17"/>
  <c r="L143" i="34" l="1"/>
  <c r="L142" i="34"/>
  <c r="L117" i="34"/>
  <c r="L123" i="34"/>
  <c r="L140" i="34"/>
  <c r="L144" i="34"/>
  <c r="L126" i="34"/>
  <c r="L119" i="34"/>
  <c r="L136" i="34"/>
  <c r="L139" i="34"/>
  <c r="L121" i="34"/>
  <c r="L184" i="34"/>
  <c r="L185" i="34"/>
  <c r="L124" i="34"/>
  <c r="L122" i="34"/>
  <c r="L135" i="34"/>
  <c r="L137" i="34"/>
  <c r="L118" i="34"/>
  <c r="L120" i="34"/>
  <c r="L127" i="34"/>
  <c r="L125" i="34"/>
  <c r="L188" i="34"/>
  <c r="L189" i="34"/>
  <c r="L131" i="34"/>
  <c r="L134" i="34"/>
  <c r="L132" i="34"/>
  <c r="L133" i="34"/>
  <c r="L129" i="34"/>
  <c r="L128" i="34"/>
  <c r="L130" i="34"/>
  <c r="AK66" i="17"/>
  <c r="E195" i="34"/>
  <c r="AK82" i="20"/>
  <c r="AK85" i="20"/>
  <c r="AK91" i="20"/>
  <c r="AK65" i="20"/>
  <c r="AK97" i="20"/>
  <c r="AK59" i="20"/>
  <c r="AK88" i="20"/>
  <c r="AK94" i="20"/>
  <c r="AK100" i="20"/>
  <c r="E83" i="34"/>
  <c r="AA19" i="19" s="1"/>
  <c r="AK66" i="20"/>
  <c r="AK73" i="20"/>
  <c r="AK83" i="20"/>
  <c r="AK86" i="20"/>
  <c r="AK89" i="20"/>
  <c r="AK92" i="20"/>
  <c r="AK95" i="20"/>
  <c r="AK98" i="20"/>
  <c r="AK101" i="20"/>
  <c r="AK74" i="20"/>
  <c r="AK81" i="20"/>
  <c r="AK87" i="20"/>
  <c r="AK90" i="20"/>
  <c r="AK93" i="20"/>
  <c r="AK96" i="20"/>
  <c r="AK99" i="20"/>
  <c r="AK102" i="20"/>
  <c r="AK60" i="20"/>
  <c r="AK84" i="20"/>
  <c r="L14" i="32"/>
  <c r="E31" i="32"/>
  <c r="AK59" i="19"/>
  <c r="AK62" i="19"/>
  <c r="AK65" i="19"/>
  <c r="AK68" i="19"/>
  <c r="AK71" i="19"/>
  <c r="AK74" i="19"/>
  <c r="AK77" i="19"/>
  <c r="AK80" i="19"/>
  <c r="AK83" i="19"/>
  <c r="AK86" i="19"/>
  <c r="AK89" i="19"/>
  <c r="AK92" i="19"/>
  <c r="AK95" i="19"/>
  <c r="AK58" i="17"/>
  <c r="AK61" i="17"/>
  <c r="AK64" i="17"/>
  <c r="E13" i="17" s="1"/>
  <c r="AK67" i="17"/>
  <c r="AK71" i="17"/>
  <c r="AK75" i="17"/>
  <c r="AK78" i="17"/>
  <c r="AK84" i="17"/>
  <c r="AK86" i="17"/>
  <c r="AK87" i="17"/>
  <c r="AK90" i="17"/>
  <c r="AK105" i="17"/>
  <c r="AK144" i="17"/>
  <c r="AK59" i="17"/>
  <c r="AK68" i="17"/>
  <c r="AK76" i="17"/>
  <c r="AK91" i="17"/>
  <c r="E14" i="17"/>
  <c r="AK62" i="17"/>
  <c r="AK65" i="17"/>
  <c r="AK69" i="17"/>
  <c r="E8" i="17" s="1"/>
  <c r="AK72" i="17"/>
  <c r="AK73" i="17"/>
  <c r="AK79" i="17"/>
  <c r="AK88" i="17"/>
  <c r="AK106" i="17"/>
  <c r="AK57" i="17"/>
  <c r="AK60" i="17"/>
  <c r="AK63" i="17"/>
  <c r="AK70" i="17"/>
  <c r="AK74" i="17"/>
  <c r="AK77" i="17"/>
  <c r="AK80" i="17"/>
  <c r="AK83" i="17"/>
  <c r="AK85" i="17"/>
  <c r="AK89" i="17"/>
  <c r="AK92" i="17"/>
  <c r="AK143" i="17"/>
  <c r="AK57" i="19"/>
  <c r="AK60" i="19"/>
  <c r="AK63" i="19"/>
  <c r="AK66" i="19"/>
  <c r="AK69" i="19"/>
  <c r="AK72" i="19"/>
  <c r="AK75" i="19"/>
  <c r="AK78" i="19"/>
  <c r="AK81" i="19"/>
  <c r="AK84" i="19"/>
  <c r="AK87" i="19"/>
  <c r="AK90" i="19"/>
  <c r="AK93" i="19"/>
  <c r="AK96" i="19"/>
  <c r="AK58" i="19"/>
  <c r="AK64" i="19"/>
  <c r="AK70" i="19"/>
  <c r="AK76" i="19"/>
  <c r="AK61" i="19"/>
  <c r="AK67" i="19"/>
  <c r="AK73" i="19"/>
  <c r="AK79" i="19"/>
  <c r="AK82" i="19"/>
  <c r="AK85" i="19"/>
  <c r="AK88" i="19"/>
  <c r="AK91" i="19"/>
  <c r="AK94" i="19"/>
  <c r="AJ81" i="2"/>
  <c r="AJ176" i="2"/>
  <c r="T175" i="2"/>
  <c r="AJ175" i="2"/>
  <c r="AJ174" i="2"/>
  <c r="T173" i="2"/>
  <c r="AJ173" i="2"/>
  <c r="AJ172" i="2"/>
  <c r="T171" i="2"/>
  <c r="AJ171" i="2"/>
  <c r="AJ100" i="2"/>
  <c r="AJ99" i="2"/>
  <c r="AJ98" i="2"/>
  <c r="AJ97" i="2"/>
  <c r="AJ96" i="2"/>
  <c r="AJ95" i="2"/>
  <c r="AJ94" i="2"/>
  <c r="AF94" i="2"/>
  <c r="AB94" i="2"/>
  <c r="X94" i="2"/>
  <c r="AJ93" i="2"/>
  <c r="AJ92" i="2"/>
  <c r="AJ91" i="2"/>
  <c r="AJ90" i="2"/>
  <c r="AJ89" i="2"/>
  <c r="AJ88" i="2"/>
  <c r="AF88" i="2"/>
  <c r="AB88" i="2"/>
  <c r="X88" i="2"/>
  <c r="AJ87" i="2"/>
  <c r="AJ86" i="2"/>
  <c r="AF86" i="2"/>
  <c r="AB86" i="2"/>
  <c r="X86" i="2"/>
  <c r="AJ85" i="2"/>
  <c r="AJ84" i="2"/>
  <c r="AF84" i="2"/>
  <c r="AB84" i="2"/>
  <c r="X84" i="2"/>
  <c r="AJ83" i="2"/>
  <c r="AJ82" i="2"/>
  <c r="AF82" i="2"/>
  <c r="AB82" i="2"/>
  <c r="X82" i="2"/>
  <c r="AJ80" i="2"/>
  <c r="AJ79" i="2"/>
  <c r="AJ78" i="2"/>
  <c r="AF78" i="2"/>
  <c r="AB78" i="2"/>
  <c r="X78" i="2"/>
  <c r="AJ77" i="2"/>
  <c r="AJ76" i="2"/>
  <c r="AJ75" i="2"/>
  <c r="AJ74" i="2"/>
  <c r="AJ73" i="2"/>
  <c r="AJ72" i="2"/>
  <c r="AJ71" i="2"/>
  <c r="AJ70" i="2"/>
  <c r="AJ69" i="2"/>
  <c r="AJ68" i="2"/>
  <c r="AJ67" i="2"/>
  <c r="AJ66" i="2"/>
  <c r="AJ65" i="2"/>
  <c r="AJ64" i="2"/>
  <c r="AJ63" i="2"/>
  <c r="AJ62" i="2"/>
  <c r="AF62" i="2"/>
  <c r="AB62" i="2"/>
  <c r="X62" i="2"/>
  <c r="AJ60" i="2"/>
  <c r="AF60" i="2"/>
  <c r="AB60" i="2"/>
  <c r="X60" i="2"/>
  <c r="AJ59" i="2"/>
  <c r="AJ58" i="2"/>
  <c r="AF58" i="2"/>
  <c r="AB58" i="2"/>
  <c r="X58" i="2"/>
  <c r="AJ57" i="2"/>
  <c r="AF57" i="2"/>
  <c r="AB57" i="2"/>
  <c r="X57" i="2"/>
  <c r="T9" i="2" l="1" a="1"/>
  <c r="E10" i="17"/>
  <c r="I5" i="17" s="1"/>
  <c r="F29" i="32" s="1"/>
  <c r="E12" i="19"/>
  <c r="E9" i="17"/>
  <c r="E12" i="17"/>
  <c r="E11" i="17"/>
  <c r="E9" i="19"/>
  <c r="E14" i="19"/>
  <c r="E10" i="19"/>
  <c r="I5" i="19" s="1"/>
  <c r="H29" i="32" s="1"/>
  <c r="AR55" i="2" a="1"/>
  <c r="AR56" i="2" a="1"/>
  <c r="Z25" i="19"/>
  <c r="AR159" i="2" a="1"/>
  <c r="AR160" i="2" a="1"/>
  <c r="AR155" i="2" a="1"/>
  <c r="AR148" i="2" a="1"/>
  <c r="AR151" i="2" a="1"/>
  <c r="AR154" i="2" a="1"/>
  <c r="AR152" i="2" a="1"/>
  <c r="AR163" i="2" a="1"/>
  <c r="AR162" i="2" a="1"/>
  <c r="AR147" i="2" a="1"/>
  <c r="AR149" i="2" a="1"/>
  <c r="AR150" i="2" a="1"/>
  <c r="AR167" i="2" a="1"/>
  <c r="AR166" i="2" a="1"/>
  <c r="AR153" i="2" a="1"/>
  <c r="AR164" i="2" a="1"/>
  <c r="AR168" i="2" a="1"/>
  <c r="AR161" i="2" a="1"/>
  <c r="AR156" i="2" a="1"/>
  <c r="AR157" i="2" a="1"/>
  <c r="AR158" i="2" a="1"/>
  <c r="AR165" i="2" a="1"/>
  <c r="AR137" i="2" a="1"/>
  <c r="AR141" i="2" a="1"/>
  <c r="AR143" i="2" a="1"/>
  <c r="AR139" i="2" a="1"/>
  <c r="AR145" i="2" a="1"/>
  <c r="AR144" i="2" a="1"/>
  <c r="AR146" i="2" a="1"/>
  <c r="AR142" i="2" a="1"/>
  <c r="AR140" i="2" a="1"/>
  <c r="AR138" i="2" a="1"/>
  <c r="AR175" i="2" a="1"/>
  <c r="AR171" i="2" a="1"/>
  <c r="AR176" i="2" a="1"/>
  <c r="AR172" i="2" a="1"/>
  <c r="AR174" i="2" a="1"/>
  <c r="AR173" i="2" a="1"/>
  <c r="AR170" i="2" a="1"/>
  <c r="AR169" i="2" a="1"/>
  <c r="AR115" i="2" a="1"/>
  <c r="AR109" i="2" a="1"/>
  <c r="AR95" i="2" a="1"/>
  <c r="AR69" i="2" a="1"/>
  <c r="AR126" i="2" a="1"/>
  <c r="AR70" i="2" a="1"/>
  <c r="AR94" i="2" a="1"/>
  <c r="AR113" i="2" a="1"/>
  <c r="AR133" i="2" a="1"/>
  <c r="AR85" i="2" a="1"/>
  <c r="AR67" i="2" a="1"/>
  <c r="AR120" i="2" a="1"/>
  <c r="AR72" i="2" a="1"/>
  <c r="AR82" i="2" a="1"/>
  <c r="AR111" i="2" a="1"/>
  <c r="AR107" i="2" a="1"/>
  <c r="AR89" i="2" a="1"/>
  <c r="AR83" i="2" a="1"/>
  <c r="AR118" i="2" a="1"/>
  <c r="AR84" i="2" a="1"/>
  <c r="AR117" i="2" a="1"/>
  <c r="AR105" i="2" a="1"/>
  <c r="AR99" i="2" a="1"/>
  <c r="AR75" i="2" a="1"/>
  <c r="AR128" i="2" a="1"/>
  <c r="AR119" i="2" a="1"/>
  <c r="AR103" i="2" a="1"/>
  <c r="AR71" i="2" a="1"/>
  <c r="AR59" i="2" a="1"/>
  <c r="AR114" i="2" a="1"/>
  <c r="AR64" i="2" a="1"/>
  <c r="AR98" i="2" a="1"/>
  <c r="AR90" i="2" a="1"/>
  <c r="AR129" i="2" a="1"/>
  <c r="AR101" i="2" a="1"/>
  <c r="AR77" i="2" a="1"/>
  <c r="AR112" i="2" a="1"/>
  <c r="AR132" i="2" a="1"/>
  <c r="AR78" i="2" a="1"/>
  <c r="AR96" i="2" a="1"/>
  <c r="AR86" i="2" a="1"/>
  <c r="AR63" i="2" a="1"/>
  <c r="AR125" i="2" a="1"/>
  <c r="AR87" i="2" a="1"/>
  <c r="AR93" i="2" a="1"/>
  <c r="AR130" i="2" a="1"/>
  <c r="AR122" i="2" a="1"/>
  <c r="AR74" i="2" a="1"/>
  <c r="AR100" i="2" a="1"/>
  <c r="AR92" i="2" a="1"/>
  <c r="AR88" i="2" a="1"/>
  <c r="AR136" i="2" a="1"/>
  <c r="AR135" i="2" a="1"/>
  <c r="AR57" i="2" a="1"/>
  <c r="AR91" i="2" a="1"/>
  <c r="AR116" i="2" a="1"/>
  <c r="AR108" i="2" a="1"/>
  <c r="AR131" i="2" a="1"/>
  <c r="AR123" i="2" a="1"/>
  <c r="AR65" i="2" a="1"/>
  <c r="AR124" i="2" a="1"/>
  <c r="AR104" i="2" a="1"/>
  <c r="AR66" i="2" a="1"/>
  <c r="AR58" i="2" a="1"/>
  <c r="AR62" i="2" a="1"/>
  <c r="AR121" i="2" a="1"/>
  <c r="AR61" i="2" a="1"/>
  <c r="AR81" i="2" a="1"/>
  <c r="AR110" i="2" a="1"/>
  <c r="AR102" i="2" a="1"/>
  <c r="AR68" i="2" a="1"/>
  <c r="AR80" i="2" a="1"/>
  <c r="AR106" i="2" a="1"/>
  <c r="AR73" i="2" a="1"/>
  <c r="AR60" i="2" a="1"/>
  <c r="AR127" i="2" a="1"/>
  <c r="AR97" i="2" a="1"/>
  <c r="AR79" i="2" a="1"/>
  <c r="AR134" i="2" a="1"/>
  <c r="AR76" i="2" a="1"/>
  <c r="AK51" i="20"/>
  <c r="AK47" i="20"/>
  <c r="AK50" i="20"/>
  <c r="AK49" i="20"/>
  <c r="AK48" i="20"/>
  <c r="E196" i="34"/>
  <c r="E84" i="34"/>
  <c r="AA20" i="19" s="1"/>
  <c r="AK89" i="2"/>
  <c r="AK61" i="2"/>
  <c r="AK69" i="2"/>
  <c r="AK77" i="2"/>
  <c r="AK88" i="2"/>
  <c r="AK83" i="2"/>
  <c r="L49" i="34" s="1"/>
  <c r="AK80" i="2"/>
  <c r="AK64" i="2"/>
  <c r="AK72" i="2"/>
  <c r="AK59" i="2"/>
  <c r="L40" i="34" s="1"/>
  <c r="AK67" i="2"/>
  <c r="L42" i="34" s="1"/>
  <c r="AK75" i="2"/>
  <c r="L58" i="34" s="1"/>
  <c r="AK86" i="2"/>
  <c r="AK94" i="2"/>
  <c r="E11" i="2" s="1"/>
  <c r="AK97" i="2"/>
  <c r="AK62" i="2"/>
  <c r="AK70" i="2"/>
  <c r="AK78" i="2"/>
  <c r="AK96" i="2"/>
  <c r="AK174" i="2"/>
  <c r="AK99" i="2"/>
  <c r="AK172" i="2"/>
  <c r="AK173" i="2"/>
  <c r="AK87" i="2"/>
  <c r="AK95" i="2"/>
  <c r="AK175" i="2"/>
  <c r="AK60" i="2"/>
  <c r="AK68" i="2"/>
  <c r="AK76" i="2"/>
  <c r="AK57" i="2"/>
  <c r="AK65" i="2"/>
  <c r="AK73" i="2"/>
  <c r="L51" i="34" s="1"/>
  <c r="AK81" i="2"/>
  <c r="L34" i="34" s="1"/>
  <c r="AK84" i="2"/>
  <c r="AK92" i="2"/>
  <c r="AK100" i="2"/>
  <c r="AK71" i="2"/>
  <c r="L45" i="34" s="1"/>
  <c r="AK82" i="2"/>
  <c r="AK90" i="2"/>
  <c r="AK98" i="2"/>
  <c r="AK176" i="2"/>
  <c r="AK63" i="2"/>
  <c r="AK79" i="2"/>
  <c r="L53" i="34" s="1"/>
  <c r="AK85" i="2"/>
  <c r="AK93" i="2"/>
  <c r="AK171" i="2"/>
  <c r="AK91" i="2"/>
  <c r="AK58" i="2"/>
  <c r="AK66" i="2"/>
  <c r="AK74" i="2"/>
  <c r="E9" i="2" l="1"/>
  <c r="G5" i="17"/>
  <c r="E15" i="19"/>
  <c r="G5" i="19"/>
  <c r="J5" i="19" s="1"/>
  <c r="E15" i="17"/>
  <c r="E13" i="2"/>
  <c r="E10" i="2"/>
  <c r="B56" i="9"/>
  <c r="B53" i="9"/>
  <c r="B57" i="9"/>
  <c r="B52" i="9"/>
  <c r="AA152" i="19"/>
  <c r="L35" i="34"/>
  <c r="L41" i="34"/>
  <c r="L36" i="34"/>
  <c r="L37" i="34"/>
  <c r="Z6" i="19"/>
  <c r="Z15" i="19"/>
  <c r="Z13" i="19"/>
  <c r="Z14" i="19"/>
  <c r="Z19" i="19"/>
  <c r="Z20" i="19"/>
  <c r="Z23" i="19"/>
  <c r="Z7" i="19"/>
  <c r="Z21" i="19"/>
  <c r="Z11" i="19"/>
  <c r="Z18" i="19"/>
  <c r="Z10" i="19"/>
  <c r="Z8" i="19"/>
  <c r="Z22" i="19"/>
  <c r="Z16" i="19"/>
  <c r="Z24" i="19"/>
  <c r="Z9" i="19"/>
  <c r="Z12" i="19"/>
  <c r="Z17" i="19"/>
  <c r="E197" i="34"/>
  <c r="E85" i="34"/>
  <c r="AA21" i="19" s="1"/>
  <c r="G27" i="32"/>
  <c r="J5" i="18"/>
  <c r="AB152" i="19" l="1"/>
  <c r="AC152" i="19" s="1"/>
  <c r="F27" i="32"/>
  <c r="J5" i="17"/>
  <c r="F28" i="32" s="1"/>
  <c r="I5" i="2"/>
  <c r="E29" i="32" s="1"/>
  <c r="G5" i="2"/>
  <c r="J5" i="2" s="1"/>
  <c r="H27" i="32"/>
  <c r="E14" i="2"/>
  <c r="Q19" i="2"/>
  <c r="R19" i="2" s="1"/>
  <c r="Q24" i="2"/>
  <c r="R24" i="2" s="1"/>
  <c r="Q13" i="2"/>
  <c r="R13" i="2" s="1"/>
  <c r="Q12" i="2"/>
  <c r="R12" i="2" s="1"/>
  <c r="Q21" i="2"/>
  <c r="R21" i="2" s="1"/>
  <c r="Q18" i="2"/>
  <c r="R18" i="2" s="1"/>
  <c r="Q17" i="2"/>
  <c r="R17" i="2" s="1"/>
  <c r="Q10" i="2"/>
  <c r="R10" i="2" s="1"/>
  <c r="Q14" i="2"/>
  <c r="R14" i="2" s="1"/>
  <c r="Q22" i="2"/>
  <c r="R22" i="2" s="1"/>
  <c r="Q7" i="2"/>
  <c r="Q20" i="2"/>
  <c r="R20" i="2" s="1"/>
  <c r="Q11" i="2"/>
  <c r="R11" i="2" s="1"/>
  <c r="Q23" i="2"/>
  <c r="R23" i="2" s="1"/>
  <c r="Q25" i="2"/>
  <c r="R25" i="2" s="1"/>
  <c r="Q8" i="2"/>
  <c r="R8" i="2" s="1"/>
  <c r="Q15" i="2"/>
  <c r="R15" i="2" s="1"/>
  <c r="Q16" i="2"/>
  <c r="R16" i="2" s="1"/>
  <c r="E198" i="34"/>
  <c r="E86" i="34"/>
  <c r="AA22" i="19" s="1"/>
  <c r="Q6" i="2"/>
  <c r="B5" i="34"/>
  <c r="B32" i="34"/>
  <c r="B26" i="34"/>
  <c r="B6" i="34"/>
  <c r="B23" i="34"/>
  <c r="B14" i="34"/>
  <c r="B20" i="34"/>
  <c r="B15" i="34"/>
  <c r="B9" i="34"/>
  <c r="B8" i="34"/>
  <c r="B10" i="34"/>
  <c r="B12" i="34"/>
  <c r="B29" i="34"/>
  <c r="B16" i="34"/>
  <c r="B33" i="34"/>
  <c r="B18" i="34"/>
  <c r="B17" i="34"/>
  <c r="B30" i="34"/>
  <c r="B28" i="34"/>
  <c r="B21" i="34"/>
  <c r="B11" i="34"/>
  <c r="B22" i="34"/>
  <c r="B7" i="34"/>
  <c r="B13" i="34"/>
  <c r="B24" i="34"/>
  <c r="B31" i="34"/>
  <c r="B27" i="34"/>
  <c r="B25" i="34"/>
  <c r="B19" i="34"/>
  <c r="B4" i="34"/>
  <c r="C6" i="33"/>
  <c r="C7" i="33"/>
  <c r="C3" i="33"/>
  <c r="E3" i="33" s="1"/>
  <c r="C4" i="33"/>
  <c r="D4" i="33" s="1"/>
  <c r="C5" i="33"/>
  <c r="H8" i="2"/>
  <c r="H28" i="32"/>
  <c r="G28" i="32"/>
  <c r="E27" i="32" l="1"/>
  <c r="R7" i="2"/>
  <c r="U7" i="2"/>
  <c r="D15" i="34"/>
  <c r="D9" i="34"/>
  <c r="D30" i="34"/>
  <c r="D17" i="34"/>
  <c r="D33" i="34"/>
  <c r="D16" i="34"/>
  <c r="D32" i="34"/>
  <c r="D11" i="34"/>
  <c r="D20" i="34"/>
  <c r="D25" i="34"/>
  <c r="D6" i="34"/>
  <c r="D24" i="34"/>
  <c r="D29" i="34"/>
  <c r="D5" i="34"/>
  <c r="D13" i="34"/>
  <c r="D12" i="34"/>
  <c r="D4" i="34"/>
  <c r="E4" i="34" s="1"/>
  <c r="D62" i="34"/>
  <c r="D53" i="34"/>
  <c r="D63" i="34"/>
  <c r="D52" i="34"/>
  <c r="D58" i="34"/>
  <c r="D57" i="34"/>
  <c r="D61" i="34"/>
  <c r="D54" i="34"/>
  <c r="D50" i="34"/>
  <c r="D51" i="34"/>
  <c r="D60" i="34"/>
  <c r="D59" i="34"/>
  <c r="D56" i="34"/>
  <c r="D55" i="34"/>
  <c r="D49" i="34"/>
  <c r="D45" i="34"/>
  <c r="D40" i="34"/>
  <c r="D36" i="34"/>
  <c r="D39" i="34"/>
  <c r="D46" i="34"/>
  <c r="D42" i="34"/>
  <c r="D43" i="34"/>
  <c r="D37" i="34"/>
  <c r="D48" i="34"/>
  <c r="D35" i="34"/>
  <c r="D47" i="34"/>
  <c r="D38" i="34"/>
  <c r="D41" i="34"/>
  <c r="D44" i="34"/>
  <c r="D34" i="34"/>
  <c r="D26" i="34"/>
  <c r="D21" i="34"/>
  <c r="D28" i="34"/>
  <c r="D14" i="34"/>
  <c r="D19" i="34"/>
  <c r="D23" i="34"/>
  <c r="D18" i="34"/>
  <c r="D27" i="34"/>
  <c r="D31" i="34"/>
  <c r="D7" i="34"/>
  <c r="D10" i="34"/>
  <c r="D22" i="34"/>
  <c r="Z24" i="17" s="1"/>
  <c r="D8" i="34"/>
  <c r="Z10" i="17" s="1"/>
  <c r="C30" i="34"/>
  <c r="C14" i="34"/>
  <c r="C19" i="34"/>
  <c r="C18" i="34"/>
  <c r="C26" i="34"/>
  <c r="C24" i="34"/>
  <c r="C21" i="34"/>
  <c r="C15" i="34"/>
  <c r="C17" i="34"/>
  <c r="C6" i="34"/>
  <c r="C31" i="34"/>
  <c r="C16" i="34"/>
  <c r="C32" i="34"/>
  <c r="C28" i="34"/>
  <c r="C13" i="34"/>
  <c r="C12" i="34"/>
  <c r="C25" i="34"/>
  <c r="C27" i="34"/>
  <c r="C29" i="34"/>
  <c r="C7" i="34"/>
  <c r="C10" i="34"/>
  <c r="C20" i="34"/>
  <c r="C23" i="34"/>
  <c r="C33" i="34"/>
  <c r="C22" i="34"/>
  <c r="C8" i="34"/>
  <c r="C11" i="34"/>
  <c r="C9" i="34"/>
  <c r="C5" i="34"/>
  <c r="AD152" i="19"/>
  <c r="R6" i="2"/>
  <c r="U6" i="2"/>
  <c r="C4" i="34"/>
  <c r="U19" i="2"/>
  <c r="U22" i="2"/>
  <c r="U15" i="2"/>
  <c r="U24" i="2"/>
  <c r="U8" i="2"/>
  <c r="U25" i="2"/>
  <c r="U17" i="2"/>
  <c r="U23" i="2"/>
  <c r="U18" i="2"/>
  <c r="U21" i="2"/>
  <c r="U20" i="2"/>
  <c r="U12" i="2"/>
  <c r="U11" i="2"/>
  <c r="U13" i="2"/>
  <c r="U14" i="2"/>
  <c r="U10" i="2"/>
  <c r="U16" i="2"/>
  <c r="E199" i="34"/>
  <c r="Z15" i="2"/>
  <c r="E87" i="34"/>
  <c r="AA23" i="19" s="1"/>
  <c r="D6" i="33"/>
  <c r="E6" i="33"/>
  <c r="F6" i="33"/>
  <c r="F4" i="33"/>
  <c r="E4" i="33"/>
  <c r="E25" i="32"/>
  <c r="F5" i="33"/>
  <c r="D5" i="33"/>
  <c r="E5" i="33"/>
  <c r="D3" i="33"/>
  <c r="F3" i="33"/>
  <c r="F7" i="33"/>
  <c r="D7" i="33"/>
  <c r="E7" i="33"/>
  <c r="E28" i="32"/>
  <c r="H30" i="1"/>
  <c r="H31" i="1"/>
  <c r="H32" i="1"/>
  <c r="H33" i="1"/>
  <c r="H34" i="1"/>
  <c r="H35" i="1"/>
  <c r="H36" i="1"/>
  <c r="T6" i="2" l="1" a="1"/>
  <c r="T6" i="2" s="1"/>
  <c r="S6" i="2"/>
  <c r="I6" i="34"/>
  <c r="L6" i="34"/>
  <c r="I10" i="34"/>
  <c r="L10" i="34"/>
  <c r="I17" i="34"/>
  <c r="L17" i="34"/>
  <c r="I7" i="34"/>
  <c r="L7" i="34"/>
  <c r="I15" i="34"/>
  <c r="L15" i="34"/>
  <c r="I20" i="34"/>
  <c r="L20" i="34"/>
  <c r="I29" i="34"/>
  <c r="L29" i="34"/>
  <c r="I21" i="34"/>
  <c r="L21" i="34"/>
  <c r="I24" i="34"/>
  <c r="L24" i="34"/>
  <c r="I4" i="34"/>
  <c r="L4" i="34"/>
  <c r="I26" i="34"/>
  <c r="L26" i="34"/>
  <c r="I25" i="34"/>
  <c r="L25" i="34"/>
  <c r="I12" i="34"/>
  <c r="L12" i="34"/>
  <c r="I18" i="34"/>
  <c r="L18" i="34"/>
  <c r="I5" i="34"/>
  <c r="L5" i="34"/>
  <c r="I11" i="34"/>
  <c r="L11" i="34"/>
  <c r="I13" i="34"/>
  <c r="L13" i="34"/>
  <c r="I19" i="34"/>
  <c r="L19" i="34"/>
  <c r="I23" i="34"/>
  <c r="L23" i="34"/>
  <c r="I9" i="34"/>
  <c r="L9" i="34"/>
  <c r="I8" i="34"/>
  <c r="L8" i="34"/>
  <c r="I28" i="34"/>
  <c r="L28" i="34"/>
  <c r="I14" i="34"/>
  <c r="L14" i="34"/>
  <c r="I22" i="34"/>
  <c r="L22" i="34"/>
  <c r="I32" i="34"/>
  <c r="L32" i="34"/>
  <c r="I30" i="34"/>
  <c r="L30" i="34"/>
  <c r="I27" i="34"/>
  <c r="L27" i="34"/>
  <c r="I33" i="34"/>
  <c r="L33" i="34"/>
  <c r="I16" i="34"/>
  <c r="L16" i="34"/>
  <c r="I31" i="34"/>
  <c r="L31" i="34"/>
  <c r="R26" i="2"/>
  <c r="H30" i="34"/>
  <c r="G30" i="34"/>
  <c r="G14" i="34"/>
  <c r="H18" i="34"/>
  <c r="H14" i="34"/>
  <c r="H22" i="34"/>
  <c r="G22" i="34"/>
  <c r="H32" i="34"/>
  <c r="H13" i="34"/>
  <c r="G13" i="34"/>
  <c r="G32" i="34"/>
  <c r="G5" i="34"/>
  <c r="H28" i="34"/>
  <c r="H19" i="34"/>
  <c r="G28" i="34"/>
  <c r="G19" i="34"/>
  <c r="H12" i="34"/>
  <c r="G12" i="34"/>
  <c r="G33" i="34"/>
  <c r="H16" i="34"/>
  <c r="H20" i="34"/>
  <c r="G10" i="34"/>
  <c r="G17" i="34"/>
  <c r="G15" i="34"/>
  <c r="G29" i="34"/>
  <c r="G24" i="34"/>
  <c r="H5" i="34"/>
  <c r="G9" i="34"/>
  <c r="G18" i="34"/>
  <c r="H8" i="34"/>
  <c r="H6" i="34"/>
  <c r="G6" i="34"/>
  <c r="H17" i="34"/>
  <c r="G23" i="34"/>
  <c r="H23" i="34"/>
  <c r="H33" i="34"/>
  <c r="G21" i="34"/>
  <c r="H25" i="34"/>
  <c r="H29" i="34"/>
  <c r="H21" i="34"/>
  <c r="H15" i="34"/>
  <c r="G25" i="34"/>
  <c r="G8" i="34"/>
  <c r="G20" i="34"/>
  <c r="H9" i="34"/>
  <c r="G16" i="34"/>
  <c r="E5" i="34"/>
  <c r="E6" i="34" s="1"/>
  <c r="E7" i="34" s="1"/>
  <c r="E8" i="34" s="1"/>
  <c r="E9" i="34" s="1"/>
  <c r="E10" i="34" s="1"/>
  <c r="E11" i="34" s="1"/>
  <c r="E12" i="34" s="1"/>
  <c r="E13" i="34" s="1"/>
  <c r="E14" i="34" s="1"/>
  <c r="E15" i="34" s="1"/>
  <c r="E16" i="34" s="1"/>
  <c r="E17" i="34" s="1"/>
  <c r="E18" i="34" s="1"/>
  <c r="E19" i="34" s="1"/>
  <c r="E20" i="34" s="1"/>
  <c r="E21" i="34" s="1"/>
  <c r="E22" i="34" s="1"/>
  <c r="E23" i="34" s="1"/>
  <c r="E24" i="34" s="1"/>
  <c r="E25" i="34" s="1"/>
  <c r="E26" i="34" s="1"/>
  <c r="E27" i="34" s="1"/>
  <c r="E28" i="34" s="1"/>
  <c r="E29" i="34" s="1"/>
  <c r="E30" i="34" s="1"/>
  <c r="E31" i="34" s="1"/>
  <c r="E32" i="34" s="1"/>
  <c r="E33" i="34" s="1"/>
  <c r="E34" i="34" s="1"/>
  <c r="E35" i="34" s="1"/>
  <c r="E36" i="34" s="1"/>
  <c r="E37" i="34" s="1"/>
  <c r="E38" i="34" s="1"/>
  <c r="E39" i="34" s="1"/>
  <c r="E40" i="34" s="1"/>
  <c r="E41" i="34" s="1"/>
  <c r="E42" i="34" s="1"/>
  <c r="E43" i="34" s="1"/>
  <c r="E44" i="34" s="1"/>
  <c r="E45" i="34" s="1"/>
  <c r="E46" i="34" s="1"/>
  <c r="E47" i="34" s="1"/>
  <c r="E48" i="34" s="1"/>
  <c r="E49" i="34" s="1"/>
  <c r="E50" i="34" s="1"/>
  <c r="E51" i="34" s="1"/>
  <c r="E52" i="34" s="1"/>
  <c r="E53" i="34" s="1"/>
  <c r="E54" i="34" s="1"/>
  <c r="E55" i="34" s="1"/>
  <c r="E56" i="34" s="1"/>
  <c r="E57" i="34" s="1"/>
  <c r="E58" i="34" s="1"/>
  <c r="E59" i="34" s="1"/>
  <c r="E60" i="34" s="1"/>
  <c r="E61" i="34" s="1"/>
  <c r="E62" i="34" s="1"/>
  <c r="E63" i="34" s="1"/>
  <c r="H10" i="34"/>
  <c r="H7" i="34"/>
  <c r="H26" i="34"/>
  <c r="G27" i="34"/>
  <c r="G7" i="34"/>
  <c r="G26" i="34"/>
  <c r="H11" i="34"/>
  <c r="H24" i="34"/>
  <c r="G11" i="34"/>
  <c r="H27" i="34"/>
  <c r="H31" i="34"/>
  <c r="G31" i="34"/>
  <c r="AC6" i="2" a="1"/>
  <c r="AB6" i="2" a="1"/>
  <c r="G4" i="34"/>
  <c r="H4" i="34"/>
  <c r="S16" i="2"/>
  <c r="T16" i="2" a="1"/>
  <c r="T17" i="2" a="1"/>
  <c r="T23" i="2" a="1"/>
  <c r="S10" i="2"/>
  <c r="T10" i="2" a="1"/>
  <c r="S25" i="2"/>
  <c r="T25" i="2" a="1"/>
  <c r="S7" i="2"/>
  <c r="T7" i="2" a="1"/>
  <c r="S8" i="2"/>
  <c r="T8" i="2" a="1"/>
  <c r="T14" i="2" a="1"/>
  <c r="S24" i="2"/>
  <c r="T24" i="2" a="1"/>
  <c r="T13" i="2" a="1"/>
  <c r="T15" i="2" a="1"/>
  <c r="S11" i="2"/>
  <c r="T11" i="2" a="1"/>
  <c r="T20" i="2" a="1"/>
  <c r="T19" i="2" a="1"/>
  <c r="T22" i="2" a="1"/>
  <c r="T21" i="2" a="1"/>
  <c r="S12" i="2"/>
  <c r="T12" i="2" a="1"/>
  <c r="T18" i="2" a="1"/>
  <c r="P23" i="2"/>
  <c r="S23" i="2"/>
  <c r="AB15" i="2" a="1"/>
  <c r="S15" i="2"/>
  <c r="P18" i="2"/>
  <c r="S18" i="2"/>
  <c r="AC17" i="2" a="1"/>
  <c r="S17" i="2"/>
  <c r="AB14" i="2" a="1"/>
  <c r="S14" i="2"/>
  <c r="P20" i="2"/>
  <c r="S20" i="2"/>
  <c r="AB22" i="2" a="1"/>
  <c r="S22" i="2"/>
  <c r="P13" i="2"/>
  <c r="S13" i="2"/>
  <c r="P21" i="2"/>
  <c r="S21" i="2"/>
  <c r="AB19" i="2" a="1"/>
  <c r="S19" i="2"/>
  <c r="AC9" i="2" a="1"/>
  <c r="AC22" i="2" a="1"/>
  <c r="AC25" i="2" a="1"/>
  <c r="AB9" i="2" a="1"/>
  <c r="AC19" i="2" a="1"/>
  <c r="P19" i="2"/>
  <c r="AC11" i="2" a="1"/>
  <c r="P22" i="2"/>
  <c r="AC15" i="2" a="1"/>
  <c r="AB12" i="2" a="1"/>
  <c r="AB23" i="2" a="1"/>
  <c r="AC23" i="2" a="1"/>
  <c r="AB18" i="2" a="1"/>
  <c r="AB8" i="2" a="1"/>
  <c r="AC8" i="2" a="1"/>
  <c r="P8" i="2"/>
  <c r="Q26" i="2" s="1"/>
  <c r="AC12" i="2" a="1"/>
  <c r="P12" i="2"/>
  <c r="AB13" i="2" a="1"/>
  <c r="P25" i="2"/>
  <c r="P11" i="2"/>
  <c r="AC21" i="2" a="1"/>
  <c r="AB11" i="2" a="1"/>
  <c r="AC18" i="2" a="1"/>
  <c r="P15" i="2"/>
  <c r="AB25" i="2" a="1"/>
  <c r="AC13" i="2" a="1"/>
  <c r="AB21" i="2" a="1"/>
  <c r="AB20" i="2" a="1"/>
  <c r="P24" i="2"/>
  <c r="AC20" i="2" a="1"/>
  <c r="P17" i="2"/>
  <c r="AB24" i="2" a="1"/>
  <c r="AC24" i="2" a="1"/>
  <c r="AB17" i="2" a="1"/>
  <c r="P16" i="2"/>
  <c r="P10" i="2"/>
  <c r="AC7" i="2" a="1"/>
  <c r="P14" i="2"/>
  <c r="Z22" i="2"/>
  <c r="Z24" i="2"/>
  <c r="Z6" i="2"/>
  <c r="AA6" i="2" s="1"/>
  <c r="Z8" i="2"/>
  <c r="Z23" i="2"/>
  <c r="Z13" i="2"/>
  <c r="Z25" i="2"/>
  <c r="Z12" i="2"/>
  <c r="Z16" i="2"/>
  <c r="Z18" i="2"/>
  <c r="Z17" i="2"/>
  <c r="Z14" i="2"/>
  <c r="AB16" i="2" a="1"/>
  <c r="AC16" i="2" a="1"/>
  <c r="Z11" i="2"/>
  <c r="Z10" i="2"/>
  <c r="Z7" i="2"/>
  <c r="AB10" i="2" a="1"/>
  <c r="AC14" i="2" a="1"/>
  <c r="Z19" i="2"/>
  <c r="P6" i="2"/>
  <c r="Z21" i="2"/>
  <c r="P7" i="2"/>
  <c r="AB7" i="2" a="1"/>
  <c r="AC10" i="2" a="1"/>
  <c r="Z20" i="2"/>
  <c r="Z9" i="2"/>
  <c r="E200" i="34"/>
  <c r="E24" i="32"/>
  <c r="Z25" i="17"/>
  <c r="Z21" i="17"/>
  <c r="Z8" i="17"/>
  <c r="Z16" i="17"/>
  <c r="Z20" i="17"/>
  <c r="Z22" i="17"/>
  <c r="Z13" i="17"/>
  <c r="Z6" i="17"/>
  <c r="Z9" i="17"/>
  <c r="Z14" i="17"/>
  <c r="Z17" i="17"/>
  <c r="Z18" i="17"/>
  <c r="Z15" i="17"/>
  <c r="Z11" i="17"/>
  <c r="Z7" i="17"/>
  <c r="Z12" i="17"/>
  <c r="Z23" i="17"/>
  <c r="Z19" i="17"/>
  <c r="E88" i="34"/>
  <c r="AA24" i="19" s="1"/>
  <c r="H37" i="1"/>
  <c r="H29" i="1"/>
  <c r="H28" i="1"/>
  <c r="H27" i="1"/>
  <c r="H26" i="1"/>
  <c r="H25" i="1"/>
  <c r="H24" i="1"/>
  <c r="H23" i="1"/>
  <c r="H22" i="1"/>
  <c r="C18" i="1"/>
  <c r="B18" i="1"/>
  <c r="E16" i="1"/>
  <c r="D16" i="1"/>
  <c r="E15" i="1"/>
  <c r="D15" i="1"/>
  <c r="E14" i="1"/>
  <c r="D14" i="1"/>
  <c r="E13" i="1"/>
  <c r="D13" i="1"/>
  <c r="E12" i="1"/>
  <c r="D12" i="1"/>
  <c r="E11" i="1"/>
  <c r="D11" i="1"/>
  <c r="E10" i="1"/>
  <c r="D10" i="1"/>
  <c r="AE6" i="19" l="1" a="1"/>
  <c r="AE6" i="2" a="1"/>
  <c r="AA7" i="2"/>
  <c r="AA8" i="2" s="1"/>
  <c r="AA9" i="2" s="1"/>
  <c r="AA10" i="2" s="1"/>
  <c r="AA11" i="2" s="1"/>
  <c r="AA12" i="2" s="1"/>
  <c r="AA13" i="2" s="1"/>
  <c r="AA14" i="2" s="1"/>
  <c r="AA15" i="2" s="1"/>
  <c r="AA16" i="2" s="1"/>
  <c r="AA17" i="2" s="1"/>
  <c r="AA18" i="2" s="1"/>
  <c r="AA19" i="2" s="1"/>
  <c r="AA20" i="2" s="1"/>
  <c r="AA21" i="2" s="1"/>
  <c r="AA22" i="2" s="1"/>
  <c r="AA23" i="2" s="1"/>
  <c r="AA24" i="2" s="1"/>
  <c r="AA25" i="2" s="1"/>
  <c r="E201" i="34"/>
  <c r="E89" i="34"/>
  <c r="AA25" i="19" s="1"/>
  <c r="AA6" i="17"/>
  <c r="E18" i="1"/>
  <c r="D18" i="1"/>
  <c r="E202" i="34" l="1"/>
  <c r="E203" i="34" s="1"/>
  <c r="E204" i="34" s="1"/>
  <c r="E205" i="34" s="1"/>
  <c r="E206" i="34" s="1"/>
  <c r="E207" i="34" s="1"/>
  <c r="E208" i="34" s="1"/>
  <c r="E209" i="34" s="1"/>
  <c r="E210" i="34" s="1"/>
  <c r="E211" i="34" s="1"/>
  <c r="E90" i="34"/>
  <c r="E91" i="34" s="1"/>
  <c r="E92" i="34" s="1"/>
  <c r="E93" i="34" s="1"/>
  <c r="E94" i="34" s="1"/>
  <c r="E95" i="34" s="1"/>
  <c r="E96" i="34" s="1"/>
  <c r="E97" i="34" s="1"/>
  <c r="E98" i="34" s="1"/>
  <c r="E99" i="34" s="1"/>
  <c r="E100" i="34" s="1"/>
  <c r="E101" i="34" s="1"/>
  <c r="E102" i="34" s="1"/>
  <c r="E103" i="34" s="1"/>
  <c r="E104" i="34" s="1"/>
  <c r="E105" i="34" s="1"/>
  <c r="E106" i="34" s="1"/>
  <c r="E107" i="34" s="1"/>
  <c r="E108" i="34" s="1"/>
  <c r="E109" i="34" s="1"/>
  <c r="AA7" i="17"/>
  <c r="AA8" i="17" l="1"/>
  <c r="AA9" i="17" l="1"/>
  <c r="AA10" i="17" l="1"/>
  <c r="AA11" i="17" l="1"/>
  <c r="AA12" i="17" l="1"/>
  <c r="AA13" i="17" l="1"/>
  <c r="AA14" i="17" l="1"/>
  <c r="AA15" i="17" l="1"/>
  <c r="AA16" i="17" l="1"/>
  <c r="AA17" i="17" l="1"/>
  <c r="AA18" i="17"/>
  <c r="AA19" i="17" l="1"/>
  <c r="AA20" i="17" l="1"/>
  <c r="AA21" i="17" l="1"/>
  <c r="AA22" i="17" l="1"/>
  <c r="AA23" i="17" l="1"/>
  <c r="AA24" i="17"/>
  <c r="AA25" i="17" l="1"/>
  <c r="B173" i="34" l="1"/>
  <c r="C173" i="34" s="1"/>
  <c r="L173" i="34" s="1"/>
  <c r="W109" i="18"/>
  <c r="F23" i="33"/>
  <c r="AB109" i="18"/>
  <c r="I173" i="34" l="1"/>
  <c r="G173" i="34"/>
  <c r="H173" i="34"/>
  <c r="Q8" i="18"/>
  <c r="R8" i="18" s="1"/>
  <c r="C19" i="33"/>
  <c r="F19" i="33" s="1"/>
  <c r="B160" i="34"/>
  <c r="C160" i="34" s="1"/>
  <c r="L160" i="34" s="1"/>
  <c r="B178" i="34"/>
  <c r="C178" i="34" s="1"/>
  <c r="L178" i="34" s="1"/>
  <c r="Q13" i="18"/>
  <c r="B158" i="34"/>
  <c r="C158" i="34" s="1"/>
  <c r="L158" i="34" s="1"/>
  <c r="X109" i="18"/>
  <c r="Q9" i="18"/>
  <c r="Q22" i="18"/>
  <c r="Q21" i="18"/>
  <c r="E22" i="33"/>
  <c r="B174" i="34"/>
  <c r="C174" i="34" s="1"/>
  <c r="L174" i="34" s="1"/>
  <c r="Q15" i="18"/>
  <c r="U15" i="18" s="1"/>
  <c r="AC15" i="18" s="1" a="1"/>
  <c r="C20" i="33"/>
  <c r="AA109" i="18"/>
  <c r="Q17" i="18"/>
  <c r="R17" i="18" s="1"/>
  <c r="B166" i="34"/>
  <c r="C166" i="34" s="1"/>
  <c r="L166" i="34" s="1"/>
  <c r="B167" i="34"/>
  <c r="C167" i="34" s="1"/>
  <c r="L167" i="34" s="1"/>
  <c r="B151" i="34"/>
  <c r="C151" i="34" s="1"/>
  <c r="L151" i="34" s="1"/>
  <c r="B155" i="34"/>
  <c r="C155" i="34" s="1"/>
  <c r="L155" i="34" s="1"/>
  <c r="Q25" i="18"/>
  <c r="B159" i="34"/>
  <c r="C159" i="34" s="1"/>
  <c r="L159" i="34" s="1"/>
  <c r="AD109" i="18"/>
  <c r="B169" i="34"/>
  <c r="C169" i="34" s="1"/>
  <c r="L169" i="34" s="1"/>
  <c r="B152" i="34"/>
  <c r="C152" i="34" s="1"/>
  <c r="L152" i="34" s="1"/>
  <c r="AC109" i="18"/>
  <c r="D22" i="33"/>
  <c r="B149" i="34"/>
  <c r="B5" i="18"/>
  <c r="B157" i="34"/>
  <c r="C157" i="34" s="1"/>
  <c r="L157" i="34" s="1"/>
  <c r="D23" i="33"/>
  <c r="B150" i="34"/>
  <c r="D21" i="33"/>
  <c r="E23" i="33"/>
  <c r="H8" i="18"/>
  <c r="G25" i="32" s="1"/>
  <c r="B177" i="34"/>
  <c r="C177" i="34" s="1"/>
  <c r="L177" i="34" s="1"/>
  <c r="V109" i="18"/>
  <c r="Y109" i="18"/>
  <c r="Q20" i="18"/>
  <c r="B161" i="34"/>
  <c r="B171" i="34"/>
  <c r="Q6" i="18"/>
  <c r="B162" i="34"/>
  <c r="Q10" i="18"/>
  <c r="B154" i="34"/>
  <c r="C165" i="34"/>
  <c r="L165" i="34" s="1"/>
  <c r="B170" i="34"/>
  <c r="B164" i="34"/>
  <c r="F22" i="33"/>
  <c r="Q11" i="18"/>
  <c r="B175" i="34"/>
  <c r="Q19" i="18"/>
  <c r="B172" i="34"/>
  <c r="Q23" i="18"/>
  <c r="E21" i="33"/>
  <c r="Z109" i="18"/>
  <c r="Q12" i="18"/>
  <c r="U12" i="18" s="1"/>
  <c r="Q24" i="18"/>
  <c r="B176" i="34"/>
  <c r="Q14" i="18"/>
  <c r="B156" i="34"/>
  <c r="B153" i="34"/>
  <c r="Q18" i="18"/>
  <c r="R18" i="18" s="1"/>
  <c r="B163" i="34"/>
  <c r="Q16" i="18"/>
  <c r="B168" i="34"/>
  <c r="F21" i="33"/>
  <c r="G24" i="32" l="1"/>
  <c r="I158" i="34"/>
  <c r="I166" i="34"/>
  <c r="I178" i="34"/>
  <c r="I160" i="34"/>
  <c r="I174" i="34"/>
  <c r="I167" i="34"/>
  <c r="I169" i="34"/>
  <c r="I152" i="34"/>
  <c r="I159" i="34"/>
  <c r="I177" i="34"/>
  <c r="I165" i="34"/>
  <c r="I157" i="34"/>
  <c r="I155" i="34"/>
  <c r="I151" i="34"/>
  <c r="U6" i="18"/>
  <c r="S6" i="18" s="1"/>
  <c r="R6" i="18"/>
  <c r="C150" i="34"/>
  <c r="L150" i="34" s="1"/>
  <c r="S15" i="18"/>
  <c r="T15" i="18" a="1"/>
  <c r="Z19" i="18"/>
  <c r="R19" i="18"/>
  <c r="R20" i="18"/>
  <c r="Z20" i="18"/>
  <c r="R9" i="18"/>
  <c r="Z9" i="18"/>
  <c r="G169" i="34"/>
  <c r="H169" i="34"/>
  <c r="G166" i="34"/>
  <c r="H166" i="34"/>
  <c r="G177" i="34"/>
  <c r="H177" i="34"/>
  <c r="G159" i="34"/>
  <c r="H159" i="34"/>
  <c r="G155" i="34"/>
  <c r="H155" i="34"/>
  <c r="G158" i="34"/>
  <c r="H158" i="34"/>
  <c r="G165" i="34"/>
  <c r="H165" i="34"/>
  <c r="G151" i="34"/>
  <c r="H151" i="34"/>
  <c r="G167" i="34"/>
  <c r="H167" i="34"/>
  <c r="G178" i="34"/>
  <c r="H178" i="34"/>
  <c r="G157" i="34"/>
  <c r="H157" i="34"/>
  <c r="G174" i="34"/>
  <c r="H174" i="34"/>
  <c r="G160" i="34"/>
  <c r="H160" i="34"/>
  <c r="G152" i="34"/>
  <c r="H152" i="34"/>
  <c r="J178" i="34"/>
  <c r="K178" i="34" a="1"/>
  <c r="J165" i="34"/>
  <c r="K165" i="34" a="1"/>
  <c r="J177" i="34"/>
  <c r="K177" i="34" a="1"/>
  <c r="C149" i="34"/>
  <c r="L149" i="34" s="1"/>
  <c r="U17" i="18"/>
  <c r="U8" i="18"/>
  <c r="Z8" i="18"/>
  <c r="Z15" i="18"/>
  <c r="U9" i="18"/>
  <c r="E19" i="33"/>
  <c r="D19" i="33"/>
  <c r="U21" i="18"/>
  <c r="AB21" i="18" s="1" a="1"/>
  <c r="U25" i="18"/>
  <c r="U7" i="18"/>
  <c r="AB7" i="18" s="1" a="1"/>
  <c r="Z7" i="18"/>
  <c r="R7" i="18"/>
  <c r="Z17" i="18"/>
  <c r="U13" i="18"/>
  <c r="R13" i="18"/>
  <c r="Z13" i="18"/>
  <c r="F20" i="33"/>
  <c r="E20" i="33"/>
  <c r="D20" i="33"/>
  <c r="R15" i="18"/>
  <c r="D165" i="34"/>
  <c r="D149" i="34"/>
  <c r="E149" i="34" s="1"/>
  <c r="U23" i="18"/>
  <c r="D158" i="34"/>
  <c r="D169" i="34"/>
  <c r="R14" i="18"/>
  <c r="U14" i="18"/>
  <c r="Z14" i="18"/>
  <c r="U19" i="18"/>
  <c r="C164" i="34"/>
  <c r="L164" i="34" s="1"/>
  <c r="D164" i="34"/>
  <c r="R10" i="18"/>
  <c r="Z10" i="18"/>
  <c r="U10" i="18"/>
  <c r="D152" i="34"/>
  <c r="D177" i="34"/>
  <c r="D159" i="34"/>
  <c r="D167" i="34"/>
  <c r="C156" i="34"/>
  <c r="L156" i="34" s="1"/>
  <c r="D156" i="34"/>
  <c r="C154" i="34"/>
  <c r="L154" i="34" s="1"/>
  <c r="D154" i="34"/>
  <c r="Z16" i="18"/>
  <c r="R16" i="18"/>
  <c r="U16" i="18"/>
  <c r="D176" i="34"/>
  <c r="C176" i="34"/>
  <c r="L176" i="34" s="1"/>
  <c r="C162" i="34"/>
  <c r="L162" i="34" s="1"/>
  <c r="D162" i="34"/>
  <c r="D166" i="34"/>
  <c r="D178" i="34"/>
  <c r="C171" i="34"/>
  <c r="L171" i="34" s="1"/>
  <c r="D171" i="34"/>
  <c r="D160" i="34"/>
  <c r="C168" i="34"/>
  <c r="L168" i="34" s="1"/>
  <c r="D168" i="34"/>
  <c r="C172" i="34"/>
  <c r="L172" i="34" s="1"/>
  <c r="D172" i="34"/>
  <c r="D157" i="34"/>
  <c r="D163" i="34"/>
  <c r="C163" i="34"/>
  <c r="L163" i="34" s="1"/>
  <c r="D175" i="34"/>
  <c r="C175" i="34"/>
  <c r="L175" i="34" s="1"/>
  <c r="U109" i="18"/>
  <c r="U24" i="18"/>
  <c r="C170" i="34"/>
  <c r="L170" i="34" s="1"/>
  <c r="D170" i="34"/>
  <c r="Z6" i="18"/>
  <c r="AA6" i="18" s="1"/>
  <c r="D174" i="34"/>
  <c r="Z12" i="18"/>
  <c r="R12" i="18"/>
  <c r="C153" i="34"/>
  <c r="L153" i="34" s="1"/>
  <c r="D153" i="34"/>
  <c r="Z11" i="18"/>
  <c r="U11" i="18"/>
  <c r="R11" i="18"/>
  <c r="C161" i="34"/>
  <c r="L161" i="34" s="1"/>
  <c r="D161" i="34"/>
  <c r="D155" i="34"/>
  <c r="U20" i="18"/>
  <c r="D151" i="34"/>
  <c r="D150" i="34"/>
  <c r="D173" i="34"/>
  <c r="Z18" i="18"/>
  <c r="U18" i="18"/>
  <c r="I161" i="34" l="1"/>
  <c r="I154" i="34"/>
  <c r="I156" i="34"/>
  <c r="I171" i="34"/>
  <c r="I153" i="34"/>
  <c r="I162" i="34"/>
  <c r="I175" i="34"/>
  <c r="I163" i="34"/>
  <c r="I172" i="34"/>
  <c r="I149" i="34"/>
  <c r="I176" i="34"/>
  <c r="I168" i="34"/>
  <c r="I170" i="34"/>
  <c r="I164" i="34"/>
  <c r="T6" i="18" a="1"/>
  <c r="AC16" i="18" a="1"/>
  <c r="AB16" i="18" a="1"/>
  <c r="AB17" i="18" a="1"/>
  <c r="AC17" i="18" a="1"/>
  <c r="AC19" i="18" a="1"/>
  <c r="AC21" i="18" a="1"/>
  <c r="AC18" i="18" a="1"/>
  <c r="AC20" i="18" a="1"/>
  <c r="I150" i="34"/>
  <c r="G150" i="34"/>
  <c r="H150" i="34"/>
  <c r="T14" i="18" a="1"/>
  <c r="S14" i="18"/>
  <c r="AC9" i="18" a="1"/>
  <c r="S9" i="18"/>
  <c r="T9" i="18" a="1"/>
  <c r="S18" i="18"/>
  <c r="T18" i="18" a="1"/>
  <c r="S13" i="18"/>
  <c r="T13" i="18" a="1"/>
  <c r="AC8" i="18" a="1"/>
  <c r="S8" i="18"/>
  <c r="T8" i="18" a="1"/>
  <c r="S19" i="18"/>
  <c r="T19" i="18" a="1"/>
  <c r="T20" i="18" a="1"/>
  <c r="S20" i="18"/>
  <c r="S10" i="18"/>
  <c r="T10" i="18" a="1"/>
  <c r="S17" i="18"/>
  <c r="T17" i="18" a="1"/>
  <c r="S16" i="18"/>
  <c r="T16" i="18" a="1"/>
  <c r="S12" i="18"/>
  <c r="T12" i="18" a="1"/>
  <c r="S7" i="18"/>
  <c r="T7" i="18" a="1"/>
  <c r="S11" i="18"/>
  <c r="T11" i="18" a="1"/>
  <c r="G163" i="34"/>
  <c r="H163" i="34"/>
  <c r="G170" i="34"/>
  <c r="H170" i="34"/>
  <c r="G176" i="34"/>
  <c r="H176" i="34"/>
  <c r="G149" i="34"/>
  <c r="H149" i="34"/>
  <c r="G172" i="34"/>
  <c r="H172" i="34"/>
  <c r="G168" i="34"/>
  <c r="H168" i="34"/>
  <c r="G162" i="34"/>
  <c r="H162" i="34"/>
  <c r="G161" i="34"/>
  <c r="H161" i="34"/>
  <c r="G154" i="34"/>
  <c r="H154" i="34"/>
  <c r="G153" i="34"/>
  <c r="H153" i="34"/>
  <c r="G156" i="34"/>
  <c r="H156" i="34"/>
  <c r="G175" i="34"/>
  <c r="H175" i="34"/>
  <c r="G171" i="34"/>
  <c r="H171" i="34"/>
  <c r="G164" i="34"/>
  <c r="H164" i="34"/>
  <c r="J176" i="34"/>
  <c r="K176" i="34" a="1"/>
  <c r="P17" i="18"/>
  <c r="P8" i="18"/>
  <c r="P9" i="18"/>
  <c r="E150" i="34"/>
  <c r="E151" i="34" s="1"/>
  <c r="E152" i="34" s="1"/>
  <c r="E153" i="34" s="1"/>
  <c r="E154" i="34" s="1"/>
  <c r="E155" i="34" s="1"/>
  <c r="E156" i="34" s="1"/>
  <c r="E157" i="34" s="1"/>
  <c r="E158" i="34" s="1"/>
  <c r="E159" i="34" s="1"/>
  <c r="E160" i="34" s="1"/>
  <c r="E161" i="34" s="1"/>
  <c r="E162" i="34" s="1"/>
  <c r="E163" i="34" s="1"/>
  <c r="E164" i="34" s="1"/>
  <c r="E165" i="34" s="1"/>
  <c r="E166" i="34" s="1"/>
  <c r="E167" i="34" s="1"/>
  <c r="E168" i="34" s="1"/>
  <c r="E169" i="34" s="1"/>
  <c r="E170" i="34" s="1"/>
  <c r="E171" i="34" s="1"/>
  <c r="E172" i="34" s="1"/>
  <c r="E173" i="34" s="1"/>
  <c r="E174" i="34" s="1"/>
  <c r="E175" i="34" s="1"/>
  <c r="E176" i="34" s="1"/>
  <c r="E177" i="34" s="1"/>
  <c r="E178" i="34" s="1"/>
  <c r="P15" i="18"/>
  <c r="P25" i="18"/>
  <c r="AA7" i="18"/>
  <c r="AA8" i="18" s="1"/>
  <c r="AA9" i="18" s="1"/>
  <c r="P22" i="18"/>
  <c r="P21" i="18"/>
  <c r="P13" i="18"/>
  <c r="AC13" i="18" a="1"/>
  <c r="AC7" i="18" a="1"/>
  <c r="P7" i="18"/>
  <c r="Q26" i="18" s="1"/>
  <c r="R26" i="18"/>
  <c r="AE109" i="18"/>
  <c r="U112" i="18"/>
  <c r="V112" i="18" s="1"/>
  <c r="P19" i="18"/>
  <c r="P23" i="18"/>
  <c r="AB6" i="18" a="1"/>
  <c r="P6" i="18"/>
  <c r="AC6" i="18" a="1"/>
  <c r="AC14" i="18" a="1"/>
  <c r="P14" i="18"/>
  <c r="AC11" i="18" a="1"/>
  <c r="P11" i="18"/>
  <c r="P16" i="18"/>
  <c r="P24" i="18"/>
  <c r="AC12" i="18" a="1"/>
  <c r="P12" i="18"/>
  <c r="P20" i="18"/>
  <c r="P18" i="18"/>
  <c r="P10" i="18"/>
  <c r="AC10" i="18" a="1"/>
  <c r="AE6" i="18" l="1" a="1"/>
  <c r="W112" i="18"/>
  <c r="V114" i="18"/>
  <c r="U114" i="18"/>
  <c r="X112" i="18" l="1"/>
  <c r="W114" i="18"/>
  <c r="Y112" i="18" l="1"/>
  <c r="X114" i="18"/>
  <c r="Z112" i="18" l="1"/>
  <c r="Y114" i="18"/>
  <c r="AA112" i="18" l="1"/>
  <c r="Z114" i="18"/>
  <c r="AB112" i="18" l="1"/>
  <c r="AA114" i="18"/>
  <c r="AC112" i="18" l="1"/>
  <c r="AB114" i="18"/>
  <c r="AB8" i="18" a="1"/>
  <c r="AD112" i="18" l="1"/>
  <c r="AC114" i="18"/>
  <c r="AD114" i="18" l="1"/>
  <c r="AA10" i="18" l="1"/>
  <c r="AA11" i="18" s="1"/>
  <c r="AA12" i="18" s="1"/>
  <c r="AA13" i="18" s="1"/>
  <c r="AA14" i="18" s="1"/>
  <c r="AA15" i="18" s="1"/>
  <c r="AA16" i="18" s="1"/>
  <c r="AA17" i="18" s="1"/>
  <c r="AA18" i="18" s="1"/>
  <c r="AA19" i="18" s="1"/>
  <c r="AA20" i="18" s="1"/>
  <c r="AB20" i="18" l="1" a="1"/>
  <c r="AB19" i="18" a="1"/>
  <c r="AB13" i="18" l="1" a="1"/>
  <c r="AB12" i="18" l="1" a="1"/>
  <c r="AB18" i="18" l="1" a="1"/>
  <c r="AB14" i="18" l="1" a="1"/>
  <c r="AB15" i="18" a="1"/>
  <c r="AB10" i="18" l="1" a="1"/>
  <c r="AB9" i="18" a="1"/>
  <c r="AB11" i="18" a="1"/>
  <c r="E279" i="38" l="1"/>
  <c r="E281" i="38"/>
  <c r="J101" i="24" l="1"/>
  <c r="K101" i="24" s="1"/>
  <c r="J93" i="24"/>
  <c r="K93" i="24" s="1"/>
  <c r="AW93" i="24" l="1"/>
  <c r="AV93" i="24"/>
  <c r="AW101" i="24"/>
  <c r="AV101" i="24"/>
  <c r="Z93" i="24"/>
  <c r="AE93" i="24"/>
  <c r="AA93" i="24"/>
  <c r="AB93" i="24"/>
  <c r="W93" i="24"/>
  <c r="D443" i="38"/>
  <c r="AI93" i="24"/>
  <c r="AJ93" i="24"/>
  <c r="AD93" i="24"/>
  <c r="X93" i="24"/>
  <c r="V93" i="24"/>
  <c r="AH93" i="24"/>
  <c r="AF93" i="24"/>
  <c r="W101" i="24"/>
  <c r="D451" i="38"/>
  <c r="AD101" i="24"/>
  <c r="V101" i="24"/>
  <c r="AF101" i="24"/>
  <c r="AB101" i="24"/>
  <c r="AI101" i="24"/>
  <c r="AA101" i="24"/>
  <c r="Z101" i="24"/>
  <c r="AH101" i="24"/>
  <c r="X101" i="24"/>
  <c r="AE101" i="24"/>
  <c r="AJ101" i="24"/>
  <c r="J49" i="24"/>
  <c r="K49" i="24" s="1"/>
  <c r="AW49" i="24" s="1"/>
  <c r="AG93" i="24" l="1"/>
  <c r="AC93" i="24"/>
  <c r="AK93" i="24"/>
  <c r="AL101" i="24"/>
  <c r="Y101" i="24"/>
  <c r="AG101" i="24"/>
  <c r="AK101" i="24"/>
  <c r="AC101" i="24"/>
  <c r="Y93" i="24"/>
  <c r="AL93" i="24"/>
  <c r="V49" i="24"/>
  <c r="D399" i="38"/>
  <c r="W49" i="24"/>
  <c r="E277" i="38" l="1"/>
  <c r="U38" i="24" l="1"/>
  <c r="U37" i="24"/>
  <c r="G37" i="24"/>
  <c r="AD12" i="20" l="1"/>
  <c r="AD11" i="20"/>
  <c r="AD8" i="20"/>
  <c r="AD14" i="20"/>
  <c r="AD10" i="20"/>
  <c r="R26" i="20" l="1"/>
  <c r="Q26" i="20"/>
  <c r="J116" i="34" l="1"/>
  <c r="I67" i="24" l="1"/>
  <c r="AP67" i="24" l="1"/>
  <c r="AP63" i="24"/>
  <c r="I10" i="24"/>
  <c r="K14" i="32" s="1"/>
  <c r="I49" i="24" l="1"/>
  <c r="AV49" i="24" l="1"/>
  <c r="AP49" i="24"/>
  <c r="AH49" i="24"/>
  <c r="M11" i="24"/>
  <c r="AB49" i="24"/>
  <c r="AD49" i="24"/>
  <c r="X49" i="24"/>
  <c r="AA49" i="24"/>
  <c r="AE49" i="24"/>
  <c r="Z49" i="24"/>
  <c r="AJ49" i="24"/>
  <c r="AI49" i="24"/>
  <c r="AF49" i="24"/>
  <c r="AC49" i="24" l="1"/>
  <c r="AK49" i="24"/>
  <c r="Y49" i="24"/>
  <c r="AL49" i="24"/>
  <c r="AG49" i="24"/>
  <c r="K63" i="24" l="1"/>
  <c r="AV63" i="24" l="1"/>
  <c r="AW63" i="24"/>
  <c r="AD63" i="24"/>
  <c r="AI63" i="24"/>
  <c r="AF63" i="24"/>
  <c r="D413" i="38"/>
  <c r="AH63" i="24"/>
  <c r="Z63" i="24"/>
  <c r="AE63" i="24"/>
  <c r="AB63" i="24"/>
  <c r="AJ63" i="24"/>
  <c r="W63" i="24"/>
  <c r="V63" i="24"/>
  <c r="AA63" i="24"/>
  <c r="X63" i="24"/>
  <c r="AG63" i="24" l="1"/>
  <c r="AC63" i="24"/>
  <c r="AK63" i="24"/>
  <c r="AL63" i="24"/>
  <c r="Y63" i="24"/>
  <c r="H109" i="24"/>
  <c r="I57" i="24" l="1"/>
  <c r="AP57" i="24" l="1"/>
  <c r="M13" i="24"/>
  <c r="I105" i="24"/>
  <c r="C5" i="24" s="1"/>
  <c r="AP105" i="24" l="1"/>
  <c r="B225" i="34"/>
  <c r="B216" i="34"/>
  <c r="B243" i="34"/>
  <c r="B256" i="34"/>
  <c r="B258" i="34"/>
  <c r="T7" i="24"/>
  <c r="X7" i="24" s="1"/>
  <c r="B257" i="34"/>
  <c r="T15" i="24"/>
  <c r="X15" i="24" s="1"/>
  <c r="T21" i="24"/>
  <c r="X21" i="24" s="1"/>
  <c r="T22" i="24"/>
  <c r="X22" i="24" s="1"/>
  <c r="T11" i="24"/>
  <c r="X11" i="24" s="1"/>
  <c r="B250" i="34"/>
  <c r="B251" i="34"/>
  <c r="T24" i="24"/>
  <c r="X24" i="24" s="1"/>
  <c r="T9" i="24"/>
  <c r="X9" i="24" s="1"/>
  <c r="B230" i="34"/>
  <c r="B242" i="34"/>
  <c r="B235" i="34"/>
  <c r="B247" i="34"/>
  <c r="B254" i="34"/>
  <c r="T25" i="24"/>
  <c r="X25" i="24" s="1"/>
  <c r="B265" i="34"/>
  <c r="T19" i="24"/>
  <c r="X19" i="24" s="1"/>
  <c r="B228" i="34"/>
  <c r="B246" i="34"/>
  <c r="B238" i="34"/>
  <c r="B234" i="34"/>
  <c r="I9" i="24"/>
  <c r="B260" i="34"/>
  <c r="B263" i="34"/>
  <c r="B236" i="34"/>
  <c r="B240" i="34"/>
  <c r="T23" i="24"/>
  <c r="X23" i="24" s="1"/>
  <c r="B219" i="34"/>
  <c r="B220" i="34"/>
  <c r="B245" i="34"/>
  <c r="B218" i="34"/>
  <c r="B227" i="34"/>
  <c r="E7" i="32"/>
  <c r="B229" i="34"/>
  <c r="T8" i="24"/>
  <c r="X8" i="24" s="1"/>
  <c r="T10" i="24"/>
  <c r="X10" i="24" s="1"/>
  <c r="T17" i="24"/>
  <c r="X17" i="24" s="1"/>
  <c r="T6" i="24"/>
  <c r="B255" i="34"/>
  <c r="B248" i="34"/>
  <c r="B233" i="34"/>
  <c r="B217" i="34"/>
  <c r="B241" i="34"/>
  <c r="B223" i="34"/>
  <c r="B222" i="34"/>
  <c r="B252" i="34"/>
  <c r="B237" i="34"/>
  <c r="T16" i="24"/>
  <c r="X16" i="24" s="1"/>
  <c r="B261" i="34"/>
  <c r="B249" i="34"/>
  <c r="T18" i="24"/>
  <c r="X18" i="24" s="1"/>
  <c r="B224" i="34"/>
  <c r="B232" i="34"/>
  <c r="B264" i="34"/>
  <c r="T12" i="24"/>
  <c r="X12" i="24" s="1"/>
  <c r="T13" i="24"/>
  <c r="X13" i="24" s="1"/>
  <c r="B221" i="34"/>
  <c r="C10" i="24"/>
  <c r="F17" i="32" s="1"/>
  <c r="F21" i="32" s="1"/>
  <c r="B239" i="34"/>
  <c r="B262" i="34"/>
  <c r="B259" i="34"/>
  <c r="T20" i="24"/>
  <c r="X20" i="24" s="1"/>
  <c r="B244" i="34"/>
  <c r="B253" i="34"/>
  <c r="T14" i="24"/>
  <c r="X14" i="24" s="1"/>
  <c r="B231" i="34"/>
  <c r="B226" i="34"/>
  <c r="K24" i="32" l="1"/>
  <c r="R211" i="34"/>
  <c r="R200" i="34"/>
  <c r="R202" i="34"/>
  <c r="R207" i="34"/>
  <c r="R199" i="34"/>
  <c r="R205" i="34"/>
  <c r="R206" i="34"/>
  <c r="R209" i="34"/>
  <c r="R203" i="34"/>
  <c r="R208" i="34"/>
  <c r="R204" i="34"/>
  <c r="R210" i="34"/>
  <c r="R201" i="34"/>
  <c r="C217" i="34"/>
  <c r="D217" i="34"/>
  <c r="U11" i="24"/>
  <c r="S11" i="24"/>
  <c r="AH11" i="24"/>
  <c r="C248" i="34"/>
  <c r="D248" i="34"/>
  <c r="C219" i="34"/>
  <c r="D219" i="34"/>
  <c r="D265" i="34"/>
  <c r="C265" i="34"/>
  <c r="AH22" i="24"/>
  <c r="U22" i="24"/>
  <c r="S22" i="24"/>
  <c r="S14" i="24"/>
  <c r="U14" i="24"/>
  <c r="AH14" i="24"/>
  <c r="C224" i="34"/>
  <c r="D224" i="34"/>
  <c r="C244" i="34"/>
  <c r="D244" i="34"/>
  <c r="D255" i="34"/>
  <c r="C255" i="34"/>
  <c r="U21" i="24"/>
  <c r="AH21" i="24"/>
  <c r="S21" i="24"/>
  <c r="S19" i="24"/>
  <c r="U19" i="24"/>
  <c r="AH19" i="24"/>
  <c r="AH20" i="24"/>
  <c r="S20" i="24"/>
  <c r="U20" i="24"/>
  <c r="AH23" i="24"/>
  <c r="U23" i="24"/>
  <c r="S23" i="24"/>
  <c r="D261" i="34"/>
  <c r="C261" i="34"/>
  <c r="X6" i="24"/>
  <c r="T26" i="24"/>
  <c r="D240" i="34"/>
  <c r="C240" i="34"/>
  <c r="C254" i="34"/>
  <c r="D254" i="34"/>
  <c r="S15" i="24"/>
  <c r="U15" i="24"/>
  <c r="AH15" i="24"/>
  <c r="C245" i="34"/>
  <c r="D245" i="34"/>
  <c r="U18" i="24"/>
  <c r="AH18" i="24"/>
  <c r="S18" i="24"/>
  <c r="D249" i="34"/>
  <c r="C249" i="34"/>
  <c r="U25" i="24"/>
  <c r="S25" i="24"/>
  <c r="AH25" i="24"/>
  <c r="D259" i="34"/>
  <c r="C259" i="34"/>
  <c r="C262" i="34"/>
  <c r="D262" i="34"/>
  <c r="AH16" i="24"/>
  <c r="S16" i="24"/>
  <c r="U16" i="24"/>
  <c r="U17" i="24"/>
  <c r="AH17" i="24"/>
  <c r="S17" i="24"/>
  <c r="C236" i="34"/>
  <c r="D236" i="34"/>
  <c r="D247" i="34"/>
  <c r="C247" i="34"/>
  <c r="D257" i="34"/>
  <c r="C257" i="34"/>
  <c r="D239" i="34"/>
  <c r="C239" i="34"/>
  <c r="D235" i="34"/>
  <c r="C235" i="34"/>
  <c r="U7" i="24"/>
  <c r="S7" i="24"/>
  <c r="AH7" i="24"/>
  <c r="U10" i="24"/>
  <c r="S10" i="24"/>
  <c r="AH10" i="24"/>
  <c r="C14" i="24"/>
  <c r="C252" i="34"/>
  <c r="D252" i="34"/>
  <c r="S8" i="24"/>
  <c r="U8" i="24"/>
  <c r="AH8" i="24"/>
  <c r="D260" i="34"/>
  <c r="C260" i="34"/>
  <c r="C242" i="34"/>
  <c r="D242" i="34"/>
  <c r="D258" i="34"/>
  <c r="C258" i="34"/>
  <c r="D228" i="34"/>
  <c r="C228" i="34"/>
  <c r="C256" i="34"/>
  <c r="D256" i="34"/>
  <c r="D253" i="34"/>
  <c r="C253" i="34"/>
  <c r="C222" i="34"/>
  <c r="D222" i="34"/>
  <c r="D234" i="34"/>
  <c r="C234" i="34"/>
  <c r="AH9" i="24"/>
  <c r="S9" i="24"/>
  <c r="U9" i="24"/>
  <c r="C243" i="34"/>
  <c r="D243" i="34"/>
  <c r="D233" i="34"/>
  <c r="C233" i="34"/>
  <c r="D263" i="34"/>
  <c r="C263" i="34"/>
  <c r="C229" i="34"/>
  <c r="D229" i="34"/>
  <c r="C230" i="34"/>
  <c r="D230" i="34"/>
  <c r="D227" i="34"/>
  <c r="C227" i="34"/>
  <c r="D232" i="34"/>
  <c r="C232" i="34"/>
  <c r="C250" i="34"/>
  <c r="D250" i="34"/>
  <c r="C220" i="34"/>
  <c r="D220" i="34"/>
  <c r="C237" i="34"/>
  <c r="D237" i="34"/>
  <c r="C221" i="34"/>
  <c r="D221" i="34"/>
  <c r="K13" i="32"/>
  <c r="K25" i="32"/>
  <c r="S13" i="24"/>
  <c r="U13" i="24"/>
  <c r="AH13" i="24"/>
  <c r="C226" i="34"/>
  <c r="D226" i="34"/>
  <c r="AH12" i="24"/>
  <c r="U12" i="24"/>
  <c r="S12" i="24"/>
  <c r="D223" i="34"/>
  <c r="C223" i="34"/>
  <c r="C238" i="34"/>
  <c r="D238" i="34"/>
  <c r="AH24" i="24"/>
  <c r="U24" i="24"/>
  <c r="S24" i="24"/>
  <c r="R33" i="34"/>
  <c r="R41" i="34"/>
  <c r="R183" i="34"/>
  <c r="S183" i="34" s="1"/>
  <c r="R108" i="34"/>
  <c r="R13" i="34"/>
  <c r="R18" i="34"/>
  <c r="S18" i="34" s="1"/>
  <c r="R120" i="34"/>
  <c r="R74" i="34"/>
  <c r="R25" i="34"/>
  <c r="R173" i="34"/>
  <c r="R145" i="34"/>
  <c r="R109" i="34"/>
  <c r="R197" i="34"/>
  <c r="R90" i="34"/>
  <c r="R113" i="34"/>
  <c r="R67" i="34"/>
  <c r="R179" i="34"/>
  <c r="R51" i="34"/>
  <c r="R194" i="34"/>
  <c r="R171" i="34"/>
  <c r="R138" i="34"/>
  <c r="R137" i="34"/>
  <c r="R29" i="34"/>
  <c r="R161" i="34"/>
  <c r="R119" i="34"/>
  <c r="R121" i="34"/>
  <c r="R193" i="34"/>
  <c r="R140" i="34"/>
  <c r="R182" i="34"/>
  <c r="S182" i="34" s="1"/>
  <c r="R15" i="34"/>
  <c r="R150" i="34"/>
  <c r="R7" i="34"/>
  <c r="R79" i="34"/>
  <c r="R162" i="34"/>
  <c r="R70" i="34"/>
  <c r="R116" i="34"/>
  <c r="R84" i="34"/>
  <c r="R24" i="34"/>
  <c r="R59" i="34"/>
  <c r="R92" i="34"/>
  <c r="R35" i="34"/>
  <c r="R174" i="34"/>
  <c r="S174" i="34" s="1"/>
  <c r="R125" i="34"/>
  <c r="R73" i="34"/>
  <c r="R122" i="34"/>
  <c r="R156" i="34"/>
  <c r="R185" i="34"/>
  <c r="S185" i="34" s="1"/>
  <c r="R82" i="34"/>
  <c r="R53" i="34"/>
  <c r="R184" i="34"/>
  <c r="R102" i="34"/>
  <c r="R110" i="34"/>
  <c r="R71" i="34"/>
  <c r="R115" i="34"/>
  <c r="R168" i="34"/>
  <c r="R22" i="34"/>
  <c r="R146" i="34"/>
  <c r="C216" i="34"/>
  <c r="R191" i="34"/>
  <c r="S191" i="34" s="1"/>
  <c r="R69" i="34"/>
  <c r="R175" i="34"/>
  <c r="R96" i="34"/>
  <c r="R61" i="34"/>
  <c r="R60" i="34"/>
  <c r="R9" i="34"/>
  <c r="S9" i="34" s="1"/>
  <c r="R167" i="34"/>
  <c r="R164" i="34"/>
  <c r="R23" i="34"/>
  <c r="R87" i="34"/>
  <c r="R163" i="34"/>
  <c r="R78" i="34"/>
  <c r="R186" i="34"/>
  <c r="R192" i="34"/>
  <c r="S192" i="34" s="1"/>
  <c r="R139" i="34"/>
  <c r="R50" i="34"/>
  <c r="R124" i="34"/>
  <c r="R93" i="34"/>
  <c r="R56" i="34"/>
  <c r="R40" i="34"/>
  <c r="R48" i="34"/>
  <c r="R178" i="34"/>
  <c r="R181" i="34"/>
  <c r="R8" i="34"/>
  <c r="R28" i="34"/>
  <c r="R63" i="34"/>
  <c r="R16" i="34"/>
  <c r="R49" i="34"/>
  <c r="R54" i="34"/>
  <c r="R160" i="34"/>
  <c r="S160" i="34" s="1"/>
  <c r="R166" i="34"/>
  <c r="R14" i="34"/>
  <c r="R58" i="34"/>
  <c r="R38" i="34"/>
  <c r="R83" i="34"/>
  <c r="R103" i="34"/>
  <c r="R36" i="34"/>
  <c r="R106" i="34"/>
  <c r="R32" i="34"/>
  <c r="R80" i="34"/>
  <c r="R19" i="34"/>
  <c r="S19" i="34" s="1"/>
  <c r="R187" i="34"/>
  <c r="R100" i="34"/>
  <c r="R34" i="34"/>
  <c r="R135" i="34"/>
  <c r="R118" i="34"/>
  <c r="R143" i="34"/>
  <c r="R31" i="34"/>
  <c r="R149" i="34"/>
  <c r="R133" i="34"/>
  <c r="R26" i="34"/>
  <c r="R188" i="34"/>
  <c r="S188" i="34" s="1"/>
  <c r="R127" i="34"/>
  <c r="S127" i="34" s="1"/>
  <c r="R190" i="34"/>
  <c r="S190" i="34" s="1"/>
  <c r="R128" i="34"/>
  <c r="R52" i="34"/>
  <c r="R196" i="34"/>
  <c r="R117" i="34"/>
  <c r="R111" i="34"/>
  <c r="R43" i="34"/>
  <c r="R107" i="34"/>
  <c r="R144" i="34"/>
  <c r="R11" i="34"/>
  <c r="R123" i="34"/>
  <c r="R131" i="34"/>
  <c r="R27" i="34"/>
  <c r="R157" i="34"/>
  <c r="R170" i="34"/>
  <c r="R112" i="34"/>
  <c r="R95" i="34"/>
  <c r="R155" i="34"/>
  <c r="R97" i="34"/>
  <c r="R77" i="34"/>
  <c r="R6" i="34"/>
  <c r="R148" i="34"/>
  <c r="R176" i="34"/>
  <c r="R76" i="34"/>
  <c r="R198" i="34"/>
  <c r="R91" i="34"/>
  <c r="R66" i="34"/>
  <c r="R94" i="34"/>
  <c r="D216" i="34"/>
  <c r="R129" i="34"/>
  <c r="R104" i="34"/>
  <c r="R17" i="34"/>
  <c r="R132" i="34"/>
  <c r="R12" i="34"/>
  <c r="S12" i="34" s="1"/>
  <c r="R105" i="34"/>
  <c r="R39" i="34"/>
  <c r="R130" i="34"/>
  <c r="R126" i="34"/>
  <c r="R72" i="34"/>
  <c r="R158" i="34"/>
  <c r="R189" i="34"/>
  <c r="R42" i="34"/>
  <c r="S42" i="34" s="1"/>
  <c r="R55" i="34"/>
  <c r="R136" i="34"/>
  <c r="R169" i="34"/>
  <c r="R64" i="34"/>
  <c r="R142" i="34"/>
  <c r="R88" i="34"/>
  <c r="R46" i="34"/>
  <c r="R21" i="34"/>
  <c r="R134" i="34"/>
  <c r="R75" i="34"/>
  <c r="R86" i="34"/>
  <c r="R30" i="34"/>
  <c r="R62" i="34"/>
  <c r="R114" i="34"/>
  <c r="R4" i="34"/>
  <c r="R98" i="34"/>
  <c r="R20" i="34"/>
  <c r="R89" i="34"/>
  <c r="R180" i="34"/>
  <c r="R57" i="34"/>
  <c r="R153" i="34"/>
  <c r="S153" i="34" s="1"/>
  <c r="R85" i="34"/>
  <c r="R44" i="34"/>
  <c r="S44" i="34" s="1"/>
  <c r="R65" i="34"/>
  <c r="R10" i="34"/>
  <c r="S10" i="34" s="1"/>
  <c r="R5" i="34"/>
  <c r="R154" i="34"/>
  <c r="S154" i="34" s="1"/>
  <c r="R177" i="34"/>
  <c r="R147" i="34"/>
  <c r="R37" i="34"/>
  <c r="R195" i="34"/>
  <c r="S195" i="34" s="1"/>
  <c r="R99" i="34"/>
  <c r="R151" i="34"/>
  <c r="R45" i="34"/>
  <c r="R141" i="34"/>
  <c r="R81" i="34"/>
  <c r="R47" i="34"/>
  <c r="R68" i="34"/>
  <c r="R172" i="34"/>
  <c r="R159" i="34"/>
  <c r="R101" i="34"/>
  <c r="R152" i="34"/>
  <c r="S152" i="34" s="1"/>
  <c r="R165" i="34"/>
  <c r="C231" i="34"/>
  <c r="D231" i="34"/>
  <c r="C264" i="34"/>
  <c r="D264" i="34"/>
  <c r="D241" i="34"/>
  <c r="C241" i="34"/>
  <c r="C218" i="34"/>
  <c r="D218" i="34"/>
  <c r="D246" i="34"/>
  <c r="C246" i="34"/>
  <c r="C251" i="34"/>
  <c r="D251" i="34"/>
  <c r="C225" i="34"/>
  <c r="D225" i="34"/>
  <c r="S167" i="34" l="1"/>
  <c r="T167" i="34" s="1"/>
  <c r="S179" i="34"/>
  <c r="T179" i="34" s="1"/>
  <c r="S161" i="34"/>
  <c r="T161" i="34" s="1"/>
  <c r="S178" i="34"/>
  <c r="T178" i="34" s="1"/>
  <c r="S32" i="34"/>
  <c r="T32" i="34" s="1"/>
  <c r="S128" i="34"/>
  <c r="T128" i="34" s="1"/>
  <c r="S106" i="34"/>
  <c r="T106" i="34" s="1"/>
  <c r="S17" i="34"/>
  <c r="T17" i="34" s="1"/>
  <c r="S175" i="34"/>
  <c r="T175" i="34" s="1"/>
  <c r="S11" i="34"/>
  <c r="T11" i="34" s="1"/>
  <c r="S159" i="34"/>
  <c r="T159" i="34" s="1"/>
  <c r="S147" i="34"/>
  <c r="T147" i="34" s="1"/>
  <c r="S155" i="34"/>
  <c r="T155" i="34" s="1"/>
  <c r="S43" i="34"/>
  <c r="T43" i="34" s="1"/>
  <c r="S141" i="34"/>
  <c r="T141" i="34" s="1"/>
  <c r="S41" i="34"/>
  <c r="T41" i="34" s="1"/>
  <c r="S163" i="34"/>
  <c r="T163" i="34" s="1"/>
  <c r="S23" i="34"/>
  <c r="T23" i="34" s="1"/>
  <c r="S6" i="34"/>
  <c r="T6" i="34" s="1"/>
  <c r="S39" i="34"/>
  <c r="T39" i="34" s="1"/>
  <c r="S145" i="34"/>
  <c r="T145" i="34" s="1"/>
  <c r="S198" i="34"/>
  <c r="S177" i="34"/>
  <c r="T177" i="34" s="1"/>
  <c r="S139" i="34"/>
  <c r="T139" i="34" s="1"/>
  <c r="S197" i="34"/>
  <c r="T197" i="34" s="1"/>
  <c r="S37" i="34"/>
  <c r="T37" i="34" s="1"/>
  <c r="S40" i="34"/>
  <c r="T40" i="34" s="1"/>
  <c r="S196" i="34"/>
  <c r="T196" i="34" s="1"/>
  <c r="S86" i="34"/>
  <c r="T86" i="34" s="1"/>
  <c r="S38" i="34"/>
  <c r="T38" i="34" s="1"/>
  <c r="S88" i="34"/>
  <c r="T88" i="34" s="1"/>
  <c r="S140" i="34"/>
  <c r="T140" i="34" s="1"/>
  <c r="S176" i="34"/>
  <c r="T176" i="34" s="1"/>
  <c r="S83" i="34"/>
  <c r="T83" i="34" s="1"/>
  <c r="S22" i="34"/>
  <c r="T22" i="34" s="1"/>
  <c r="S114" i="34"/>
  <c r="T114" i="34" s="1"/>
  <c r="S146" i="34"/>
  <c r="T146" i="34" s="1"/>
  <c r="S166" i="34"/>
  <c r="S113" i="34"/>
  <c r="T113" i="34" s="1"/>
  <c r="S129" i="34"/>
  <c r="T129" i="34" s="1"/>
  <c r="S68" i="34"/>
  <c r="T68" i="34" s="1"/>
  <c r="S187" i="34"/>
  <c r="T187" i="34" s="1"/>
  <c r="S133" i="34"/>
  <c r="T133" i="34" s="1"/>
  <c r="S82" i="34"/>
  <c r="S16" i="34"/>
  <c r="T16" i="34" s="1"/>
  <c r="S109" i="34"/>
  <c r="T109" i="34" s="1"/>
  <c r="S138" i="34"/>
  <c r="T138" i="34" s="1"/>
  <c r="S97" i="34"/>
  <c r="S27" i="34"/>
  <c r="S149" i="34"/>
  <c r="T149" i="34" s="1"/>
  <c r="S101" i="34"/>
  <c r="T101" i="34" s="1"/>
  <c r="S193" i="34"/>
  <c r="S194" i="34"/>
  <c r="T194" i="34" s="1"/>
  <c r="S134" i="34"/>
  <c r="T134" i="34" s="1"/>
  <c r="S102" i="34"/>
  <c r="T102" i="34" s="1"/>
  <c r="S36" i="34"/>
  <c r="T36" i="34" s="1"/>
  <c r="S122" i="34"/>
  <c r="T122" i="34" s="1"/>
  <c r="S54" i="34"/>
  <c r="S96" i="34"/>
  <c r="T96" i="34" s="1"/>
  <c r="S121" i="34"/>
  <c r="T121" i="34" s="1"/>
  <c r="S95" i="34"/>
  <c r="S189" i="34"/>
  <c r="Y189" i="34" s="1"/>
  <c r="S116" i="34"/>
  <c r="S51" i="34"/>
  <c r="T51" i="34" s="1"/>
  <c r="S186" i="34"/>
  <c r="T186" i="34" s="1"/>
  <c r="S130" i="34"/>
  <c r="T130" i="34" s="1"/>
  <c r="S151" i="34"/>
  <c r="T151" i="34" s="1"/>
  <c r="S126" i="34"/>
  <c r="T126" i="34" s="1"/>
  <c r="S165" i="34"/>
  <c r="S132" i="34"/>
  <c r="T132" i="34" s="1"/>
  <c r="S184" i="34"/>
  <c r="S57" i="34"/>
  <c r="T57" i="34" s="1"/>
  <c r="S131" i="34"/>
  <c r="T131" i="34" s="1"/>
  <c r="S94" i="34"/>
  <c r="T94" i="34" s="1"/>
  <c r="S164" i="34"/>
  <c r="S60" i="34"/>
  <c r="T60" i="34" s="1"/>
  <c r="S78" i="34"/>
  <c r="S117" i="34"/>
  <c r="T117" i="34" s="1"/>
  <c r="S34" i="34"/>
  <c r="T34" i="34" s="1"/>
  <c r="S81" i="34"/>
  <c r="S50" i="34"/>
  <c r="S67" i="34"/>
  <c r="T67" i="34" s="1"/>
  <c r="S80" i="34"/>
  <c r="T80" i="34" s="1"/>
  <c r="S49" i="34"/>
  <c r="S35" i="34"/>
  <c r="T35" i="34" s="1"/>
  <c r="S181" i="34"/>
  <c r="T181" i="34" s="1"/>
  <c r="S115" i="34"/>
  <c r="T115" i="34" s="1"/>
  <c r="S162" i="34"/>
  <c r="S65" i="34"/>
  <c r="T65" i="34" s="1"/>
  <c r="S180" i="34"/>
  <c r="T180" i="34" s="1"/>
  <c r="S79" i="34"/>
  <c r="T79" i="34" s="1"/>
  <c r="S26" i="34"/>
  <c r="S158" i="34"/>
  <c r="S173" i="34"/>
  <c r="T173" i="34" s="1"/>
  <c r="S62" i="34"/>
  <c r="T62" i="34" s="1"/>
  <c r="S112" i="34"/>
  <c r="T112" i="34" s="1"/>
  <c r="S48" i="34"/>
  <c r="T48" i="34" s="1"/>
  <c r="S53" i="34"/>
  <c r="S137" i="34"/>
  <c r="S157" i="34"/>
  <c r="T157" i="34" s="1"/>
  <c r="S172" i="34"/>
  <c r="S55" i="34"/>
  <c r="T55" i="34" s="1"/>
  <c r="S100" i="34"/>
  <c r="T100" i="34" s="1"/>
  <c r="S64" i="34"/>
  <c r="T64" i="34" s="1"/>
  <c r="S90" i="34"/>
  <c r="S144" i="34"/>
  <c r="S59" i="34"/>
  <c r="S21" i="34"/>
  <c r="T21" i="34" s="1"/>
  <c r="S46" i="34"/>
  <c r="T46" i="34" s="1"/>
  <c r="S105" i="34"/>
  <c r="S77" i="34"/>
  <c r="T77" i="34" s="1"/>
  <c r="S25" i="34"/>
  <c r="T25" i="34" s="1"/>
  <c r="S150" i="34"/>
  <c r="T150" i="34" s="1"/>
  <c r="S56" i="34"/>
  <c r="T56" i="34" s="1"/>
  <c r="S93" i="34"/>
  <c r="T93" i="34" s="1"/>
  <c r="S13" i="34"/>
  <c r="T13" i="34" s="1"/>
  <c r="S123" i="34"/>
  <c r="T123" i="34" s="1"/>
  <c r="S75" i="34"/>
  <c r="T75" i="34" s="1"/>
  <c r="S63" i="34"/>
  <c r="T63" i="34" s="1"/>
  <c r="S5" i="34"/>
  <c r="T5" i="34" s="1"/>
  <c r="S24" i="34"/>
  <c r="T24" i="34" s="1"/>
  <c r="S70" i="34"/>
  <c r="T70" i="34" s="1"/>
  <c r="S72" i="34"/>
  <c r="T72" i="34" s="1"/>
  <c r="S89" i="34"/>
  <c r="T89" i="34" s="1"/>
  <c r="S15" i="34"/>
  <c r="T15" i="34" s="1"/>
  <c r="S4" i="34"/>
  <c r="S119" i="34"/>
  <c r="T119" i="34" s="1"/>
  <c r="S143" i="34"/>
  <c r="T143" i="34" s="1"/>
  <c r="S171" i="34"/>
  <c r="T171" i="34" s="1"/>
  <c r="S169" i="34"/>
  <c r="T169" i="34" s="1"/>
  <c r="S170" i="34"/>
  <c r="T170" i="34" s="1"/>
  <c r="S99" i="34"/>
  <c r="T99" i="34" s="1"/>
  <c r="S156" i="34"/>
  <c r="T156" i="34" s="1"/>
  <c r="S92" i="34"/>
  <c r="T92" i="34" s="1"/>
  <c r="S85" i="34"/>
  <c r="T85" i="34" s="1"/>
  <c r="S111" i="34"/>
  <c r="T111" i="34" s="1"/>
  <c r="S76" i="34"/>
  <c r="S108" i="34"/>
  <c r="S58" i="34"/>
  <c r="T58" i="34" s="1"/>
  <c r="S104" i="34"/>
  <c r="S136" i="34"/>
  <c r="S73" i="34"/>
  <c r="T73" i="34" s="1"/>
  <c r="S125" i="34"/>
  <c r="S66" i="34"/>
  <c r="T66" i="34" s="1"/>
  <c r="S69" i="34"/>
  <c r="T69" i="34" s="1"/>
  <c r="S148" i="34"/>
  <c r="T148" i="34" s="1"/>
  <c r="S168" i="34"/>
  <c r="T168" i="34" s="1"/>
  <c r="S98" i="34"/>
  <c r="T98" i="34" s="1"/>
  <c r="S91" i="34"/>
  <c r="T91" i="34" s="1"/>
  <c r="S33" i="34"/>
  <c r="T33" i="34" s="1"/>
  <c r="S74" i="34"/>
  <c r="T74" i="34" s="1"/>
  <c r="S30" i="34"/>
  <c r="T30" i="34" s="1"/>
  <c r="S124" i="34"/>
  <c r="T124" i="34" s="1"/>
  <c r="S20" i="34"/>
  <c r="T20" i="34" s="1"/>
  <c r="S142" i="34"/>
  <c r="T142" i="34" s="1"/>
  <c r="S61" i="34"/>
  <c r="T61" i="34" s="1"/>
  <c r="S103" i="34"/>
  <c r="S8" i="34"/>
  <c r="T8" i="34" s="1"/>
  <c r="S47" i="34"/>
  <c r="S118" i="34"/>
  <c r="T118" i="34" s="1"/>
  <c r="S45" i="34"/>
  <c r="T45" i="34" s="1"/>
  <c r="S107" i="34"/>
  <c r="S135" i="34"/>
  <c r="T135" i="34" s="1"/>
  <c r="S52" i="34"/>
  <c r="T52" i="34" s="1"/>
  <c r="S14" i="34"/>
  <c r="T14" i="34" s="1"/>
  <c r="S120" i="34"/>
  <c r="T120" i="34" s="1"/>
  <c r="AC9" i="24"/>
  <c r="U44" i="34"/>
  <c r="Z44" i="34"/>
  <c r="Y44" i="34"/>
  <c r="T44" i="34"/>
  <c r="X44" i="34"/>
  <c r="E216" i="34"/>
  <c r="AD6" i="24" s="1"/>
  <c r="AC6" i="24"/>
  <c r="S87" i="34"/>
  <c r="G221" i="34"/>
  <c r="H221" i="34"/>
  <c r="G230" i="34"/>
  <c r="H230" i="34"/>
  <c r="AC18" i="24"/>
  <c r="G261" i="34"/>
  <c r="H261" i="34"/>
  <c r="H219" i="34"/>
  <c r="G219" i="34"/>
  <c r="S7" i="34"/>
  <c r="AC16" i="24"/>
  <c r="AC19" i="24"/>
  <c r="H258" i="34"/>
  <c r="G258" i="34"/>
  <c r="G236" i="34"/>
  <c r="H236" i="34"/>
  <c r="G226" i="34"/>
  <c r="H226" i="34"/>
  <c r="H237" i="34"/>
  <c r="G237" i="34"/>
  <c r="H229" i="34"/>
  <c r="G229" i="34"/>
  <c r="G252" i="34"/>
  <c r="H252" i="34"/>
  <c r="H249" i="34"/>
  <c r="G249" i="34"/>
  <c r="G248" i="34"/>
  <c r="H248" i="34"/>
  <c r="G216" i="34"/>
  <c r="H216" i="34"/>
  <c r="AC11" i="24"/>
  <c r="AC20" i="24"/>
  <c r="H228" i="34"/>
  <c r="G228" i="34"/>
  <c r="G245" i="34"/>
  <c r="H245" i="34"/>
  <c r="Z153" i="34"/>
  <c r="X153" i="34"/>
  <c r="T153" i="34"/>
  <c r="T174" i="34"/>
  <c r="U174" i="34"/>
  <c r="Y174" i="34"/>
  <c r="X174" i="34"/>
  <c r="Z174" i="34"/>
  <c r="T18" i="34"/>
  <c r="X18" i="34"/>
  <c r="AC10" i="24"/>
  <c r="H263" i="34"/>
  <c r="G263" i="34"/>
  <c r="H234" i="34"/>
  <c r="G234" i="34"/>
  <c r="H255" i="34"/>
  <c r="G255" i="34"/>
  <c r="U6" i="24"/>
  <c r="U26" i="24" s="1"/>
  <c r="S6" i="24"/>
  <c r="AH6" i="24"/>
  <c r="H264" i="34"/>
  <c r="G264" i="34"/>
  <c r="I264" i="34"/>
  <c r="AC15" i="24"/>
  <c r="AC21" i="24"/>
  <c r="G225" i="34"/>
  <c r="H225" i="34"/>
  <c r="G231" i="34"/>
  <c r="H231" i="34"/>
  <c r="T195" i="34"/>
  <c r="X190" i="34"/>
  <c r="Y190" i="34"/>
  <c r="T190" i="34"/>
  <c r="T160" i="34"/>
  <c r="U9" i="34"/>
  <c r="T9" i="34"/>
  <c r="Z9" i="34"/>
  <c r="X9" i="34"/>
  <c r="Y9" i="34"/>
  <c r="S71" i="34"/>
  <c r="Z182" i="34"/>
  <c r="Y182" i="34"/>
  <c r="T182" i="34"/>
  <c r="X182" i="34"/>
  <c r="H238" i="34"/>
  <c r="G238" i="34"/>
  <c r="G220" i="34"/>
  <c r="H220" i="34"/>
  <c r="AC24" i="24"/>
  <c r="G242" i="34"/>
  <c r="H242" i="34"/>
  <c r="G235" i="34"/>
  <c r="H235" i="34"/>
  <c r="X42" i="34"/>
  <c r="Z42" i="34"/>
  <c r="T42" i="34"/>
  <c r="Y42" i="34"/>
  <c r="H251" i="34"/>
  <c r="Z152" i="34" s="1"/>
  <c r="G251" i="34"/>
  <c r="X152" i="34" s="1"/>
  <c r="T152" i="34"/>
  <c r="T127" i="34"/>
  <c r="T19" i="34"/>
  <c r="Y19" i="34"/>
  <c r="U19" i="34"/>
  <c r="X19" i="34"/>
  <c r="Z19" i="34"/>
  <c r="S110" i="34"/>
  <c r="H223" i="34"/>
  <c r="G223" i="34"/>
  <c r="H233" i="34"/>
  <c r="G233" i="34"/>
  <c r="AC12" i="24"/>
  <c r="H260" i="34"/>
  <c r="G260" i="34"/>
  <c r="AC25" i="24"/>
  <c r="H262" i="34"/>
  <c r="Z188" i="34" s="1"/>
  <c r="G262" i="34"/>
  <c r="T188" i="34"/>
  <c r="X188" i="34"/>
  <c r="Y183" i="34"/>
  <c r="X183" i="34"/>
  <c r="T183" i="34"/>
  <c r="AC13" i="24"/>
  <c r="H250" i="34"/>
  <c r="G250" i="34"/>
  <c r="AC23" i="24"/>
  <c r="G222" i="34"/>
  <c r="H222" i="34"/>
  <c r="Z18" i="34" s="1"/>
  <c r="G239" i="34"/>
  <c r="H239" i="34"/>
  <c r="H259" i="34"/>
  <c r="G259" i="34"/>
  <c r="G244" i="34"/>
  <c r="H244" i="34"/>
  <c r="Z12" i="34"/>
  <c r="X12" i="34"/>
  <c r="T12" i="34"/>
  <c r="Y12" i="34"/>
  <c r="U12" i="34"/>
  <c r="H232" i="34"/>
  <c r="G232" i="34"/>
  <c r="H253" i="34"/>
  <c r="G253" i="34"/>
  <c r="G254" i="34"/>
  <c r="H254" i="34"/>
  <c r="AC14" i="24"/>
  <c r="AC8" i="24"/>
  <c r="T192" i="34"/>
  <c r="S84" i="34"/>
  <c r="AC22" i="24"/>
  <c r="G243" i="34"/>
  <c r="H243" i="34"/>
  <c r="G257" i="34"/>
  <c r="X160" i="34" s="1"/>
  <c r="H257" i="34"/>
  <c r="G240" i="34"/>
  <c r="H240" i="34"/>
  <c r="H224" i="34"/>
  <c r="G224" i="34"/>
  <c r="G246" i="34"/>
  <c r="H246" i="34"/>
  <c r="G218" i="34"/>
  <c r="H218" i="34"/>
  <c r="S28" i="34"/>
  <c r="H227" i="34"/>
  <c r="G227" i="34"/>
  <c r="I265" i="34"/>
  <c r="H265" i="34"/>
  <c r="G265" i="34"/>
  <c r="AC7" i="24"/>
  <c r="T154" i="34"/>
  <c r="H241" i="34"/>
  <c r="G241" i="34"/>
  <c r="U10" i="34"/>
  <c r="X10" i="34"/>
  <c r="T10" i="34"/>
  <c r="Y10" i="34"/>
  <c r="Z10" i="34"/>
  <c r="S31" i="34"/>
  <c r="X191" i="34"/>
  <c r="Y191" i="34"/>
  <c r="T191" i="34"/>
  <c r="Z191" i="34"/>
  <c r="T185" i="34"/>
  <c r="S29" i="34"/>
  <c r="AC17" i="24"/>
  <c r="G256" i="34"/>
  <c r="H256" i="34"/>
  <c r="H247" i="34"/>
  <c r="G247" i="34"/>
  <c r="G217" i="34"/>
  <c r="H217" i="34"/>
  <c r="Z179" i="34" l="1"/>
  <c r="X179" i="34"/>
  <c r="X178" i="34"/>
  <c r="Z178" i="34"/>
  <c r="Z167" i="34"/>
  <c r="X106" i="34"/>
  <c r="Z160" i="34"/>
  <c r="X159" i="34"/>
  <c r="Z195" i="34"/>
  <c r="X195" i="34"/>
  <c r="Z106" i="34"/>
  <c r="X11" i="34"/>
  <c r="Z159" i="34"/>
  <c r="Z11" i="34"/>
  <c r="X17" i="34"/>
  <c r="Z17" i="34"/>
  <c r="X154" i="34"/>
  <c r="X175" i="34"/>
  <c r="Z154" i="34"/>
  <c r="Z175" i="34"/>
  <c r="X41" i="34"/>
  <c r="Z41" i="34"/>
  <c r="Z6" i="34"/>
  <c r="X6" i="34"/>
  <c r="X23" i="34"/>
  <c r="Z43" i="34"/>
  <c r="X43" i="34"/>
  <c r="X145" i="34"/>
  <c r="Z39" i="34"/>
  <c r="Z23" i="34"/>
  <c r="X39" i="34"/>
  <c r="Z145" i="34"/>
  <c r="X97" i="34"/>
  <c r="Z177" i="34"/>
  <c r="Z139" i="34"/>
  <c r="T198" i="34"/>
  <c r="X139" i="34"/>
  <c r="Z198" i="34"/>
  <c r="X198" i="34"/>
  <c r="X197" i="34"/>
  <c r="X177" i="34"/>
  <c r="Z197" i="34"/>
  <c r="X37" i="34"/>
  <c r="X140" i="34"/>
  <c r="Z40" i="34"/>
  <c r="X196" i="34"/>
  <c r="Z83" i="34"/>
  <c r="X83" i="34"/>
  <c r="Z140" i="34"/>
  <c r="X22" i="34"/>
  <c r="Z176" i="34"/>
  <c r="X176" i="34"/>
  <c r="Z22" i="34"/>
  <c r="X86" i="34"/>
  <c r="T4" i="34"/>
  <c r="X38" i="34"/>
  <c r="Z86" i="34"/>
  <c r="Z196" i="34"/>
  <c r="X40" i="34"/>
  <c r="Z37" i="34"/>
  <c r="Z32" i="34"/>
  <c r="Z27" i="34"/>
  <c r="Z38" i="34"/>
  <c r="X137" i="34"/>
  <c r="T166" i="34"/>
  <c r="Z166" i="34"/>
  <c r="X166" i="34"/>
  <c r="X113" i="34"/>
  <c r="Z113" i="34"/>
  <c r="T97" i="34"/>
  <c r="T27" i="34"/>
  <c r="X27" i="34"/>
  <c r="Z16" i="34"/>
  <c r="X82" i="34"/>
  <c r="T82" i="34"/>
  <c r="X187" i="34"/>
  <c r="Z187" i="34"/>
  <c r="Z82" i="34"/>
  <c r="Y187" i="34"/>
  <c r="Z138" i="34"/>
  <c r="X138" i="34"/>
  <c r="X133" i="34"/>
  <c r="X16" i="34"/>
  <c r="Z133" i="34"/>
  <c r="Z192" i="34"/>
  <c r="X109" i="34"/>
  <c r="Z53" i="34"/>
  <c r="T189" i="34"/>
  <c r="X189" i="34"/>
  <c r="X194" i="34"/>
  <c r="Z193" i="34"/>
  <c r="T193" i="34"/>
  <c r="Z95" i="34"/>
  <c r="X95" i="34"/>
  <c r="T95" i="34"/>
  <c r="X102" i="34"/>
  <c r="Z102" i="34"/>
  <c r="X54" i="34"/>
  <c r="Z51" i="34"/>
  <c r="T54" i="34"/>
  <c r="Z54" i="34"/>
  <c r="X68" i="34"/>
  <c r="Z194" i="34"/>
  <c r="X193" i="34"/>
  <c r="Z101" i="34"/>
  <c r="X101" i="34"/>
  <c r="Z68" i="34"/>
  <c r="X167" i="34"/>
  <c r="X192" i="34"/>
  <c r="Y192" i="34"/>
  <c r="T116" i="34"/>
  <c r="Z116" i="34"/>
  <c r="X116" i="34"/>
  <c r="X36" i="34"/>
  <c r="Z114" i="34"/>
  <c r="Z36" i="34"/>
  <c r="Z147" i="34"/>
  <c r="Z161" i="34"/>
  <c r="X147" i="34"/>
  <c r="X161" i="34"/>
  <c r="Z183" i="34"/>
  <c r="Z189" i="34"/>
  <c r="Z190" i="34"/>
  <c r="X134" i="34"/>
  <c r="X146" i="34"/>
  <c r="Z134" i="34"/>
  <c r="Z146" i="34"/>
  <c r="X51" i="34"/>
  <c r="Z96" i="34"/>
  <c r="X49" i="34"/>
  <c r="X96" i="34"/>
  <c r="X128" i="34"/>
  <c r="X163" i="34"/>
  <c r="Z128" i="34"/>
  <c r="Z163" i="34"/>
  <c r="Z184" i="34"/>
  <c r="T184" i="34"/>
  <c r="X186" i="34"/>
  <c r="Z186" i="34"/>
  <c r="Y186" i="34"/>
  <c r="Z132" i="34"/>
  <c r="Z185" i="34"/>
  <c r="Z165" i="34"/>
  <c r="T165" i="34"/>
  <c r="Z60" i="34"/>
  <c r="Z126" i="34"/>
  <c r="Z81" i="34"/>
  <c r="X165" i="34"/>
  <c r="Z130" i="34"/>
  <c r="X126" i="34"/>
  <c r="X130" i="34"/>
  <c r="T164" i="34"/>
  <c r="Z164" i="34"/>
  <c r="X144" i="34"/>
  <c r="X132" i="34"/>
  <c r="X164" i="34"/>
  <c r="X60" i="34"/>
  <c r="Z34" i="34"/>
  <c r="T81" i="34"/>
  <c r="Z78" i="34"/>
  <c r="X50" i="34"/>
  <c r="X78" i="34"/>
  <c r="X81" i="34"/>
  <c r="Z180" i="34"/>
  <c r="Z35" i="34"/>
  <c r="X94" i="34"/>
  <c r="X117" i="34"/>
  <c r="X180" i="34"/>
  <c r="Z50" i="34"/>
  <c r="Z67" i="34"/>
  <c r="T78" i="34"/>
  <c r="T50" i="34"/>
  <c r="Y184" i="34"/>
  <c r="Y185" i="34"/>
  <c r="Z49" i="34"/>
  <c r="T49" i="34"/>
  <c r="X114" i="34"/>
  <c r="X35" i="34"/>
  <c r="X34" i="34"/>
  <c r="X26" i="34"/>
  <c r="X184" i="34"/>
  <c r="Z117" i="34"/>
  <c r="X131" i="34"/>
  <c r="X185" i="34"/>
  <c r="Z131" i="34"/>
  <c r="Z94" i="34"/>
  <c r="Z65" i="34"/>
  <c r="X65" i="34"/>
  <c r="Z79" i="34"/>
  <c r="X79" i="34"/>
  <c r="T158" i="34"/>
  <c r="X80" i="34"/>
  <c r="Z80" i="34"/>
  <c r="T26" i="34"/>
  <c r="Z26" i="34"/>
  <c r="Z158" i="34"/>
  <c r="X158" i="34"/>
  <c r="Z97" i="34"/>
  <c r="Z162" i="34"/>
  <c r="X67" i="34"/>
  <c r="T162" i="34"/>
  <c r="X162" i="34"/>
  <c r="T53" i="34"/>
  <c r="X181" i="34"/>
  <c r="Z181" i="34"/>
  <c r="Y181" i="34"/>
  <c r="X127" i="34"/>
  <c r="Z127" i="34"/>
  <c r="X32" i="34"/>
  <c r="Z141" i="34"/>
  <c r="X129" i="34"/>
  <c r="Z129" i="34"/>
  <c r="Z115" i="34"/>
  <c r="X141" i="34"/>
  <c r="X115" i="34"/>
  <c r="Z157" i="34"/>
  <c r="T137" i="34"/>
  <c r="Z55" i="34"/>
  <c r="T172" i="34"/>
  <c r="X62" i="34"/>
  <c r="Z62" i="34"/>
  <c r="X55" i="34"/>
  <c r="X48" i="34"/>
  <c r="Z48" i="34"/>
  <c r="Z144" i="34"/>
  <c r="Z100" i="34"/>
  <c r="X90" i="34"/>
  <c r="X21" i="34"/>
  <c r="Z64" i="34"/>
  <c r="Z122" i="34"/>
  <c r="X122" i="34"/>
  <c r="X157" i="34"/>
  <c r="Z90" i="34"/>
  <c r="T144" i="34"/>
  <c r="T90" i="34"/>
  <c r="Z21" i="34"/>
  <c r="X172" i="34"/>
  <c r="Z172" i="34"/>
  <c r="Z59" i="34"/>
  <c r="X77" i="34"/>
  <c r="Z46" i="34"/>
  <c r="T59" i="34"/>
  <c r="X46" i="34"/>
  <c r="X59" i="34"/>
  <c r="X64" i="34"/>
  <c r="X112" i="34"/>
  <c r="X105" i="34"/>
  <c r="X173" i="34"/>
  <c r="U46" i="34"/>
  <c r="Z173" i="34"/>
  <c r="Z137" i="34"/>
  <c r="Z57" i="34"/>
  <c r="X93" i="34"/>
  <c r="Z105" i="34"/>
  <c r="Y46" i="34"/>
  <c r="T105" i="34"/>
  <c r="X25" i="34"/>
  <c r="Z93" i="34"/>
  <c r="X13" i="34"/>
  <c r="Z77" i="34"/>
  <c r="Z25" i="34"/>
  <c r="Z13" i="34"/>
  <c r="Z112" i="34"/>
  <c r="Z109" i="34"/>
  <c r="X53" i="34"/>
  <c r="X57" i="34"/>
  <c r="X151" i="34"/>
  <c r="Z151" i="34"/>
  <c r="X100" i="34"/>
  <c r="Z75" i="34"/>
  <c r="X75" i="34"/>
  <c r="Z150" i="34"/>
  <c r="X150" i="34"/>
  <c r="X24" i="34"/>
  <c r="Z24" i="34"/>
  <c r="X5" i="34"/>
  <c r="Z5" i="34"/>
  <c r="Z70" i="34"/>
  <c r="X123" i="34"/>
  <c r="Z123" i="34"/>
  <c r="X70" i="34"/>
  <c r="Z72" i="34"/>
  <c r="X72" i="34"/>
  <c r="X4" i="34"/>
  <c r="X89" i="34"/>
  <c r="Z89" i="34"/>
  <c r="Z104" i="34"/>
  <c r="Z15" i="34"/>
  <c r="X15" i="34"/>
  <c r="Z4" i="34"/>
  <c r="Z85" i="34"/>
  <c r="X85" i="34"/>
  <c r="X76" i="34"/>
  <c r="X99" i="34"/>
  <c r="Z99" i="34"/>
  <c r="Z156" i="34"/>
  <c r="Z91" i="34"/>
  <c r="T76" i="34"/>
  <c r="X111" i="34"/>
  <c r="Z52" i="34"/>
  <c r="Z92" i="34"/>
  <c r="Z76" i="34"/>
  <c r="X92" i="34"/>
  <c r="X91" i="34"/>
  <c r="X52" i="34"/>
  <c r="X136" i="34"/>
  <c r="X149" i="34"/>
  <c r="Z149" i="34"/>
  <c r="X121" i="34"/>
  <c r="X108" i="34"/>
  <c r="Z58" i="34"/>
  <c r="X58" i="34"/>
  <c r="X156" i="34"/>
  <c r="X88" i="34"/>
  <c r="Z98" i="34"/>
  <c r="T108" i="34"/>
  <c r="Z108" i="34"/>
  <c r="X98" i="34"/>
  <c r="Z73" i="34"/>
  <c r="Z14" i="34"/>
  <c r="X14" i="34"/>
  <c r="Z69" i="34"/>
  <c r="X104" i="34"/>
  <c r="X66" i="34"/>
  <c r="X143" i="34"/>
  <c r="T136" i="34"/>
  <c r="Z66" i="34"/>
  <c r="X73" i="34"/>
  <c r="T104" i="34"/>
  <c r="Z125" i="34"/>
  <c r="Z136" i="34"/>
  <c r="Z111" i="34"/>
  <c r="Z63" i="34"/>
  <c r="X125" i="34"/>
  <c r="Z88" i="34"/>
  <c r="X69" i="34"/>
  <c r="X119" i="34"/>
  <c r="T125" i="34"/>
  <c r="Z119" i="34"/>
  <c r="X63" i="34"/>
  <c r="Z121" i="34"/>
  <c r="Z169" i="34"/>
  <c r="Z143" i="34"/>
  <c r="X33" i="34"/>
  <c r="Z20" i="34"/>
  <c r="X45" i="34"/>
  <c r="Z33" i="34"/>
  <c r="X20" i="34"/>
  <c r="X30" i="34"/>
  <c r="Z30" i="34"/>
  <c r="Z171" i="34"/>
  <c r="Z170" i="34"/>
  <c r="Y170" i="34"/>
  <c r="X171" i="34"/>
  <c r="U171" i="34"/>
  <c r="X170" i="34"/>
  <c r="U170" i="34"/>
  <c r="Y171" i="34"/>
  <c r="U47" i="34"/>
  <c r="Y47" i="34"/>
  <c r="Z47" i="34"/>
  <c r="X124" i="34"/>
  <c r="Z142" i="34"/>
  <c r="Z74" i="34"/>
  <c r="X47" i="34"/>
  <c r="X74" i="34"/>
  <c r="Z124" i="34"/>
  <c r="T47" i="34"/>
  <c r="X142" i="34"/>
  <c r="Z107" i="34"/>
  <c r="X118" i="34"/>
  <c r="U45" i="34"/>
  <c r="Z8" i="34"/>
  <c r="Z103" i="34"/>
  <c r="Z148" i="34"/>
  <c r="X148" i="34"/>
  <c r="X8" i="34"/>
  <c r="X107" i="34"/>
  <c r="Z61" i="34"/>
  <c r="Y45" i="34"/>
  <c r="T107" i="34"/>
  <c r="X61" i="34"/>
  <c r="Z45" i="34"/>
  <c r="Z118" i="34"/>
  <c r="X155" i="34"/>
  <c r="X103" i="34"/>
  <c r="X169" i="34"/>
  <c r="T103" i="34"/>
  <c r="E217" i="34"/>
  <c r="AD7" i="24" s="1"/>
  <c r="E47" i="38"/>
  <c r="X56" i="34"/>
  <c r="T31" i="34"/>
  <c r="Z31" i="34"/>
  <c r="X31" i="34"/>
  <c r="Z71" i="34"/>
  <c r="T71" i="34"/>
  <c r="X71" i="34"/>
  <c r="T7" i="34"/>
  <c r="Z7" i="34"/>
  <c r="X7" i="34"/>
  <c r="T29" i="34"/>
  <c r="X29" i="34"/>
  <c r="Z29" i="34"/>
  <c r="Z155" i="34"/>
  <c r="Z120" i="34"/>
  <c r="X168" i="34"/>
  <c r="T28" i="34"/>
  <c r="X28" i="34"/>
  <c r="Z28" i="34"/>
  <c r="T110" i="34"/>
  <c r="X110" i="34"/>
  <c r="Z110" i="34"/>
  <c r="Z168" i="34"/>
  <c r="T84" i="34"/>
  <c r="X84" i="34"/>
  <c r="Z84" i="34"/>
  <c r="X120" i="34"/>
  <c r="X135" i="34"/>
  <c r="Z87" i="34"/>
  <c r="X87" i="34"/>
  <c r="T87" i="34"/>
  <c r="Z56" i="34"/>
  <c r="Z135" i="34"/>
  <c r="E218" i="34" l="1"/>
  <c r="AD8" i="24" s="1"/>
  <c r="E219" i="34" l="1"/>
  <c r="AD9" i="24" s="1"/>
  <c r="E220" i="34" l="1"/>
  <c r="AD10" i="24" s="1"/>
  <c r="E221" i="34" l="1"/>
  <c r="AD11" i="24" s="1"/>
  <c r="E222" i="34" l="1"/>
  <c r="AD12" i="24" s="1"/>
  <c r="E223" i="34" l="1"/>
  <c r="AD13" i="24" s="1"/>
  <c r="E224" i="34" l="1"/>
  <c r="AD14" i="24" s="1"/>
  <c r="E225" i="34" l="1"/>
  <c r="AD15" i="24" s="1"/>
  <c r="E226" i="34" l="1"/>
  <c r="AD16" i="24" s="1"/>
  <c r="E227" i="34" l="1"/>
  <c r="AD17" i="24" s="1"/>
  <c r="I251" i="34"/>
  <c r="Y152" i="34" l="1"/>
  <c r="Y43" i="34"/>
  <c r="Y22" i="34"/>
  <c r="Y54" i="34"/>
  <c r="Y169" i="34"/>
  <c r="Y172" i="34"/>
  <c r="Y33" i="34"/>
  <c r="Y127" i="34"/>
  <c r="Y153" i="34"/>
  <c r="Y151" i="34"/>
  <c r="E228" i="34"/>
  <c r="Y132" i="34"/>
  <c r="Y63" i="34"/>
  <c r="Y94" i="34"/>
  <c r="Y65" i="34"/>
  <c r="Y53" i="34"/>
  <c r="Y52" i="34"/>
  <c r="Y93" i="34"/>
  <c r="Y95" i="34"/>
  <c r="AI7" i="24"/>
  <c r="I217" i="34"/>
  <c r="Y97" i="34" l="1"/>
  <c r="Y5" i="34"/>
  <c r="Y6" i="34"/>
  <c r="U127" i="34"/>
  <c r="U169" i="34"/>
  <c r="U172" i="34"/>
  <c r="AD18" i="24"/>
  <c r="E229" i="34"/>
  <c r="U151" i="34"/>
  <c r="L251" i="34"/>
  <c r="U152" i="34" l="1"/>
  <c r="U168" i="34"/>
  <c r="U95" i="34"/>
  <c r="U54" i="34"/>
  <c r="AD19" i="24"/>
  <c r="E230" i="34"/>
  <c r="U33" i="34"/>
  <c r="U153" i="34"/>
  <c r="U63" i="34"/>
  <c r="U132" i="34"/>
  <c r="U65" i="34"/>
  <c r="U94" i="34"/>
  <c r="U53" i="34"/>
  <c r="U52" i="34"/>
  <c r="U93" i="34"/>
  <c r="L217" i="34"/>
  <c r="U139" i="34" l="1"/>
  <c r="U42" i="34"/>
  <c r="U43" i="34"/>
  <c r="U97" i="34"/>
  <c r="U5" i="34"/>
  <c r="U6" i="34"/>
  <c r="AD20" i="24"/>
  <c r="E231" i="34"/>
  <c r="U22" i="34" l="1"/>
  <c r="AD21" i="24"/>
  <c r="E232" i="34"/>
  <c r="E233" i="34" l="1"/>
  <c r="E234" i="34" s="1"/>
  <c r="AD22" i="24"/>
  <c r="AD23" i="24" l="1"/>
  <c r="AD24" i="24"/>
  <c r="E235" i="34"/>
  <c r="AD25" i="24" l="1"/>
  <c r="E236" i="34"/>
  <c r="E237" i="34" s="1"/>
  <c r="E238" i="34" s="1"/>
  <c r="E239" i="34" s="1"/>
  <c r="E240" i="34" s="1"/>
  <c r="E241" i="34" s="1"/>
  <c r="E242" i="34" s="1"/>
  <c r="E243" i="34" s="1"/>
  <c r="E244" i="34" s="1"/>
  <c r="E245" i="34" s="1"/>
  <c r="E246" i="34" s="1"/>
  <c r="E247" i="34" s="1"/>
  <c r="E248" i="34" s="1"/>
  <c r="E249" i="34" s="1"/>
  <c r="E250" i="34" s="1"/>
  <c r="E251" i="34" s="1"/>
  <c r="E252" i="34" s="1"/>
  <c r="E253" i="34" s="1"/>
  <c r="E254" i="34" s="1"/>
  <c r="E255" i="34" s="1"/>
  <c r="E256" i="34" s="1"/>
  <c r="E257" i="34" s="1"/>
  <c r="E258" i="34" s="1"/>
  <c r="E259" i="34" s="1"/>
  <c r="E260" i="34" s="1"/>
  <c r="E261" i="34" s="1"/>
  <c r="E262" i="34" s="1"/>
  <c r="E263" i="34" s="1"/>
  <c r="E264" i="34" s="1"/>
  <c r="E265" i="34" s="1"/>
  <c r="E14" i="24" l="1"/>
  <c r="AR25" i="14" l="1" a="1"/>
  <c r="AR32" i="14" a="1"/>
  <c r="AR29" i="14" a="1"/>
  <c r="AR26" i="14" a="1"/>
  <c r="AR35" i="14" a="1"/>
  <c r="AR27" i="14" a="1"/>
  <c r="AR31" i="14" a="1"/>
  <c r="AR34" i="14" a="1"/>
  <c r="AR33" i="14" a="1"/>
  <c r="AR30" i="14" a="1"/>
  <c r="AR36" i="14" a="1"/>
  <c r="AR28" i="14" a="1"/>
  <c r="L77" i="14" l="1"/>
  <c r="M77" i="14" s="1"/>
  <c r="N77" i="14" l="1"/>
  <c r="O77" i="14" s="1"/>
  <c r="P77" i="14" l="1"/>
  <c r="Q77" i="14" l="1"/>
  <c r="R77" i="14" l="1"/>
  <c r="S77" i="14" l="1"/>
  <c r="T77" i="14" l="1"/>
  <c r="U77" i="14" l="1"/>
  <c r="V77" i="14" l="1"/>
  <c r="W77" i="14" l="1"/>
  <c r="K173" i="34" l="1" a="1"/>
  <c r="J173" i="34"/>
  <c r="J170" i="34" l="1"/>
  <c r="J167" i="34"/>
  <c r="J174" i="34"/>
  <c r="K171" i="34" a="1"/>
  <c r="J168" i="34"/>
  <c r="J171" i="34" l="1"/>
  <c r="K174" i="34" l="1" a="1"/>
  <c r="J172" i="34" l="1"/>
  <c r="K169" i="34" a="1"/>
  <c r="J169" i="34"/>
  <c r="K172" i="34" a="1"/>
  <c r="K167" i="34" l="1" a="1"/>
  <c r="AE153" i="19" l="1"/>
  <c r="J59" i="34" l="1"/>
  <c r="V5" i="34" s="1"/>
  <c r="W23" i="14" l="1"/>
  <c r="AJ23" i="14"/>
  <c r="R73" i="14"/>
  <c r="O73" i="14"/>
  <c r="N73" i="14"/>
  <c r="P73" i="14"/>
  <c r="Q73" i="14"/>
  <c r="AI9" i="14"/>
  <c r="AI13" i="14"/>
  <c r="T73" i="14"/>
  <c r="S73" i="14"/>
  <c r="W73" i="14"/>
  <c r="AI11" i="14"/>
  <c r="AR24" i="14" l="1" a="1"/>
  <c r="AR23" i="14" a="1"/>
  <c r="AR21" i="14" a="1"/>
  <c r="AR22" i="14" a="1"/>
  <c r="U73" i="14"/>
  <c r="V73" i="14"/>
  <c r="AI10" i="14"/>
  <c r="L73" i="14"/>
  <c r="M73" i="14"/>
  <c r="AI12" i="14"/>
  <c r="L76" i="14" l="1"/>
  <c r="M76" i="14" l="1"/>
  <c r="N76" i="14" s="1"/>
  <c r="O76" i="14" s="1"/>
  <c r="P76" i="14" s="1"/>
  <c r="Q76" i="14" s="1"/>
  <c r="R76" i="14" s="1"/>
  <c r="S76" i="14" l="1"/>
  <c r="T76" i="14" s="1"/>
  <c r="U76" i="14" s="1"/>
  <c r="V76" i="14" s="1"/>
  <c r="W76" i="14" s="1"/>
  <c r="J71" i="24" l="1"/>
  <c r="J121" i="24"/>
  <c r="J115" i="24"/>
  <c r="J47" i="24"/>
  <c r="J35" i="24"/>
  <c r="J33" i="24"/>
  <c r="J103" i="24"/>
  <c r="H129" i="24"/>
  <c r="G129" i="24"/>
  <c r="I263" i="34" l="1"/>
  <c r="Y135" i="34"/>
  <c r="K35" i="24"/>
  <c r="AH35" i="24" s="1"/>
  <c r="D385" i="38"/>
  <c r="D383" i="38"/>
  <c r="K115" i="24"/>
  <c r="AD115" i="24" s="1"/>
  <c r="K47" i="24"/>
  <c r="V47" i="24" s="1"/>
  <c r="D397" i="38"/>
  <c r="K121" i="24"/>
  <c r="AB121" i="24" s="1"/>
  <c r="K33" i="24"/>
  <c r="AW33" i="24" s="1"/>
  <c r="D381" i="38"/>
  <c r="K71" i="24"/>
  <c r="AF71" i="24" s="1"/>
  <c r="D421" i="38"/>
  <c r="D453" i="38"/>
  <c r="K103" i="24"/>
  <c r="AF103" i="24" s="1"/>
  <c r="Y194" i="34" l="1"/>
  <c r="Y193" i="34"/>
  <c r="Y34" i="34"/>
  <c r="AB35" i="24"/>
  <c r="W35" i="24"/>
  <c r="AI35" i="24"/>
  <c r="X35" i="24"/>
  <c r="AD35" i="24"/>
  <c r="AF35" i="24"/>
  <c r="Z35" i="24"/>
  <c r="AE35" i="24"/>
  <c r="V35" i="24"/>
  <c r="AJ35" i="24"/>
  <c r="AA35" i="24"/>
  <c r="AE121" i="24"/>
  <c r="AJ103" i="24"/>
  <c r="AF121" i="24"/>
  <c r="AE71" i="24"/>
  <c r="AB103" i="24"/>
  <c r="W33" i="24"/>
  <c r="AB47" i="24"/>
  <c r="X33" i="24"/>
  <c r="V103" i="24"/>
  <c r="AA103" i="24"/>
  <c r="Z103" i="24"/>
  <c r="AD33" i="24"/>
  <c r="AD47" i="24"/>
  <c r="V33" i="24"/>
  <c r="AB33" i="24"/>
  <c r="AI71" i="24"/>
  <c r="W71" i="24"/>
  <c r="V115" i="24"/>
  <c r="Z71" i="24"/>
  <c r="AF47" i="24"/>
  <c r="AB115" i="24"/>
  <c r="AA115" i="24"/>
  <c r="AI47" i="24"/>
  <c r="Z115" i="24"/>
  <c r="Z47" i="24"/>
  <c r="AH115" i="24"/>
  <c r="AB71" i="24"/>
  <c r="AA47" i="24"/>
  <c r="AI115" i="24"/>
  <c r="W121" i="24"/>
  <c r="AA121" i="24"/>
  <c r="Z121" i="24"/>
  <c r="AA71" i="24"/>
  <c r="V121" i="24"/>
  <c r="AH71" i="24"/>
  <c r="AJ121" i="24"/>
  <c r="AJ115" i="24"/>
  <c r="X121" i="24"/>
  <c r="X71" i="24"/>
  <c r="AD71" i="24"/>
  <c r="AI121" i="24"/>
  <c r="AJ71" i="24"/>
  <c r="AH121" i="24"/>
  <c r="AF115" i="24"/>
  <c r="AE115" i="24"/>
  <c r="AD121" i="24"/>
  <c r="Z33" i="24"/>
  <c r="AF33" i="24"/>
  <c r="AW47" i="24"/>
  <c r="AV47" i="24"/>
  <c r="AH103" i="24"/>
  <c r="AA33" i="24"/>
  <c r="AD103" i="24"/>
  <c r="AE33" i="24"/>
  <c r="AH47" i="24"/>
  <c r="AI103" i="24"/>
  <c r="AW71" i="24"/>
  <c r="AV71" i="24"/>
  <c r="AI33" i="24"/>
  <c r="AJ47" i="24"/>
  <c r="AW115" i="24"/>
  <c r="AV115" i="24"/>
  <c r="AE47" i="24"/>
  <c r="X103" i="24"/>
  <c r="AH33" i="24"/>
  <c r="Y27" i="34"/>
  <c r="X47" i="24"/>
  <c r="X115" i="24"/>
  <c r="W103" i="24"/>
  <c r="V71" i="24"/>
  <c r="AJ33" i="24"/>
  <c r="AW121" i="24"/>
  <c r="AV121" i="24"/>
  <c r="W47" i="24"/>
  <c r="W115" i="24"/>
  <c r="AW35" i="24"/>
  <c r="AV35" i="24"/>
  <c r="AW103" i="24"/>
  <c r="AV103" i="24"/>
  <c r="AE103" i="24"/>
  <c r="J127" i="24"/>
  <c r="AK35" i="24" l="1"/>
  <c r="AG121" i="24"/>
  <c r="AC35" i="24"/>
  <c r="AG35" i="24"/>
  <c r="AK71" i="24"/>
  <c r="AL35" i="24"/>
  <c r="Y35" i="24"/>
  <c r="AC121" i="24"/>
  <c r="AG71" i="24"/>
  <c r="AC115" i="24"/>
  <c r="AC103" i="24"/>
  <c r="Y33" i="24"/>
  <c r="AC47" i="24"/>
  <c r="AG47" i="24"/>
  <c r="Y121" i="24"/>
  <c r="AK115" i="24"/>
  <c r="AG33" i="24"/>
  <c r="AG115" i="24"/>
  <c r="AC71" i="24"/>
  <c r="AL115" i="24"/>
  <c r="AK121" i="24"/>
  <c r="AL121" i="24"/>
  <c r="AK103" i="24"/>
  <c r="Y103" i="24"/>
  <c r="AK33" i="24"/>
  <c r="AL33" i="24"/>
  <c r="AL47" i="24"/>
  <c r="K127" i="24"/>
  <c r="W127" i="24" s="1"/>
  <c r="Y47" i="24"/>
  <c r="AG103" i="24"/>
  <c r="AC33" i="24"/>
  <c r="Y71" i="24"/>
  <c r="AL71" i="24"/>
  <c r="Y115" i="24"/>
  <c r="AK47" i="24"/>
  <c r="AL103" i="24"/>
  <c r="AI127" i="24" l="1"/>
  <c r="V127" i="24"/>
  <c r="U27" i="34"/>
  <c r="Z127" i="24"/>
  <c r="AB127" i="24"/>
  <c r="AD127" i="24"/>
  <c r="U135" i="34"/>
  <c r="AJ127" i="24"/>
  <c r="AH127" i="24"/>
  <c r="X127" i="24"/>
  <c r="AF127" i="24"/>
  <c r="AE127" i="24"/>
  <c r="AA127" i="24"/>
  <c r="AW127" i="24"/>
  <c r="AV127" i="24"/>
  <c r="U34" i="34" l="1"/>
  <c r="AC127" i="24"/>
  <c r="AK127" i="24"/>
  <c r="AL127" i="24"/>
  <c r="AG127" i="24"/>
  <c r="Y127" i="24"/>
  <c r="Y28" i="34" l="1"/>
  <c r="J59" i="24" l="1"/>
  <c r="I223" i="34" s="1"/>
  <c r="J61" i="24"/>
  <c r="J99" i="24"/>
  <c r="Y26" i="34" l="1"/>
  <c r="Y25" i="34"/>
  <c r="Y24" i="34"/>
  <c r="Y188" i="34"/>
  <c r="K99" i="24"/>
  <c r="D449" i="38"/>
  <c r="K61" i="24"/>
  <c r="D411" i="38"/>
  <c r="K59" i="24"/>
  <c r="AA59" i="24" s="1"/>
  <c r="D409" i="38"/>
  <c r="Y23" i="34" l="1"/>
  <c r="X99" i="24"/>
  <c r="AH99" i="24"/>
  <c r="Z99" i="24"/>
  <c r="AB99" i="24"/>
  <c r="AB61" i="24"/>
  <c r="X61" i="24"/>
  <c r="AF99" i="24"/>
  <c r="AD99" i="24"/>
  <c r="AA99" i="24"/>
  <c r="AE99" i="24"/>
  <c r="AJ99" i="24"/>
  <c r="AF61" i="24"/>
  <c r="W61" i="24"/>
  <c r="AI99" i="24"/>
  <c r="V99" i="24"/>
  <c r="W99" i="24"/>
  <c r="Z61" i="24"/>
  <c r="AE61" i="24"/>
  <c r="V59" i="24"/>
  <c r="AH59" i="24"/>
  <c r="AB59" i="24"/>
  <c r="AI59" i="24"/>
  <c r="AI61" i="24"/>
  <c r="AA61" i="24"/>
  <c r="AD61" i="24"/>
  <c r="AH61" i="24"/>
  <c r="V61" i="24"/>
  <c r="AJ61" i="24"/>
  <c r="AJ59" i="24"/>
  <c r="AW59" i="24"/>
  <c r="AV59" i="24"/>
  <c r="AE59" i="24"/>
  <c r="W59" i="24"/>
  <c r="X59" i="24"/>
  <c r="AV61" i="24"/>
  <c r="AW61" i="24"/>
  <c r="AF59" i="24"/>
  <c r="Z59" i="24"/>
  <c r="AD59" i="24"/>
  <c r="AW99" i="24"/>
  <c r="AV99" i="24"/>
  <c r="AK99" i="24" l="1"/>
  <c r="AG99" i="24"/>
  <c r="AC99" i="24"/>
  <c r="Y99" i="24"/>
  <c r="Y61" i="24"/>
  <c r="AL99" i="24"/>
  <c r="AC61" i="24"/>
  <c r="AG61" i="24"/>
  <c r="AC59" i="24"/>
  <c r="AK61" i="24"/>
  <c r="Y59" i="24"/>
  <c r="AK59" i="24"/>
  <c r="AL61" i="24"/>
  <c r="AL59" i="24"/>
  <c r="U23" i="34"/>
  <c r="AG59" i="24"/>
  <c r="L223" i="34" l="1"/>
  <c r="U26" i="34" l="1"/>
  <c r="U25" i="34"/>
  <c r="U24" i="34"/>
  <c r="U102" i="24" l="1"/>
  <c r="U101" i="24"/>
  <c r="U36" i="24"/>
  <c r="U50" i="24"/>
  <c r="U49" i="24"/>
  <c r="U34" i="24"/>
  <c r="U33" i="24"/>
  <c r="U80" i="24"/>
  <c r="U79" i="24"/>
  <c r="U66" i="24"/>
  <c r="U65" i="24"/>
  <c r="J109" i="24" l="1"/>
  <c r="K109" i="24" l="1"/>
  <c r="D459" i="38"/>
  <c r="X109" i="24" l="1"/>
  <c r="AE109" i="24"/>
  <c r="AH109" i="24"/>
  <c r="V109" i="24"/>
  <c r="AI109" i="24"/>
  <c r="AA109" i="24"/>
  <c r="AJ109" i="24"/>
  <c r="AB109" i="24"/>
  <c r="Z109" i="24"/>
  <c r="W109" i="24"/>
  <c r="AD109" i="24"/>
  <c r="AF109" i="24"/>
  <c r="AW109" i="24"/>
  <c r="AV109" i="24"/>
  <c r="J67" i="24"/>
  <c r="AC109" i="24" l="1"/>
  <c r="AL109" i="24"/>
  <c r="AK109" i="24"/>
  <c r="AG109" i="24"/>
  <c r="Y109" i="24"/>
  <c r="K67" i="24"/>
  <c r="W67" i="24" s="1"/>
  <c r="D417" i="38"/>
  <c r="X67" i="24" l="1"/>
  <c r="AA67" i="24"/>
  <c r="V67" i="24"/>
  <c r="AF67" i="24"/>
  <c r="AD67" i="24"/>
  <c r="AH67" i="24"/>
  <c r="AJ67" i="24"/>
  <c r="Z67" i="24"/>
  <c r="AB67" i="24"/>
  <c r="AI67" i="24"/>
  <c r="AE67" i="24"/>
  <c r="AW67" i="24"/>
  <c r="AV67" i="24"/>
  <c r="Y67" i="24" l="1"/>
  <c r="AG67" i="24"/>
  <c r="AK67" i="24"/>
  <c r="AC67" i="24"/>
  <c r="AL67" i="24"/>
  <c r="J107" i="24"/>
  <c r="H107" i="24"/>
  <c r="G107" i="24"/>
  <c r="K107" i="24" l="1"/>
  <c r="D457" i="38"/>
  <c r="AI9" i="24"/>
  <c r="I219" i="34"/>
  <c r="Y13" i="34" l="1"/>
  <c r="AD107" i="24"/>
  <c r="AA107" i="24"/>
  <c r="AJ107" i="24"/>
  <c r="AE107" i="24"/>
  <c r="Z107" i="24"/>
  <c r="V107" i="24"/>
  <c r="AB107" i="24"/>
  <c r="AF107" i="24"/>
  <c r="W107" i="24"/>
  <c r="X107" i="24"/>
  <c r="AH107" i="24"/>
  <c r="AI107" i="24"/>
  <c r="AW107" i="24"/>
  <c r="AV107" i="24"/>
  <c r="Y107" i="24" l="1"/>
  <c r="AL107" i="24"/>
  <c r="L219" i="34" s="1"/>
  <c r="AG107" i="24"/>
  <c r="AC107" i="24"/>
  <c r="AK107" i="24"/>
  <c r="U13" i="34" l="1"/>
  <c r="J105" i="24"/>
  <c r="I242" i="34" s="1"/>
  <c r="Y90" i="34" l="1"/>
  <c r="K105" i="24"/>
  <c r="AE105" i="24" s="1"/>
  <c r="D455" i="38"/>
  <c r="H31" i="24"/>
  <c r="AI105" i="24" l="1"/>
  <c r="V105" i="24"/>
  <c r="Z105" i="24"/>
  <c r="AW105" i="24"/>
  <c r="AV105" i="24"/>
  <c r="AA105" i="24"/>
  <c r="W105" i="24"/>
  <c r="X105" i="24"/>
  <c r="AH105" i="24"/>
  <c r="AB105" i="24"/>
  <c r="AF105" i="24"/>
  <c r="AJ105" i="24"/>
  <c r="AD105" i="24"/>
  <c r="AK105" i="24" l="1"/>
  <c r="AC105" i="24"/>
  <c r="Y105" i="24"/>
  <c r="AL105" i="24"/>
  <c r="L242" i="34" s="1"/>
  <c r="AG105" i="24"/>
  <c r="U90" i="34" l="1"/>
  <c r="H103" i="24"/>
  <c r="J91" i="24" l="1"/>
  <c r="J81" i="24"/>
  <c r="I255" i="34" s="1"/>
  <c r="I252" i="34"/>
  <c r="Y126" i="34" s="1"/>
  <c r="J87" i="24"/>
  <c r="J53" i="24"/>
  <c r="J73" i="24"/>
  <c r="J51" i="24"/>
  <c r="J39" i="24"/>
  <c r="I245" i="34" s="1"/>
  <c r="Y104" i="34" s="1"/>
  <c r="J57" i="24"/>
  <c r="J45" i="24"/>
  <c r="I237" i="34" l="1"/>
  <c r="Y140" i="34"/>
  <c r="Y156" i="34"/>
  <c r="Y148" i="34"/>
  <c r="I246" i="34"/>
  <c r="Y101" i="34" s="1"/>
  <c r="I236" i="34"/>
  <c r="AI24" i="24"/>
  <c r="I234" i="34"/>
  <c r="Y68" i="34" s="1"/>
  <c r="I244" i="34"/>
  <c r="Y92" i="34" s="1"/>
  <c r="AI16" i="24"/>
  <c r="I226" i="34"/>
  <c r="I248" i="34"/>
  <c r="I243" i="34"/>
  <c r="AI17" i="24"/>
  <c r="I227" i="34"/>
  <c r="Y48" i="34" s="1"/>
  <c r="I239" i="34"/>
  <c r="AI23" i="24"/>
  <c r="I233" i="34"/>
  <c r="Y62" i="34" s="1"/>
  <c r="I241" i="34"/>
  <c r="Y129" i="34"/>
  <c r="AI20" i="24"/>
  <c r="I230" i="34"/>
  <c r="AI19" i="24"/>
  <c r="I229" i="34"/>
  <c r="I232" i="34"/>
  <c r="Y59" i="34" s="1"/>
  <c r="AI22" i="24"/>
  <c r="Y98" i="34"/>
  <c r="D407" i="38"/>
  <c r="I247" i="34"/>
  <c r="K57" i="24"/>
  <c r="AA57" i="24" s="1"/>
  <c r="K51" i="24"/>
  <c r="AI21" i="24"/>
  <c r="I231" i="34"/>
  <c r="D401" i="38"/>
  <c r="AI25" i="24"/>
  <c r="I235" i="34"/>
  <c r="Y74" i="34" s="1"/>
  <c r="K73" i="24"/>
  <c r="Z73" i="24" s="1"/>
  <c r="D423" i="38"/>
  <c r="K53" i="24"/>
  <c r="W53" i="24" s="1"/>
  <c r="I238" i="34"/>
  <c r="Y83" i="34" s="1"/>
  <c r="D403" i="38"/>
  <c r="I240" i="34"/>
  <c r="D437" i="38"/>
  <c r="K87" i="24"/>
  <c r="AD87" i="24" s="1"/>
  <c r="J41" i="24"/>
  <c r="J43" i="24"/>
  <c r="Z79" i="24"/>
  <c r="I253" i="34"/>
  <c r="Y134" i="34" s="1"/>
  <c r="D429" i="38"/>
  <c r="K39" i="24"/>
  <c r="W39" i="24" s="1"/>
  <c r="I249" i="34"/>
  <c r="Y113" i="34" s="1"/>
  <c r="D389" i="38"/>
  <c r="AI18" i="24"/>
  <c r="I228" i="34"/>
  <c r="K45" i="24"/>
  <c r="X45" i="24" s="1"/>
  <c r="D395" i="38"/>
  <c r="K81" i="24"/>
  <c r="AD81" i="24" s="1"/>
  <c r="D431" i="38"/>
  <c r="K91" i="24"/>
  <c r="AI91" i="24" s="1"/>
  <c r="D441" i="38"/>
  <c r="I250" i="34"/>
  <c r="J69" i="24"/>
  <c r="Y57" i="34" l="1"/>
  <c r="Y78" i="34"/>
  <c r="Y133" i="34"/>
  <c r="Y91" i="34"/>
  <c r="Y87" i="34"/>
  <c r="Y112" i="34"/>
  <c r="Y80" i="34"/>
  <c r="Y100" i="34"/>
  <c r="Y71" i="34"/>
  <c r="Y111" i="34"/>
  <c r="Y106" i="34"/>
  <c r="Y81" i="34"/>
  <c r="Y79" i="34"/>
  <c r="Y82" i="34"/>
  <c r="Y123" i="34"/>
  <c r="Y119" i="34"/>
  <c r="Y110" i="34"/>
  <c r="Y105" i="34"/>
  <c r="Y122" i="34"/>
  <c r="Y118" i="34"/>
  <c r="Y124" i="34"/>
  <c r="Y144" i="34"/>
  <c r="Y72" i="34"/>
  <c r="Y114" i="34"/>
  <c r="Y103" i="34"/>
  <c r="Y66" i="34"/>
  <c r="Y61" i="34"/>
  <c r="Y88" i="34"/>
  <c r="Y85" i="34"/>
  <c r="Y121" i="34"/>
  <c r="Y117" i="34"/>
  <c r="Y154" i="34"/>
  <c r="Y89" i="34"/>
  <c r="Y55" i="34"/>
  <c r="Y40" i="34"/>
  <c r="Y76" i="34"/>
  <c r="Y84" i="34"/>
  <c r="Y56" i="34"/>
  <c r="Y60" i="34"/>
  <c r="Y137" i="34"/>
  <c r="Y49" i="34"/>
  <c r="Y64" i="34"/>
  <c r="Y73" i="34"/>
  <c r="Y86" i="34"/>
  <c r="Y108" i="34"/>
  <c r="Y136" i="34"/>
  <c r="Y77" i="34"/>
  <c r="Y96" i="34"/>
  <c r="Y107" i="34"/>
  <c r="Y128" i="34"/>
  <c r="Y38" i="34"/>
  <c r="Y39" i="34"/>
  <c r="AB57" i="24"/>
  <c r="Y51" i="34"/>
  <c r="Y58" i="34"/>
  <c r="X57" i="24"/>
  <c r="V57" i="24"/>
  <c r="I222" i="34"/>
  <c r="Y20" i="34" s="1"/>
  <c r="AI12" i="24"/>
  <c r="AI57" i="24"/>
  <c r="Y50" i="34"/>
  <c r="Y41" i="34"/>
  <c r="Y69" i="34"/>
  <c r="Y67" i="34"/>
  <c r="Y37" i="34"/>
  <c r="Y36" i="34"/>
  <c r="Y11" i="34"/>
  <c r="AH51" i="24"/>
  <c r="AI51" i="24"/>
  <c r="AB51" i="24"/>
  <c r="Y131" i="34"/>
  <c r="Y138" i="34"/>
  <c r="Y125" i="34"/>
  <c r="Y130" i="34"/>
  <c r="Y109" i="34"/>
  <c r="Y115" i="34"/>
  <c r="Y116" i="34"/>
  <c r="Y120" i="34"/>
  <c r="V51" i="24"/>
  <c r="Z51" i="24"/>
  <c r="AD51" i="24"/>
  <c r="Z57" i="24"/>
  <c r="AE57" i="24"/>
  <c r="W57" i="24"/>
  <c r="AD57" i="24"/>
  <c r="AH57" i="24"/>
  <c r="Z91" i="24"/>
  <c r="V87" i="24"/>
  <c r="V73" i="24"/>
  <c r="AJ57" i="24"/>
  <c r="AF91" i="24"/>
  <c r="AE51" i="24"/>
  <c r="AE81" i="24"/>
  <c r="AJ79" i="24"/>
  <c r="W81" i="24"/>
  <c r="X51" i="24"/>
  <c r="AJ39" i="24"/>
  <c r="W51" i="24"/>
  <c r="X81" i="24"/>
  <c r="AA51" i="24"/>
  <c r="AF57" i="24"/>
  <c r="AJ91" i="24"/>
  <c r="AJ51" i="24"/>
  <c r="AJ87" i="24"/>
  <c r="AH87" i="24"/>
  <c r="V53" i="24"/>
  <c r="AF45" i="24"/>
  <c r="AF51" i="24"/>
  <c r="W45" i="24"/>
  <c r="AE45" i="24"/>
  <c r="AJ45" i="24"/>
  <c r="X91" i="24"/>
  <c r="AH81" i="24"/>
  <c r="V45" i="24"/>
  <c r="Z87" i="24"/>
  <c r="AH91" i="24"/>
  <c r="AI81" i="24"/>
  <c r="Z45" i="24"/>
  <c r="AI79" i="24"/>
  <c r="AF87" i="24"/>
  <c r="AD45" i="24"/>
  <c r="X79" i="24"/>
  <c r="AA87" i="24"/>
  <c r="AH45" i="24"/>
  <c r="AA45" i="24"/>
  <c r="AB45" i="24"/>
  <c r="W79" i="24"/>
  <c r="W87" i="24"/>
  <c r="AD73" i="24"/>
  <c r="W91" i="24"/>
  <c r="AB91" i="24"/>
  <c r="AI87" i="24"/>
  <c r="AF73" i="24"/>
  <c r="AW39" i="24"/>
  <c r="AV39" i="24"/>
  <c r="AE39" i="24"/>
  <c r="AW79" i="24"/>
  <c r="AV79" i="24"/>
  <c r="W73" i="24"/>
  <c r="Y168" i="34"/>
  <c r="AF39" i="24"/>
  <c r="AD79" i="24"/>
  <c r="AW53" i="24"/>
  <c r="AV53" i="24"/>
  <c r="AV73" i="24"/>
  <c r="AW73" i="24"/>
  <c r="AI73" i="24"/>
  <c r="AB81" i="24"/>
  <c r="AW81" i="24"/>
  <c r="AV81" i="24"/>
  <c r="AF79" i="24"/>
  <c r="AB53" i="24"/>
  <c r="AA81" i="24"/>
  <c r="X39" i="24"/>
  <c r="AA79" i="24"/>
  <c r="AI13" i="24"/>
  <c r="I221" i="34"/>
  <c r="K41" i="24"/>
  <c r="AB41" i="24" s="1"/>
  <c r="AI11" i="24"/>
  <c r="D391" i="38"/>
  <c r="AB87" i="24"/>
  <c r="AW87" i="24"/>
  <c r="AV87" i="24"/>
  <c r="AH53" i="24"/>
  <c r="AA73" i="24"/>
  <c r="AW91" i="24"/>
  <c r="AV91" i="24"/>
  <c r="V91" i="24"/>
  <c r="AA39" i="24"/>
  <c r="K43" i="24"/>
  <c r="AI8" i="24"/>
  <c r="I218" i="34"/>
  <c r="D393" i="38"/>
  <c r="Y70" i="34"/>
  <c r="Y75" i="34"/>
  <c r="AB73" i="24"/>
  <c r="AA91" i="24"/>
  <c r="Z81" i="24"/>
  <c r="AV45" i="24"/>
  <c r="AW45" i="24"/>
  <c r="Z39" i="24"/>
  <c r="V79" i="24"/>
  <c r="AI53" i="24"/>
  <c r="AH73" i="24"/>
  <c r="AW51" i="24"/>
  <c r="AV51" i="24"/>
  <c r="AF53" i="24"/>
  <c r="AE73" i="24"/>
  <c r="AV57" i="24"/>
  <c r="AW57" i="24"/>
  <c r="AB39" i="24"/>
  <c r="X53" i="24"/>
  <c r="V39" i="24"/>
  <c r="AA53" i="24"/>
  <c r="D419" i="38"/>
  <c r="K69" i="24"/>
  <c r="AE69" i="24" s="1"/>
  <c r="I216" i="34"/>
  <c r="Y4" i="34" s="1"/>
  <c r="AI6" i="24"/>
  <c r="V81" i="24"/>
  <c r="AD39" i="24"/>
  <c r="AB79" i="24"/>
  <c r="AE91" i="24"/>
  <c r="AF81" i="24"/>
  <c r="AI45" i="24"/>
  <c r="AI39" i="24"/>
  <c r="AH79" i="24"/>
  <c r="X87" i="24"/>
  <c r="Z53" i="24"/>
  <c r="AD53" i="24"/>
  <c r="X73" i="24"/>
  <c r="Y99" i="34"/>
  <c r="Y102" i="34"/>
  <c r="AD91" i="24"/>
  <c r="AJ81" i="24"/>
  <c r="AH39" i="24"/>
  <c r="AE79" i="24"/>
  <c r="AE87" i="24"/>
  <c r="AJ53" i="24"/>
  <c r="AE53" i="24"/>
  <c r="AJ73" i="24"/>
  <c r="Y7" i="34" l="1"/>
  <c r="Y8" i="34"/>
  <c r="Y18" i="34"/>
  <c r="Y21" i="34"/>
  <c r="AC57" i="24"/>
  <c r="Y17" i="34"/>
  <c r="Y57" i="24"/>
  <c r="AD41" i="24"/>
  <c r="AE41" i="24"/>
  <c r="X41" i="24"/>
  <c r="AK57" i="24"/>
  <c r="AK51" i="24"/>
  <c r="AG57" i="24"/>
  <c r="AG51" i="24"/>
  <c r="AG87" i="24"/>
  <c r="AG81" i="24"/>
  <c r="W41" i="24"/>
  <c r="Y45" i="24"/>
  <c r="Y51" i="24"/>
  <c r="AL51" i="24"/>
  <c r="AG45" i="24"/>
  <c r="V41" i="24"/>
  <c r="AL57" i="24"/>
  <c r="Y73" i="24"/>
  <c r="AK91" i="24"/>
  <c r="AC51" i="24"/>
  <c r="AK45" i="24"/>
  <c r="AC81" i="24"/>
  <c r="AK87" i="24"/>
  <c r="Y87" i="24"/>
  <c r="AC91" i="24"/>
  <c r="AA41" i="24"/>
  <c r="AK39" i="24"/>
  <c r="AC45" i="24"/>
  <c r="AG73" i="24"/>
  <c r="AK81" i="24"/>
  <c r="AC87" i="24"/>
  <c r="AC79" i="24"/>
  <c r="AL45" i="24"/>
  <c r="AK79" i="24"/>
  <c r="AH69" i="24"/>
  <c r="Z69" i="24"/>
  <c r="AF69" i="24"/>
  <c r="AI41" i="24"/>
  <c r="W69" i="24"/>
  <c r="AL53" i="24"/>
  <c r="L236" i="34" s="1"/>
  <c r="AD69" i="24"/>
  <c r="AC73" i="24"/>
  <c r="AG79" i="24"/>
  <c r="AL73" i="24"/>
  <c r="AB69" i="24"/>
  <c r="AK53" i="24"/>
  <c r="AJ69" i="24"/>
  <c r="X69" i="24"/>
  <c r="AG39" i="24"/>
  <c r="Y53" i="24"/>
  <c r="Y91" i="24"/>
  <c r="AL91" i="24"/>
  <c r="W43" i="24"/>
  <c r="AV43" i="24"/>
  <c r="AW43" i="24"/>
  <c r="AG53" i="24"/>
  <c r="Y81" i="24"/>
  <c r="AL81" i="24"/>
  <c r="L255" i="34" s="1"/>
  <c r="AW41" i="24"/>
  <c r="AV41" i="24"/>
  <c r="X43" i="24"/>
  <c r="AK73" i="24"/>
  <c r="Y79" i="24"/>
  <c r="AL79" i="24"/>
  <c r="Z43" i="24"/>
  <c r="AH41" i="24"/>
  <c r="AA69" i="24"/>
  <c r="AW69" i="24"/>
  <c r="AV69" i="24"/>
  <c r="AC39" i="24"/>
  <c r="V43" i="24"/>
  <c r="AF41" i="24"/>
  <c r="AC53" i="24"/>
  <c r="Z41" i="24"/>
  <c r="AL87" i="24"/>
  <c r="Y39" i="24"/>
  <c r="AL39" i="24"/>
  <c r="AG91" i="24"/>
  <c r="V69" i="24"/>
  <c r="AA43" i="24"/>
  <c r="AI69" i="24"/>
  <c r="AJ41" i="24"/>
  <c r="H33" i="24"/>
  <c r="G49" i="24"/>
  <c r="H49" i="24"/>
  <c r="H35" i="24"/>
  <c r="U35" i="24"/>
  <c r="H47" i="24"/>
  <c r="U47" i="24"/>
  <c r="U48" i="24"/>
  <c r="L234" i="34" l="1"/>
  <c r="L237" i="34"/>
  <c r="U156" i="34"/>
  <c r="U148" i="34"/>
  <c r="L243" i="34"/>
  <c r="U87" i="34" s="1"/>
  <c r="L245" i="34"/>
  <c r="U104" i="34" s="1"/>
  <c r="L233" i="34"/>
  <c r="U62" i="34" s="1"/>
  <c r="L250" i="34"/>
  <c r="U120" i="34" s="1"/>
  <c r="L244" i="34"/>
  <c r="L230" i="34"/>
  <c r="U57" i="34" s="1"/>
  <c r="L227" i="34"/>
  <c r="U48" i="34" s="1"/>
  <c r="L228" i="34"/>
  <c r="L226" i="34"/>
  <c r="L235" i="34"/>
  <c r="U74" i="34" s="1"/>
  <c r="AG41" i="24"/>
  <c r="L229" i="34"/>
  <c r="U41" i="34" s="1"/>
  <c r="L238" i="34"/>
  <c r="L239" i="34"/>
  <c r="L231" i="34"/>
  <c r="L232" i="34"/>
  <c r="L240" i="34"/>
  <c r="L241" i="34"/>
  <c r="U100" i="34" s="1"/>
  <c r="Y41" i="24"/>
  <c r="U11" i="34"/>
  <c r="U75" i="34"/>
  <c r="U73" i="34"/>
  <c r="U69" i="34"/>
  <c r="U67" i="34"/>
  <c r="L247" i="34"/>
  <c r="U106" i="34" s="1"/>
  <c r="L246" i="34"/>
  <c r="L253" i="34"/>
  <c r="U134" i="34" s="1"/>
  <c r="L252" i="34"/>
  <c r="L249" i="34"/>
  <c r="L248" i="34"/>
  <c r="AG69" i="24"/>
  <c r="AC69" i="24"/>
  <c r="AC43" i="24"/>
  <c r="AK69" i="24"/>
  <c r="AL41" i="24"/>
  <c r="AL43" i="24"/>
  <c r="L218" i="34" s="1"/>
  <c r="Y43" i="24"/>
  <c r="U116" i="34"/>
  <c r="Y69" i="24"/>
  <c r="AL69" i="24"/>
  <c r="L216" i="34" s="1"/>
  <c r="U4" i="34" s="1"/>
  <c r="AC41" i="24"/>
  <c r="AK41" i="24"/>
  <c r="U7" i="34" l="1"/>
  <c r="U8" i="34"/>
  <c r="U36" i="34"/>
  <c r="U68" i="34"/>
  <c r="U59" i="34"/>
  <c r="U70" i="34"/>
  <c r="U71" i="34"/>
  <c r="U133" i="34"/>
  <c r="U126" i="34"/>
  <c r="U85" i="34"/>
  <c r="U79" i="34"/>
  <c r="U103" i="34"/>
  <c r="U92" i="34"/>
  <c r="U60" i="34"/>
  <c r="U119" i="34"/>
  <c r="U113" i="34"/>
  <c r="U82" i="34"/>
  <c r="U110" i="34"/>
  <c r="U105" i="34"/>
  <c r="U99" i="34"/>
  <c r="U91" i="34"/>
  <c r="U118" i="34"/>
  <c r="U112" i="34"/>
  <c r="U81" i="34"/>
  <c r="U140" i="34"/>
  <c r="U117" i="34"/>
  <c r="U111" i="34"/>
  <c r="U144" i="34"/>
  <c r="U72" i="34"/>
  <c r="U131" i="34"/>
  <c r="U66" i="34"/>
  <c r="U61" i="34"/>
  <c r="U89" i="34"/>
  <c r="U138" i="34"/>
  <c r="U123" i="34"/>
  <c r="U37" i="34"/>
  <c r="U154" i="34"/>
  <c r="U55" i="34"/>
  <c r="U40" i="34"/>
  <c r="U128" i="34"/>
  <c r="U121" i="34"/>
  <c r="U76" i="34"/>
  <c r="U84" i="34"/>
  <c r="U86" i="34"/>
  <c r="U83" i="34"/>
  <c r="U77" i="34"/>
  <c r="U96" i="34"/>
  <c r="U49" i="34"/>
  <c r="U64" i="34"/>
  <c r="U137" i="34"/>
  <c r="U88" i="34"/>
  <c r="U114" i="34"/>
  <c r="U108" i="34"/>
  <c r="U136" i="34"/>
  <c r="U129" i="34"/>
  <c r="U50" i="34"/>
  <c r="U56" i="34"/>
  <c r="U38" i="34"/>
  <c r="U39" i="34"/>
  <c r="U78" i="34"/>
  <c r="U80" i="34"/>
  <c r="U51" i="34"/>
  <c r="U58" i="34"/>
  <c r="L221" i="34"/>
  <c r="L222" i="34"/>
  <c r="U20" i="34" s="1"/>
  <c r="U124" i="34"/>
  <c r="U122" i="34"/>
  <c r="U107" i="34"/>
  <c r="U102" i="34"/>
  <c r="U101" i="34"/>
  <c r="U98" i="34"/>
  <c r="U130" i="34"/>
  <c r="U125" i="34"/>
  <c r="U115" i="34"/>
  <c r="U109" i="34"/>
  <c r="U18" i="34" l="1"/>
  <c r="U21" i="34"/>
  <c r="U17" i="34"/>
  <c r="AF65" i="24" l="1"/>
  <c r="Z65" i="24"/>
  <c r="D415" i="38"/>
  <c r="W65" i="24" l="1"/>
  <c r="AA65" i="24"/>
  <c r="AJ65" i="24"/>
  <c r="AD65" i="24"/>
  <c r="AB65" i="24"/>
  <c r="V65" i="24"/>
  <c r="AI65" i="24"/>
  <c r="AH65" i="24"/>
  <c r="AE65" i="24"/>
  <c r="X65" i="24"/>
  <c r="AV65" i="24"/>
  <c r="AW65" i="24"/>
  <c r="AS89" i="24" l="1" a="1"/>
  <c r="AS90" i="24" a="1"/>
  <c r="AK65" i="24"/>
  <c r="AG65" i="24"/>
  <c r="AC65" i="24"/>
  <c r="AL65" i="24"/>
  <c r="Y65" i="24"/>
  <c r="AS80" i="24" a="1"/>
  <c r="AS79" i="24" l="1" a="1"/>
  <c r="H37" i="24" l="1"/>
  <c r="H73" i="24" l="1"/>
  <c r="H75" i="24"/>
  <c r="J123" i="24" l="1"/>
  <c r="AI14" i="24" l="1"/>
  <c r="I224" i="34"/>
  <c r="AI15" i="24"/>
  <c r="I225" i="34"/>
  <c r="Y32" i="34" s="1"/>
  <c r="K123" i="24"/>
  <c r="W123" i="24" s="1"/>
  <c r="Y31" i="34" l="1"/>
  <c r="Y29" i="34"/>
  <c r="AH123" i="24"/>
  <c r="Y30" i="34"/>
  <c r="Y35" i="34"/>
  <c r="X123" i="24"/>
  <c r="AD123" i="24"/>
  <c r="AF123" i="24"/>
  <c r="Z123" i="24"/>
  <c r="AA123" i="24"/>
  <c r="AI123" i="24"/>
  <c r="V123" i="24"/>
  <c r="AE123" i="24"/>
  <c r="AB123" i="24"/>
  <c r="AJ123" i="24"/>
  <c r="AW123" i="24"/>
  <c r="AV123" i="24"/>
  <c r="AG123" i="24" l="1"/>
  <c r="AL123" i="24"/>
  <c r="Y123" i="24"/>
  <c r="AK123" i="24"/>
  <c r="AC123" i="24"/>
  <c r="L225" i="34" l="1"/>
  <c r="U32" i="34" s="1"/>
  <c r="L224" i="34"/>
  <c r="U29" i="34" s="1"/>
  <c r="U28" i="34" l="1"/>
  <c r="U31" i="34"/>
  <c r="U30" i="34"/>
  <c r="U35" i="34"/>
  <c r="J77" i="24" l="1"/>
  <c r="I259" i="34" l="1"/>
  <c r="Y162" i="34" s="1"/>
  <c r="I261" i="34"/>
  <c r="Y178" i="34"/>
  <c r="I257" i="34"/>
  <c r="Y150" i="34" s="1"/>
  <c r="I258" i="34"/>
  <c r="Y161" i="34" s="1"/>
  <c r="I254" i="34"/>
  <c r="Y141" i="34" s="1"/>
  <c r="I256" i="34"/>
  <c r="Y139" i="34"/>
  <c r="Y173" i="34"/>
  <c r="I262" i="34"/>
  <c r="K77" i="24"/>
  <c r="X77" i="24" s="1"/>
  <c r="R153" i="24" s="1"/>
  <c r="Y63" i="32" s="1"/>
  <c r="D427" i="38"/>
  <c r="I260" i="34"/>
  <c r="Y167" i="34" s="1"/>
  <c r="Y166" i="34" l="1"/>
  <c r="Y149" i="34"/>
  <c r="Y146" i="34"/>
  <c r="Y195" i="34"/>
  <c r="Y180" i="34"/>
  <c r="Y143" i="34"/>
  <c r="Y142" i="34"/>
  <c r="Y160" i="34"/>
  <c r="Y158" i="34"/>
  <c r="Y175" i="34"/>
  <c r="Y179" i="34"/>
  <c r="Y147" i="34"/>
  <c r="Y145" i="34"/>
  <c r="Y177" i="34"/>
  <c r="Y165" i="34"/>
  <c r="Y163" i="34"/>
  <c r="Y159" i="34"/>
  <c r="Y176" i="34"/>
  <c r="Y164" i="34"/>
  <c r="Y157" i="34"/>
  <c r="Y155" i="34"/>
  <c r="W77" i="24"/>
  <c r="Q153" i="24" s="1"/>
  <c r="X63" i="32" s="1"/>
  <c r="AI77" i="24"/>
  <c r="Z153" i="24" s="1"/>
  <c r="AG63" i="32" s="1"/>
  <c r="AA77" i="24"/>
  <c r="T153" i="24" s="1"/>
  <c r="AA63" i="32" s="1"/>
  <c r="Z77" i="24"/>
  <c r="S153" i="24" s="1"/>
  <c r="Z63" i="32" s="1"/>
  <c r="AF77" i="24"/>
  <c r="X153" i="24" s="1"/>
  <c r="AE63" i="32" s="1"/>
  <c r="AH77" i="24"/>
  <c r="Y153" i="24" s="1"/>
  <c r="AF63" i="32" s="1"/>
  <c r="AE77" i="24"/>
  <c r="W153" i="24" s="1"/>
  <c r="AD63" i="32" s="1"/>
  <c r="AD77" i="24"/>
  <c r="V153" i="24" s="1"/>
  <c r="AC63" i="32" s="1"/>
  <c r="AJ77" i="24"/>
  <c r="AA153" i="24" s="1"/>
  <c r="AH63" i="32" s="1"/>
  <c r="AB77" i="24"/>
  <c r="U153" i="24" s="1"/>
  <c r="AB63" i="32" s="1"/>
  <c r="V77" i="24"/>
  <c r="AV77" i="24"/>
  <c r="AW77" i="24"/>
  <c r="Y196" i="34"/>
  <c r="Y197" i="34"/>
  <c r="Y198" i="34"/>
  <c r="AG77" i="24" l="1"/>
  <c r="AK77" i="24"/>
  <c r="AC77" i="24"/>
  <c r="AS82" i="24" s="1" a="1"/>
  <c r="AL77" i="24"/>
  <c r="Y77" i="24"/>
  <c r="P153" i="24"/>
  <c r="AS66" i="24" a="1"/>
  <c r="AS52" i="24" a="1"/>
  <c r="AS78" i="24" a="1"/>
  <c r="L258" i="34" l="1"/>
  <c r="L259" i="34"/>
  <c r="L256" i="34"/>
  <c r="U146" i="34" s="1"/>
  <c r="L257" i="34"/>
  <c r="L260" i="34"/>
  <c r="L254" i="34"/>
  <c r="U141" i="34" s="1"/>
  <c r="AS54" i="24" a="1"/>
  <c r="AS62" i="24" a="1"/>
  <c r="AS96" i="24" a="1"/>
  <c r="AS98" i="24" a="1"/>
  <c r="AS118" i="24" a="1"/>
  <c r="AS32" i="24" a="1"/>
  <c r="AS132" i="24" a="1"/>
  <c r="AS42" i="24" a="1"/>
  <c r="AS126" i="24" a="1"/>
  <c r="AS116" i="24" a="1"/>
  <c r="AS120" i="24" a="1"/>
  <c r="AS100" i="24" a="1"/>
  <c r="AS60" i="24" a="1"/>
  <c r="AS68" i="24" a="1"/>
  <c r="AS122" i="24" a="1"/>
  <c r="AS34" i="24" a="1"/>
  <c r="AS124" i="24" a="1"/>
  <c r="AS104" i="24" a="1"/>
  <c r="AS50" i="24" a="1"/>
  <c r="AS76" i="24" a="1"/>
  <c r="AS128" i="24" a="1"/>
  <c r="AS106" i="24" a="1"/>
  <c r="AS110" i="24" a="1"/>
  <c r="AS44" i="24" a="1"/>
  <c r="AS36" i="24" a="1"/>
  <c r="AS114" i="24" a="1"/>
  <c r="AS56" i="24" a="1"/>
  <c r="AS88" i="24" a="1"/>
  <c r="AS74" i="24" a="1"/>
  <c r="AS130" i="24" a="1"/>
  <c r="AS72" i="24" a="1"/>
  <c r="AS112" i="24" a="1"/>
  <c r="AS92" i="24" a="1"/>
  <c r="AS38" i="24" a="1"/>
  <c r="AS58" i="24" a="1"/>
  <c r="AS102" i="24" a="1"/>
  <c r="AS70" i="24" a="1"/>
  <c r="AS84" i="24" a="1"/>
  <c r="AS48" i="24" a="1"/>
  <c r="AS86" i="24" a="1"/>
  <c r="AS40" i="24" a="1"/>
  <c r="AS94" i="24" a="1"/>
  <c r="AS46" i="24" a="1"/>
  <c r="AS64" i="24" a="1"/>
  <c r="AS108" i="24" a="1"/>
  <c r="W63" i="32"/>
  <c r="AB153" i="24"/>
  <c r="U143" i="34" l="1"/>
  <c r="U142" i="34"/>
  <c r="U158" i="34"/>
  <c r="U150" i="34"/>
  <c r="U175" i="34"/>
  <c r="U167" i="34"/>
  <c r="U166" i="34"/>
  <c r="U162" i="34"/>
  <c r="U159" i="34"/>
  <c r="U149" i="34"/>
  <c r="U165" i="34"/>
  <c r="U161" i="34"/>
  <c r="U164" i="34"/>
  <c r="U160" i="34"/>
  <c r="U155" i="34"/>
  <c r="U147" i="34"/>
  <c r="U145" i="34"/>
  <c r="U163" i="34"/>
  <c r="U173" i="34"/>
  <c r="U157" i="34"/>
  <c r="K265" i="34" a="1"/>
  <c r="AI63" i="32"/>
  <c r="W62" i="32"/>
  <c r="X62" i="32" s="1"/>
  <c r="Y62" i="32" s="1"/>
  <c r="Z62" i="32" s="1"/>
  <c r="AA62" i="32" s="1"/>
  <c r="AB62" i="32" s="1"/>
  <c r="AC62" i="32" s="1"/>
  <c r="AD62" i="32" s="1"/>
  <c r="AE62" i="32" s="1"/>
  <c r="AF62" i="32" s="1"/>
  <c r="AG62" i="32" s="1"/>
  <c r="AH62" i="32" s="1"/>
  <c r="W197" i="34" l="1"/>
  <c r="J31" i="24" l="1"/>
  <c r="D379" i="38" l="1"/>
  <c r="I220" i="34"/>
  <c r="Y16" i="34" s="1"/>
  <c r="AI10" i="24"/>
  <c r="K31" i="24"/>
  <c r="AH31" i="24" s="1"/>
  <c r="Y14" i="34" l="1"/>
  <c r="Y15" i="34"/>
  <c r="AF31" i="24"/>
  <c r="X147" i="24" s="1"/>
  <c r="X31" i="24"/>
  <c r="R147" i="24" s="1"/>
  <c r="AI31" i="24"/>
  <c r="Z147" i="24" s="1"/>
  <c r="AE31" i="24"/>
  <c r="W147" i="24" s="1"/>
  <c r="AJ31" i="24"/>
  <c r="AA147" i="24" s="1"/>
  <c r="V31" i="24"/>
  <c r="P147" i="24" s="1"/>
  <c r="Z31" i="24"/>
  <c r="S147" i="24" s="1"/>
  <c r="Y147" i="24"/>
  <c r="W31" i="24"/>
  <c r="Q147" i="24" s="1"/>
  <c r="AW31" i="24"/>
  <c r="AW29" i="24" s="1"/>
  <c r="D5" i="24" s="1"/>
  <c r="F7" i="32" s="1"/>
  <c r="AV31" i="24"/>
  <c r="AV29" i="24" s="1"/>
  <c r="E5" i="24" s="1"/>
  <c r="G7" i="32" s="1"/>
  <c r="AA31" i="24"/>
  <c r="T147" i="24" s="1"/>
  <c r="AD31" i="24"/>
  <c r="AB31" i="24"/>
  <c r="U147" i="24" s="1"/>
  <c r="AK31" i="24" l="1"/>
  <c r="P150" i="24"/>
  <c r="Q150" i="24" s="1"/>
  <c r="R150" i="24" s="1"/>
  <c r="S150" i="24" s="1"/>
  <c r="T150" i="24" s="1"/>
  <c r="U150" i="24" s="1"/>
  <c r="AL31" i="24"/>
  <c r="L220" i="34" s="1"/>
  <c r="U16" i="34" s="1"/>
  <c r="AC31" i="24"/>
  <c r="AG31" i="24"/>
  <c r="V18" i="24" s="1" a="1"/>
  <c r="V147" i="24"/>
  <c r="Y31" i="24"/>
  <c r="V15" i="24" a="1"/>
  <c r="V10" i="24" a="1"/>
  <c r="U14" i="34" l="1"/>
  <c r="U15" i="34"/>
  <c r="AS65" i="24" a="1"/>
  <c r="AS95" i="24" a="1"/>
  <c r="V24" i="24" a="1"/>
  <c r="AS131" i="24" a="1"/>
  <c r="AS67" i="24" a="1"/>
  <c r="AS103" i="24" a="1"/>
  <c r="AS85" i="24" a="1"/>
  <c r="AS59" i="24" a="1"/>
  <c r="V9" i="24" a="1"/>
  <c r="AS57" i="24" a="1"/>
  <c r="AS71" i="24" a="1"/>
  <c r="AS53" i="24" a="1"/>
  <c r="AS87" i="24" a="1"/>
  <c r="AS117" i="24" a="1"/>
  <c r="AS31" i="24" a="1"/>
  <c r="V23" i="24" a="1"/>
  <c r="V12" i="24" a="1"/>
  <c r="AB147" i="24"/>
  <c r="V150" i="24"/>
  <c r="W150" i="24" s="1"/>
  <c r="X150" i="24" s="1"/>
  <c r="Y150" i="24" s="1"/>
  <c r="Z150" i="24" s="1"/>
  <c r="AA150" i="24" s="1"/>
  <c r="AS99" i="24" a="1"/>
  <c r="V16" i="24" a="1"/>
  <c r="AS35" i="24" a="1"/>
  <c r="AS111" i="24" a="1"/>
  <c r="V21" i="24" a="1"/>
  <c r="AS61" i="24" a="1"/>
  <c r="AS115" i="24" a="1"/>
  <c r="AS91" i="24" a="1"/>
  <c r="AS41" i="24" a="1"/>
  <c r="AS73" i="24" a="1"/>
  <c r="AS125" i="24" a="1"/>
  <c r="AS33" i="24" a="1"/>
  <c r="V6" i="24" a="1"/>
  <c r="V20" i="24" a="1"/>
  <c r="V25" i="24" a="1"/>
  <c r="AS129" i="24" a="1"/>
  <c r="V8" i="24" a="1"/>
  <c r="AS83" i="24" a="1"/>
  <c r="V13" i="24" a="1"/>
  <c r="V11" i="24" a="1"/>
  <c r="V14" i="24" a="1"/>
  <c r="AS55" i="24" a="1"/>
  <c r="AS37" i="24" a="1"/>
  <c r="AS81" i="24" a="1"/>
  <c r="AS93" i="24" a="1"/>
  <c r="AS63" i="24" a="1"/>
  <c r="AS101" i="24" a="1"/>
  <c r="AS45" i="24" a="1"/>
  <c r="AS77" i="24" a="1"/>
  <c r="AS123" i="24" a="1"/>
  <c r="AS105" i="24" a="1"/>
  <c r="AS107" i="24" a="1"/>
  <c r="AS109" i="24" a="1"/>
  <c r="V22" i="24" a="1"/>
  <c r="AS119" i="24" a="1"/>
  <c r="AS127" i="24" a="1"/>
  <c r="V17" i="24" a="1"/>
  <c r="V7" i="24" a="1"/>
  <c r="AS75" i="24" a="1"/>
  <c r="AS69" i="24" a="1"/>
  <c r="AS51" i="24" a="1"/>
  <c r="V19" i="24" a="1"/>
  <c r="AS113" i="24" a="1"/>
  <c r="AS43" i="24" a="1"/>
  <c r="AS39" i="24" a="1"/>
  <c r="AS47" i="24" a="1"/>
  <c r="AS49" i="24" a="1"/>
  <c r="AS97" i="24" a="1"/>
  <c r="AS121" i="24" a="1"/>
  <c r="J265" i="34" l="1"/>
  <c r="W185" i="34" l="1"/>
  <c r="W181" i="34"/>
  <c r="G59" i="24" l="1"/>
  <c r="H59" i="24"/>
  <c r="U59" i="24"/>
  <c r="U60" i="24"/>
  <c r="H61" i="24"/>
  <c r="U61" i="24"/>
  <c r="AE19" i="24" s="1" a="1"/>
  <c r="U62" i="24"/>
  <c r="AF19" i="24" s="1" a="1"/>
  <c r="H99" i="24"/>
  <c r="U99" i="24"/>
  <c r="U100" i="24"/>
  <c r="U107" i="24"/>
  <c r="AE9" i="24" s="1" a="1"/>
  <c r="U108" i="24"/>
  <c r="AF9" i="24" s="1" a="1"/>
  <c r="H113" i="24"/>
  <c r="U113" i="24"/>
  <c r="U114" i="24"/>
  <c r="H123" i="24"/>
  <c r="U123" i="24"/>
  <c r="U124" i="24"/>
  <c r="H125" i="24"/>
  <c r="U125" i="24"/>
  <c r="U126" i="24"/>
  <c r="U130" i="24"/>
  <c r="AF21" i="24" s="1" a="1"/>
  <c r="U129" i="24"/>
  <c r="AE21" i="24" s="1" a="1"/>
  <c r="U128" i="24"/>
  <c r="U127" i="24"/>
  <c r="H127" i="24"/>
  <c r="G127" i="24"/>
  <c r="U110" i="24"/>
  <c r="AF22" i="24" s="1" a="1"/>
  <c r="U109" i="24"/>
  <c r="AE22" i="24" s="1" a="1"/>
  <c r="U132" i="24"/>
  <c r="AF12" i="24" s="1" a="1"/>
  <c r="U131" i="24"/>
  <c r="AE12" i="24" s="1" a="1"/>
  <c r="U96" i="24"/>
  <c r="AF7" i="24" s="1" a="1"/>
  <c r="U95" i="24"/>
  <c r="AE7" i="24" s="1" a="1"/>
  <c r="H95" i="24"/>
  <c r="U92" i="24"/>
  <c r="U91" i="24"/>
  <c r="H91" i="24"/>
  <c r="U104" i="24"/>
  <c r="AF16" i="24" s="1" a="1"/>
  <c r="U103" i="24"/>
  <c r="AE16" i="24" s="1" a="1"/>
  <c r="U70" i="24"/>
  <c r="AF6" i="24" s="1" a="1"/>
  <c r="U69" i="24"/>
  <c r="AE6" i="24" s="1" a="1"/>
  <c r="H69" i="24"/>
  <c r="U106" i="24"/>
  <c r="U105" i="24"/>
  <c r="H105" i="24"/>
  <c r="U40" i="24"/>
  <c r="U39" i="24"/>
  <c r="H39" i="24"/>
  <c r="U58" i="24"/>
  <c r="U57" i="24"/>
  <c r="H57" i="24"/>
  <c r="U42" i="24"/>
  <c r="AF11" i="24" s="1" a="1"/>
  <c r="U41" i="24"/>
  <c r="AE11" i="24" s="1" a="1"/>
  <c r="H41" i="24"/>
  <c r="U46" i="24"/>
  <c r="AF18" i="24" s="1" a="1"/>
  <c r="U45" i="24"/>
  <c r="AE18" i="24" s="1" a="1"/>
  <c r="H45" i="24"/>
  <c r="U44" i="24"/>
  <c r="AF8" i="24" s="1" a="1"/>
  <c r="U43" i="24"/>
  <c r="AE8" i="24" s="1" a="1"/>
  <c r="H43" i="24"/>
  <c r="U98" i="24"/>
  <c r="U97" i="24"/>
  <c r="H97" i="24"/>
  <c r="U120" i="24"/>
  <c r="U119" i="24"/>
  <c r="H119" i="24"/>
  <c r="U118" i="24"/>
  <c r="U117" i="24"/>
  <c r="H117" i="24"/>
  <c r="U78" i="24"/>
  <c r="U77" i="24"/>
  <c r="H77" i="24"/>
  <c r="U82" i="24"/>
  <c r="U81" i="24"/>
  <c r="H81" i="24"/>
  <c r="U84" i="24"/>
  <c r="U83" i="24"/>
  <c r="H83" i="24"/>
  <c r="U88" i="24"/>
  <c r="U87" i="24"/>
  <c r="H87" i="24"/>
  <c r="U54" i="24"/>
  <c r="U53" i="24"/>
  <c r="H53" i="24"/>
  <c r="G53" i="24"/>
  <c r="U74" i="24"/>
  <c r="U73" i="24"/>
  <c r="U52" i="24"/>
  <c r="AF20" i="24" s="1" a="1"/>
  <c r="U51" i="24"/>
  <c r="AE20" i="24" s="1" a="1"/>
  <c r="H51" i="24"/>
  <c r="U32" i="24"/>
  <c r="U31" i="24"/>
  <c r="AE10" i="24" s="1" a="1"/>
  <c r="U86" i="24"/>
  <c r="U85" i="24"/>
  <c r="H85" i="24"/>
  <c r="U76" i="24"/>
  <c r="U75" i="24"/>
  <c r="U56" i="24"/>
  <c r="U55" i="24"/>
  <c r="H55" i="24"/>
  <c r="U122" i="24"/>
  <c r="AF14" i="24" s="1" a="1"/>
  <c r="U121" i="24"/>
  <c r="AE14" i="24" s="1" a="1"/>
  <c r="H121" i="24"/>
  <c r="G121" i="24"/>
  <c r="U112" i="24"/>
  <c r="U111" i="24"/>
  <c r="U72" i="24"/>
  <c r="U71" i="24"/>
  <c r="H71" i="24"/>
  <c r="H101" i="24"/>
  <c r="U94" i="24"/>
  <c r="U93" i="24"/>
  <c r="H93" i="24"/>
  <c r="U116" i="24"/>
  <c r="U115" i="24"/>
  <c r="H115" i="24"/>
  <c r="G115" i="24"/>
  <c r="AF23" i="24" l="1" a="1"/>
  <c r="AE23" i="24" a="1"/>
  <c r="AF13" i="24" a="1"/>
  <c r="AE13" i="24" a="1"/>
  <c r="G93" i="24"/>
  <c r="G31" i="24"/>
  <c r="AE15" i="24" a="1"/>
  <c r="AE17" i="24" a="1"/>
  <c r="G123" i="24"/>
  <c r="G101" i="24"/>
  <c r="AF15" i="24" a="1"/>
  <c r="AF17" i="24" a="1"/>
  <c r="G73" i="24"/>
  <c r="G97" i="24"/>
  <c r="G57" i="24"/>
  <c r="G55" i="24"/>
  <c r="G75" i="24"/>
  <c r="AF10" i="24" a="1"/>
  <c r="G91" i="24"/>
  <c r="G43" i="24"/>
  <c r="G51" i="24"/>
  <c r="G87" i="24"/>
  <c r="G81" i="24"/>
  <c r="G119" i="24"/>
  <c r="G41" i="24"/>
  <c r="G105" i="24"/>
  <c r="G113" i="24"/>
  <c r="G85" i="24"/>
  <c r="G77" i="24"/>
  <c r="AE25" i="24" a="1"/>
  <c r="AE24" i="24" a="1"/>
  <c r="G125" i="24"/>
  <c r="AF25" i="24" a="1"/>
  <c r="AF24" i="24" a="1"/>
  <c r="G117" i="24"/>
  <c r="G45" i="24"/>
  <c r="G39" i="24"/>
  <c r="U68" i="24" l="1"/>
  <c r="U67" i="24"/>
  <c r="H67" i="24"/>
  <c r="U64" i="24"/>
  <c r="U63" i="24"/>
  <c r="H63" i="24"/>
  <c r="W149" i="24" l="1" a="1"/>
  <c r="AA149" i="24" a="1"/>
  <c r="V149" i="24" a="1"/>
  <c r="Y149" i="24" a="1"/>
  <c r="R149" i="24" a="1"/>
  <c r="Q149" i="24" a="1"/>
  <c r="X149" i="24" a="1"/>
  <c r="U149" i="24" a="1"/>
  <c r="Z149" i="24" a="1"/>
  <c r="T149" i="24" a="1"/>
  <c r="P149" i="24" a="1"/>
  <c r="S149" i="24" a="1"/>
  <c r="W19" i="24" a="1"/>
  <c r="W10" i="24" a="1"/>
  <c r="W24" i="24" a="1"/>
  <c r="W8" i="24" a="1"/>
  <c r="W11" i="24" a="1"/>
  <c r="W25" i="24" a="1"/>
  <c r="W23" i="24" a="1"/>
  <c r="W18" i="24" a="1"/>
  <c r="W7" i="24" a="1"/>
  <c r="W14" i="24" a="1"/>
  <c r="W20" i="24" a="1"/>
  <c r="W22" i="24" a="1"/>
  <c r="W21" i="24" a="1"/>
  <c r="W17" i="24" a="1"/>
  <c r="W16" i="24" a="1"/>
  <c r="W9" i="24" a="1"/>
  <c r="W12" i="24" a="1"/>
  <c r="W13" i="24" a="1"/>
  <c r="W6" i="24" a="1"/>
  <c r="W15" i="24" a="1"/>
  <c r="W184" i="34" l="1"/>
  <c r="K145" i="34" l="1" a="1"/>
  <c r="J145" i="34" l="1"/>
  <c r="W180" i="34" l="1"/>
  <c r="B500" i="38" l="1"/>
  <c r="A2" i="42"/>
  <c r="K265" i="34"/>
  <c r="A216" i="34"/>
  <c r="K211" i="34"/>
  <c r="K210" i="34"/>
  <c r="K209" i="34"/>
  <c r="K208" i="34"/>
  <c r="K207" i="34"/>
  <c r="K206" i="34"/>
  <c r="K205" i="34"/>
  <c r="K204" i="34"/>
  <c r="K203" i="34"/>
  <c r="K202" i="34"/>
  <c r="K201" i="34"/>
  <c r="K200" i="34"/>
  <c r="K199" i="34"/>
  <c r="K198" i="34"/>
  <c r="K197" i="34"/>
  <c r="K196" i="34"/>
  <c r="A182" i="34"/>
  <c r="K178" i="34"/>
  <c r="K177" i="34"/>
  <c r="K176" i="34"/>
  <c r="K174" i="34"/>
  <c r="K173" i="34"/>
  <c r="K172" i="34"/>
  <c r="K171" i="34"/>
  <c r="K169" i="34"/>
  <c r="K167" i="34"/>
  <c r="K165" i="34"/>
  <c r="A149" i="34"/>
  <c r="K145" i="34"/>
  <c r="A116" i="34"/>
  <c r="K109" i="34"/>
  <c r="K108" i="34"/>
  <c r="K107" i="34"/>
  <c r="K106" i="34"/>
  <c r="K105" i="34"/>
  <c r="K104" i="34"/>
  <c r="A70" i="34"/>
  <c r="Q4" i="34"/>
  <c r="A4" i="34"/>
  <c r="W75" i="14"/>
  <c r="V75" i="14"/>
  <c r="U75" i="14"/>
  <c r="T75" i="14"/>
  <c r="S75" i="14"/>
  <c r="R75" i="14"/>
  <c r="Q75" i="14"/>
  <c r="P75" i="14"/>
  <c r="O75" i="14"/>
  <c r="N75" i="14"/>
  <c r="M75" i="14"/>
  <c r="L75" i="14"/>
  <c r="AR70" i="14"/>
  <c r="AR69" i="14"/>
  <c r="AR68" i="14"/>
  <c r="AR67" i="14"/>
  <c r="AR66" i="14"/>
  <c r="AR65" i="14"/>
  <c r="AR64" i="14"/>
  <c r="AR63" i="14"/>
  <c r="AR62" i="14"/>
  <c r="AR61" i="14"/>
  <c r="AR60" i="14"/>
  <c r="AR59" i="14"/>
  <c r="AR58" i="14"/>
  <c r="AR57" i="14"/>
  <c r="AR56" i="14"/>
  <c r="AR55" i="14"/>
  <c r="AR54" i="14"/>
  <c r="AR53" i="14"/>
  <c r="AR52" i="14"/>
  <c r="AR51" i="14"/>
  <c r="AR50" i="14"/>
  <c r="AR49" i="14"/>
  <c r="AR48" i="14"/>
  <c r="AR47" i="14"/>
  <c r="AR46" i="14"/>
  <c r="AR45" i="14"/>
  <c r="AR44" i="14"/>
  <c r="AR43" i="14"/>
  <c r="AR42" i="14"/>
  <c r="AR41" i="14"/>
  <c r="AR40" i="14"/>
  <c r="AR39" i="14"/>
  <c r="AR38" i="14"/>
  <c r="AR37" i="14"/>
  <c r="AR36" i="14"/>
  <c r="AR35" i="14"/>
  <c r="AR34" i="14"/>
  <c r="AR33" i="14"/>
  <c r="AR32" i="14"/>
  <c r="AR31" i="14"/>
  <c r="AR30" i="14"/>
  <c r="AR29" i="14"/>
  <c r="AR28" i="14"/>
  <c r="AR27" i="14"/>
  <c r="AR26" i="14"/>
  <c r="AR25" i="14"/>
  <c r="AR24" i="14"/>
  <c r="AR23" i="14"/>
  <c r="AR22" i="14"/>
  <c r="AR21" i="14"/>
  <c r="W88" i="8"/>
  <c r="V88" i="8"/>
  <c r="U88" i="8"/>
  <c r="T88" i="8"/>
  <c r="S88" i="8"/>
  <c r="R88" i="8"/>
  <c r="Q88" i="8"/>
  <c r="P88" i="8"/>
  <c r="O88" i="8"/>
  <c r="N88" i="8"/>
  <c r="M88" i="8"/>
  <c r="L88" i="8"/>
  <c r="AR83" i="8"/>
  <c r="AR82" i="8"/>
  <c r="AR81" i="8"/>
  <c r="AR80" i="8"/>
  <c r="AR79" i="8"/>
  <c r="AR78" i="8"/>
  <c r="AR77" i="8"/>
  <c r="AR76" i="8"/>
  <c r="AR75" i="8"/>
  <c r="AR74" i="8"/>
  <c r="AR73" i="8"/>
  <c r="AR72" i="8"/>
  <c r="AR71" i="8"/>
  <c r="AR70" i="8"/>
  <c r="AR69" i="8"/>
  <c r="AR68" i="8"/>
  <c r="AR67" i="8"/>
  <c r="AR66" i="8"/>
  <c r="AR65" i="8"/>
  <c r="AR64" i="8"/>
  <c r="AR63" i="8"/>
  <c r="AR62" i="8"/>
  <c r="AR61" i="8"/>
  <c r="AR60" i="8"/>
  <c r="AR59" i="8"/>
  <c r="AR58" i="8"/>
  <c r="AR57" i="8"/>
  <c r="AR56" i="8"/>
  <c r="AR55" i="8"/>
  <c r="AR54" i="8"/>
  <c r="AR53" i="8"/>
  <c r="AR52" i="8"/>
  <c r="AR51" i="8"/>
  <c r="AR50" i="8"/>
  <c r="AR49" i="8"/>
  <c r="AR48" i="8"/>
  <c r="AR47" i="8"/>
  <c r="AR46" i="8"/>
  <c r="AR45" i="8"/>
  <c r="AR44" i="8"/>
  <c r="AR43" i="8"/>
  <c r="AR42" i="8"/>
  <c r="AR41" i="8"/>
  <c r="AR40" i="8"/>
  <c r="AR39" i="8"/>
  <c r="AR38" i="8"/>
  <c r="AR37" i="8"/>
  <c r="AR36" i="8"/>
  <c r="AR35" i="8"/>
  <c r="AR34" i="8"/>
  <c r="R10" i="8"/>
  <c r="AA149" i="24"/>
  <c r="Z149" i="24"/>
  <c r="Y149" i="24"/>
  <c r="X149" i="24"/>
  <c r="W149" i="24"/>
  <c r="V149" i="24"/>
  <c r="U149" i="24"/>
  <c r="T149" i="24"/>
  <c r="S149" i="24"/>
  <c r="R149" i="24"/>
  <c r="Q149" i="24"/>
  <c r="P149" i="24"/>
  <c r="AS144" i="24"/>
  <c r="AS143" i="24"/>
  <c r="AS142" i="24"/>
  <c r="AS141" i="24"/>
  <c r="AS140" i="24"/>
  <c r="AS139" i="24"/>
  <c r="AS138" i="24"/>
  <c r="AS137" i="24"/>
  <c r="AS136" i="24"/>
  <c r="AS135" i="24"/>
  <c r="AS134" i="24"/>
  <c r="AS133" i="24"/>
  <c r="AS132" i="24"/>
  <c r="AS131" i="24"/>
  <c r="AS130" i="24"/>
  <c r="AS129" i="24"/>
  <c r="AS128" i="24"/>
  <c r="K239" i="34" s="1" a="1"/>
  <c r="K239" i="34" s="1"/>
  <c r="AS127" i="24"/>
  <c r="J239" i="34" s="1"/>
  <c r="AS126" i="24"/>
  <c r="K245" i="34" s="1" a="1"/>
  <c r="K245" i="34" s="1"/>
  <c r="AS125" i="24"/>
  <c r="J245" i="34" s="1"/>
  <c r="AS124" i="24"/>
  <c r="K225" i="34" s="1" a="1"/>
  <c r="K225" i="34" s="1"/>
  <c r="AS123" i="24"/>
  <c r="J225" i="34" s="1"/>
  <c r="AS122" i="24"/>
  <c r="K224" i="34" s="1" a="1"/>
  <c r="K224" i="34" s="1"/>
  <c r="AS121" i="24"/>
  <c r="J224" i="34" s="1"/>
  <c r="AS120" i="24"/>
  <c r="K246" i="34" s="1" a="1"/>
  <c r="K246" i="34" s="1"/>
  <c r="W101" i="34" s="1"/>
  <c r="AS119" i="24"/>
  <c r="J246" i="34" s="1"/>
  <c r="V101" i="34" s="1"/>
  <c r="AS118" i="24"/>
  <c r="K258" i="34" s="1" a="1"/>
  <c r="K258" i="34" s="1"/>
  <c r="W158" i="34" s="1"/>
  <c r="AS117" i="24"/>
  <c r="J258" i="34" s="1"/>
  <c r="V158" i="34" s="1"/>
  <c r="AS116" i="24"/>
  <c r="K234" i="34" s="1" a="1"/>
  <c r="K234" i="34" s="1"/>
  <c r="AS115" i="24"/>
  <c r="J234" i="34" s="1"/>
  <c r="AS114" i="24"/>
  <c r="K244" i="34" s="1" a="1"/>
  <c r="K244" i="34" s="1"/>
  <c r="W91" i="34" s="1"/>
  <c r="AS113" i="24"/>
  <c r="J244" i="34" s="1"/>
  <c r="V91" i="34" s="1"/>
  <c r="AS112" i="24"/>
  <c r="K251" i="34" s="1" a="1"/>
  <c r="AS111" i="24"/>
  <c r="J251" i="34" s="1"/>
  <c r="AS110" i="24"/>
  <c r="K233" i="34" s="1" a="1"/>
  <c r="K233" i="34" s="1"/>
  <c r="AS109" i="24"/>
  <c r="J233" i="34" s="1"/>
  <c r="AS108" i="24"/>
  <c r="K219" i="34" s="1" a="1"/>
  <c r="K219" i="34" s="1"/>
  <c r="AS107" i="24"/>
  <c r="J219" i="34" s="1"/>
  <c r="AS106" i="24"/>
  <c r="K248" i="34" s="1" a="1"/>
  <c r="K248" i="34" s="1"/>
  <c r="W111" i="34" s="1"/>
  <c r="AS105" i="24"/>
  <c r="J248" i="34" s="1"/>
  <c r="AS104" i="24"/>
  <c r="K227" i="34" s="1" a="1"/>
  <c r="K227" i="34" s="1"/>
  <c r="AS103" i="24"/>
  <c r="J227" i="34" s="1"/>
  <c r="AS102" i="24"/>
  <c r="K254" i="34" s="1" a="1"/>
  <c r="K254" i="34" s="1"/>
  <c r="W141" i="34" s="1"/>
  <c r="AS101" i="24"/>
  <c r="J254" i="34" s="1"/>
  <c r="V141" i="34" s="1"/>
  <c r="AS100" i="24"/>
  <c r="AS99" i="24"/>
  <c r="AS98" i="24"/>
  <c r="K255" i="34" s="1" a="1"/>
  <c r="K255" i="34" s="1"/>
  <c r="AS97" i="24"/>
  <c r="J255" i="34" s="1"/>
  <c r="V143" i="34" s="1"/>
  <c r="AS96" i="24"/>
  <c r="K217" i="34" s="1" a="1"/>
  <c r="K217" i="34" s="1"/>
  <c r="AS95" i="24"/>
  <c r="J217" i="34" s="1"/>
  <c r="V6" i="34" s="1"/>
  <c r="E445" i="38" s="1"/>
  <c r="AS94" i="24"/>
  <c r="K237" i="34" s="1" a="1"/>
  <c r="K237" i="34" s="1"/>
  <c r="AS93" i="24"/>
  <c r="J237" i="34" s="1"/>
  <c r="AS92" i="24"/>
  <c r="K250" i="34" s="1" a="1"/>
  <c r="K250" i="34" s="1"/>
  <c r="W119" i="34" s="1"/>
  <c r="AS91" i="24"/>
  <c r="J250" i="34" s="1"/>
  <c r="V119" i="34" s="1"/>
  <c r="AS90" i="24"/>
  <c r="AS89" i="24"/>
  <c r="AS88" i="24"/>
  <c r="K240" i="34" s="1" a="1"/>
  <c r="K240" i="34" s="1"/>
  <c r="AS87" i="24"/>
  <c r="J240" i="34" s="1"/>
  <c r="AS86" i="24"/>
  <c r="K257" i="34" s="1" a="1"/>
  <c r="K257" i="34" s="1"/>
  <c r="W149" i="34" s="1"/>
  <c r="AS85" i="24"/>
  <c r="J257" i="34" s="1"/>
  <c r="V149" i="34" s="1"/>
  <c r="AS84" i="24"/>
  <c r="K259" i="34" s="1" a="1"/>
  <c r="K259" i="34" s="1"/>
  <c r="W161" i="34" s="1"/>
  <c r="AS83" i="24"/>
  <c r="J259" i="34" s="1"/>
  <c r="V161" i="34" s="1"/>
  <c r="E433" i="38" s="1"/>
  <c r="AS82" i="24"/>
  <c r="K260" i="34" s="1" a="1"/>
  <c r="K260" i="34" s="1"/>
  <c r="W166" i="34" s="1"/>
  <c r="AS81" i="24"/>
  <c r="J260" i="34" s="1"/>
  <c r="V166" i="34" s="1"/>
  <c r="AS80" i="24"/>
  <c r="AS79" i="24"/>
  <c r="AS78" i="24"/>
  <c r="K261" i="34" s="1" a="1"/>
  <c r="K261" i="34" s="1"/>
  <c r="W179" i="34" s="1"/>
  <c r="AS77" i="24"/>
  <c r="J261" i="34" s="1"/>
  <c r="AS76" i="24"/>
  <c r="K252" i="34" s="1" a="1"/>
  <c r="K252" i="34" s="1"/>
  <c r="AS75" i="24"/>
  <c r="J252" i="34" s="1"/>
  <c r="V125" i="34" s="1"/>
  <c r="AS74" i="24"/>
  <c r="K235" i="34" s="1" a="1"/>
  <c r="K235" i="34" s="1"/>
  <c r="AS73" i="24"/>
  <c r="J235" i="34" s="1"/>
  <c r="AS72" i="24"/>
  <c r="K243" i="34" s="1" a="1"/>
  <c r="K243" i="34" s="1"/>
  <c r="AS71" i="24"/>
  <c r="J243" i="34" s="1"/>
  <c r="AS70" i="24"/>
  <c r="K216" i="34" s="1" a="1"/>
  <c r="K216" i="34" s="1"/>
  <c r="AS69" i="24"/>
  <c r="J216" i="34" s="1"/>
  <c r="V4" i="34" s="1"/>
  <c r="AS68" i="24"/>
  <c r="K242" i="34" s="1" a="1"/>
  <c r="K242" i="34" s="1"/>
  <c r="AS67" i="24"/>
  <c r="J242" i="34" s="1"/>
  <c r="AS66" i="24"/>
  <c r="AS65" i="24"/>
  <c r="AS64" i="24"/>
  <c r="K262" i="34" s="1" a="1"/>
  <c r="W198" i="34" s="1"/>
  <c r="AS63" i="24"/>
  <c r="J262" i="34" s="1"/>
  <c r="AS62" i="24"/>
  <c r="K229" i="34" s="1" a="1"/>
  <c r="K229" i="34" s="1"/>
  <c r="AS61" i="24"/>
  <c r="J229" i="34" s="1"/>
  <c r="AS60" i="24"/>
  <c r="K223" i="34" s="1" a="1"/>
  <c r="K223" i="34" s="1"/>
  <c r="AS59" i="24"/>
  <c r="J223" i="34" s="1"/>
  <c r="AS58" i="24"/>
  <c r="K247" i="34" s="1" a="1"/>
  <c r="K247" i="34" s="1"/>
  <c r="W105" i="34" s="1"/>
  <c r="AS57" i="24"/>
  <c r="J247" i="34" s="1"/>
  <c r="V105" i="34" s="1"/>
  <c r="AS56" i="24"/>
  <c r="K253" i="34" s="1" a="1"/>
  <c r="K253" i="34" s="1"/>
  <c r="W133" i="34" s="1"/>
  <c r="AS55" i="24"/>
  <c r="J253" i="34" s="1"/>
  <c r="AS54" i="24"/>
  <c r="K238" i="34" s="1" a="1"/>
  <c r="K238" i="34" s="1"/>
  <c r="AS53" i="24"/>
  <c r="J238" i="34" s="1"/>
  <c r="AS52" i="24"/>
  <c r="K230" i="34" s="1" a="1"/>
  <c r="K230" i="34" s="1"/>
  <c r="AS51" i="24"/>
  <c r="J230" i="34" s="1"/>
  <c r="AS50" i="24"/>
  <c r="K232" i="34" s="1" a="1"/>
  <c r="K232" i="34" s="1"/>
  <c r="AS49" i="24"/>
  <c r="J232" i="34" s="1"/>
  <c r="AS48" i="24"/>
  <c r="K241" i="34" s="1" a="1"/>
  <c r="K241" i="34" s="1"/>
  <c r="AS47" i="24"/>
  <c r="J241" i="34" s="1"/>
  <c r="AS46" i="24"/>
  <c r="K228" i="34" s="1" a="1"/>
  <c r="K228" i="34" s="1"/>
  <c r="AS45" i="24"/>
  <c r="J228" i="34" s="1"/>
  <c r="AS44" i="24"/>
  <c r="K218" i="34" s="1" a="1"/>
  <c r="AS43" i="24"/>
  <c r="J218" i="34" s="1"/>
  <c r="AS42" i="24"/>
  <c r="K221" i="34" s="1" a="1"/>
  <c r="AS41" i="24"/>
  <c r="J221" i="34" s="1"/>
  <c r="AS40" i="24"/>
  <c r="K249" i="34" s="1" a="1"/>
  <c r="K249" i="34" s="1"/>
  <c r="AS39" i="24"/>
  <c r="J249" i="34" s="1"/>
  <c r="V112" i="34" s="1"/>
  <c r="AS38" i="24"/>
  <c r="K236" i="34" s="1" a="1"/>
  <c r="K236" i="34" s="1"/>
  <c r="AS37" i="24"/>
  <c r="J236" i="34" s="1"/>
  <c r="AS36" i="24"/>
  <c r="K256" i="34" s="1" a="1"/>
  <c r="K256" i="34" s="1"/>
  <c r="W146" i="34" s="1"/>
  <c r="AS35" i="24"/>
  <c r="J256" i="34" s="1"/>
  <c r="V146" i="34" s="1"/>
  <c r="AS34" i="24"/>
  <c r="K226" i="34" s="1" a="1"/>
  <c r="K226" i="34" s="1"/>
  <c r="AS33" i="24"/>
  <c r="J226" i="34" s="1"/>
  <c r="AS32" i="24"/>
  <c r="K220" i="34" s="1" a="1"/>
  <c r="AS31" i="24"/>
  <c r="J220" i="34" s="1"/>
  <c r="AF25" i="24"/>
  <c r="AE25" i="24"/>
  <c r="W25" i="24"/>
  <c r="V25" i="24"/>
  <c r="AF24" i="24"/>
  <c r="AE24" i="24"/>
  <c r="W24" i="24"/>
  <c r="V24" i="24"/>
  <c r="AF23" i="24"/>
  <c r="AE23" i="24"/>
  <c r="W23" i="24"/>
  <c r="V23" i="24"/>
  <c r="AF22" i="24"/>
  <c r="AE22" i="24"/>
  <c r="W22" i="24"/>
  <c r="V22" i="24"/>
  <c r="AF21" i="24"/>
  <c r="AE21" i="24"/>
  <c r="W21" i="24"/>
  <c r="V21" i="24"/>
  <c r="AF20" i="24"/>
  <c r="AE20" i="24"/>
  <c r="W20" i="24"/>
  <c r="V20" i="24"/>
  <c r="AF19" i="24"/>
  <c r="AE19" i="24"/>
  <c r="W19" i="24"/>
  <c r="V19" i="24"/>
  <c r="AF18" i="24"/>
  <c r="AE18" i="24"/>
  <c r="AG18" i="24" s="1"/>
  <c r="W18" i="24"/>
  <c r="V18" i="24"/>
  <c r="AF17" i="24"/>
  <c r="AE17" i="24"/>
  <c r="W17" i="24"/>
  <c r="V17" i="24"/>
  <c r="AF16" i="24"/>
  <c r="AE16" i="24"/>
  <c r="W16" i="24"/>
  <c r="V16" i="24"/>
  <c r="AF15" i="24"/>
  <c r="AE15" i="24"/>
  <c r="W15" i="24"/>
  <c r="V15" i="24"/>
  <c r="AF14" i="24"/>
  <c r="AE14" i="24"/>
  <c r="W14" i="24"/>
  <c r="V14" i="24"/>
  <c r="AF13" i="24"/>
  <c r="AE13" i="24"/>
  <c r="W13" i="24"/>
  <c r="V13" i="24"/>
  <c r="AF12" i="24"/>
  <c r="AE12" i="24"/>
  <c r="AG12" i="24" s="1"/>
  <c r="W12" i="24"/>
  <c r="V12" i="24"/>
  <c r="AF11" i="24"/>
  <c r="AE11" i="24"/>
  <c r="W11" i="24"/>
  <c r="V11" i="24"/>
  <c r="AF10" i="24"/>
  <c r="AE10" i="24"/>
  <c r="W10" i="24"/>
  <c r="V10" i="24"/>
  <c r="AF9" i="24"/>
  <c r="AE9" i="24"/>
  <c r="W9" i="24"/>
  <c r="V9" i="24"/>
  <c r="AF8" i="24"/>
  <c r="AE8" i="24"/>
  <c r="W8" i="24"/>
  <c r="V8" i="24"/>
  <c r="AF7" i="24"/>
  <c r="AE7" i="24"/>
  <c r="W7" i="24"/>
  <c r="V7" i="24"/>
  <c r="AF6" i="24"/>
  <c r="AE6" i="24"/>
  <c r="W6" i="24"/>
  <c r="V6" i="24"/>
  <c r="R6" i="24"/>
  <c r="AD107" i="20"/>
  <c r="AC107" i="20"/>
  <c r="AB107" i="20"/>
  <c r="AA107" i="20"/>
  <c r="Z107" i="20"/>
  <c r="Y107" i="20"/>
  <c r="X107" i="20"/>
  <c r="W107" i="20"/>
  <c r="V107" i="20"/>
  <c r="U107" i="20"/>
  <c r="T107" i="20"/>
  <c r="S107" i="20"/>
  <c r="AR102" i="20"/>
  <c r="AR101" i="20"/>
  <c r="AR100" i="20"/>
  <c r="AR99" i="20"/>
  <c r="AR98" i="20"/>
  <c r="AR97" i="20"/>
  <c r="AR96" i="20"/>
  <c r="AR95" i="20"/>
  <c r="AR94" i="20"/>
  <c r="AR93" i="20"/>
  <c r="AR92" i="20"/>
  <c r="AR91" i="20"/>
  <c r="AR90" i="20"/>
  <c r="AR89" i="20"/>
  <c r="AR88" i="20"/>
  <c r="AR87" i="20"/>
  <c r="AE6" i="20"/>
  <c r="O6" i="20"/>
  <c r="AD111" i="18"/>
  <c r="AC111" i="18"/>
  <c r="AB111" i="18"/>
  <c r="AA111" i="18"/>
  <c r="Z111" i="18"/>
  <c r="Y111" i="18"/>
  <c r="X111" i="18"/>
  <c r="W111" i="18"/>
  <c r="V111" i="18"/>
  <c r="U111" i="18"/>
  <c r="T111" i="18"/>
  <c r="S111" i="18"/>
  <c r="AR106" i="18"/>
  <c r="AR105" i="18"/>
  <c r="AR104" i="18"/>
  <c r="AR103" i="18"/>
  <c r="AR102" i="18"/>
  <c r="AR101" i="18"/>
  <c r="AR100" i="18"/>
  <c r="AR99" i="18"/>
  <c r="AR98" i="18"/>
  <c r="AR97" i="18"/>
  <c r="AR96" i="18"/>
  <c r="AR95" i="18"/>
  <c r="AR94" i="18"/>
  <c r="AR93" i="18"/>
  <c r="AR92" i="18"/>
  <c r="AR91" i="18"/>
  <c r="AC21" i="18"/>
  <c r="AB21" i="18"/>
  <c r="AC20" i="18"/>
  <c r="AB20" i="18"/>
  <c r="T20" i="18"/>
  <c r="AC19" i="18"/>
  <c r="AB19" i="18"/>
  <c r="T19" i="18"/>
  <c r="AC18" i="18"/>
  <c r="AB18" i="18"/>
  <c r="T18" i="18"/>
  <c r="AC17" i="18"/>
  <c r="AB17" i="18"/>
  <c r="T17" i="18"/>
  <c r="AC16" i="18"/>
  <c r="AB16" i="18"/>
  <c r="T16" i="18"/>
  <c r="AC15" i="18"/>
  <c r="AB15" i="18"/>
  <c r="T15" i="18"/>
  <c r="AC14" i="18"/>
  <c r="AB14" i="18"/>
  <c r="T14" i="18"/>
  <c r="AC13" i="18"/>
  <c r="AB13" i="18"/>
  <c r="T13" i="18"/>
  <c r="AC12" i="18"/>
  <c r="AB12" i="18"/>
  <c r="T12" i="18"/>
  <c r="AC11" i="18"/>
  <c r="AB11" i="18"/>
  <c r="T11" i="18"/>
  <c r="AC10" i="18"/>
  <c r="AB10" i="18"/>
  <c r="T10" i="18"/>
  <c r="AC9" i="18"/>
  <c r="AB9" i="18"/>
  <c r="T9" i="18"/>
  <c r="AC8" i="18"/>
  <c r="AB8" i="18"/>
  <c r="T8" i="18"/>
  <c r="AC7" i="18"/>
  <c r="AB7" i="18"/>
  <c r="T7" i="18"/>
  <c r="AE6" i="18"/>
  <c r="AC6" i="18"/>
  <c r="AB6" i="18"/>
  <c r="T6" i="18"/>
  <c r="O6" i="18"/>
  <c r="AD119" i="36"/>
  <c r="AC119" i="36"/>
  <c r="AB119" i="36"/>
  <c r="AA119" i="36"/>
  <c r="Z119" i="36"/>
  <c r="Y119" i="36"/>
  <c r="X119" i="36"/>
  <c r="W119" i="36"/>
  <c r="V119" i="36"/>
  <c r="U119" i="36"/>
  <c r="T119" i="36"/>
  <c r="S119" i="36"/>
  <c r="AD118" i="36"/>
  <c r="AC118" i="36"/>
  <c r="AB118" i="36"/>
  <c r="AA118" i="36"/>
  <c r="Z118" i="36"/>
  <c r="Y118" i="36"/>
  <c r="X118" i="36"/>
  <c r="W118" i="36"/>
  <c r="V118" i="36"/>
  <c r="U118" i="36"/>
  <c r="T118" i="36"/>
  <c r="S118" i="36"/>
  <c r="AD117" i="36"/>
  <c r="AC117" i="36"/>
  <c r="AB117" i="36"/>
  <c r="AA117" i="36"/>
  <c r="Z117" i="36"/>
  <c r="Y117" i="36"/>
  <c r="X117" i="36"/>
  <c r="W117" i="36"/>
  <c r="V117" i="36"/>
  <c r="U117" i="36"/>
  <c r="T117" i="36"/>
  <c r="S117" i="36"/>
  <c r="F117" i="36"/>
  <c r="AA25" i="36"/>
  <c r="Z25" i="36"/>
  <c r="AA24" i="36"/>
  <c r="Z24" i="36"/>
  <c r="AA23" i="36"/>
  <c r="Z23" i="36"/>
  <c r="AA22" i="36"/>
  <c r="Z22" i="36"/>
  <c r="AA21" i="36"/>
  <c r="Z21" i="36"/>
  <c r="AA20" i="36"/>
  <c r="Z20" i="36"/>
  <c r="AA19" i="36"/>
  <c r="Z19" i="36"/>
  <c r="AA18" i="36"/>
  <c r="Z18" i="36"/>
  <c r="AA17" i="36"/>
  <c r="Z17" i="36"/>
  <c r="AA16" i="36"/>
  <c r="Z16" i="36"/>
  <c r="AA15" i="36"/>
  <c r="Z15" i="36"/>
  <c r="AA14" i="36"/>
  <c r="Z14" i="36"/>
  <c r="AA13" i="36"/>
  <c r="Z13" i="36"/>
  <c r="AA12" i="36"/>
  <c r="Z12" i="36"/>
  <c r="AA11" i="36"/>
  <c r="Z11" i="36"/>
  <c r="AA10" i="36"/>
  <c r="Z10" i="36"/>
  <c r="AA9" i="36"/>
  <c r="Z9" i="36"/>
  <c r="AA8" i="36"/>
  <c r="Z8" i="36"/>
  <c r="AA7" i="36"/>
  <c r="Z7" i="36"/>
  <c r="AC6" i="36"/>
  <c r="AA6" i="36"/>
  <c r="Z6" i="36"/>
  <c r="O6" i="36"/>
  <c r="W73" i="26"/>
  <c r="V73" i="26"/>
  <c r="U73" i="26"/>
  <c r="T73" i="26"/>
  <c r="S73" i="26"/>
  <c r="R73" i="26"/>
  <c r="Q73" i="26"/>
  <c r="P73" i="26"/>
  <c r="O73" i="26"/>
  <c r="N73" i="26"/>
  <c r="M73" i="26"/>
  <c r="L73" i="26"/>
  <c r="W72" i="26"/>
  <c r="V72" i="26"/>
  <c r="U72" i="26"/>
  <c r="T72" i="26"/>
  <c r="S72" i="26"/>
  <c r="R72" i="26"/>
  <c r="Q72" i="26"/>
  <c r="P72" i="26"/>
  <c r="O72" i="26"/>
  <c r="N72" i="26"/>
  <c r="M72" i="26"/>
  <c r="L72" i="26"/>
  <c r="W71" i="26"/>
  <c r="V71" i="26"/>
  <c r="U71" i="26"/>
  <c r="T71" i="26"/>
  <c r="S71" i="26"/>
  <c r="R71" i="26"/>
  <c r="Q71" i="26"/>
  <c r="P71" i="26"/>
  <c r="O71" i="26"/>
  <c r="N71" i="26"/>
  <c r="M71" i="26"/>
  <c r="L71" i="26"/>
  <c r="W73" i="15"/>
  <c r="V73" i="15"/>
  <c r="U73" i="15"/>
  <c r="T73" i="15"/>
  <c r="S73" i="15"/>
  <c r="R73" i="15"/>
  <c r="Q73" i="15"/>
  <c r="P73" i="15"/>
  <c r="O73" i="15"/>
  <c r="N73" i="15"/>
  <c r="M73" i="15"/>
  <c r="L73" i="15"/>
  <c r="W72" i="15"/>
  <c r="V72" i="15"/>
  <c r="U72" i="15"/>
  <c r="T72" i="15"/>
  <c r="S72" i="15"/>
  <c r="R72" i="15"/>
  <c r="Q72" i="15"/>
  <c r="P72" i="15"/>
  <c r="O72" i="15"/>
  <c r="N72" i="15"/>
  <c r="M72" i="15"/>
  <c r="L72" i="15"/>
  <c r="W71" i="15"/>
  <c r="V71" i="15"/>
  <c r="U71" i="15"/>
  <c r="T71" i="15"/>
  <c r="S71" i="15"/>
  <c r="R71" i="15"/>
  <c r="Q71" i="15"/>
  <c r="P71" i="15"/>
  <c r="O71" i="15"/>
  <c r="N71" i="15"/>
  <c r="M71" i="15"/>
  <c r="L71" i="15"/>
  <c r="B35" i="33"/>
  <c r="B27" i="33"/>
  <c r="B19" i="33"/>
  <c r="B11" i="33"/>
  <c r="B3" i="33"/>
  <c r="W72" i="28"/>
  <c r="V72" i="28"/>
  <c r="U72" i="28"/>
  <c r="T72" i="28"/>
  <c r="S72" i="28"/>
  <c r="R72" i="28"/>
  <c r="Q72" i="28"/>
  <c r="P72" i="28"/>
  <c r="O72" i="28"/>
  <c r="N72" i="28"/>
  <c r="M72" i="28"/>
  <c r="L72" i="28"/>
  <c r="W71" i="28"/>
  <c r="V71" i="28"/>
  <c r="U71" i="28"/>
  <c r="T71" i="28"/>
  <c r="S71" i="28"/>
  <c r="R71" i="28"/>
  <c r="Q71" i="28"/>
  <c r="P71" i="28"/>
  <c r="O71" i="28"/>
  <c r="N71" i="28"/>
  <c r="M71" i="28"/>
  <c r="L71" i="28"/>
  <c r="W70" i="28"/>
  <c r="V70" i="28"/>
  <c r="U70" i="28"/>
  <c r="T70" i="28"/>
  <c r="S70" i="28"/>
  <c r="R70" i="28"/>
  <c r="Q70" i="28"/>
  <c r="P70" i="28"/>
  <c r="O70" i="28"/>
  <c r="N70" i="28"/>
  <c r="M70" i="28"/>
  <c r="L70" i="28"/>
  <c r="S152" i="19"/>
  <c r="AD149" i="19"/>
  <c r="AC149" i="19"/>
  <c r="AB149" i="19"/>
  <c r="AA149" i="19"/>
  <c r="Z149" i="19"/>
  <c r="Y149" i="19"/>
  <c r="X149" i="19"/>
  <c r="W149" i="19"/>
  <c r="V149" i="19"/>
  <c r="U149" i="19"/>
  <c r="T149" i="19"/>
  <c r="S149" i="19"/>
  <c r="AR144" i="19"/>
  <c r="AR143" i="19"/>
  <c r="AR142" i="19"/>
  <c r="AR141" i="19"/>
  <c r="AR140" i="19"/>
  <c r="AR139" i="19"/>
  <c r="AR138" i="19"/>
  <c r="AR137" i="19"/>
  <c r="AR136" i="19"/>
  <c r="AR135" i="19"/>
  <c r="AR134" i="19"/>
  <c r="AR133" i="19"/>
  <c r="AR132" i="19"/>
  <c r="AR131" i="19"/>
  <c r="AR129" i="19"/>
  <c r="AR127" i="19"/>
  <c r="J103" i="34" s="1"/>
  <c r="V195" i="34" s="1"/>
  <c r="AR125" i="19"/>
  <c r="J85" i="34" s="1"/>
  <c r="V104" i="34" s="1"/>
  <c r="AR123" i="19"/>
  <c r="J89" i="34" s="1"/>
  <c r="V137" i="34" s="1"/>
  <c r="AR121" i="19"/>
  <c r="AR119" i="19"/>
  <c r="J74" i="34" s="1"/>
  <c r="AR117" i="19"/>
  <c r="J102" i="34" s="1"/>
  <c r="V194" i="34" s="1"/>
  <c r="AR115" i="19"/>
  <c r="J86" i="34" s="1"/>
  <c r="V122" i="34" s="1"/>
  <c r="AR113" i="19"/>
  <c r="AR111" i="19"/>
  <c r="J78" i="34" s="1"/>
  <c r="AR109" i="19"/>
  <c r="AR107" i="19"/>
  <c r="J77" i="34" s="1"/>
  <c r="AR105" i="19"/>
  <c r="J94" i="34" s="1"/>
  <c r="AR103" i="19"/>
  <c r="J76" i="34" s="1"/>
  <c r="AR101" i="19"/>
  <c r="J73" i="34" s="1"/>
  <c r="AR99" i="19"/>
  <c r="J75" i="34" s="1"/>
  <c r="AR97" i="19"/>
  <c r="J87" i="34" s="1"/>
  <c r="V127" i="34" s="1"/>
  <c r="AR95" i="19"/>
  <c r="J83" i="34" s="1"/>
  <c r="AR93" i="19"/>
  <c r="J93" i="34" s="1"/>
  <c r="AR91" i="19"/>
  <c r="J80" i="34" s="1"/>
  <c r="AR89" i="19"/>
  <c r="J79" i="34" s="1"/>
  <c r="AR87" i="19"/>
  <c r="AR85" i="19"/>
  <c r="J81" i="34" s="1"/>
  <c r="AR83" i="19"/>
  <c r="J90" i="34" s="1"/>
  <c r="AR81" i="19"/>
  <c r="J92" i="34" s="1"/>
  <c r="V159" i="34" s="1"/>
  <c r="AR79" i="19"/>
  <c r="AR77" i="19"/>
  <c r="J98" i="34" s="1"/>
  <c r="V190" i="34" s="1"/>
  <c r="AR75" i="19"/>
  <c r="J99" i="34" s="1"/>
  <c r="AR73" i="19"/>
  <c r="J100" i="34" s="1"/>
  <c r="AR71" i="19"/>
  <c r="J101" i="34" s="1"/>
  <c r="V193" i="34" s="1"/>
  <c r="AR69" i="19"/>
  <c r="AR67" i="19"/>
  <c r="J96" i="34" s="1"/>
  <c r="V187" i="34" s="1"/>
  <c r="AR65" i="19"/>
  <c r="J70" i="34" s="1"/>
  <c r="AR63" i="19"/>
  <c r="J82" i="34" s="1"/>
  <c r="V96" i="34" s="1"/>
  <c r="AR61" i="19"/>
  <c r="J84" i="34" s="1"/>
  <c r="V103" i="34" s="1"/>
  <c r="AR59" i="19"/>
  <c r="J72" i="34" s="1"/>
  <c r="AR57" i="19"/>
  <c r="J91" i="34" s="1"/>
  <c r="AR55" i="19"/>
  <c r="J71" i="34" s="1"/>
  <c r="AC25" i="19"/>
  <c r="AB25" i="19"/>
  <c r="AC24" i="19"/>
  <c r="AB24" i="19"/>
  <c r="AC23" i="19"/>
  <c r="AB23" i="19"/>
  <c r="AC22" i="19"/>
  <c r="AB22" i="19"/>
  <c r="AC21" i="19"/>
  <c r="AB21" i="19"/>
  <c r="AC20" i="19"/>
  <c r="AB20" i="19"/>
  <c r="AC18" i="19"/>
  <c r="AB18" i="19"/>
  <c r="AB17" i="19"/>
  <c r="AC16" i="19"/>
  <c r="AB16" i="19"/>
  <c r="AC15" i="19"/>
  <c r="AB15" i="19"/>
  <c r="AC14" i="19"/>
  <c r="AB14" i="19"/>
  <c r="AC13" i="19"/>
  <c r="AB13" i="19"/>
  <c r="AC12" i="19"/>
  <c r="AB12" i="19"/>
  <c r="AC11" i="19"/>
  <c r="AB11" i="19"/>
  <c r="AC10" i="19"/>
  <c r="AB10" i="19"/>
  <c r="AC9" i="19"/>
  <c r="AB9" i="19"/>
  <c r="AC8" i="19"/>
  <c r="AB8" i="19"/>
  <c r="AC7" i="19"/>
  <c r="AB7" i="19"/>
  <c r="AE6" i="19"/>
  <c r="AB6" i="19"/>
  <c r="O6" i="19"/>
  <c r="AE181" i="2"/>
  <c r="AD181" i="2"/>
  <c r="AC181" i="2"/>
  <c r="AB181" i="2"/>
  <c r="AA181" i="2"/>
  <c r="Z181" i="2"/>
  <c r="Y181" i="2"/>
  <c r="X181" i="2"/>
  <c r="W181" i="2"/>
  <c r="V181" i="2"/>
  <c r="U181" i="2"/>
  <c r="T181" i="2"/>
  <c r="AR176" i="2"/>
  <c r="AR175" i="2"/>
  <c r="AR174" i="2"/>
  <c r="AR173" i="2"/>
  <c r="AR172" i="2"/>
  <c r="AR171" i="2"/>
  <c r="AR170" i="2"/>
  <c r="AR169" i="2"/>
  <c r="AR168" i="2"/>
  <c r="AR167" i="2"/>
  <c r="J12" i="34" s="1"/>
  <c r="AR166" i="2"/>
  <c r="K20" i="34" s="1" a="1"/>
  <c r="K20" i="34" s="1"/>
  <c r="W97" i="34" s="1"/>
  <c r="AR165" i="2"/>
  <c r="J20" i="34" s="1"/>
  <c r="V97" i="34" s="1"/>
  <c r="AR164" i="2"/>
  <c r="K26" i="34" s="1" a="1"/>
  <c r="K26" i="34" s="1"/>
  <c r="W115" i="34" s="1"/>
  <c r="AR163" i="2"/>
  <c r="J26" i="34" s="1"/>
  <c r="AR162" i="2"/>
  <c r="K25" i="34" s="1" a="1"/>
  <c r="K25" i="34" s="1"/>
  <c r="AR161" i="2"/>
  <c r="J25" i="34" s="1"/>
  <c r="V114" i="34" s="1"/>
  <c r="AR160" i="2"/>
  <c r="AR159" i="2"/>
  <c r="AR158" i="2"/>
  <c r="K9" i="34" s="1" a="1"/>
  <c r="AR157" i="2"/>
  <c r="J9" i="34" s="1"/>
  <c r="AR156" i="2"/>
  <c r="K34" i="34" s="1" a="1"/>
  <c r="K34" i="34" s="1"/>
  <c r="W138" i="34" s="1"/>
  <c r="AR155" i="2"/>
  <c r="J34" i="34" s="1"/>
  <c r="V138" i="34" s="1"/>
  <c r="AR154" i="2"/>
  <c r="K19" i="34" s="1" a="1"/>
  <c r="K19" i="34" s="1"/>
  <c r="AR153" i="2"/>
  <c r="J19" i="34" s="1"/>
  <c r="V95" i="34" s="1"/>
  <c r="AR152" i="2"/>
  <c r="K24" i="34" s="1" a="1"/>
  <c r="K24" i="34" s="1"/>
  <c r="W110" i="34" s="1"/>
  <c r="AR151" i="2"/>
  <c r="J24" i="34" s="1"/>
  <c r="AR150" i="2"/>
  <c r="K39" i="34" s="1" a="1"/>
  <c r="K39" i="34" s="1"/>
  <c r="W153" i="34" s="1"/>
  <c r="AR149" i="2"/>
  <c r="J39" i="34" s="1"/>
  <c r="AR148" i="2"/>
  <c r="K14" i="34" s="1" a="1"/>
  <c r="K14" i="34" s="1"/>
  <c r="AR147" i="2"/>
  <c r="J14" i="34" s="1"/>
  <c r="AR146" i="2"/>
  <c r="K46" i="34" s="1" a="1"/>
  <c r="AR145" i="2"/>
  <c r="J46" i="34" s="1"/>
  <c r="AR144" i="2"/>
  <c r="K17" i="34" s="1" a="1"/>
  <c r="K17" i="34" s="1"/>
  <c r="AR143" i="2"/>
  <c r="J17" i="34" s="1"/>
  <c r="AR142" i="2"/>
  <c r="K10" i="34" s="1" a="1"/>
  <c r="AR141" i="2"/>
  <c r="J10" i="34" s="1"/>
  <c r="AR140" i="2"/>
  <c r="K18" i="34" s="1" a="1"/>
  <c r="K18" i="34" s="1"/>
  <c r="AR139" i="2"/>
  <c r="J18" i="34" s="1"/>
  <c r="AR138" i="2"/>
  <c r="K13" i="34" s="1" a="1"/>
  <c r="K13" i="34" s="1"/>
  <c r="AR137" i="2"/>
  <c r="J13" i="34" s="1"/>
  <c r="AR136" i="2"/>
  <c r="K23" i="34" s="1" a="1"/>
  <c r="K23" i="34" s="1"/>
  <c r="AR135" i="2"/>
  <c r="J23" i="34" s="1"/>
  <c r="V109" i="34" s="1"/>
  <c r="AR134" i="2"/>
  <c r="AR133" i="2"/>
  <c r="J55" i="34" s="1"/>
  <c r="V189" i="34" s="1"/>
  <c r="AR132" i="2"/>
  <c r="AR131" i="2"/>
  <c r="J54" i="34" s="1"/>
  <c r="V186" i="34" s="1"/>
  <c r="E85" i="38" s="1"/>
  <c r="AR130" i="2"/>
  <c r="K48" i="34" s="1" a="1"/>
  <c r="K48" i="34" s="1"/>
  <c r="W178" i="34" s="1"/>
  <c r="AR129" i="2"/>
  <c r="J48" i="34" s="1"/>
  <c r="AR128" i="2"/>
  <c r="AR127" i="2"/>
  <c r="J52" i="34" s="1"/>
  <c r="V184" i="34" s="1"/>
  <c r="AR126" i="2"/>
  <c r="AR125" i="2"/>
  <c r="J57" i="34" s="1"/>
  <c r="AR124" i="2"/>
  <c r="K43" i="34" s="1" a="1"/>
  <c r="K43" i="34" s="1"/>
  <c r="W167" i="34" s="1"/>
  <c r="AR123" i="2"/>
  <c r="J43" i="34" s="1"/>
  <c r="V167" i="34" s="1"/>
  <c r="E77" i="38" s="1"/>
  <c r="AR122" i="2"/>
  <c r="AR121" i="2"/>
  <c r="J50" i="34" s="1"/>
  <c r="V181" i="34" s="1"/>
  <c r="AR120" i="2"/>
  <c r="K44" i="34" s="1" a="1"/>
  <c r="K44" i="34" s="1"/>
  <c r="AR119" i="2"/>
  <c r="J44" i="34" s="1"/>
  <c r="V168" i="34" s="1"/>
  <c r="E73" i="38" s="1"/>
  <c r="AR118" i="2"/>
  <c r="AR117" i="2"/>
  <c r="J56" i="34" s="1"/>
  <c r="V196" i="34" s="1"/>
  <c r="AR116" i="2"/>
  <c r="K27" i="34" s="1" a="1"/>
  <c r="K27" i="34" s="1"/>
  <c r="W116" i="34" s="1"/>
  <c r="AR115" i="2"/>
  <c r="J27" i="34" s="1"/>
  <c r="AR114" i="2"/>
  <c r="K15" i="34" s="1" a="1"/>
  <c r="K15" i="34" s="1"/>
  <c r="AR113" i="2"/>
  <c r="J15" i="34" s="1"/>
  <c r="AR112" i="2"/>
  <c r="K4" i="34" s="1" a="1"/>
  <c r="K4" i="34" s="1"/>
  <c r="AR111" i="2"/>
  <c r="J4" i="34" s="1"/>
  <c r="AR110" i="2"/>
  <c r="K47" i="34" s="1" a="1"/>
  <c r="K47" i="34" s="1"/>
  <c r="W177" i="34" s="1"/>
  <c r="AR109" i="2"/>
  <c r="J47" i="34" s="1"/>
  <c r="AR108" i="2"/>
  <c r="K21" i="34" s="1" a="1"/>
  <c r="K21" i="34" s="1"/>
  <c r="AR107" i="2"/>
  <c r="J21" i="34" s="1"/>
  <c r="AR106" i="2"/>
  <c r="K7" i="34" s="1" a="1"/>
  <c r="K7" i="34" s="1"/>
  <c r="AR105" i="2"/>
  <c r="J7" i="34" s="1"/>
  <c r="AR104" i="2"/>
  <c r="K40" i="34" s="1" a="1"/>
  <c r="K40" i="34" s="1"/>
  <c r="W155" i="34" s="1"/>
  <c r="AR103" i="2"/>
  <c r="J40" i="34" s="1"/>
  <c r="AR102" i="2"/>
  <c r="K38" i="34" s="1" a="1"/>
  <c r="K38" i="34" s="1"/>
  <c r="W148" i="34" s="1"/>
  <c r="AR101" i="2"/>
  <c r="J38" i="34" s="1"/>
  <c r="AR100" i="2"/>
  <c r="K8" i="34" s="1" a="1"/>
  <c r="K8" i="34" s="1"/>
  <c r="AR99" i="2"/>
  <c r="J8" i="34" s="1"/>
  <c r="AR98" i="2"/>
  <c r="K37" i="34" s="1" a="1"/>
  <c r="K37" i="34" s="1"/>
  <c r="W145" i="34" s="1"/>
  <c r="AR97" i="2"/>
  <c r="J37" i="34" s="1"/>
  <c r="AR96" i="2"/>
  <c r="K28" i="34" s="1" a="1"/>
  <c r="K28" i="34" s="1"/>
  <c r="AR95" i="2"/>
  <c r="J28" i="34" s="1"/>
  <c r="AR94" i="2"/>
  <c r="AR93" i="2"/>
  <c r="AR92" i="2"/>
  <c r="K29" i="34" s="1" a="1"/>
  <c r="K29" i="34" s="1"/>
  <c r="W118" i="34" s="1"/>
  <c r="AR91" i="2"/>
  <c r="J29" i="34" s="1"/>
  <c r="AR90" i="2"/>
  <c r="K31" i="34" s="1" a="1"/>
  <c r="K31" i="34" s="1"/>
  <c r="W129" i="34" s="1"/>
  <c r="AR89" i="2"/>
  <c r="J31" i="34" s="1"/>
  <c r="AR88" i="2"/>
  <c r="K30" i="34" s="1" a="1"/>
  <c r="K30" i="34" s="1"/>
  <c r="W120" i="34" s="1"/>
  <c r="AR87" i="2"/>
  <c r="J30" i="34" s="1"/>
  <c r="V120" i="34" s="1"/>
  <c r="AR86" i="2"/>
  <c r="K11" i="34" s="1" a="1"/>
  <c r="K11" i="34" s="1"/>
  <c r="AR85" i="2"/>
  <c r="J11" i="34" s="1"/>
  <c r="AR84" i="2"/>
  <c r="AR83" i="2"/>
  <c r="J49" i="34" s="1"/>
  <c r="V180" i="34" s="1"/>
  <c r="AR82" i="2"/>
  <c r="K35" i="34" s="1" a="1"/>
  <c r="K35" i="34" s="1"/>
  <c r="W140" i="34" s="1"/>
  <c r="AR81" i="2"/>
  <c r="J35" i="34" s="1"/>
  <c r="AR80" i="2"/>
  <c r="AR79" i="2"/>
  <c r="J53" i="34" s="1"/>
  <c r="V185" i="34" s="1"/>
  <c r="AR78" i="2"/>
  <c r="K36" i="34" s="1" a="1"/>
  <c r="K36" i="34" s="1"/>
  <c r="AR77" i="2"/>
  <c r="J36" i="34" s="1"/>
  <c r="V142" i="34" s="1"/>
  <c r="AR76" i="2"/>
  <c r="AR75" i="2"/>
  <c r="J58" i="34" s="1"/>
  <c r="AR74" i="2"/>
  <c r="AR73" i="2"/>
  <c r="J51" i="34" s="1"/>
  <c r="V182" i="34" s="1"/>
  <c r="AR72" i="2"/>
  <c r="K45" i="34" s="1" a="1"/>
  <c r="K45" i="34" s="1"/>
  <c r="W171" i="34" s="1"/>
  <c r="AR71" i="2"/>
  <c r="J45" i="34" s="1"/>
  <c r="AR70" i="2"/>
  <c r="K32" i="34" s="1" a="1"/>
  <c r="AR69" i="2"/>
  <c r="J32" i="34" s="1"/>
  <c r="AR68" i="2"/>
  <c r="K42" i="34" s="1" a="1"/>
  <c r="K42" i="34" s="1"/>
  <c r="W164" i="34" s="1"/>
  <c r="AR67" i="2"/>
  <c r="J42" i="34" s="1"/>
  <c r="AR66" i="2"/>
  <c r="K6" i="34" s="1" a="1"/>
  <c r="AR65" i="2"/>
  <c r="J6" i="34" s="1"/>
  <c r="AR64" i="2"/>
  <c r="K22" i="34" s="1" a="1"/>
  <c r="AR63" i="2"/>
  <c r="J22" i="34" s="1"/>
  <c r="V107" i="34" s="1"/>
  <c r="AR62" i="2"/>
  <c r="K33" i="34" s="1" a="1"/>
  <c r="AR61" i="2"/>
  <c r="J33" i="34" s="1"/>
  <c r="AR60" i="2"/>
  <c r="K41" i="34" s="1" a="1"/>
  <c r="K41" i="34" s="1"/>
  <c r="W160" i="34" s="1"/>
  <c r="AR59" i="2"/>
  <c r="J41" i="34" s="1"/>
  <c r="V160" i="34" s="1"/>
  <c r="E13" i="38" s="1"/>
  <c r="AR58" i="2"/>
  <c r="K16" i="34" s="1" a="1"/>
  <c r="K16" i="34" s="1"/>
  <c r="AR57" i="2"/>
  <c r="J16" i="34" s="1"/>
  <c r="AR56" i="2"/>
  <c r="K5" i="34" s="1" a="1"/>
  <c r="K5" i="34" s="1"/>
  <c r="AR55" i="2"/>
  <c r="J5" i="34" s="1"/>
  <c r="AC25" i="2"/>
  <c r="AB25" i="2"/>
  <c r="T25" i="2"/>
  <c r="AC24" i="2"/>
  <c r="AB24" i="2"/>
  <c r="T24" i="2"/>
  <c r="AC23" i="2"/>
  <c r="AB23" i="2"/>
  <c r="T23" i="2"/>
  <c r="AC22" i="2"/>
  <c r="AB22" i="2"/>
  <c r="T22" i="2"/>
  <c r="AC21" i="2"/>
  <c r="AB21" i="2"/>
  <c r="T21" i="2"/>
  <c r="AC20" i="2"/>
  <c r="AB20" i="2"/>
  <c r="T20" i="2"/>
  <c r="AC19" i="2"/>
  <c r="AB19" i="2"/>
  <c r="T19" i="2"/>
  <c r="AC18" i="2"/>
  <c r="AB18" i="2"/>
  <c r="T18" i="2"/>
  <c r="AC17" i="2"/>
  <c r="AB17" i="2"/>
  <c r="T17" i="2"/>
  <c r="AC16" i="2"/>
  <c r="AB16" i="2"/>
  <c r="T16" i="2"/>
  <c r="AC15" i="2"/>
  <c r="AB15" i="2"/>
  <c r="T15" i="2"/>
  <c r="AC14" i="2"/>
  <c r="AB14" i="2"/>
  <c r="T14" i="2"/>
  <c r="AC13" i="2"/>
  <c r="AB13" i="2"/>
  <c r="T13" i="2"/>
  <c r="AC12" i="2"/>
  <c r="AB12" i="2"/>
  <c r="T12" i="2"/>
  <c r="AC11" i="2"/>
  <c r="AB11" i="2"/>
  <c r="T11" i="2"/>
  <c r="AC10" i="2"/>
  <c r="AB10" i="2"/>
  <c r="T10" i="2"/>
  <c r="AC9" i="2"/>
  <c r="AB9" i="2"/>
  <c r="T9" i="2"/>
  <c r="AC8" i="2"/>
  <c r="AB8" i="2"/>
  <c r="T8" i="2"/>
  <c r="AC7" i="2"/>
  <c r="AB7" i="2"/>
  <c r="T7" i="2"/>
  <c r="AE6" i="2"/>
  <c r="AC6" i="2"/>
  <c r="AB6" i="2"/>
  <c r="O6" i="2"/>
  <c r="AO194" i="17"/>
  <c r="AO193" i="17"/>
  <c r="AO192" i="17"/>
  <c r="AO191" i="17"/>
  <c r="AO190" i="17"/>
  <c r="AO189" i="17"/>
  <c r="AO188" i="17"/>
  <c r="AO187" i="17"/>
  <c r="AO186" i="17"/>
  <c r="AO185" i="17"/>
  <c r="AO184" i="17"/>
  <c r="AO183" i="17"/>
  <c r="AO182" i="17"/>
  <c r="AO181" i="17"/>
  <c r="AO180" i="17"/>
  <c r="AO179" i="17"/>
  <c r="AO178" i="17"/>
  <c r="AO177" i="17"/>
  <c r="AO176" i="17"/>
  <c r="AO175" i="17"/>
  <c r="AO174" i="17"/>
  <c r="AO173" i="17"/>
  <c r="AO172" i="17"/>
  <c r="AO171" i="17"/>
  <c r="AO170" i="17"/>
  <c r="AO169" i="17"/>
  <c r="AO168" i="17"/>
  <c r="AO167" i="17"/>
  <c r="AO166" i="17"/>
  <c r="AO165" i="17"/>
  <c r="AO164" i="17"/>
  <c r="AO163" i="17"/>
  <c r="AO162" i="17"/>
  <c r="AO161" i="17"/>
  <c r="AO160" i="17"/>
  <c r="AO159" i="17"/>
  <c r="AO158" i="17"/>
  <c r="AO157" i="17"/>
  <c r="AO156" i="17"/>
  <c r="AO155" i="17"/>
  <c r="AO154" i="17"/>
  <c r="AO153" i="17"/>
  <c r="AO152" i="17"/>
  <c r="AO151" i="17"/>
  <c r="AO150" i="17"/>
  <c r="AO149" i="17"/>
  <c r="AD149" i="17"/>
  <c r="AC149" i="17"/>
  <c r="AB149" i="17"/>
  <c r="AA149" i="17"/>
  <c r="Z149" i="17"/>
  <c r="Y149" i="17"/>
  <c r="X149" i="17"/>
  <c r="W149" i="17"/>
  <c r="V149" i="17"/>
  <c r="U149" i="17"/>
  <c r="T149" i="17"/>
  <c r="S149" i="17"/>
  <c r="AO148" i="17"/>
  <c r="W148" i="17"/>
  <c r="V148" i="17"/>
  <c r="U148" i="17"/>
  <c r="T148" i="17"/>
  <c r="S148" i="17"/>
  <c r="AO147" i="17"/>
  <c r="AO146" i="17"/>
  <c r="AO145" i="17"/>
  <c r="AR144" i="17"/>
  <c r="AR143" i="17"/>
  <c r="AR142" i="17"/>
  <c r="AR141" i="17"/>
  <c r="AR140" i="17"/>
  <c r="AR139" i="17"/>
  <c r="AR138" i="17"/>
  <c r="AR137" i="17"/>
  <c r="AR136" i="17"/>
  <c r="AR135" i="17"/>
  <c r="AR134" i="17"/>
  <c r="AR133" i="17"/>
  <c r="AR132" i="17"/>
  <c r="AR131" i="17"/>
  <c r="AR130" i="17"/>
  <c r="AR129" i="17"/>
  <c r="AR128" i="17"/>
  <c r="AR127" i="17"/>
  <c r="AR126" i="17"/>
  <c r="AR125" i="17"/>
  <c r="AR124" i="17"/>
  <c r="AR123" i="17"/>
  <c r="AR122" i="17"/>
  <c r="AR121" i="17"/>
  <c r="AR120" i="17"/>
  <c r="AR119" i="17"/>
  <c r="AR118" i="17"/>
  <c r="AR117" i="17"/>
  <c r="AR116" i="17"/>
  <c r="AR115" i="17"/>
  <c r="AC25" i="17"/>
  <c r="AB25" i="17"/>
  <c r="AC24" i="17"/>
  <c r="AB24" i="17"/>
  <c r="AC23" i="17"/>
  <c r="AB23" i="17"/>
  <c r="AC22" i="17"/>
  <c r="AB22" i="17"/>
  <c r="AC21" i="17"/>
  <c r="AB21" i="17"/>
  <c r="AC20" i="17"/>
  <c r="AB20" i="17"/>
  <c r="AC19" i="17"/>
  <c r="AB19" i="17"/>
  <c r="AC18" i="17"/>
  <c r="AB18" i="17"/>
  <c r="AC17" i="17"/>
  <c r="AB17" i="17"/>
  <c r="AC16" i="17"/>
  <c r="AB16" i="17"/>
  <c r="AC15" i="17"/>
  <c r="AB15" i="17"/>
  <c r="AC14" i="17"/>
  <c r="AB14" i="17"/>
  <c r="AC13" i="17"/>
  <c r="AB13" i="17"/>
  <c r="AC12" i="17"/>
  <c r="AB12" i="17"/>
  <c r="AC11" i="17"/>
  <c r="AB11" i="17"/>
  <c r="AC10" i="17"/>
  <c r="AB10" i="17"/>
  <c r="AC9" i="17"/>
  <c r="AB9" i="17"/>
  <c r="AC8" i="17"/>
  <c r="AB8" i="17"/>
  <c r="AC7" i="17"/>
  <c r="AB7" i="17"/>
  <c r="AE6" i="17"/>
  <c r="AC6" i="17"/>
  <c r="AB6" i="17"/>
  <c r="O6" i="17"/>
  <c r="T13" i="19" l="1" a="1"/>
  <c r="T13" i="19" s="1"/>
  <c r="T19" i="19" a="1"/>
  <c r="T19" i="19" s="1"/>
  <c r="T15" i="19" a="1"/>
  <c r="T15" i="19" s="1"/>
  <c r="T24" i="19" a="1"/>
  <c r="T24" i="19" s="1"/>
  <c r="T16" i="19" a="1"/>
  <c r="T16" i="19" s="1"/>
  <c r="T8" i="19" a="1"/>
  <c r="T8" i="19" s="1"/>
  <c r="T20" i="19" a="1"/>
  <c r="T20" i="19" s="1"/>
  <c r="T17" i="19" a="1"/>
  <c r="T17" i="19" s="1"/>
  <c r="T23" i="19" a="1"/>
  <c r="T23" i="19" s="1"/>
  <c r="T9" i="19" a="1"/>
  <c r="T9" i="19" s="1"/>
  <c r="T14" i="19" a="1"/>
  <c r="T14" i="19" s="1"/>
  <c r="T7" i="19" a="1"/>
  <c r="T7" i="19" s="1"/>
  <c r="T11" i="19" a="1"/>
  <c r="T11" i="19" s="1"/>
  <c r="T18" i="19" a="1"/>
  <c r="T18" i="19" s="1"/>
  <c r="T25" i="19" a="1"/>
  <c r="T25" i="19" s="1"/>
  <c r="T21" i="19" a="1"/>
  <c r="T21" i="19" s="1"/>
  <c r="T22" i="19" a="1"/>
  <c r="T22" i="19" s="1"/>
  <c r="T12" i="19" a="1"/>
  <c r="T12" i="19" s="1"/>
  <c r="T6" i="19" a="1"/>
  <c r="T6" i="19" s="1"/>
  <c r="T10" i="19" a="1"/>
  <c r="T10" i="19" s="1"/>
  <c r="AG15" i="24"/>
  <c r="AG24" i="24"/>
  <c r="W39" i="34"/>
  <c r="V78" i="34"/>
  <c r="W78" i="34"/>
  <c r="W26" i="34"/>
  <c r="V56" i="34"/>
  <c r="W51" i="34"/>
  <c r="W62" i="34"/>
  <c r="V8" i="34"/>
  <c r="V49" i="34"/>
  <c r="V42" i="34"/>
  <c r="V35" i="34"/>
  <c r="V37" i="34"/>
  <c r="V38" i="34"/>
  <c r="E297" i="38" s="1"/>
  <c r="V55" i="34"/>
  <c r="V85" i="34"/>
  <c r="V86" i="34"/>
  <c r="V46" i="34"/>
  <c r="V30" i="34"/>
  <c r="V41" i="34"/>
  <c r="V40" i="34"/>
  <c r="V36" i="34"/>
  <c r="V43" i="34"/>
  <c r="V59" i="34"/>
  <c r="V50" i="34"/>
  <c r="V31" i="34"/>
  <c r="V16" i="34"/>
  <c r="V87" i="34"/>
  <c r="V39" i="34"/>
  <c r="AG9" i="24"/>
  <c r="K231" i="34" a="1"/>
  <c r="K231" i="34" s="1"/>
  <c r="W57" i="34" s="1"/>
  <c r="AG6" i="24"/>
  <c r="AG21" i="24"/>
  <c r="J231" i="34"/>
  <c r="V57" i="34" s="1"/>
  <c r="E39" i="38" s="1"/>
  <c r="AF56" i="32"/>
  <c r="AB11" i="36"/>
  <c r="AB17" i="36"/>
  <c r="AB23" i="36"/>
  <c r="AG56" i="32"/>
  <c r="AG7" i="24"/>
  <c r="AG10" i="24"/>
  <c r="AG13" i="24"/>
  <c r="AG16" i="24"/>
  <c r="AG19" i="24"/>
  <c r="AG22" i="24"/>
  <c r="AG25" i="24"/>
  <c r="AD15" i="2"/>
  <c r="AD16" i="2"/>
  <c r="AD19" i="2"/>
  <c r="AD20" i="2"/>
  <c r="AD21" i="2"/>
  <c r="AD23" i="2"/>
  <c r="AD24" i="2"/>
  <c r="AD25" i="2"/>
  <c r="AB12" i="36"/>
  <c r="AB18" i="36"/>
  <c r="AB24" i="36"/>
  <c r="AD25" i="19"/>
  <c r="AD6" i="2"/>
  <c r="AD19" i="18" s="1"/>
  <c r="AD24" i="19"/>
  <c r="AB7" i="36"/>
  <c r="AB13" i="36"/>
  <c r="AB19" i="36"/>
  <c r="AB25" i="36"/>
  <c r="AD23" i="19"/>
  <c r="AR130" i="19" a="1"/>
  <c r="AR130" i="19" s="1"/>
  <c r="AD12" i="19"/>
  <c r="AD20" i="19"/>
  <c r="AD8" i="19"/>
  <c r="AD14" i="19"/>
  <c r="AD15" i="19"/>
  <c r="AB14" i="36"/>
  <c r="AB20" i="36"/>
  <c r="AD16" i="19"/>
  <c r="AB15" i="36"/>
  <c r="AB21" i="36"/>
  <c r="AH56" i="32"/>
  <c r="AD21" i="19"/>
  <c r="AD17" i="19" s="1"/>
  <c r="AD18" i="2"/>
  <c r="AD17" i="2" s="1"/>
  <c r="AD11" i="19"/>
  <c r="K12" i="34" s="1" a="1"/>
  <c r="K12" i="34" s="1"/>
  <c r="AB10" i="36"/>
  <c r="AB16" i="36"/>
  <c r="AB22" i="36"/>
  <c r="V115" i="34"/>
  <c r="AD14" i="2"/>
  <c r="AD13" i="2" s="1"/>
  <c r="AD10" i="17"/>
  <c r="AD16" i="17"/>
  <c r="AD22" i="17"/>
  <c r="E407" i="38"/>
  <c r="J95" i="34"/>
  <c r="V183" i="34" s="1"/>
  <c r="V116" i="34"/>
  <c r="AD12" i="17"/>
  <c r="AD24" i="17"/>
  <c r="AA57" i="32"/>
  <c r="AA58" i="32"/>
  <c r="AB58" i="32"/>
  <c r="V197" i="34"/>
  <c r="E71" i="38" s="1"/>
  <c r="AG8" i="24"/>
  <c r="AG11" i="24"/>
  <c r="AG14" i="24"/>
  <c r="AG17" i="24"/>
  <c r="AG20" i="24"/>
  <c r="AG23" i="24"/>
  <c r="W93" i="34"/>
  <c r="W92" i="34"/>
  <c r="V145" i="34"/>
  <c r="W109" i="34"/>
  <c r="AD58" i="32"/>
  <c r="M11" i="8" a="1"/>
  <c r="M11" i="8" s="1"/>
  <c r="M12" i="8" a="1"/>
  <c r="M12" i="8" s="1"/>
  <c r="P11" i="8" a="1"/>
  <c r="P11" i="8" s="1"/>
  <c r="P12" i="8" a="1"/>
  <c r="P12" i="8" s="1"/>
  <c r="M11" i="14"/>
  <c r="M9" i="14"/>
  <c r="M13" i="14"/>
  <c r="M10" i="14"/>
  <c r="M8" i="14"/>
  <c r="M12" i="14"/>
  <c r="W56" i="32"/>
  <c r="K262" i="34"/>
  <c r="V134" i="34"/>
  <c r="E15" i="38" s="1"/>
  <c r="Y57" i="32"/>
  <c r="AC58" i="32"/>
  <c r="W142" i="34"/>
  <c r="E31" i="38"/>
  <c r="V147" i="34"/>
  <c r="V148" i="34"/>
  <c r="V62" i="34"/>
  <c r="AE58" i="32"/>
  <c r="AD10" i="19"/>
  <c r="AD9" i="19" s="1"/>
  <c r="AD7" i="19" s="1"/>
  <c r="AD6" i="19" s="1"/>
  <c r="AD23" i="17" s="1"/>
  <c r="AD21" i="17" s="1"/>
  <c r="AD20" i="17" s="1"/>
  <c r="AD15" i="17" s="1"/>
  <c r="AD14" i="17" s="1"/>
  <c r="AD11" i="17" s="1"/>
  <c r="AD9" i="17" s="1"/>
  <c r="AD8" i="17" s="1"/>
  <c r="V132" i="34"/>
  <c r="V133" i="34"/>
  <c r="E405" i="38" s="1"/>
  <c r="E41" i="38"/>
  <c r="X56" i="32"/>
  <c r="K251" i="34"/>
  <c r="W124" i="34" s="1"/>
  <c r="F174" i="36"/>
  <c r="G175" i="36"/>
  <c r="H175" i="36"/>
  <c r="H174" i="36"/>
  <c r="F175" i="36"/>
  <c r="D168" i="36"/>
  <c r="F168" i="36" s="1"/>
  <c r="F164" i="36"/>
  <c r="G174" i="36"/>
  <c r="F176" i="36"/>
  <c r="G176" i="36"/>
  <c r="AR118" i="19" a="1"/>
  <c r="AR76" i="19" a="1"/>
  <c r="AR120" i="19" a="1"/>
  <c r="AR112" i="19" a="1"/>
  <c r="AR66" i="19" a="1"/>
  <c r="AR60" i="19" a="1"/>
  <c r="AR128" i="19" a="1"/>
  <c r="AR90" i="19" a="1"/>
  <c r="AR104" i="19" a="1"/>
  <c r="AR96" i="19" a="1"/>
  <c r="AR82" i="19" a="1"/>
  <c r="AR106" i="19" a="1"/>
  <c r="AR72" i="19" a="1"/>
  <c r="AR74" i="19" a="1"/>
  <c r="AR64" i="19" a="1"/>
  <c r="AR78" i="19" a="1"/>
  <c r="AR122" i="19" a="1"/>
  <c r="AR86" i="19" a="1"/>
  <c r="AR84" i="19" a="1"/>
  <c r="AR92" i="19" a="1"/>
  <c r="AR70" i="19" a="1"/>
  <c r="AR70" i="19" s="1"/>
  <c r="AR102" i="19" a="1"/>
  <c r="AR116" i="19" a="1"/>
  <c r="AR56" i="19" a="1"/>
  <c r="AR68" i="19" a="1"/>
  <c r="AR68" i="19" s="1"/>
  <c r="AR62" i="19" a="1"/>
  <c r="AR100" i="19" a="1"/>
  <c r="AR94" i="19" a="1"/>
  <c r="AR114" i="19" a="1"/>
  <c r="AR98" i="19" a="1"/>
  <c r="AR124" i="19" a="1"/>
  <c r="AR124" i="19" s="1"/>
  <c r="AR110" i="19" a="1"/>
  <c r="AR108" i="19" a="1"/>
  <c r="AR88" i="19" a="1"/>
  <c r="AR88" i="19" s="1"/>
  <c r="AR58" i="19" a="1"/>
  <c r="AR126" i="19" a="1"/>
  <c r="AR80" i="19" a="1"/>
  <c r="AR80" i="19" s="1"/>
  <c r="V178" i="34"/>
  <c r="E83" i="38" s="1"/>
  <c r="V179" i="34"/>
  <c r="E427" i="38" s="1"/>
  <c r="V129" i="34"/>
  <c r="V152" i="34"/>
  <c r="V153" i="34"/>
  <c r="E87" i="38"/>
  <c r="AD6" i="17"/>
  <c r="W114" i="34"/>
  <c r="AF58" i="32"/>
  <c r="E13" i="20"/>
  <c r="E11" i="20"/>
  <c r="T11" i="20" a="1"/>
  <c r="T11" i="20" s="1"/>
  <c r="T14" i="20" a="1"/>
  <c r="T14" i="20" s="1"/>
  <c r="T10" i="20" a="1"/>
  <c r="T10" i="20" s="1"/>
  <c r="T13" i="20" a="1"/>
  <c r="T13" i="20" s="1"/>
  <c r="E10" i="20"/>
  <c r="H15" i="32" s="1"/>
  <c r="E14" i="20"/>
  <c r="E9" i="20"/>
  <c r="T6" i="20" a="1"/>
  <c r="T6" i="20" s="1"/>
  <c r="T9" i="20" a="1"/>
  <c r="T9" i="20" s="1"/>
  <c r="E12" i="20"/>
  <c r="T12" i="20" a="1"/>
  <c r="T12" i="20" s="1"/>
  <c r="T7" i="20" a="1"/>
  <c r="T7" i="20" s="1"/>
  <c r="E8" i="20"/>
  <c r="T8" i="20" a="1"/>
  <c r="T8" i="20" s="1"/>
  <c r="W36" i="34"/>
  <c r="I15" i="8"/>
  <c r="I12" i="8"/>
  <c r="J12" i="8"/>
  <c r="J11" i="8"/>
  <c r="J15" i="8"/>
  <c r="J13" i="8"/>
  <c r="J10" i="8"/>
  <c r="I10" i="8"/>
  <c r="J14" i="8"/>
  <c r="I13" i="8"/>
  <c r="I11" i="8"/>
  <c r="I14" i="8"/>
  <c r="Y56" i="32"/>
  <c r="K222" i="34" s="1" a="1"/>
  <c r="V176" i="34"/>
  <c r="V177" i="34"/>
  <c r="E63" i="38" s="1"/>
  <c r="W125" i="34"/>
  <c r="V26" i="34"/>
  <c r="V117" i="34"/>
  <c r="E49" i="38" s="1"/>
  <c r="V118" i="34"/>
  <c r="E45" i="38" s="1"/>
  <c r="V155" i="34"/>
  <c r="V93" i="34"/>
  <c r="K168" i="34" s="1" a="1"/>
  <c r="K168" i="34" s="1"/>
  <c r="V92" i="34"/>
  <c r="AG58" i="32"/>
  <c r="X71" i="15"/>
  <c r="X72" i="26"/>
  <c r="V110" i="34"/>
  <c r="E89" i="38" s="1"/>
  <c r="V111" i="34"/>
  <c r="AE15" i="8" a="1"/>
  <c r="AE15" i="8" s="1"/>
  <c r="AF15" i="8" a="1"/>
  <c r="AF15" i="8" s="1"/>
  <c r="AF25" i="8" a="1"/>
  <c r="AF25" i="8" s="1"/>
  <c r="AF30" i="8" a="1"/>
  <c r="AF30" i="8" s="1"/>
  <c r="AF18" i="8" a="1"/>
  <c r="AF18" i="8" s="1"/>
  <c r="AE19" i="8" a="1"/>
  <c r="AE19" i="8" s="1"/>
  <c r="AE30" i="8" a="1"/>
  <c r="AE30" i="8" s="1"/>
  <c r="AE27" i="8" a="1"/>
  <c r="AE27" i="8" s="1"/>
  <c r="AE12" i="8" a="1"/>
  <c r="AE12" i="8" s="1"/>
  <c r="AE22" i="8" a="1"/>
  <c r="AE22" i="8" s="1"/>
  <c r="AF23" i="8" a="1"/>
  <c r="AF23" i="8" s="1"/>
  <c r="AF24" i="8" a="1"/>
  <c r="AF24" i="8" s="1"/>
  <c r="AF13" i="8" a="1"/>
  <c r="AF13" i="8" s="1"/>
  <c r="AE25" i="8" a="1"/>
  <c r="AE25" i="8" s="1"/>
  <c r="AF27" i="8" a="1"/>
  <c r="AF27" i="8" s="1"/>
  <c r="AE18" i="8" a="1"/>
  <c r="AE18" i="8" s="1"/>
  <c r="AE13" i="8" a="1"/>
  <c r="AE13" i="8" s="1"/>
  <c r="AF21" i="8" a="1"/>
  <c r="AF21" i="8" s="1"/>
  <c r="AF11" i="8" a="1"/>
  <c r="AF11" i="8" s="1"/>
  <c r="AF10" i="8" a="1"/>
  <c r="AF10" i="8" s="1"/>
  <c r="AF17" i="8" a="1"/>
  <c r="AF17" i="8" s="1"/>
  <c r="AF20" i="8" a="1"/>
  <c r="AF20" i="8" s="1"/>
  <c r="AE28" i="8" a="1"/>
  <c r="AE28" i="8" s="1"/>
  <c r="AE14" i="8" a="1"/>
  <c r="AE14" i="8" s="1"/>
  <c r="AF14" i="8" a="1"/>
  <c r="AF14" i="8" s="1"/>
  <c r="AF19" i="8" a="1"/>
  <c r="AF19" i="8" s="1"/>
  <c r="AE21" i="8" a="1"/>
  <c r="AE21" i="8" s="1"/>
  <c r="AE11" i="8" a="1"/>
  <c r="AE11" i="8" s="1"/>
  <c r="AE23" i="8" a="1"/>
  <c r="AE23" i="8" s="1"/>
  <c r="AE24" i="8" a="1"/>
  <c r="AF22" i="8" a="1"/>
  <c r="AF22" i="8" s="1"/>
  <c r="AE26" i="8" a="1"/>
  <c r="AE26" i="8" s="1"/>
  <c r="AF12" i="8" a="1"/>
  <c r="AF12" i="8" s="1"/>
  <c r="AE10" i="8" a="1"/>
  <c r="AE10" i="8" s="1"/>
  <c r="AF29" i="8" a="1"/>
  <c r="AF29" i="8" s="1"/>
  <c r="AE29" i="8" a="1"/>
  <c r="AE29" i="8" s="1"/>
  <c r="AF26" i="8" a="1"/>
  <c r="AF26" i="8" s="1"/>
  <c r="AE20" i="8" a="1"/>
  <c r="AE17" i="8" a="1"/>
  <c r="AE17" i="8" s="1"/>
  <c r="AF28" i="8" a="1"/>
  <c r="AF28" i="8" s="1"/>
  <c r="Z56" i="32"/>
  <c r="W112" i="34"/>
  <c r="K263" i="34" a="1"/>
  <c r="K263" i="34" s="1"/>
  <c r="K264" i="34" a="1"/>
  <c r="K264" i="34" s="1"/>
  <c r="Z57" i="32"/>
  <c r="V51" i="34"/>
  <c r="V163" i="34"/>
  <c r="V164" i="34"/>
  <c r="E81" i="38"/>
  <c r="V198" i="34"/>
  <c r="AD22" i="2"/>
  <c r="W117" i="34"/>
  <c r="AH58" i="32"/>
  <c r="AD13" i="19"/>
  <c r="AD22" i="19"/>
  <c r="AB6" i="36"/>
  <c r="J88" i="34" s="1"/>
  <c r="V131" i="34" s="1"/>
  <c r="AR84" i="20" a="1"/>
  <c r="AR84" i="20" s="1"/>
  <c r="AR72" i="20" a="1"/>
  <c r="AR72" i="20" s="1"/>
  <c r="AR76" i="20" a="1"/>
  <c r="AR76" i="20" s="1"/>
  <c r="AR62" i="20" a="1"/>
  <c r="AR71" i="20" a="1"/>
  <c r="AR71" i="20" s="1"/>
  <c r="AR77" i="20" a="1"/>
  <c r="AR57" i="20" a="1"/>
  <c r="AR69" i="20" a="1"/>
  <c r="AR74" i="20" a="1"/>
  <c r="AR59" i="20" a="1"/>
  <c r="AR64" i="20" a="1"/>
  <c r="AR83" i="20" a="1"/>
  <c r="AR83" i="20" s="1"/>
  <c r="AR67" i="20" a="1"/>
  <c r="AR65" i="20" a="1"/>
  <c r="AR86" i="20" a="1"/>
  <c r="AR73" i="20" a="1"/>
  <c r="AR85" i="20" a="1"/>
  <c r="AR85" i="20" s="1"/>
  <c r="J184" i="34" s="1"/>
  <c r="V69" i="34" s="1"/>
  <c r="AR82" i="20" a="1"/>
  <c r="AR60" i="20" a="1"/>
  <c r="AR81" i="20" a="1"/>
  <c r="AR75" i="20" a="1"/>
  <c r="AR75" i="20" s="1"/>
  <c r="AR80" i="20" a="1"/>
  <c r="AR78" i="20" a="1"/>
  <c r="AR63" i="20" a="1"/>
  <c r="AR79" i="20" a="1"/>
  <c r="AR58" i="20" a="1"/>
  <c r="AR58" i="20" s="1"/>
  <c r="K183" i="34" s="1" a="1"/>
  <c r="K183" i="34" s="1"/>
  <c r="AR61" i="20" a="1"/>
  <c r="AR66" i="20" a="1"/>
  <c r="AR68" i="20" a="1"/>
  <c r="AR70" i="20" a="1"/>
  <c r="AR55" i="20" a="1"/>
  <c r="AR56" i="20" a="1"/>
  <c r="W4" i="34"/>
  <c r="E14" i="8"/>
  <c r="E12" i="8"/>
  <c r="I5" i="8"/>
  <c r="L5" i="8" s="1"/>
  <c r="E11" i="8"/>
  <c r="E15" i="8"/>
  <c r="H20" i="32" s="1"/>
  <c r="E13" i="8"/>
  <c r="E16" i="8"/>
  <c r="I7" i="8" s="1"/>
  <c r="L7" i="8" s="1"/>
  <c r="AA56" i="32"/>
  <c r="K6" i="34"/>
  <c r="K218" i="34"/>
  <c r="X57" i="32"/>
  <c r="V123" i="34"/>
  <c r="V124" i="34"/>
  <c r="AB9" i="36"/>
  <c r="AB8" i="36" s="1"/>
  <c r="X71" i="26" s="1"/>
  <c r="X72" i="15" s="1"/>
  <c r="AD25" i="17" s="1"/>
  <c r="AD19" i="17" s="1"/>
  <c r="AD18" i="17" s="1"/>
  <c r="AD17" i="17" s="1"/>
  <c r="AD13" i="17" s="1"/>
  <c r="J97" i="34" s="1"/>
  <c r="V188" i="34" s="1"/>
  <c r="AR61" i="18" a="1"/>
  <c r="AR76" i="18" a="1"/>
  <c r="AR77" i="18" a="1"/>
  <c r="AR77" i="18" s="1"/>
  <c r="AR83" i="18" a="1"/>
  <c r="AR60" i="18" a="1"/>
  <c r="AR68" i="18" a="1"/>
  <c r="AR68" i="18" s="1"/>
  <c r="AR78" i="18" a="1"/>
  <c r="AR78" i="18" s="1"/>
  <c r="AR59" i="18" a="1"/>
  <c r="AR75" i="18" a="1"/>
  <c r="AR81" i="18" a="1"/>
  <c r="AR69" i="18" a="1"/>
  <c r="AR82" i="18" a="1"/>
  <c r="AR88" i="18" a="1"/>
  <c r="AR86" i="18" a="1"/>
  <c r="AR65" i="18" a="1"/>
  <c r="AR67" i="18" a="1"/>
  <c r="AR72" i="18" a="1"/>
  <c r="AR66" i="18" a="1"/>
  <c r="AR89" i="18" a="1"/>
  <c r="AR84" i="18" a="1"/>
  <c r="AR70" i="18" a="1"/>
  <c r="AR79" i="18" a="1"/>
  <c r="AR57" i="18" a="1"/>
  <c r="AR87" i="18" a="1"/>
  <c r="AR87" i="18" s="1"/>
  <c r="AR85" i="18" a="1"/>
  <c r="AR58" i="18" a="1"/>
  <c r="AR73" i="18" a="1"/>
  <c r="AR80" i="18" a="1"/>
  <c r="AR63" i="18" a="1"/>
  <c r="AR90" i="18" a="1"/>
  <c r="AR55" i="18" a="1"/>
  <c r="AR74" i="18" a="1"/>
  <c r="AR71" i="18" a="1"/>
  <c r="AR64" i="18" a="1"/>
  <c r="AR62" i="18" a="1"/>
  <c r="AR56" i="18" a="1"/>
  <c r="V11" i="8" a="1"/>
  <c r="V11" i="8" s="1"/>
  <c r="V10" i="8" a="1"/>
  <c r="V10" i="8" s="1"/>
  <c r="W11" i="8" a="1"/>
  <c r="W11" i="8" s="1"/>
  <c r="W10" i="8" a="1"/>
  <c r="W10" i="8" s="1"/>
  <c r="AB56" i="32"/>
  <c r="C500" i="38"/>
  <c r="D500" i="38"/>
  <c r="V191" i="34"/>
  <c r="V192" i="34"/>
  <c r="X70" i="28"/>
  <c r="AE117" i="36"/>
  <c r="V140" i="34"/>
  <c r="E35" i="38" s="1"/>
  <c r="W58" i="32"/>
  <c r="AD7" i="17"/>
  <c r="W95" i="34"/>
  <c r="X58" i="32"/>
  <c r="AD18" i="19"/>
  <c r="W6" i="34"/>
  <c r="E11" i="14"/>
  <c r="E10" i="14"/>
  <c r="E12" i="14"/>
  <c r="E9" i="14"/>
  <c r="E14" i="14"/>
  <c r="AC56" i="32"/>
  <c r="E13" i="14"/>
  <c r="K32" i="34"/>
  <c r="W132" i="34" s="1"/>
  <c r="K220" i="34"/>
  <c r="X71" i="28"/>
  <c r="AE118" i="36"/>
  <c r="AD12" i="2"/>
  <c r="AD11" i="2" s="1"/>
  <c r="AD10" i="2" s="1"/>
  <c r="AD9" i="2" s="1"/>
  <c r="AD8" i="2" s="1"/>
  <c r="AD7" i="2" s="1"/>
  <c r="AD21" i="18" s="1"/>
  <c r="AD20" i="18" s="1"/>
  <c r="AD18" i="18" s="1"/>
  <c r="AD16" i="18" s="1"/>
  <c r="AD14" i="18" s="1"/>
  <c r="AD12" i="18" s="1"/>
  <c r="AD10" i="18" s="1"/>
  <c r="AD8" i="18" s="1"/>
  <c r="AD6" i="18" s="1"/>
  <c r="AD17" i="18"/>
  <c r="AD15" i="18" s="1"/>
  <c r="AD13" i="18" s="1"/>
  <c r="AD11" i="18" s="1"/>
  <c r="AD9" i="18" s="1"/>
  <c r="AD7" i="18" s="1"/>
  <c r="E75" i="38"/>
  <c r="E37" i="38"/>
  <c r="V98" i="34"/>
  <c r="V99" i="34"/>
  <c r="E61" i="38" s="1"/>
  <c r="Y58" i="32"/>
  <c r="AD56" i="32"/>
  <c r="K9" i="34"/>
  <c r="K33" i="34"/>
  <c r="W134" i="34" s="1"/>
  <c r="K221" i="34"/>
  <c r="J263" i="34"/>
  <c r="J264" i="34"/>
  <c r="W50" i="34"/>
  <c r="V170" i="34"/>
  <c r="V171" i="34"/>
  <c r="S151" i="17"/>
  <c r="T151" i="17" s="1"/>
  <c r="U151" i="17" s="1"/>
  <c r="V151" i="17" s="1"/>
  <c r="W151" i="17" s="1"/>
  <c r="X151" i="17" s="1"/>
  <c r="AE148" i="17"/>
  <c r="W57" i="32"/>
  <c r="W99" i="34"/>
  <c r="W168" i="34"/>
  <c r="Z58" i="32"/>
  <c r="W40" i="34"/>
  <c r="W143" i="34"/>
  <c r="AE56" i="32"/>
  <c r="K10" i="34"/>
  <c r="K22" i="34"/>
  <c r="W107" i="34" s="1"/>
  <c r="K46" i="34"/>
  <c r="W176" i="34" s="1"/>
  <c r="W58" i="34" l="1"/>
  <c r="W59" i="34"/>
  <c r="E9" i="38"/>
  <c r="W55" i="34"/>
  <c r="W16" i="34"/>
  <c r="W56" i="34"/>
  <c r="W49" i="34"/>
  <c r="V70" i="34"/>
  <c r="V58" i="34"/>
  <c r="J13" i="32"/>
  <c r="J14" i="32"/>
  <c r="H18" i="32"/>
  <c r="AG17" i="8"/>
  <c r="E17" i="8"/>
  <c r="AG29" i="8"/>
  <c r="AG28" i="8"/>
  <c r="AG25" i="8"/>
  <c r="AG27" i="8"/>
  <c r="AG18" i="8"/>
  <c r="AG30" i="8"/>
  <c r="E79" i="38"/>
  <c r="AR86" i="20"/>
  <c r="K184" i="34" s="1" a="1"/>
  <c r="K184" i="34" s="1"/>
  <c r="AR79" i="20"/>
  <c r="J195" i="34" s="1"/>
  <c r="V175" i="34" s="1"/>
  <c r="AR67" i="20"/>
  <c r="J190" i="34" s="1"/>
  <c r="V151" i="34" s="1"/>
  <c r="AG14" i="8"/>
  <c r="H17" i="32"/>
  <c r="AR126" i="19"/>
  <c r="K85" i="34" s="1" a="1"/>
  <c r="K85" i="34" s="1"/>
  <c r="W104" i="34" s="1"/>
  <c r="AR56" i="19"/>
  <c r="K71" i="34" s="1" a="1"/>
  <c r="K71" i="34" s="1"/>
  <c r="AR106" i="19"/>
  <c r="K94" i="34" s="1" a="1"/>
  <c r="K94" i="34" s="1"/>
  <c r="W170" i="34" s="1"/>
  <c r="AR61" i="20"/>
  <c r="J186" i="34" s="1"/>
  <c r="V88" i="34" s="1"/>
  <c r="AR76" i="19"/>
  <c r="K99" i="34" s="1" a="1"/>
  <c r="K99" i="34" s="1"/>
  <c r="W191" i="34" s="1"/>
  <c r="AR90" i="18"/>
  <c r="K150" i="34" s="1" a="1"/>
  <c r="K150" i="34" s="1"/>
  <c r="AR60" i="18"/>
  <c r="K160" i="34" s="1" a="1"/>
  <c r="K160" i="34" s="1"/>
  <c r="W139" i="34" s="1"/>
  <c r="AR63" i="20"/>
  <c r="J187" i="34" s="1"/>
  <c r="V108" i="34" s="1"/>
  <c r="AG11" i="8"/>
  <c r="AR58" i="19"/>
  <c r="K91" i="34" s="1" a="1"/>
  <c r="K91" i="34" s="1"/>
  <c r="W152" i="34" s="1"/>
  <c r="AR116" i="19"/>
  <c r="K86" i="34" s="1" a="1"/>
  <c r="K86" i="34" s="1"/>
  <c r="W123" i="34" s="1"/>
  <c r="AR82" i="19"/>
  <c r="K92" i="34" s="1" a="1"/>
  <c r="K92" i="34" s="1"/>
  <c r="W159" i="34" s="1"/>
  <c r="AR74" i="19"/>
  <c r="K100" i="34" s="1" a="1"/>
  <c r="AR89" i="18"/>
  <c r="J150" i="34" s="1"/>
  <c r="W59" i="32"/>
  <c r="X59" i="32" s="1"/>
  <c r="Y59" i="32" s="1"/>
  <c r="Z59" i="32" s="1"/>
  <c r="AA59" i="32" s="1"/>
  <c r="AB59" i="32" s="1"/>
  <c r="AC59" i="32" s="1"/>
  <c r="AD59" i="32" s="1"/>
  <c r="AE59" i="32" s="1"/>
  <c r="AF59" i="32" s="1"/>
  <c r="AG59" i="32" s="1"/>
  <c r="AH59" i="32" s="1"/>
  <c r="AI56" i="32"/>
  <c r="AR72" i="18"/>
  <c r="K164" i="34" s="1" a="1"/>
  <c r="K164" i="34" s="1"/>
  <c r="W162" i="34" s="1"/>
  <c r="AR80" i="18"/>
  <c r="K156" i="34" s="1" a="1"/>
  <c r="K156" i="34" s="1"/>
  <c r="W102" i="34" s="1"/>
  <c r="AR67" i="18"/>
  <c r="J149" i="34" s="1"/>
  <c r="AR83" i="18"/>
  <c r="J158" i="34" s="1"/>
  <c r="V128" i="34" s="1"/>
  <c r="T152" i="17"/>
  <c r="AR78" i="20"/>
  <c r="K194" i="34" s="1" a="1"/>
  <c r="K194" i="34" s="1"/>
  <c r="W173" i="34" s="1"/>
  <c r="J151" i="34" s="1"/>
  <c r="V52" i="34" s="1"/>
  <c r="AR64" i="20"/>
  <c r="K187" i="34" s="1" a="1"/>
  <c r="K187" i="34" s="1"/>
  <c r="W108" i="34" s="1"/>
  <c r="V152" i="17"/>
  <c r="AG10" i="8"/>
  <c r="AG22" i="8"/>
  <c r="T26" i="20"/>
  <c r="K89" i="34" s="1" a="1"/>
  <c r="K89" i="34" s="1"/>
  <c r="W137" i="34" s="1"/>
  <c r="AR102" i="19"/>
  <c r="K73" i="34" s="1" a="1"/>
  <c r="K73" i="34" s="1"/>
  <c r="AR96" i="19"/>
  <c r="K83" i="34" s="1" a="1"/>
  <c r="K83" i="34" s="1"/>
  <c r="W98" i="34" s="1"/>
  <c r="H7" i="38"/>
  <c r="N7" i="38"/>
  <c r="K7" i="38"/>
  <c r="AR118" i="19"/>
  <c r="K102" i="34" s="1" a="1"/>
  <c r="K102" i="34" s="1"/>
  <c r="W194" i="34" s="1"/>
  <c r="AR66" i="18"/>
  <c r="K154" i="34" s="1" a="1"/>
  <c r="K154" i="34" s="1"/>
  <c r="W84" i="34" s="1"/>
  <c r="AR63" i="18"/>
  <c r="J159" i="34" s="1"/>
  <c r="V135" i="34" s="1"/>
  <c r="S152" i="17"/>
  <c r="AR73" i="18"/>
  <c r="J157" i="34" s="1"/>
  <c r="V126" i="34" s="1"/>
  <c r="AR65" i="18"/>
  <c r="J154" i="34" s="1"/>
  <c r="V84" i="34" s="1"/>
  <c r="AR80" i="20"/>
  <c r="K195" i="34" s="1" a="1"/>
  <c r="K195" i="34" s="1"/>
  <c r="W175" i="34" s="1"/>
  <c r="AR59" i="20"/>
  <c r="J185" i="34" s="1"/>
  <c r="V77" i="34" s="1"/>
  <c r="AG12" i="8"/>
  <c r="G5" i="20"/>
  <c r="H14" i="32"/>
  <c r="AR108" i="19"/>
  <c r="K77" i="34" s="1" a="1"/>
  <c r="K77" i="34" s="1"/>
  <c r="AR104" i="19"/>
  <c r="K76" i="34" s="1" a="1"/>
  <c r="W152" i="17"/>
  <c r="AR62" i="19"/>
  <c r="K84" i="34" s="1" a="1"/>
  <c r="K84" i="34" s="1"/>
  <c r="W103" i="34" s="1"/>
  <c r="AR72" i="19"/>
  <c r="K101" i="34" s="1" a="1"/>
  <c r="K101" i="34" s="1"/>
  <c r="W60" i="32"/>
  <c r="AI57" i="32"/>
  <c r="AB122" i="9" s="1"/>
  <c r="AR58" i="18"/>
  <c r="K161" i="34" s="1" a="1"/>
  <c r="K161" i="34" s="1"/>
  <c r="W144" i="34" s="1"/>
  <c r="AR86" i="18"/>
  <c r="K162" i="34" s="1" a="1"/>
  <c r="K162" i="34" s="1"/>
  <c r="W150" i="34" s="1"/>
  <c r="AR76" i="18"/>
  <c r="K163" i="34" s="1" a="1"/>
  <c r="K163" i="34" s="1"/>
  <c r="W154" i="34" s="1"/>
  <c r="AR74" i="20"/>
  <c r="K193" i="34" s="1" a="1"/>
  <c r="K193" i="34" s="1"/>
  <c r="W165" i="34" s="1"/>
  <c r="AG26" i="8"/>
  <c r="J222" i="34"/>
  <c r="K222" i="34"/>
  <c r="H19" i="32"/>
  <c r="AR110" i="19"/>
  <c r="K97" i="34" s="1" a="1"/>
  <c r="AR92" i="19"/>
  <c r="K80" i="34" s="1" a="1"/>
  <c r="K80" i="34" s="1"/>
  <c r="AR90" i="19"/>
  <c r="K79" i="34" s="1" a="1"/>
  <c r="K79" i="34" s="1"/>
  <c r="L10" i="36"/>
  <c r="J175" i="34" s="1"/>
  <c r="H176" i="36"/>
  <c r="AR74" i="18"/>
  <c r="K157" i="34" s="1" a="1"/>
  <c r="K157" i="34" s="1"/>
  <c r="W126" i="34" s="1"/>
  <c r="K96" i="34" a="1"/>
  <c r="AR85" i="18"/>
  <c r="J162" i="34" s="1"/>
  <c r="V150" i="34" s="1"/>
  <c r="AR88" i="18"/>
  <c r="K151" i="34" s="1" a="1"/>
  <c r="K151" i="34" s="1"/>
  <c r="W52" i="34" s="1"/>
  <c r="AR61" i="18"/>
  <c r="J155" i="34" s="1"/>
  <c r="V94" i="34" s="1"/>
  <c r="AR56" i="20"/>
  <c r="K182" i="34" s="1" a="1"/>
  <c r="K182" i="34" s="1"/>
  <c r="AR81" i="20"/>
  <c r="J189" i="34" s="1"/>
  <c r="V130" i="34" s="1"/>
  <c r="AR69" i="20"/>
  <c r="J192" i="34" s="1"/>
  <c r="AR84" i="19"/>
  <c r="K90" i="34" s="1" a="1"/>
  <c r="K90" i="34" s="1"/>
  <c r="W147" i="34" s="1"/>
  <c r="AR128" i="19"/>
  <c r="K103" i="34" s="1" a="1"/>
  <c r="AR84" i="18"/>
  <c r="K158" i="34" s="1" a="1"/>
  <c r="K158" i="34" s="1"/>
  <c r="W128" i="34" s="1"/>
  <c r="H16" i="32"/>
  <c r="K175" i="34" s="1" a="1"/>
  <c r="K175" i="34" s="1"/>
  <c r="X152" i="17"/>
  <c r="Y151" i="17"/>
  <c r="AR56" i="18"/>
  <c r="K152" i="34" s="1" a="1"/>
  <c r="K152" i="34" s="1"/>
  <c r="AR82" i="18"/>
  <c r="K153" i="34" s="1" a="1"/>
  <c r="K153" i="34" s="1"/>
  <c r="W81" i="34" s="1"/>
  <c r="AR55" i="20"/>
  <c r="J182" i="34" s="1"/>
  <c r="AR60" i="20"/>
  <c r="K185" i="34" s="1" a="1"/>
  <c r="K185" i="34" s="1"/>
  <c r="W77" i="34" s="1"/>
  <c r="AR57" i="20"/>
  <c r="J183" i="34" s="1"/>
  <c r="AE24" i="8"/>
  <c r="AG24" i="8" s="1"/>
  <c r="AG19" i="8"/>
  <c r="AR98" i="19"/>
  <c r="K87" i="34" s="1" a="1"/>
  <c r="K87" i="34" s="1"/>
  <c r="W127" i="34" s="1"/>
  <c r="AR86" i="19"/>
  <c r="K81" i="34" s="1" a="1"/>
  <c r="K81" i="34" s="1"/>
  <c r="W87" i="34" s="1"/>
  <c r="AR60" i="19"/>
  <c r="K72" i="34" s="1" a="1"/>
  <c r="K72" i="34" s="1"/>
  <c r="U152" i="17"/>
  <c r="AR65" i="20"/>
  <c r="J188" i="34" s="1"/>
  <c r="V121" i="34" s="1"/>
  <c r="AG15" i="8"/>
  <c r="E15" i="14"/>
  <c r="AR62" i="18"/>
  <c r="K155" i="34" s="1" a="1"/>
  <c r="K155" i="34" s="1"/>
  <c r="W94" i="34" s="1"/>
  <c r="AR57" i="18"/>
  <c r="J161" i="34" s="1"/>
  <c r="V144" i="34" s="1"/>
  <c r="AR69" i="18"/>
  <c r="J166" i="34" s="1"/>
  <c r="V174" i="34" s="1"/>
  <c r="AR70" i="20"/>
  <c r="K191" i="34" s="1" a="1"/>
  <c r="K191" i="34" s="1"/>
  <c r="AR82" i="20"/>
  <c r="K189" i="34" s="1" a="1"/>
  <c r="K189" i="34" s="1"/>
  <c r="W130" i="34" s="1"/>
  <c r="AR77" i="20"/>
  <c r="J194" i="34" s="1"/>
  <c r="V173" i="34" s="1"/>
  <c r="AG23" i="8"/>
  <c r="AG13" i="8"/>
  <c r="AR114" i="19"/>
  <c r="K95" i="34" s="1" a="1"/>
  <c r="AR122" i="19"/>
  <c r="K88" i="34" s="1" a="1"/>
  <c r="K88" i="34" s="1"/>
  <c r="W131" i="34" s="1"/>
  <c r="AR66" i="19"/>
  <c r="K70" i="34" s="1" a="1"/>
  <c r="AR59" i="18"/>
  <c r="J160" i="34" s="1"/>
  <c r="V139" i="34" s="1"/>
  <c r="AE20" i="8"/>
  <c r="AG20" i="8" s="1"/>
  <c r="AR79" i="18"/>
  <c r="J156" i="34" s="1"/>
  <c r="V102" i="34" s="1"/>
  <c r="AR81" i="18"/>
  <c r="J153" i="34" s="1"/>
  <c r="V81" i="34" s="1"/>
  <c r="AR68" i="20"/>
  <c r="K190" i="34" s="1" a="1"/>
  <c r="K190" i="34" s="1"/>
  <c r="W151" i="34" s="1"/>
  <c r="AR94" i="19"/>
  <c r="K93" i="34" s="1" a="1"/>
  <c r="K93" i="34" s="1"/>
  <c r="W163" i="34" s="1"/>
  <c r="AR78" i="19"/>
  <c r="K98" i="34" s="1" a="1"/>
  <c r="AR112" i="19"/>
  <c r="K78" i="34" s="1" a="1"/>
  <c r="K78" i="34" s="1"/>
  <c r="AR55" i="18"/>
  <c r="J152" i="34" s="1"/>
  <c r="AR64" i="18"/>
  <c r="K159" i="34" s="1" a="1"/>
  <c r="K159" i="34" s="1"/>
  <c r="W135" i="34" s="1"/>
  <c r="AR71" i="18"/>
  <c r="J164" i="34" s="1"/>
  <c r="V162" i="34" s="1"/>
  <c r="AR70" i="18"/>
  <c r="K166" i="34" s="1" a="1"/>
  <c r="K166" i="34" s="1"/>
  <c r="W174" i="34" s="1"/>
  <c r="AR75" i="18"/>
  <c r="J163" i="34" s="1"/>
  <c r="V154" i="34" s="1"/>
  <c r="AR66" i="20"/>
  <c r="K188" i="34" s="1" a="1"/>
  <c r="AR73" i="20"/>
  <c r="J193" i="34" s="1"/>
  <c r="V165" i="34" s="1"/>
  <c r="E431" i="38" s="1"/>
  <c r="AR62" i="20"/>
  <c r="K186" i="34" s="1" a="1"/>
  <c r="K186" i="34" s="1"/>
  <c r="W88" i="34" s="1"/>
  <c r="AG21" i="8"/>
  <c r="E15" i="20"/>
  <c r="I5" i="20"/>
  <c r="H13" i="32"/>
  <c r="AR100" i="19"/>
  <c r="K75" i="34" s="1" a="1"/>
  <c r="K75" i="34" s="1"/>
  <c r="AR64" i="19"/>
  <c r="K82" i="34" s="1" a="1"/>
  <c r="K82" i="34" s="1"/>
  <c r="W96" i="34" s="1"/>
  <c r="AR120" i="19"/>
  <c r="K74" i="34" s="1" a="1"/>
  <c r="K74" i="34" s="1"/>
  <c r="W43" i="34" l="1"/>
  <c r="W22" i="34"/>
  <c r="W21" i="34"/>
  <c r="W46" i="34"/>
  <c r="V60" i="34"/>
  <c r="V61" i="34"/>
  <c r="V34" i="34"/>
  <c r="W37" i="34"/>
  <c r="W38" i="34"/>
  <c r="V22" i="34"/>
  <c r="V23" i="34"/>
  <c r="V82" i="34"/>
  <c r="V83" i="34"/>
  <c r="E11" i="38" s="1"/>
  <c r="W69" i="34"/>
  <c r="W70" i="34"/>
  <c r="W79" i="34"/>
  <c r="W80" i="34"/>
  <c r="W60" i="34"/>
  <c r="W61" i="34"/>
  <c r="V79" i="34"/>
  <c r="V80" i="34"/>
  <c r="W34" i="34"/>
  <c r="W35" i="34"/>
  <c r="W82" i="34"/>
  <c r="W83" i="34"/>
  <c r="W47" i="34"/>
  <c r="V14" i="34"/>
  <c r="V15" i="34"/>
  <c r="W48" i="34"/>
  <c r="K170" i="34" s="1" a="1"/>
  <c r="K170" i="34" s="1"/>
  <c r="W23" i="34"/>
  <c r="W85" i="34"/>
  <c r="W86" i="34"/>
  <c r="V21" i="34"/>
  <c r="W30" i="34"/>
  <c r="W31" i="34"/>
  <c r="V47" i="34"/>
  <c r="E289" i="38" s="1"/>
  <c r="V48" i="34"/>
  <c r="H21" i="32"/>
  <c r="W182" i="34"/>
  <c r="K95" i="34"/>
  <c r="W183" i="34" s="1"/>
  <c r="W193" i="34"/>
  <c r="K100" i="34"/>
  <c r="W192" i="34" s="1"/>
  <c r="W122" i="34"/>
  <c r="K188" i="34"/>
  <c r="W121" i="34" s="1"/>
  <c r="K70" i="34"/>
  <c r="W8" i="34" s="1"/>
  <c r="K98" i="34"/>
  <c r="W190" i="34" s="1"/>
  <c r="W196" i="34"/>
  <c r="K103" i="34"/>
  <c r="W195" i="34" s="1"/>
  <c r="K76" i="34"/>
  <c r="W41" i="34" s="1"/>
  <c r="Y152" i="17"/>
  <c r="Z151" i="17"/>
  <c r="I27" i="32"/>
  <c r="J5" i="20"/>
  <c r="I28" i="32" s="1"/>
  <c r="J7" i="32"/>
  <c r="L7" i="32" s="1"/>
  <c r="K192" i="34" a="1"/>
  <c r="K192" i="34" s="1"/>
  <c r="W186" i="34"/>
  <c r="K96" i="34"/>
  <c r="W187" i="34" s="1"/>
  <c r="J191" i="34"/>
  <c r="W156" i="34"/>
  <c r="W157" i="34"/>
  <c r="W189" i="34"/>
  <c r="K97" i="34"/>
  <c r="W188" i="34" s="1"/>
  <c r="K7" i="32"/>
  <c r="I29" i="32"/>
  <c r="X60" i="32"/>
  <c r="W61" i="32"/>
  <c r="E437" i="38" l="1"/>
  <c r="E191" i="38"/>
  <c r="W42" i="34"/>
  <c r="Y60" i="32"/>
  <c r="X61" i="32"/>
  <c r="AA151" i="17"/>
  <c r="V156" i="34"/>
  <c r="V157" i="34"/>
  <c r="AB151" i="17" l="1"/>
  <c r="Z60" i="32"/>
  <c r="R122" i="9"/>
  <c r="Y61" i="32"/>
  <c r="AA60" i="32" l="1"/>
  <c r="Z61" i="32"/>
  <c r="S122" i="9"/>
  <c r="AC151" i="17"/>
  <c r="AD151" i="17" l="1"/>
  <c r="AB60" i="32"/>
  <c r="T122" i="9"/>
  <c r="AA61" i="32"/>
  <c r="U122" i="9" l="1"/>
  <c r="AC60" i="32"/>
  <c r="AB61" i="32"/>
  <c r="Z152" i="17"/>
  <c r="AA152" i="17" l="1"/>
  <c r="AB152" i="17" s="1"/>
  <c r="AC152" i="17" s="1"/>
  <c r="AD152" i="17" s="1"/>
  <c r="T8" i="17" a="1"/>
  <c r="T8" i="17" s="1"/>
  <c r="T20" i="17" a="1"/>
  <c r="T20" i="17" s="1"/>
  <c r="T14" i="17" a="1"/>
  <c r="T14" i="17" s="1"/>
  <c r="AR80" i="17" a="1"/>
  <c r="AR103" i="17" a="1"/>
  <c r="T7" i="17" a="1"/>
  <c r="T7" i="17" s="1"/>
  <c r="AR72" i="17" a="1"/>
  <c r="T6" i="17" a="1"/>
  <c r="T6" i="17" s="1"/>
  <c r="AR99" i="17" a="1"/>
  <c r="AR99" i="17" s="1"/>
  <c r="J141" i="34" s="1"/>
  <c r="AR63" i="17" a="1"/>
  <c r="AC61" i="32"/>
  <c r="V122" i="9"/>
  <c r="AD60" i="32"/>
  <c r="AE60" i="32" l="1"/>
  <c r="AF60" i="32" s="1"/>
  <c r="AG60" i="32" s="1"/>
  <c r="AH60" i="32" s="1"/>
  <c r="AD61" i="32"/>
  <c r="W122" i="9"/>
  <c r="AR63" i="17"/>
  <c r="AR72" i="17"/>
  <c r="AR80" i="17"/>
  <c r="K138" i="34" s="1" a="1"/>
  <c r="K138" i="34" s="1"/>
  <c r="W100" i="34" s="1"/>
  <c r="AR103" i="17"/>
  <c r="AR60" i="17" a="1"/>
  <c r="AR60" i="17" s="1"/>
  <c r="AR101" i="17" a="1"/>
  <c r="AR91" i="17" a="1"/>
  <c r="AR76" i="17" a="1"/>
  <c r="AR76" i="17" s="1"/>
  <c r="AR66" i="17" a="1"/>
  <c r="AR97" i="17" a="1"/>
  <c r="AR56" i="17" a="1"/>
  <c r="AR57" i="17" a="1"/>
  <c r="AR57" i="17" s="1"/>
  <c r="J144" i="34" s="1"/>
  <c r="V172" i="34" s="1"/>
  <c r="AR110" i="17" a="1"/>
  <c r="T21" i="17" a="1"/>
  <c r="T21" i="17" s="1"/>
  <c r="T15" i="17" a="1"/>
  <c r="T15" i="17" s="1"/>
  <c r="AR113" i="17" a="1"/>
  <c r="AR113" i="17" s="1"/>
  <c r="AR77" i="17" a="1"/>
  <c r="AR77" i="17" s="1"/>
  <c r="AR70" i="17" a="1"/>
  <c r="AR71" i="17" a="1"/>
  <c r="T18" i="17" a="1"/>
  <c r="T18" i="17" s="1"/>
  <c r="AR73" i="17" a="1"/>
  <c r="AR73" i="17" s="1"/>
  <c r="AR95" i="17" a="1"/>
  <c r="T25" i="17" a="1"/>
  <c r="T25" i="17" s="1"/>
  <c r="AR62" i="17" a="1"/>
  <c r="AR69" i="17" a="1"/>
  <c r="AR67" i="17" a="1"/>
  <c r="AR58" i="17" a="1"/>
  <c r="AR86" i="17" a="1"/>
  <c r="AR86" i="17" s="1"/>
  <c r="K140" i="34" s="1" a="1"/>
  <c r="K140" i="34" s="1"/>
  <c r="W113" i="34" s="1"/>
  <c r="T23" i="17" a="1"/>
  <c r="T23" i="17" s="1"/>
  <c r="T12" i="17" a="1"/>
  <c r="T12" i="17" s="1"/>
  <c r="T24" i="17" a="1"/>
  <c r="T24" i="17" s="1"/>
  <c r="AR114" i="17" a="1"/>
  <c r="AR114" i="17" s="1"/>
  <c r="AR102" i="17" a="1"/>
  <c r="AR111" i="17" a="1"/>
  <c r="AR83" i="17" a="1"/>
  <c r="AR93" i="17" a="1"/>
  <c r="AR93" i="17" s="1"/>
  <c r="AR105" i="17" a="1"/>
  <c r="AR78" i="17" a="1"/>
  <c r="AR92" i="17" a="1"/>
  <c r="AR92" i="17" s="1"/>
  <c r="K142" i="34" s="1" a="1"/>
  <c r="T19" i="17" a="1"/>
  <c r="T19" i="17" s="1"/>
  <c r="T16" i="17" a="1"/>
  <c r="T16" i="17" s="1"/>
  <c r="AR98" i="17" a="1"/>
  <c r="AR88" i="17" a="1"/>
  <c r="AR87" i="17" a="1"/>
  <c r="AR87" i="17" s="1"/>
  <c r="J143" i="34" s="1"/>
  <c r="V169" i="34" s="1"/>
  <c r="E369" i="38" s="1"/>
  <c r="AR112" i="17" a="1"/>
  <c r="AR112" i="17" s="1"/>
  <c r="AR64" i="17" a="1"/>
  <c r="AR65" i="17" a="1"/>
  <c r="AR89" i="17" a="1"/>
  <c r="AR89" i="17" s="1"/>
  <c r="J139" i="34" s="1"/>
  <c r="V106" i="34" s="1"/>
  <c r="E17" i="38" s="1"/>
  <c r="AR59" i="17" a="1"/>
  <c r="AR59" i="17" s="1"/>
  <c r="AR94" i="17" a="1"/>
  <c r="AR94" i="17" s="1"/>
  <c r="T10" i="17" a="1"/>
  <c r="T10" i="17" s="1"/>
  <c r="AR84" i="17" a="1"/>
  <c r="AR75" i="17" a="1"/>
  <c r="AR75" i="17" s="1"/>
  <c r="AR68" i="17" a="1"/>
  <c r="T22" i="17" a="1"/>
  <c r="T22" i="17" s="1"/>
  <c r="AR90" i="17" a="1"/>
  <c r="AR74" i="17" a="1"/>
  <c r="AR74" i="17" s="1"/>
  <c r="AR96" i="17" a="1"/>
  <c r="AR108" i="17" a="1"/>
  <c r="AR108" i="17" s="1"/>
  <c r="AR79" i="17" a="1"/>
  <c r="AR79" i="17" s="1"/>
  <c r="J138" i="34" s="1"/>
  <c r="T11" i="17" a="1"/>
  <c r="T11" i="17" s="1"/>
  <c r="T13" i="17" a="1"/>
  <c r="T13" i="17" s="1"/>
  <c r="AR109" i="17" a="1"/>
  <c r="T9" i="17" a="1"/>
  <c r="T9" i="17" s="1"/>
  <c r="AR106" i="17" a="1"/>
  <c r="AR106" i="17" s="1"/>
  <c r="AR85" i="17" a="1"/>
  <c r="AR85" i="17" s="1"/>
  <c r="J140" i="34" s="1"/>
  <c r="V113" i="34" s="1"/>
  <c r="AR61" i="17" a="1"/>
  <c r="AR107" i="17" a="1"/>
  <c r="AR107" i="17" s="1"/>
  <c r="T17" i="17" a="1"/>
  <c r="T17" i="17" s="1"/>
  <c r="AR104" i="17" a="1"/>
  <c r="AR100" i="17" a="1"/>
  <c r="AR100" i="17" s="1"/>
  <c r="K141" i="34" s="1" a="1"/>
  <c r="K141" i="34" s="1"/>
  <c r="J135" i="34" l="1"/>
  <c r="V68" i="34" s="1"/>
  <c r="T26" i="17"/>
  <c r="AR61" i="17"/>
  <c r="AR109" i="17"/>
  <c r="J120" i="34" s="1"/>
  <c r="K142" i="34"/>
  <c r="W136" i="34" s="1"/>
  <c r="AR58" i="17"/>
  <c r="K144" i="34" s="1" a="1"/>
  <c r="K144" i="34" s="1"/>
  <c r="W172" i="34" s="1"/>
  <c r="AR84" i="17"/>
  <c r="AR78" i="17"/>
  <c r="K135" i="34" s="1" a="1"/>
  <c r="K135" i="34" s="1"/>
  <c r="W68" i="34" s="1"/>
  <c r="AR67" i="17"/>
  <c r="K123" i="34" a="1"/>
  <c r="K123" i="34" s="1"/>
  <c r="W20" i="34" s="1"/>
  <c r="J119" i="34"/>
  <c r="J118" i="34"/>
  <c r="AR105" i="17"/>
  <c r="AR69" i="17"/>
  <c r="AR110" i="17"/>
  <c r="K120" i="34" s="1" a="1"/>
  <c r="AR62" i="17"/>
  <c r="K149" i="34" a="1"/>
  <c r="K149" i="34" s="1"/>
  <c r="V100" i="34"/>
  <c r="AR65" i="17"/>
  <c r="AR83" i="17"/>
  <c r="AR56" i="17"/>
  <c r="K116" i="34" s="1" a="1"/>
  <c r="AR104" i="17"/>
  <c r="K131" i="34" s="1" a="1"/>
  <c r="K131" i="34" s="1"/>
  <c r="W64" i="34" s="1"/>
  <c r="AR96" i="17"/>
  <c r="AR64" i="17"/>
  <c r="K117" i="34" s="1" a="1"/>
  <c r="AR111" i="17"/>
  <c r="J136" i="34" s="1"/>
  <c r="AR95" i="17"/>
  <c r="AR97" i="17"/>
  <c r="AR102" i="17"/>
  <c r="K124" i="34" s="1" a="1"/>
  <c r="AR66" i="17"/>
  <c r="AR90" i="17"/>
  <c r="K139" i="34" s="1" a="1"/>
  <c r="K139" i="34" s="1"/>
  <c r="W106" i="34" s="1"/>
  <c r="AR88" i="17"/>
  <c r="K143" i="34" s="1" a="1"/>
  <c r="K143" i="34" s="1"/>
  <c r="W169" i="34" s="1"/>
  <c r="AR71" i="17"/>
  <c r="J131" i="34" s="1"/>
  <c r="V64" i="34" s="1"/>
  <c r="AR91" i="17"/>
  <c r="J142" i="34" s="1"/>
  <c r="V136" i="34" s="1"/>
  <c r="AR68" i="17"/>
  <c r="AR98" i="17"/>
  <c r="AR70" i="17"/>
  <c r="K133" i="34" s="1" a="1"/>
  <c r="K133" i="34" s="1"/>
  <c r="W66" i="34" s="1"/>
  <c r="AR101" i="17"/>
  <c r="X122" i="9"/>
  <c r="AE61" i="32"/>
  <c r="K119" i="34" a="1"/>
  <c r="K119" i="34" s="1"/>
  <c r="K137" i="34" l="1" a="1"/>
  <c r="K137" i="34" s="1"/>
  <c r="W76" i="34" s="1"/>
  <c r="J133" i="34"/>
  <c r="V66" i="34" s="1"/>
  <c r="V75" i="34"/>
  <c r="V73" i="34"/>
  <c r="K132" i="34" a="1"/>
  <c r="K132" i="34" s="1"/>
  <c r="W65" i="34" s="1"/>
  <c r="K121" i="34" a="1"/>
  <c r="K121" i="34" s="1"/>
  <c r="W13" i="34" s="1"/>
  <c r="J121" i="34"/>
  <c r="V13" i="34" s="1"/>
  <c r="J124" i="34"/>
  <c r="V24" i="34" s="1"/>
  <c r="K127" i="34" a="1"/>
  <c r="K127" i="34" s="1"/>
  <c r="W29" i="34" s="1"/>
  <c r="J128" i="34"/>
  <c r="V33" i="34" s="1"/>
  <c r="K128" i="34" a="1"/>
  <c r="K128" i="34" s="1"/>
  <c r="V12" i="34"/>
  <c r="K125" i="34" a="1"/>
  <c r="K125" i="34" s="1"/>
  <c r="W25" i="34" s="1"/>
  <c r="J125" i="34"/>
  <c r="V25" i="34" s="1"/>
  <c r="K118" i="34" a="1"/>
  <c r="K118" i="34" s="1"/>
  <c r="W10" i="34" s="1"/>
  <c r="J132" i="34"/>
  <c r="V65" i="34" s="1"/>
  <c r="V27" i="34"/>
  <c r="E65" i="38" s="1"/>
  <c r="V17" i="34"/>
  <c r="J134" i="34"/>
  <c r="V44" i="34"/>
  <c r="J126" i="34"/>
  <c r="V28" i="34" s="1"/>
  <c r="J117" i="34"/>
  <c r="W74" i="34"/>
  <c r="W72" i="34"/>
  <c r="K136" i="34" a="1"/>
  <c r="K136" i="34" s="1"/>
  <c r="W17" i="34"/>
  <c r="J129" i="34"/>
  <c r="J122" i="34"/>
  <c r="V18" i="34" s="1"/>
  <c r="K129" i="34" a="1"/>
  <c r="K129" i="34" s="1"/>
  <c r="V74" i="34"/>
  <c r="E443" i="38" s="1"/>
  <c r="V72" i="34"/>
  <c r="W27" i="34"/>
  <c r="J130" i="34"/>
  <c r="W14" i="34"/>
  <c r="W15" i="34"/>
  <c r="W32" i="34"/>
  <c r="K126" i="34" a="1"/>
  <c r="K126" i="34" s="1"/>
  <c r="W28" i="34" s="1"/>
  <c r="K130" i="34" a="1"/>
  <c r="K130" i="34" s="1"/>
  <c r="K122" i="34" a="1"/>
  <c r="K122" i="34" s="1"/>
  <c r="W18" i="34" s="1"/>
  <c r="J127" i="34"/>
  <c r="K134" i="34" a="1"/>
  <c r="K134" i="34" s="1"/>
  <c r="K116" i="34"/>
  <c r="W5" i="34" s="1"/>
  <c r="W89" i="34"/>
  <c r="W90" i="34"/>
  <c r="J123" i="34"/>
  <c r="V20" i="34" s="1"/>
  <c r="K120" i="34"/>
  <c r="W12" i="34" s="1"/>
  <c r="V89" i="34"/>
  <c r="J137" i="34"/>
  <c r="V10" i="34"/>
  <c r="V11" i="34"/>
  <c r="K117" i="34"/>
  <c r="W19" i="34"/>
  <c r="Y122" i="9"/>
  <c r="AF61" i="32"/>
  <c r="W11" i="34"/>
  <c r="K124" i="34"/>
  <c r="W24" i="34" s="1"/>
  <c r="E387" i="38" l="1"/>
  <c r="W75" i="34"/>
  <c r="W73" i="34"/>
  <c r="V90" i="34"/>
  <c r="V76" i="34"/>
  <c r="W53" i="34"/>
  <c r="W45" i="34"/>
  <c r="E339" i="38"/>
  <c r="V9" i="34"/>
  <c r="V7" i="34"/>
  <c r="V71" i="34"/>
  <c r="V67" i="34"/>
  <c r="W9" i="34"/>
  <c r="W7" i="34"/>
  <c r="W44" i="34"/>
  <c r="W33" i="34"/>
  <c r="W63" i="34"/>
  <c r="W54" i="34"/>
  <c r="V63" i="34"/>
  <c r="V54" i="34"/>
  <c r="V19" i="34"/>
  <c r="W71" i="34"/>
  <c r="W67" i="34"/>
  <c r="V32" i="34"/>
  <c r="V29" i="34"/>
  <c r="V53" i="34"/>
  <c r="V45" i="34"/>
  <c r="E287" i="38" s="1"/>
  <c r="AG61" i="32"/>
  <c r="Z122" i="9"/>
  <c r="B122" i="42" l="1"/>
  <c r="C122" i="42" s="1"/>
  <c r="D122" i="42" s="1"/>
  <c r="B113" i="42"/>
  <c r="C113" i="42" s="1"/>
  <c r="D113" i="42" s="1"/>
  <c r="B92" i="42"/>
  <c r="C92" i="42" s="1"/>
  <c r="D92" i="42" s="1"/>
  <c r="B177" i="42"/>
  <c r="C177" i="42" s="1"/>
  <c r="D177" i="42" s="1"/>
  <c r="B176" i="42"/>
  <c r="C176" i="42" s="1"/>
  <c r="D176" i="42" s="1"/>
  <c r="K66" i="32"/>
  <c r="F66" i="32" s="1"/>
  <c r="K84" i="32"/>
  <c r="F84" i="32" s="1"/>
  <c r="K149" i="32"/>
  <c r="F149" i="32" s="1"/>
  <c r="K207" i="32"/>
  <c r="F207" i="32" s="1"/>
  <c r="K191" i="32"/>
  <c r="F191" i="32" s="1"/>
  <c r="K92" i="32"/>
  <c r="F92" i="32" s="1"/>
  <c r="K122" i="32"/>
  <c r="F122" i="32" s="1"/>
  <c r="K233" i="32"/>
  <c r="F233" i="32" s="1"/>
  <c r="K160" i="32"/>
  <c r="F160" i="32" s="1"/>
  <c r="K196" i="32"/>
  <c r="F196" i="32" s="1"/>
  <c r="K71" i="32"/>
  <c r="F71" i="32" s="1"/>
  <c r="K171" i="32"/>
  <c r="F171" i="32" s="1"/>
  <c r="K94" i="32"/>
  <c r="F94" i="32" s="1"/>
  <c r="K85" i="32"/>
  <c r="F85" i="32" s="1"/>
  <c r="K115" i="32"/>
  <c r="F115" i="32" s="1"/>
  <c r="K166" i="32"/>
  <c r="F166" i="32" s="1"/>
  <c r="B173" i="42"/>
  <c r="C173" i="42" s="1"/>
  <c r="D173" i="42" s="1"/>
  <c r="B56" i="42"/>
  <c r="C56" i="42" s="1"/>
  <c r="D56" i="42" s="1"/>
  <c r="K232" i="32"/>
  <c r="F232" i="32" s="1"/>
  <c r="K129" i="32"/>
  <c r="F129" i="32" s="1"/>
  <c r="K153" i="32"/>
  <c r="F153" i="32" s="1"/>
  <c r="B19" i="42"/>
  <c r="C19" i="42" s="1"/>
  <c r="D19" i="42" s="1"/>
  <c r="K209" i="32"/>
  <c r="F209" i="32" s="1"/>
  <c r="B112" i="42"/>
  <c r="C112" i="42" s="1"/>
  <c r="D112" i="42" s="1"/>
  <c r="K176" i="32"/>
  <c r="F176" i="32" s="1"/>
  <c r="K101" i="32"/>
  <c r="F101" i="32" s="1"/>
  <c r="K244" i="32"/>
  <c r="F244" i="32" s="1"/>
  <c r="K79" i="32"/>
  <c r="F79" i="32" s="1"/>
  <c r="B193" i="42"/>
  <c r="C193" i="42" s="1"/>
  <c r="D193" i="42" s="1"/>
  <c r="B174" i="42"/>
  <c r="C174" i="42" s="1"/>
  <c r="D174" i="42" s="1"/>
  <c r="K214" i="32"/>
  <c r="F214" i="32" s="1"/>
  <c r="K154" i="32"/>
  <c r="F154" i="32" s="1"/>
  <c r="K159" i="32"/>
  <c r="F159" i="32" s="1"/>
  <c r="K222" i="32"/>
  <c r="F222" i="32" s="1"/>
  <c r="K104" i="32"/>
  <c r="F104" i="32" s="1"/>
  <c r="K169" i="32"/>
  <c r="F169" i="32" s="1"/>
  <c r="K98" i="32"/>
  <c r="F98" i="32" s="1"/>
  <c r="B154" i="42"/>
  <c r="C154" i="42" s="1"/>
  <c r="D154" i="42" s="1"/>
  <c r="B197" i="42"/>
  <c r="C197" i="42" s="1"/>
  <c r="D197" i="42" s="1"/>
  <c r="B199" i="42"/>
  <c r="C199" i="42" s="1"/>
  <c r="D199" i="42" s="1"/>
  <c r="K89" i="32"/>
  <c r="F89" i="32" s="1"/>
  <c r="K174" i="32"/>
  <c r="F174" i="32" s="1"/>
  <c r="K203" i="32"/>
  <c r="F203" i="32" s="1"/>
  <c r="K65" i="32"/>
  <c r="F65" i="32" s="1"/>
  <c r="K170" i="32"/>
  <c r="F170" i="32" s="1"/>
  <c r="B4" i="42"/>
  <c r="C4" i="42" s="1"/>
  <c r="D4" i="42" s="1"/>
  <c r="K173" i="32"/>
  <c r="F173" i="32" s="1"/>
  <c r="K186" i="32"/>
  <c r="F186" i="32" s="1"/>
  <c r="K167" i="32"/>
  <c r="F167" i="32" s="1"/>
  <c r="B28" i="42"/>
  <c r="C28" i="42" s="1"/>
  <c r="D28" i="42" s="1"/>
  <c r="K150" i="32"/>
  <c r="F150" i="32" s="1"/>
  <c r="K102" i="32"/>
  <c r="F102" i="32" s="1"/>
  <c r="L102" i="32" s="1"/>
  <c r="M102" i="32" s="1"/>
  <c r="K241" i="32"/>
  <c r="F241" i="32" s="1"/>
  <c r="B164" i="42"/>
  <c r="C164" i="42" s="1"/>
  <c r="D164" i="42" s="1"/>
  <c r="K56" i="32"/>
  <c r="K64" i="32"/>
  <c r="F64" i="32" s="1"/>
  <c r="K137" i="32"/>
  <c r="F137" i="32" s="1"/>
  <c r="K210" i="32"/>
  <c r="F210" i="32" s="1"/>
  <c r="K83" i="32"/>
  <c r="F83" i="32" s="1"/>
  <c r="K73" i="32"/>
  <c r="F73" i="32" s="1"/>
  <c r="B137" i="42"/>
  <c r="C137" i="42" s="1"/>
  <c r="D137" i="42" s="1"/>
  <c r="B38" i="42"/>
  <c r="C38" i="42" s="1"/>
  <c r="D38" i="42" s="1"/>
  <c r="B153" i="42"/>
  <c r="C153" i="42" s="1"/>
  <c r="D153" i="42" s="1"/>
  <c r="B49" i="42"/>
  <c r="C49" i="42" s="1"/>
  <c r="D49" i="42" s="1"/>
  <c r="B14" i="42"/>
  <c r="C14" i="42" s="1"/>
  <c r="D14" i="42" s="1"/>
  <c r="B117" i="42"/>
  <c r="C117" i="42" s="1"/>
  <c r="D117" i="42" s="1"/>
  <c r="B139" i="42"/>
  <c r="C139" i="42" s="1"/>
  <c r="D139" i="42" s="1"/>
  <c r="B168" i="42"/>
  <c r="C168" i="42" s="1"/>
  <c r="D168" i="42" s="1"/>
  <c r="B102" i="42"/>
  <c r="C102" i="42" s="1"/>
  <c r="D102" i="42" s="1"/>
  <c r="B111" i="42"/>
  <c r="C111" i="42" s="1"/>
  <c r="D111" i="42" s="1"/>
  <c r="B39" i="42"/>
  <c r="C39" i="42" s="1"/>
  <c r="D39" i="42" s="1"/>
  <c r="B172" i="42"/>
  <c r="C172" i="42" s="1"/>
  <c r="D172" i="42" s="1"/>
  <c r="B41" i="42"/>
  <c r="C41" i="42" s="1"/>
  <c r="D41" i="42" s="1"/>
  <c r="B120" i="42"/>
  <c r="C120" i="42" s="1"/>
  <c r="D120" i="42" s="1"/>
  <c r="B91" i="42"/>
  <c r="C91" i="42" s="1"/>
  <c r="D91" i="42" s="1"/>
  <c r="K211" i="32"/>
  <c r="F211" i="32" s="1"/>
  <c r="K141" i="32"/>
  <c r="F141" i="32" s="1"/>
  <c r="K110" i="32"/>
  <c r="F110" i="32" s="1"/>
  <c r="K230" i="32"/>
  <c r="F230" i="32" s="1"/>
  <c r="K100" i="32"/>
  <c r="F100" i="32" s="1"/>
  <c r="J100" i="32" s="1"/>
  <c r="K75" i="32"/>
  <c r="F75" i="32" s="1"/>
  <c r="K114" i="32"/>
  <c r="F114" i="32" s="1"/>
  <c r="K133" i="32"/>
  <c r="F133" i="32" s="1"/>
  <c r="K180" i="32"/>
  <c r="F180" i="32" s="1"/>
  <c r="K69" i="32"/>
  <c r="F69" i="32" s="1"/>
  <c r="K258" i="32"/>
  <c r="F258" i="32" s="1"/>
  <c r="K105" i="32"/>
  <c r="F105" i="32" s="1"/>
  <c r="K256" i="32"/>
  <c r="F256" i="32" s="1"/>
  <c r="K123" i="32"/>
  <c r="F123" i="32" s="1"/>
  <c r="K91" i="32"/>
  <c r="F91" i="32" s="1"/>
  <c r="B141" i="42"/>
  <c r="C141" i="42" s="1"/>
  <c r="D141" i="42" s="1"/>
  <c r="B50" i="42"/>
  <c r="C50" i="42" s="1"/>
  <c r="D50" i="42" s="1"/>
  <c r="B147" i="42"/>
  <c r="C147" i="42" s="1"/>
  <c r="D147" i="42" s="1"/>
  <c r="B170" i="42"/>
  <c r="C170" i="42" s="1"/>
  <c r="D170" i="42" s="1"/>
  <c r="B124" i="42"/>
  <c r="C124" i="42" s="1"/>
  <c r="D124" i="42" s="1"/>
  <c r="B2" i="42"/>
  <c r="C2" i="42" s="1"/>
  <c r="D2" i="42" s="1"/>
  <c r="B79" i="42"/>
  <c r="C79" i="42" s="1"/>
  <c r="D79" i="42" s="1"/>
  <c r="B84" i="42"/>
  <c r="C84" i="42" s="1"/>
  <c r="D84" i="42" s="1"/>
  <c r="B10" i="42"/>
  <c r="C10" i="42" s="1"/>
  <c r="D10" i="42" s="1"/>
  <c r="B75" i="42"/>
  <c r="C75" i="42" s="1"/>
  <c r="D75" i="42" s="1"/>
  <c r="B74" i="42"/>
  <c r="C74" i="42" s="1"/>
  <c r="D74" i="42" s="1"/>
  <c r="B53" i="42"/>
  <c r="C53" i="42" s="1"/>
  <c r="D53" i="42" s="1"/>
  <c r="B86" i="42"/>
  <c r="C86" i="42" s="1"/>
  <c r="D86" i="42" s="1"/>
  <c r="B24" i="42"/>
  <c r="C24" i="42" s="1"/>
  <c r="D24" i="42" s="1"/>
  <c r="K58" i="32"/>
  <c r="K63" i="32"/>
  <c r="F63" i="32" s="1"/>
  <c r="K151" i="32"/>
  <c r="F151" i="32" s="1"/>
  <c r="K97" i="32"/>
  <c r="F97" i="32" s="1"/>
  <c r="H97" i="32" s="1"/>
  <c r="K198" i="32"/>
  <c r="F198" i="32" s="1"/>
  <c r="E198" i="32" s="1"/>
  <c r="K111" i="32"/>
  <c r="F111" i="32" s="1"/>
  <c r="E111" i="32" s="1"/>
  <c r="K136" i="32"/>
  <c r="F136" i="32" s="1"/>
  <c r="H136" i="32" s="1"/>
  <c r="K234" i="32"/>
  <c r="F234" i="32" s="1"/>
  <c r="J234" i="32" s="1"/>
  <c r="K157" i="32"/>
  <c r="F157" i="32" s="1"/>
  <c r="K128" i="32"/>
  <c r="F128" i="32" s="1"/>
  <c r="J128" i="32" s="1"/>
  <c r="K144" i="32"/>
  <c r="F144" i="32" s="1"/>
  <c r="K177" i="32"/>
  <c r="F177" i="32" s="1"/>
  <c r="K70" i="32"/>
  <c r="F70" i="32" s="1"/>
  <c r="E70" i="32" s="1"/>
  <c r="K148" i="32"/>
  <c r="F148" i="32" s="1"/>
  <c r="B182" i="42"/>
  <c r="C182" i="42" s="1"/>
  <c r="D182" i="42" s="1"/>
  <c r="B160" i="42"/>
  <c r="C160" i="42" s="1"/>
  <c r="D160" i="42" s="1"/>
  <c r="B9" i="42"/>
  <c r="C9" i="42" s="1"/>
  <c r="D9" i="42" s="1"/>
  <c r="B88" i="42"/>
  <c r="C88" i="42" s="1"/>
  <c r="D88" i="42" s="1"/>
  <c r="B57" i="42"/>
  <c r="C57" i="42" s="1"/>
  <c r="D57" i="42" s="1"/>
  <c r="B121" i="42"/>
  <c r="C121" i="42" s="1"/>
  <c r="D121" i="42" s="1"/>
  <c r="B148" i="42"/>
  <c r="C148" i="42" s="1"/>
  <c r="D148" i="42" s="1"/>
  <c r="B12" i="42"/>
  <c r="C12" i="42" s="1"/>
  <c r="D12" i="42" s="1"/>
  <c r="B22" i="42"/>
  <c r="C22" i="42" s="1"/>
  <c r="D22" i="42" s="1"/>
  <c r="B8" i="42"/>
  <c r="C8" i="42" s="1"/>
  <c r="D8" i="42" s="1"/>
  <c r="B48" i="42"/>
  <c r="C48" i="42" s="1"/>
  <c r="D48" i="42" s="1"/>
  <c r="B136" i="42"/>
  <c r="C136" i="42" s="1"/>
  <c r="D136" i="42" s="1"/>
  <c r="B144" i="42"/>
  <c r="C144" i="42" s="1"/>
  <c r="D144" i="42" s="1"/>
  <c r="B188" i="42"/>
  <c r="C188" i="42" s="1"/>
  <c r="D188" i="42" s="1"/>
  <c r="B104" i="42"/>
  <c r="C104" i="42" s="1"/>
  <c r="D104" i="42" s="1"/>
  <c r="B82" i="42"/>
  <c r="C82" i="42" s="1"/>
  <c r="D82" i="42" s="1"/>
  <c r="B157" i="42"/>
  <c r="C157" i="42" s="1"/>
  <c r="D157" i="42" s="1"/>
  <c r="B25" i="42"/>
  <c r="C25" i="42" s="1"/>
  <c r="D25" i="42" s="1"/>
  <c r="B163" i="42"/>
  <c r="C163" i="42" s="1"/>
  <c r="D163" i="42" s="1"/>
  <c r="B94" i="42"/>
  <c r="C94" i="42" s="1"/>
  <c r="D94" i="42" s="1"/>
  <c r="B118" i="42"/>
  <c r="C118" i="42" s="1"/>
  <c r="D118" i="42" s="1"/>
  <c r="B158" i="42"/>
  <c r="C158" i="42" s="1"/>
  <c r="D158" i="42" s="1"/>
  <c r="K67" i="32"/>
  <c r="F67" i="32" s="1"/>
  <c r="K135" i="32"/>
  <c r="F135" i="32" s="1"/>
  <c r="H135" i="32" s="1"/>
  <c r="K168" i="32"/>
  <c r="F168" i="32" s="1"/>
  <c r="K107" i="32"/>
  <c r="F107" i="32" s="1"/>
  <c r="K61" i="32"/>
  <c r="F61" i="32" s="1"/>
  <c r="H61" i="32" s="1"/>
  <c r="K59" i="32"/>
  <c r="F59" i="32" s="1"/>
  <c r="K188" i="32"/>
  <c r="F188" i="32" s="1"/>
  <c r="L188" i="32" s="1"/>
  <c r="M188" i="32" s="1"/>
  <c r="K165" i="32"/>
  <c r="F165" i="32" s="1"/>
  <c r="K121" i="32"/>
  <c r="F121" i="32" s="1"/>
  <c r="K183" i="32"/>
  <c r="F183" i="32" s="1"/>
  <c r="L183" i="32" s="1"/>
  <c r="M183" i="32" s="1"/>
  <c r="K82" i="32"/>
  <c r="F82" i="32" s="1"/>
  <c r="J82" i="32" s="1"/>
  <c r="K143" i="32"/>
  <c r="F143" i="32" s="1"/>
  <c r="H143" i="32" s="1"/>
  <c r="K255" i="32"/>
  <c r="F255" i="32" s="1"/>
  <c r="E255" i="32" s="1"/>
  <c r="K76" i="32"/>
  <c r="F76" i="32" s="1"/>
  <c r="L76" i="32" s="1"/>
  <c r="M76" i="32" s="1"/>
  <c r="B145" i="42"/>
  <c r="C145" i="42" s="1"/>
  <c r="D145" i="42" s="1"/>
  <c r="B109" i="42"/>
  <c r="C109" i="42" s="1"/>
  <c r="D109" i="42" s="1"/>
  <c r="B51" i="42"/>
  <c r="C51" i="42" s="1"/>
  <c r="D51" i="42" s="1"/>
  <c r="B183" i="42"/>
  <c r="C183" i="42" s="1"/>
  <c r="D183" i="42" s="1"/>
  <c r="B126" i="42"/>
  <c r="C126" i="42" s="1"/>
  <c r="D126" i="42" s="1"/>
  <c r="B15" i="42"/>
  <c r="C15" i="42" s="1"/>
  <c r="D15" i="42" s="1"/>
  <c r="B187" i="42"/>
  <c r="C187" i="42" s="1"/>
  <c r="D187" i="42" s="1"/>
  <c r="B67" i="42"/>
  <c r="C67" i="42" s="1"/>
  <c r="D67" i="42" s="1"/>
  <c r="B20" i="42"/>
  <c r="C20" i="42" s="1"/>
  <c r="D20" i="42" s="1"/>
  <c r="B85" i="42"/>
  <c r="C85" i="42" s="1"/>
  <c r="D85" i="42" s="1"/>
  <c r="B166" i="42"/>
  <c r="C166" i="42" s="1"/>
  <c r="D166" i="42" s="1"/>
  <c r="B54" i="42"/>
  <c r="C54" i="42" s="1"/>
  <c r="D54" i="42" s="1"/>
  <c r="B58" i="42"/>
  <c r="C58" i="42" s="1"/>
  <c r="D58" i="42" s="1"/>
  <c r="B21" i="42"/>
  <c r="C21" i="42" s="1"/>
  <c r="D21" i="42" s="1"/>
  <c r="B184" i="42"/>
  <c r="C184" i="42" s="1"/>
  <c r="D184" i="42" s="1"/>
  <c r="B77" i="42"/>
  <c r="C77" i="42" s="1"/>
  <c r="D77" i="42" s="1"/>
  <c r="K193" i="32"/>
  <c r="F193" i="32" s="1"/>
  <c r="K212" i="32"/>
  <c r="F212" i="32" s="1"/>
  <c r="J212" i="32" s="1"/>
  <c r="K140" i="32"/>
  <c r="F140" i="32" s="1"/>
  <c r="L140" i="32" s="1"/>
  <c r="M140" i="32" s="1"/>
  <c r="K250" i="32"/>
  <c r="F250" i="32" s="1"/>
  <c r="K259" i="32"/>
  <c r="F259" i="32" s="1"/>
  <c r="H259" i="32" s="1"/>
  <c r="K96" i="32"/>
  <c r="F96" i="32" s="1"/>
  <c r="K227" i="32"/>
  <c r="F227" i="32" s="1"/>
  <c r="K132" i="32"/>
  <c r="F132" i="32" s="1"/>
  <c r="E132" i="32" s="1"/>
  <c r="K124" i="32"/>
  <c r="F124" i="32" s="1"/>
  <c r="I124" i="32" s="1"/>
  <c r="K228" i="32"/>
  <c r="F228" i="32" s="1"/>
  <c r="E228" i="32" s="1"/>
  <c r="K90" i="32"/>
  <c r="F90" i="32" s="1"/>
  <c r="E90" i="32" s="1"/>
  <c r="K242" i="32"/>
  <c r="F242" i="32" s="1"/>
  <c r="H242" i="32" s="1"/>
  <c r="K199" i="32"/>
  <c r="F199" i="32" s="1"/>
  <c r="I199" i="32" s="1"/>
  <c r="K192" i="32"/>
  <c r="F192" i="32" s="1"/>
  <c r="E192" i="32" s="1"/>
  <c r="B95" i="42"/>
  <c r="C95" i="42" s="1"/>
  <c r="D95" i="42" s="1"/>
  <c r="B150" i="42"/>
  <c r="C150" i="42" s="1"/>
  <c r="D150" i="42" s="1"/>
  <c r="B159" i="42"/>
  <c r="C159" i="42" s="1"/>
  <c r="D159" i="42" s="1"/>
  <c r="B40" i="42"/>
  <c r="C40" i="42" s="1"/>
  <c r="D40" i="42" s="1"/>
  <c r="B114" i="42"/>
  <c r="C114" i="42" s="1"/>
  <c r="D114" i="42" s="1"/>
  <c r="B100" i="42"/>
  <c r="C100" i="42" s="1"/>
  <c r="D100" i="42" s="1"/>
  <c r="B16" i="42"/>
  <c r="C16" i="42" s="1"/>
  <c r="D16" i="42" s="1"/>
  <c r="B185" i="42"/>
  <c r="C185" i="42" s="1"/>
  <c r="D185" i="42" s="1"/>
  <c r="B18" i="42"/>
  <c r="C18" i="42" s="1"/>
  <c r="D18" i="42" s="1"/>
  <c r="B171" i="42"/>
  <c r="C171" i="42" s="1"/>
  <c r="D171" i="42" s="1"/>
  <c r="B31" i="42"/>
  <c r="C31" i="42" s="1"/>
  <c r="D31" i="42" s="1"/>
  <c r="B36" i="42"/>
  <c r="C36" i="42" s="1"/>
  <c r="D36" i="42" s="1"/>
  <c r="B71" i="42"/>
  <c r="C71" i="42" s="1"/>
  <c r="D71" i="42" s="1"/>
  <c r="B3" i="42"/>
  <c r="C3" i="42" s="1"/>
  <c r="D3" i="42" s="1"/>
  <c r="B189" i="42"/>
  <c r="C189" i="42" s="1"/>
  <c r="D189" i="42" s="1"/>
  <c r="B34" i="42"/>
  <c r="C34" i="42" s="1"/>
  <c r="D34" i="42" s="1"/>
  <c r="B151" i="42"/>
  <c r="C151" i="42" s="1"/>
  <c r="D151" i="42" s="1"/>
  <c r="B130" i="42"/>
  <c r="C130" i="42" s="1"/>
  <c r="D130" i="42" s="1"/>
  <c r="K126" i="32"/>
  <c r="F126" i="32" s="1"/>
  <c r="I126" i="32" s="1"/>
  <c r="K99" i="32"/>
  <c r="F99" i="32" s="1"/>
  <c r="H99" i="32" s="1"/>
  <c r="K182" i="32"/>
  <c r="F182" i="32" s="1"/>
  <c r="K139" i="32"/>
  <c r="F139" i="32" s="1"/>
  <c r="I139" i="32" s="1"/>
  <c r="K253" i="32"/>
  <c r="F253" i="32" s="1"/>
  <c r="H253" i="32" s="1"/>
  <c r="K125" i="32"/>
  <c r="F125" i="32" s="1"/>
  <c r="L125" i="32" s="1"/>
  <c r="M125" i="32" s="1"/>
  <c r="K164" i="32"/>
  <c r="F164" i="32" s="1"/>
  <c r="H164" i="32" s="1"/>
  <c r="K239" i="32"/>
  <c r="F239" i="32" s="1"/>
  <c r="I239" i="32" s="1"/>
  <c r="K68" i="32"/>
  <c r="F68" i="32" s="1"/>
  <c r="H68" i="32" s="1"/>
  <c r="K178" i="32"/>
  <c r="F178" i="32" s="1"/>
  <c r="I178" i="32" s="1"/>
  <c r="K72" i="32"/>
  <c r="F72" i="32" s="1"/>
  <c r="I72" i="32" s="1"/>
  <c r="K131" i="32"/>
  <c r="F131" i="32" s="1"/>
  <c r="I131" i="32" s="1"/>
  <c r="K200" i="32"/>
  <c r="F200" i="32" s="1"/>
  <c r="J200" i="32" s="1"/>
  <c r="K243" i="32"/>
  <c r="F243" i="32" s="1"/>
  <c r="I243" i="32" s="1"/>
  <c r="B198" i="42"/>
  <c r="C198" i="42" s="1"/>
  <c r="D198" i="42" s="1"/>
  <c r="B32" i="42"/>
  <c r="C32" i="42" s="1"/>
  <c r="D32" i="42" s="1"/>
  <c r="B149" i="42"/>
  <c r="C149" i="42" s="1"/>
  <c r="D149" i="42" s="1"/>
  <c r="B155" i="42"/>
  <c r="C155" i="42" s="1"/>
  <c r="D155" i="42" s="1"/>
  <c r="B195" i="42"/>
  <c r="C195" i="42" s="1"/>
  <c r="D195" i="42" s="1"/>
  <c r="B81" i="42"/>
  <c r="C81" i="42" s="1"/>
  <c r="D81" i="42" s="1"/>
  <c r="B200" i="42"/>
  <c r="C200" i="42" s="1"/>
  <c r="D200" i="42" s="1"/>
  <c r="B62" i="42"/>
  <c r="C62" i="42" s="1"/>
  <c r="D62" i="42" s="1"/>
  <c r="B119" i="42"/>
  <c r="C119" i="42" s="1"/>
  <c r="D119" i="42" s="1"/>
  <c r="B98" i="42"/>
  <c r="C98" i="42" s="1"/>
  <c r="D98" i="42" s="1"/>
  <c r="B99" i="42"/>
  <c r="C99" i="42" s="1"/>
  <c r="D99" i="42" s="1"/>
  <c r="B29" i="42"/>
  <c r="C29" i="42" s="1"/>
  <c r="D29" i="42" s="1"/>
  <c r="B175" i="42"/>
  <c r="C175" i="42" s="1"/>
  <c r="D175" i="42" s="1"/>
  <c r="B201" i="42"/>
  <c r="C201" i="42" s="1"/>
  <c r="D201" i="42" s="1"/>
  <c r="K62" i="32"/>
  <c r="F62" i="32" s="1"/>
  <c r="E62" i="32" s="1"/>
  <c r="K220" i="32"/>
  <c r="F220" i="32" s="1"/>
  <c r="K120" i="32"/>
  <c r="F120" i="32" s="1"/>
  <c r="J120" i="32" s="1"/>
  <c r="K163" i="32"/>
  <c r="F163" i="32" s="1"/>
  <c r="E163" i="32" s="1"/>
  <c r="K247" i="32"/>
  <c r="F247" i="32" s="1"/>
  <c r="H247" i="32" s="1"/>
  <c r="K231" i="32"/>
  <c r="F231" i="32" s="1"/>
  <c r="L231" i="32" s="1"/>
  <c r="M231" i="32" s="1"/>
  <c r="K206" i="32"/>
  <c r="F206" i="32" s="1"/>
  <c r="K127" i="32"/>
  <c r="F127" i="32" s="1"/>
  <c r="H127" i="32" s="1"/>
  <c r="K208" i="32"/>
  <c r="F208" i="32" s="1"/>
  <c r="I208" i="32" s="1"/>
  <c r="K245" i="32"/>
  <c r="F245" i="32" s="1"/>
  <c r="B132" i="42"/>
  <c r="C132" i="42" s="1"/>
  <c r="D132" i="42" s="1"/>
  <c r="B64" i="42"/>
  <c r="C64" i="42" s="1"/>
  <c r="D64" i="42" s="1"/>
  <c r="B68" i="42"/>
  <c r="C68" i="42" s="1"/>
  <c r="D68" i="42" s="1"/>
  <c r="B90" i="42"/>
  <c r="C90" i="42" s="1"/>
  <c r="D90" i="42" s="1"/>
  <c r="B191" i="42"/>
  <c r="C191" i="42" s="1"/>
  <c r="D191" i="42" s="1"/>
  <c r="B125" i="42"/>
  <c r="C125" i="42" s="1"/>
  <c r="D125" i="42" s="1"/>
  <c r="B26" i="42"/>
  <c r="C26" i="42" s="1"/>
  <c r="D26" i="42" s="1"/>
  <c r="B180" i="42"/>
  <c r="C180" i="42" s="1"/>
  <c r="D180" i="42" s="1"/>
  <c r="B11" i="42"/>
  <c r="C11" i="42" s="1"/>
  <c r="D11" i="42" s="1"/>
  <c r="B103" i="42"/>
  <c r="C103" i="42" s="1"/>
  <c r="D103" i="42" s="1"/>
  <c r="B142" i="42"/>
  <c r="C142" i="42" s="1"/>
  <c r="D142" i="42" s="1"/>
  <c r="B33" i="42"/>
  <c r="C33" i="42" s="1"/>
  <c r="D33" i="42" s="1"/>
  <c r="B70" i="42"/>
  <c r="C70" i="42" s="1"/>
  <c r="D70" i="42" s="1"/>
  <c r="B192" i="42"/>
  <c r="C192" i="42" s="1"/>
  <c r="D192" i="42" s="1"/>
  <c r="B13" i="42"/>
  <c r="C13" i="42" s="1"/>
  <c r="D13" i="42" s="1"/>
  <c r="K251" i="32"/>
  <c r="F251" i="32" s="1"/>
  <c r="I251" i="32" s="1"/>
  <c r="K216" i="32"/>
  <c r="F216" i="32" s="1"/>
  <c r="J216" i="32" s="1"/>
  <c r="K103" i="32"/>
  <c r="F103" i="32" s="1"/>
  <c r="I103" i="32" s="1"/>
  <c r="K57" i="32"/>
  <c r="F57" i="32" s="1"/>
  <c r="H57" i="32" s="1"/>
  <c r="K190" i="32"/>
  <c r="F190" i="32" s="1"/>
  <c r="J190" i="32" s="1"/>
  <c r="K138" i="32"/>
  <c r="F138" i="32" s="1"/>
  <c r="J138" i="32" s="1"/>
  <c r="K78" i="32"/>
  <c r="F78" i="32" s="1"/>
  <c r="J78" i="32" s="1"/>
  <c r="K240" i="32"/>
  <c r="F240" i="32" s="1"/>
  <c r="I240" i="32" s="1"/>
  <c r="K201" i="32"/>
  <c r="F201" i="32" s="1"/>
  <c r="H201" i="32" s="1"/>
  <c r="K119" i="32"/>
  <c r="F119" i="32" s="1"/>
  <c r="E119" i="32" s="1"/>
  <c r="B52" i="42"/>
  <c r="C52" i="42" s="1"/>
  <c r="D52" i="42" s="1"/>
  <c r="B6" i="42"/>
  <c r="C6" i="42" s="1"/>
  <c r="D6" i="42" s="1"/>
  <c r="B179" i="42"/>
  <c r="C179" i="42" s="1"/>
  <c r="D179" i="42" s="1"/>
  <c r="B196" i="42"/>
  <c r="C196" i="42" s="1"/>
  <c r="D196" i="42" s="1"/>
  <c r="B27" i="42"/>
  <c r="C27" i="42" s="1"/>
  <c r="D27" i="42" s="1"/>
  <c r="B5" i="42"/>
  <c r="C5" i="42" s="1"/>
  <c r="D5" i="42" s="1"/>
  <c r="B128" i="42"/>
  <c r="C128" i="42" s="1"/>
  <c r="D128" i="42" s="1"/>
  <c r="B44" i="42"/>
  <c r="C44" i="42" s="1"/>
  <c r="D44" i="42" s="1"/>
  <c r="B133" i="42"/>
  <c r="C133" i="42" s="1"/>
  <c r="D133" i="42" s="1"/>
  <c r="B190" i="42"/>
  <c r="C190" i="42" s="1"/>
  <c r="D190" i="42" s="1"/>
  <c r="B181" i="42"/>
  <c r="C181" i="42" s="1"/>
  <c r="D181" i="42" s="1"/>
  <c r="B140" i="42"/>
  <c r="C140" i="42" s="1"/>
  <c r="D140" i="42" s="1"/>
  <c r="B105" i="42"/>
  <c r="C105" i="42" s="1"/>
  <c r="D105" i="42" s="1"/>
  <c r="B129" i="42"/>
  <c r="C129" i="42" s="1"/>
  <c r="D129" i="42" s="1"/>
  <c r="K134" i="32"/>
  <c r="F134" i="32" s="1"/>
  <c r="E134" i="32" s="1"/>
  <c r="K189" i="32"/>
  <c r="F189" i="32" s="1"/>
  <c r="L189" i="32" s="1"/>
  <c r="M189" i="32" s="1"/>
  <c r="K80" i="32"/>
  <c r="F80" i="32" s="1"/>
  <c r="K254" i="32"/>
  <c r="F254" i="32" s="1"/>
  <c r="H254" i="32" s="1"/>
  <c r="K184" i="32"/>
  <c r="F184" i="32" s="1"/>
  <c r="I184" i="32" s="1"/>
  <c r="K117" i="32"/>
  <c r="F117" i="32" s="1"/>
  <c r="E117" i="32" s="1"/>
  <c r="K202" i="32"/>
  <c r="F202" i="32" s="1"/>
  <c r="E202" i="32" s="1"/>
  <c r="K145" i="32"/>
  <c r="F145" i="32" s="1"/>
  <c r="I145" i="32" s="1"/>
  <c r="K257" i="32"/>
  <c r="F257" i="32" s="1"/>
  <c r="L257" i="32" s="1"/>
  <c r="M257" i="32" s="1"/>
  <c r="K155" i="32"/>
  <c r="F155" i="32" s="1"/>
  <c r="E155" i="32" s="1"/>
  <c r="K229" i="32"/>
  <c r="F229" i="32" s="1"/>
  <c r="E229" i="32" s="1"/>
  <c r="K197" i="32"/>
  <c r="F197" i="32" s="1"/>
  <c r="E197" i="32" s="1"/>
  <c r="K158" i="32"/>
  <c r="F158" i="32" s="1"/>
  <c r="L158" i="32" s="1"/>
  <c r="M158" i="32" s="1"/>
  <c r="K147" i="32"/>
  <c r="F147" i="32" s="1"/>
  <c r="I147" i="32" s="1"/>
  <c r="K172" i="32"/>
  <c r="F172" i="32" s="1"/>
  <c r="J172" i="32" s="1"/>
  <c r="K86" i="32"/>
  <c r="F86" i="32" s="1"/>
  <c r="H86" i="32" s="1"/>
  <c r="K74" i="32"/>
  <c r="B108" i="42"/>
  <c r="C108" i="42" s="1"/>
  <c r="D108" i="42" s="1"/>
  <c r="B106" i="42"/>
  <c r="C106" i="42" s="1"/>
  <c r="D106" i="42" s="1"/>
  <c r="B146" i="42"/>
  <c r="C146" i="42" s="1"/>
  <c r="D146" i="42" s="1"/>
  <c r="B143" i="42"/>
  <c r="C143" i="42" s="1"/>
  <c r="D143" i="42" s="1"/>
  <c r="B116" i="42"/>
  <c r="C116" i="42" s="1"/>
  <c r="D116" i="42" s="1"/>
  <c r="B45" i="42"/>
  <c r="C45" i="42" s="1"/>
  <c r="D45" i="42" s="1"/>
  <c r="B107" i="42"/>
  <c r="C107" i="42" s="1"/>
  <c r="D107" i="42" s="1"/>
  <c r="B69" i="42"/>
  <c r="C69" i="42" s="1"/>
  <c r="D69" i="42" s="1"/>
  <c r="B96" i="42"/>
  <c r="C96" i="42" s="1"/>
  <c r="D96" i="42" s="1"/>
  <c r="B60" i="42"/>
  <c r="C60" i="42" s="1"/>
  <c r="D60" i="42" s="1"/>
  <c r="B66" i="42"/>
  <c r="C66" i="42" s="1"/>
  <c r="D66" i="42" s="1"/>
  <c r="B89" i="42"/>
  <c r="C89" i="42" s="1"/>
  <c r="D89" i="42" s="1"/>
  <c r="B43" i="42"/>
  <c r="C43" i="42" s="1"/>
  <c r="D43" i="42" s="1"/>
  <c r="B73" i="42"/>
  <c r="C73" i="42" s="1"/>
  <c r="D73" i="42" s="1"/>
  <c r="K235" i="32"/>
  <c r="F235" i="32" s="1"/>
  <c r="L235" i="32" s="1"/>
  <c r="M235" i="32" s="1"/>
  <c r="K187" i="32"/>
  <c r="F187" i="32" s="1"/>
  <c r="H187" i="32" s="1"/>
  <c r="K215" i="32"/>
  <c r="F215" i="32" s="1"/>
  <c r="J215" i="32" s="1"/>
  <c r="K60" i="32"/>
  <c r="F60" i="32" s="1"/>
  <c r="H60" i="32" s="1"/>
  <c r="K77" i="32"/>
  <c r="F77" i="32" s="1"/>
  <c r="H77" i="32" s="1"/>
  <c r="K106" i="32"/>
  <c r="F106" i="32" s="1"/>
  <c r="I106" i="32" s="1"/>
  <c r="K112" i="32"/>
  <c r="F112" i="32" s="1"/>
  <c r="H112" i="32" s="1"/>
  <c r="K219" i="32"/>
  <c r="F219" i="32" s="1"/>
  <c r="J219" i="32" s="1"/>
  <c r="K248" i="32"/>
  <c r="F248" i="32" s="1"/>
  <c r="E248" i="32" s="1"/>
  <c r="K223" i="32"/>
  <c r="F223" i="32" s="1"/>
  <c r="J223" i="32" s="1"/>
  <c r="K195" i="32"/>
  <c r="F195" i="32" s="1"/>
  <c r="K224" i="32"/>
  <c r="F224" i="32" s="1"/>
  <c r="L224" i="32" s="1"/>
  <c r="M224" i="32" s="1"/>
  <c r="K142" i="32"/>
  <c r="F142" i="32" s="1"/>
  <c r="H142" i="32" s="1"/>
  <c r="B135" i="42"/>
  <c r="C135" i="42" s="1"/>
  <c r="D135" i="42" s="1"/>
  <c r="B152" i="42"/>
  <c r="C152" i="42" s="1"/>
  <c r="D152" i="42" s="1"/>
  <c r="B61" i="42"/>
  <c r="C61" i="42" s="1"/>
  <c r="D61" i="42" s="1"/>
  <c r="B37" i="42"/>
  <c r="C37" i="42" s="1"/>
  <c r="D37" i="42" s="1"/>
  <c r="B115" i="42"/>
  <c r="C115" i="42" s="1"/>
  <c r="D115" i="42" s="1"/>
  <c r="B87" i="42"/>
  <c r="C87" i="42" s="1"/>
  <c r="D87" i="42" s="1"/>
  <c r="B194" i="42"/>
  <c r="C194" i="42" s="1"/>
  <c r="D194" i="42" s="1"/>
  <c r="B30" i="42"/>
  <c r="C30" i="42" s="1"/>
  <c r="D30" i="42" s="1"/>
  <c r="B165" i="42"/>
  <c r="C165" i="42" s="1"/>
  <c r="D165" i="42" s="1"/>
  <c r="B169" i="42"/>
  <c r="C169" i="42" s="1"/>
  <c r="D169" i="42" s="1"/>
  <c r="B76" i="42"/>
  <c r="C76" i="42" s="1"/>
  <c r="D76" i="42" s="1"/>
  <c r="B72" i="42"/>
  <c r="C72" i="42" s="1"/>
  <c r="D72" i="42" s="1"/>
  <c r="B80" i="42"/>
  <c r="C80" i="42" s="1"/>
  <c r="D80" i="42" s="1"/>
  <c r="B35" i="42"/>
  <c r="C35" i="42" s="1"/>
  <c r="D35" i="42" s="1"/>
  <c r="B93" i="42"/>
  <c r="C93" i="42" s="1"/>
  <c r="D93" i="42" s="1"/>
  <c r="K204" i="32"/>
  <c r="F204" i="32" s="1"/>
  <c r="L204" i="32" s="1"/>
  <c r="M204" i="32" s="1"/>
  <c r="K225" i="32"/>
  <c r="F225" i="32" s="1"/>
  <c r="H225" i="32" s="1"/>
  <c r="K87" i="32"/>
  <c r="F87" i="32" s="1"/>
  <c r="J87" i="32" s="1"/>
  <c r="K162" i="32"/>
  <c r="F162" i="32" s="1"/>
  <c r="E162" i="32" s="1"/>
  <c r="K226" i="32"/>
  <c r="F226" i="32" s="1"/>
  <c r="L226" i="32" s="1"/>
  <c r="M226" i="32" s="1"/>
  <c r="K93" i="32"/>
  <c r="F93" i="32" s="1"/>
  <c r="E93" i="32" s="1"/>
  <c r="K237" i="32"/>
  <c r="F237" i="32" s="1"/>
  <c r="L237" i="32" s="1"/>
  <c r="M237" i="32" s="1"/>
  <c r="K213" i="32"/>
  <c r="F213" i="32" s="1"/>
  <c r="E213" i="32" s="1"/>
  <c r="K118" i="32"/>
  <c r="F118" i="32" s="1"/>
  <c r="E118" i="32" s="1"/>
  <c r="K146" i="32"/>
  <c r="F146" i="32" s="1"/>
  <c r="E146" i="32" s="1"/>
  <c r="K175" i="32"/>
  <c r="F175" i="32" s="1"/>
  <c r="L175" i="32" s="1"/>
  <c r="M175" i="32" s="1"/>
  <c r="K238" i="32"/>
  <c r="F238" i="32" s="1"/>
  <c r="E238" i="32" s="1"/>
  <c r="K108" i="32"/>
  <c r="F108" i="32" s="1"/>
  <c r="H108" i="32" s="1"/>
  <c r="K81" i="32"/>
  <c r="F81" i="32" s="1"/>
  <c r="L81" i="32" s="1"/>
  <c r="M81" i="32" s="1"/>
  <c r="K88" i="32"/>
  <c r="F88" i="32" s="1"/>
  <c r="I88" i="32" s="1"/>
  <c r="K246" i="32"/>
  <c r="F246" i="32" s="1"/>
  <c r="L246" i="32" s="1"/>
  <c r="M246" i="32" s="1"/>
  <c r="K252" i="32"/>
  <c r="F252" i="32" s="1"/>
  <c r="I252" i="32" s="1"/>
  <c r="K221" i="32"/>
  <c r="F221" i="32" s="1"/>
  <c r="H221" i="32" s="1"/>
  <c r="B167" i="42"/>
  <c r="C167" i="42" s="1"/>
  <c r="D167" i="42" s="1"/>
  <c r="B7" i="42"/>
  <c r="C7" i="42" s="1"/>
  <c r="D7" i="42" s="1"/>
  <c r="B65" i="42"/>
  <c r="C65" i="42" s="1"/>
  <c r="D65" i="42" s="1"/>
  <c r="B42" i="42"/>
  <c r="C42" i="42" s="1"/>
  <c r="D42" i="42" s="1"/>
  <c r="B46" i="42"/>
  <c r="C46" i="42" s="1"/>
  <c r="D46" i="42" s="1"/>
  <c r="B78" i="42"/>
  <c r="C78" i="42" s="1"/>
  <c r="D78" i="42" s="1"/>
  <c r="B47" i="42"/>
  <c r="C47" i="42" s="1"/>
  <c r="D47" i="42" s="1"/>
  <c r="B162" i="42"/>
  <c r="C162" i="42" s="1"/>
  <c r="D162" i="42" s="1"/>
  <c r="B178" i="42"/>
  <c r="C178" i="42" s="1"/>
  <c r="D178" i="42" s="1"/>
  <c r="B123" i="42"/>
  <c r="C123" i="42" s="1"/>
  <c r="D123" i="42" s="1"/>
  <c r="B63" i="42"/>
  <c r="C63" i="42" s="1"/>
  <c r="D63" i="42" s="1"/>
  <c r="B83" i="42"/>
  <c r="C83" i="42" s="1"/>
  <c r="D83" i="42" s="1"/>
  <c r="B59" i="42"/>
  <c r="C59" i="42" s="1"/>
  <c r="D59" i="42" s="1"/>
  <c r="B138" i="42"/>
  <c r="C138" i="42" s="1"/>
  <c r="D138" i="42" s="1"/>
  <c r="K161" i="32"/>
  <c r="F161" i="32" s="1"/>
  <c r="I161" i="32" s="1"/>
  <c r="K194" i="32"/>
  <c r="F194" i="32" s="1"/>
  <c r="H194" i="32" s="1"/>
  <c r="K95" i="32"/>
  <c r="F95" i="32" s="1"/>
  <c r="H95" i="32" s="1"/>
  <c r="K205" i="32"/>
  <c r="F205" i="32" s="1"/>
  <c r="J205" i="32" s="1"/>
  <c r="K217" i="32"/>
  <c r="F217" i="32" s="1"/>
  <c r="K113" i="32"/>
  <c r="F113" i="32" s="1"/>
  <c r="K218" i="32"/>
  <c r="F218" i="32" s="1"/>
  <c r="K130" i="32"/>
  <c r="F130" i="32" s="1"/>
  <c r="K179" i="32"/>
  <c r="F179" i="32" s="1"/>
  <c r="K156" i="32"/>
  <c r="F156" i="32" s="1"/>
  <c r="K116" i="32"/>
  <c r="F116" i="32" s="1"/>
  <c r="J116" i="32" s="1"/>
  <c r="K185" i="32"/>
  <c r="F185" i="32" s="1"/>
  <c r="L185" i="32" s="1"/>
  <c r="M185" i="32" s="1"/>
  <c r="K236" i="32"/>
  <c r="F236" i="32" s="1"/>
  <c r="I236" i="32" s="1"/>
  <c r="K109" i="32"/>
  <c r="F109" i="32" s="1"/>
  <c r="L109" i="32" s="1"/>
  <c r="M109" i="32" s="1"/>
  <c r="K152" i="32"/>
  <c r="F152" i="32" s="1"/>
  <c r="L152" i="32" s="1"/>
  <c r="M152" i="32" s="1"/>
  <c r="K249" i="32"/>
  <c r="F249" i="32" s="1"/>
  <c r="L249" i="32" s="1"/>
  <c r="M249" i="32" s="1"/>
  <c r="K181" i="32"/>
  <c r="F181" i="32" s="1"/>
  <c r="J181" i="32" s="1"/>
  <c r="B161" i="42"/>
  <c r="C161" i="42" s="1"/>
  <c r="D161" i="42" s="1"/>
  <c r="B110" i="42"/>
  <c r="C110" i="42" s="1"/>
  <c r="D110" i="42" s="1"/>
  <c r="B55" i="42"/>
  <c r="C55" i="42" s="1"/>
  <c r="D55" i="42" s="1"/>
  <c r="B134" i="42"/>
  <c r="C134" i="42" s="1"/>
  <c r="D134" i="42" s="1"/>
  <c r="B156" i="42"/>
  <c r="C156" i="42" s="1"/>
  <c r="D156" i="42" s="1"/>
  <c r="B97" i="42"/>
  <c r="C97" i="42" s="1"/>
  <c r="D97" i="42" s="1"/>
  <c r="B131" i="42"/>
  <c r="C131" i="42" s="1"/>
  <c r="D131" i="42" s="1"/>
  <c r="B186" i="42"/>
  <c r="C186" i="42" s="1"/>
  <c r="D186" i="42" s="1"/>
  <c r="B17" i="42"/>
  <c r="C17" i="42" s="1"/>
  <c r="D17" i="42" s="1"/>
  <c r="B23" i="42"/>
  <c r="C23" i="42" s="1"/>
  <c r="D23" i="42" s="1"/>
  <c r="B127" i="42"/>
  <c r="C127" i="42" s="1"/>
  <c r="D127" i="42" s="1"/>
  <c r="B101" i="42"/>
  <c r="C101" i="42" s="1"/>
  <c r="D101" i="42" s="1"/>
  <c r="AH61" i="32"/>
  <c r="AA122" i="9"/>
  <c r="H191" i="32"/>
  <c r="I191" i="32"/>
  <c r="E191" i="32"/>
  <c r="J191" i="32"/>
  <c r="L191" i="32"/>
  <c r="M191" i="32" s="1"/>
  <c r="I209" i="32"/>
  <c r="J209" i="32"/>
  <c r="H209" i="32"/>
  <c r="E209" i="32"/>
  <c r="L209" i="32"/>
  <c r="M209" i="32" s="1"/>
  <c r="E211" i="32"/>
  <c r="J211" i="32"/>
  <c r="L211" i="32"/>
  <c r="M211" i="32" s="1"/>
  <c r="H211" i="32"/>
  <c r="I211" i="32"/>
  <c r="L94" i="32"/>
  <c r="M94" i="32" s="1"/>
  <c r="E94" i="32"/>
  <c r="H94" i="32"/>
  <c r="I94" i="32"/>
  <c r="J94" i="32"/>
  <c r="L176" i="32"/>
  <c r="M176" i="32" s="1"/>
  <c r="H176" i="32"/>
  <c r="E176" i="32"/>
  <c r="J176" i="32"/>
  <c r="I176" i="32"/>
  <c r="F58" i="32"/>
  <c r="P9" i="32"/>
  <c r="H67" i="32"/>
  <c r="J67" i="32"/>
  <c r="L67" i="32"/>
  <c r="M67" i="32" s="1"/>
  <c r="E67" i="32"/>
  <c r="I67" i="32"/>
  <c r="L193" i="32"/>
  <c r="M193" i="32" s="1"/>
  <c r="E193" i="32"/>
  <c r="I193" i="32"/>
  <c r="J193" i="32"/>
  <c r="H193" i="32"/>
  <c r="L214" i="32"/>
  <c r="M214" i="32" s="1"/>
  <c r="E214" i="32"/>
  <c r="J214" i="32"/>
  <c r="I214" i="32"/>
  <c r="H214" i="32"/>
  <c r="E104" i="32"/>
  <c r="H104" i="32"/>
  <c r="I104" i="32"/>
  <c r="J104" i="32"/>
  <c r="L104" i="32"/>
  <c r="M104" i="32" s="1"/>
  <c r="E141" i="32"/>
  <c r="L141" i="32"/>
  <c r="M141" i="32" s="1"/>
  <c r="H141" i="32"/>
  <c r="J141" i="32"/>
  <c r="I141" i="32"/>
  <c r="H89" i="32"/>
  <c r="J89" i="32"/>
  <c r="L89" i="32"/>
  <c r="M89" i="32" s="1"/>
  <c r="E89" i="32"/>
  <c r="I89" i="32"/>
  <c r="I66" i="32"/>
  <c r="E66" i="32"/>
  <c r="L66" i="32"/>
  <c r="M66" i="32" s="1"/>
  <c r="J66" i="32"/>
  <c r="H66" i="32"/>
  <c r="E63" i="32"/>
  <c r="J63" i="32"/>
  <c r="L63" i="32"/>
  <c r="M63" i="32" s="1"/>
  <c r="H63" i="32"/>
  <c r="I63" i="32"/>
  <c r="L135" i="32"/>
  <c r="M135" i="32" s="1"/>
  <c r="L212" i="32"/>
  <c r="M212" i="32" s="1"/>
  <c r="H174" i="32"/>
  <c r="E174" i="32"/>
  <c r="J174" i="32"/>
  <c r="I174" i="32"/>
  <c r="L174" i="32"/>
  <c r="M174" i="32" s="1"/>
  <c r="E64" i="32"/>
  <c r="I64" i="32"/>
  <c r="J64" i="32"/>
  <c r="L64" i="32"/>
  <c r="M64" i="32" s="1"/>
  <c r="H64" i="32"/>
  <c r="I110" i="32"/>
  <c r="H110" i="32"/>
  <c r="E110" i="32"/>
  <c r="L110" i="32"/>
  <c r="M110" i="32" s="1"/>
  <c r="J110" i="32"/>
  <c r="L173" i="32"/>
  <c r="M173" i="32" s="1"/>
  <c r="E173" i="32"/>
  <c r="H173" i="32"/>
  <c r="J173" i="32"/>
  <c r="I173" i="32"/>
  <c r="H150" i="32"/>
  <c r="I150" i="32"/>
  <c r="E150" i="32"/>
  <c r="L150" i="32"/>
  <c r="M150" i="32" s="1"/>
  <c r="J150" i="32"/>
  <c r="L151" i="32"/>
  <c r="M151" i="32" s="1"/>
  <c r="I151" i="32"/>
  <c r="E151" i="32"/>
  <c r="J151" i="32"/>
  <c r="H151" i="32"/>
  <c r="J168" i="32"/>
  <c r="L168" i="32"/>
  <c r="M168" i="32" s="1"/>
  <c r="E168" i="32"/>
  <c r="I168" i="32"/>
  <c r="H168" i="32"/>
  <c r="L182" i="32"/>
  <c r="M182" i="32" s="1"/>
  <c r="E182" i="32"/>
  <c r="I182" i="32"/>
  <c r="H182" i="32"/>
  <c r="J182" i="32"/>
  <c r="J210" i="32"/>
  <c r="H210" i="32"/>
  <c r="L210" i="32"/>
  <c r="M210" i="32" s="1"/>
  <c r="E210" i="32"/>
  <c r="I210" i="32"/>
  <c r="L73" i="32"/>
  <c r="M73" i="32" s="1"/>
  <c r="H73" i="32"/>
  <c r="I73" i="32"/>
  <c r="E73" i="32"/>
  <c r="J73" i="32"/>
  <c r="J230" i="32"/>
  <c r="L230" i="32"/>
  <c r="M230" i="32" s="1"/>
  <c r="I230" i="32"/>
  <c r="E230" i="32"/>
  <c r="H230" i="32"/>
  <c r="H129" i="32"/>
  <c r="I129" i="32"/>
  <c r="L129" i="32"/>
  <c r="M129" i="32" s="1"/>
  <c r="J129" i="32"/>
  <c r="E129" i="32"/>
  <c r="J71" i="32"/>
  <c r="I71" i="32"/>
  <c r="L71" i="32"/>
  <c r="M71" i="32" s="1"/>
  <c r="H71" i="32"/>
  <c r="E71" i="32"/>
  <c r="J107" i="32"/>
  <c r="I107" i="32"/>
  <c r="H107" i="32"/>
  <c r="L107" i="32"/>
  <c r="M107" i="32" s="1"/>
  <c r="E107" i="32"/>
  <c r="L250" i="32"/>
  <c r="M250" i="32" s="1"/>
  <c r="J250" i="32"/>
  <c r="E250" i="32"/>
  <c r="H250" i="32"/>
  <c r="I250" i="32"/>
  <c r="H85" i="32"/>
  <c r="E85" i="32"/>
  <c r="I85" i="32"/>
  <c r="J85" i="32"/>
  <c r="L85" i="32"/>
  <c r="M85" i="32" s="1"/>
  <c r="I100" i="32"/>
  <c r="H101" i="32"/>
  <c r="L101" i="32"/>
  <c r="M101" i="32" s="1"/>
  <c r="I101" i="32"/>
  <c r="E101" i="32"/>
  <c r="J101" i="32"/>
  <c r="L154" i="32"/>
  <c r="M154" i="32" s="1"/>
  <c r="I154" i="32"/>
  <c r="E154" i="32"/>
  <c r="H154" i="32"/>
  <c r="J154" i="32"/>
  <c r="J198" i="32"/>
  <c r="I198" i="32"/>
  <c r="L169" i="32"/>
  <c r="M169" i="32" s="1"/>
  <c r="H169" i="32"/>
  <c r="E169" i="32"/>
  <c r="J169" i="32"/>
  <c r="I169" i="32"/>
  <c r="H75" i="32"/>
  <c r="I75" i="32"/>
  <c r="E75" i="32"/>
  <c r="L75" i="32"/>
  <c r="M75" i="32" s="1"/>
  <c r="J75" i="32"/>
  <c r="L122" i="32"/>
  <c r="M122" i="32" s="1"/>
  <c r="H122" i="32"/>
  <c r="I122" i="32"/>
  <c r="E122" i="32"/>
  <c r="J122" i="32"/>
  <c r="L232" i="32"/>
  <c r="M232" i="32" s="1"/>
  <c r="E232" i="32"/>
  <c r="H232" i="32"/>
  <c r="I232" i="32"/>
  <c r="J232" i="32"/>
  <c r="L111" i="32"/>
  <c r="M111" i="32" s="1"/>
  <c r="J111" i="32"/>
  <c r="H111" i="32"/>
  <c r="I59" i="32"/>
  <c r="E59" i="32"/>
  <c r="L59" i="32"/>
  <c r="M59" i="32" s="1"/>
  <c r="J59" i="32"/>
  <c r="H59" i="32"/>
  <c r="E96" i="32"/>
  <c r="I96" i="32"/>
  <c r="J96" i="32"/>
  <c r="L96" i="32"/>
  <c r="M96" i="32" s="1"/>
  <c r="H96" i="32"/>
  <c r="H220" i="32"/>
  <c r="L220" i="32"/>
  <c r="M220" i="32" s="1"/>
  <c r="J220" i="32"/>
  <c r="I220" i="32"/>
  <c r="E220" i="32"/>
  <c r="F56" i="32"/>
  <c r="P7" i="32"/>
  <c r="H114" i="32"/>
  <c r="E114" i="32"/>
  <c r="J114" i="32"/>
  <c r="I114" i="32"/>
  <c r="L114" i="32"/>
  <c r="M114" i="32" s="1"/>
  <c r="J65" i="32"/>
  <c r="H65" i="32"/>
  <c r="L65" i="32"/>
  <c r="M65" i="32" s="1"/>
  <c r="I65" i="32"/>
  <c r="E65" i="32"/>
  <c r="H186" i="32"/>
  <c r="I186" i="32"/>
  <c r="J186" i="32"/>
  <c r="E186" i="32"/>
  <c r="L186" i="32"/>
  <c r="M186" i="32" s="1"/>
  <c r="J136" i="32"/>
  <c r="E136" i="32"/>
  <c r="I227" i="32"/>
  <c r="L227" i="32"/>
  <c r="M227" i="32" s="1"/>
  <c r="E227" i="32"/>
  <c r="J227" i="32"/>
  <c r="H227" i="32"/>
  <c r="J137" i="32"/>
  <c r="H137" i="32"/>
  <c r="I137" i="32"/>
  <c r="E137" i="32"/>
  <c r="L137" i="32"/>
  <c r="M137" i="32" s="1"/>
  <c r="H133" i="32"/>
  <c r="L133" i="32"/>
  <c r="M133" i="32" s="1"/>
  <c r="E133" i="32"/>
  <c r="J133" i="32"/>
  <c r="I133" i="32"/>
  <c r="I241" i="32"/>
  <c r="E241" i="32"/>
  <c r="J241" i="32"/>
  <c r="L241" i="32"/>
  <c r="M241" i="32" s="1"/>
  <c r="H241" i="32"/>
  <c r="I84" i="32"/>
  <c r="E84" i="32"/>
  <c r="J84" i="32"/>
  <c r="H84" i="32"/>
  <c r="L84" i="32"/>
  <c r="M84" i="32" s="1"/>
  <c r="I234" i="32"/>
  <c r="L234" i="32"/>
  <c r="M234" i="32" s="1"/>
  <c r="E234" i="32"/>
  <c r="H234" i="32"/>
  <c r="L165" i="32"/>
  <c r="M165" i="32" s="1"/>
  <c r="E165" i="32"/>
  <c r="H165" i="32"/>
  <c r="I165" i="32"/>
  <c r="J165" i="32"/>
  <c r="L160" i="32"/>
  <c r="M160" i="32" s="1"/>
  <c r="J160" i="32"/>
  <c r="H160" i="32"/>
  <c r="E160" i="32"/>
  <c r="I160" i="32"/>
  <c r="J180" i="32"/>
  <c r="L180" i="32"/>
  <c r="M180" i="32" s="1"/>
  <c r="E180" i="32"/>
  <c r="H180" i="32"/>
  <c r="I180" i="32"/>
  <c r="I92" i="32"/>
  <c r="H92" i="32"/>
  <c r="J92" i="32"/>
  <c r="L92" i="32"/>
  <c r="M92" i="32" s="1"/>
  <c r="E92" i="32"/>
  <c r="H115" i="32"/>
  <c r="L115" i="32"/>
  <c r="M115" i="32" s="1"/>
  <c r="I115" i="32"/>
  <c r="E115" i="32"/>
  <c r="J115" i="32"/>
  <c r="E157" i="32"/>
  <c r="I157" i="32"/>
  <c r="J157" i="32"/>
  <c r="H157" i="32"/>
  <c r="L157" i="32"/>
  <c r="M157" i="32" s="1"/>
  <c r="I121" i="32"/>
  <c r="L121" i="32"/>
  <c r="M121" i="32" s="1"/>
  <c r="J121" i="32"/>
  <c r="E121" i="32"/>
  <c r="H121" i="32"/>
  <c r="E190" i="32"/>
  <c r="I190" i="32"/>
  <c r="L190" i="32"/>
  <c r="M190" i="32" s="1"/>
  <c r="H190" i="32"/>
  <c r="J244" i="32"/>
  <c r="E244" i="32"/>
  <c r="I244" i="32"/>
  <c r="L244" i="32"/>
  <c r="M244" i="32" s="1"/>
  <c r="H244" i="32"/>
  <c r="I69" i="32"/>
  <c r="L69" i="32"/>
  <c r="M69" i="32" s="1"/>
  <c r="E69" i="32"/>
  <c r="J69" i="32"/>
  <c r="H69" i="32"/>
  <c r="E159" i="32"/>
  <c r="L159" i="32"/>
  <c r="M159" i="32" s="1"/>
  <c r="H159" i="32"/>
  <c r="I159" i="32"/>
  <c r="J159" i="32"/>
  <c r="H98" i="32"/>
  <c r="I98" i="32"/>
  <c r="E98" i="32"/>
  <c r="J98" i="32"/>
  <c r="L98" i="32"/>
  <c r="M98" i="32" s="1"/>
  <c r="L128" i="32"/>
  <c r="M128" i="32" s="1"/>
  <c r="L207" i="32"/>
  <c r="M207" i="32" s="1"/>
  <c r="H207" i="32"/>
  <c r="I207" i="32"/>
  <c r="E207" i="32"/>
  <c r="J207" i="32"/>
  <c r="I258" i="32"/>
  <c r="H258" i="32"/>
  <c r="J258" i="32"/>
  <c r="L258" i="32"/>
  <c r="M258" i="32" s="1"/>
  <c r="E258" i="32"/>
  <c r="I233" i="32"/>
  <c r="J233" i="32"/>
  <c r="E233" i="32"/>
  <c r="H233" i="32"/>
  <c r="L233" i="32"/>
  <c r="M233" i="32" s="1"/>
  <c r="H203" i="32"/>
  <c r="J203" i="32"/>
  <c r="I203" i="32"/>
  <c r="L203" i="32"/>
  <c r="M203" i="32" s="1"/>
  <c r="E203" i="32"/>
  <c r="J144" i="32"/>
  <c r="I144" i="32"/>
  <c r="L144" i="32"/>
  <c r="M144" i="32" s="1"/>
  <c r="H144" i="32"/>
  <c r="E144" i="32"/>
  <c r="H82" i="32"/>
  <c r="I170" i="32"/>
  <c r="J170" i="32"/>
  <c r="H170" i="32"/>
  <c r="L170" i="32"/>
  <c r="M170" i="32" s="1"/>
  <c r="E170" i="32"/>
  <c r="J105" i="32"/>
  <c r="E105" i="32"/>
  <c r="L105" i="32"/>
  <c r="M105" i="32" s="1"/>
  <c r="I105" i="32"/>
  <c r="H105" i="32"/>
  <c r="I167" i="32"/>
  <c r="L167" i="32"/>
  <c r="M167" i="32" s="1"/>
  <c r="E167" i="32"/>
  <c r="J167" i="32"/>
  <c r="H167" i="32"/>
  <c r="E102" i="32"/>
  <c r="H102" i="32"/>
  <c r="J102" i="32"/>
  <c r="I102" i="32"/>
  <c r="J177" i="32"/>
  <c r="H177" i="32"/>
  <c r="E177" i="32"/>
  <c r="L177" i="32"/>
  <c r="M177" i="32" s="1"/>
  <c r="I177" i="32"/>
  <c r="I83" i="32"/>
  <c r="J83" i="32"/>
  <c r="L83" i="32"/>
  <c r="M83" i="32" s="1"/>
  <c r="E83" i="32"/>
  <c r="H83" i="32"/>
  <c r="E256" i="32"/>
  <c r="L256" i="32"/>
  <c r="M256" i="32" s="1"/>
  <c r="I256" i="32"/>
  <c r="H256" i="32"/>
  <c r="J256" i="32"/>
  <c r="E149" i="32"/>
  <c r="I149" i="32"/>
  <c r="L149" i="32"/>
  <c r="M149" i="32" s="1"/>
  <c r="J149" i="32"/>
  <c r="H149" i="32"/>
  <c r="J153" i="32"/>
  <c r="H153" i="32"/>
  <c r="E153" i="32"/>
  <c r="I153" i="32"/>
  <c r="L153" i="32"/>
  <c r="M153" i="32" s="1"/>
  <c r="J70" i="32"/>
  <c r="L199" i="32"/>
  <c r="M199" i="32" s="1"/>
  <c r="H171" i="32"/>
  <c r="J171" i="32"/>
  <c r="E171" i="32"/>
  <c r="I171" i="32"/>
  <c r="L171" i="32"/>
  <c r="M171" i="32" s="1"/>
  <c r="H123" i="32"/>
  <c r="J123" i="32"/>
  <c r="E123" i="32"/>
  <c r="I123" i="32"/>
  <c r="L123" i="32"/>
  <c r="M123" i="32" s="1"/>
  <c r="L166" i="32"/>
  <c r="M166" i="32" s="1"/>
  <c r="I166" i="32"/>
  <c r="E166" i="32"/>
  <c r="J166" i="32"/>
  <c r="H166" i="32"/>
  <c r="E79" i="32"/>
  <c r="H79" i="32"/>
  <c r="J79" i="32"/>
  <c r="L79" i="32"/>
  <c r="M79" i="32" s="1"/>
  <c r="I79" i="32"/>
  <c r="J148" i="32"/>
  <c r="H148" i="32"/>
  <c r="E148" i="32"/>
  <c r="I148" i="32"/>
  <c r="L148" i="32"/>
  <c r="M148" i="32" s="1"/>
  <c r="J196" i="32"/>
  <c r="I196" i="32"/>
  <c r="L196" i="32"/>
  <c r="M196" i="32" s="1"/>
  <c r="H196" i="32"/>
  <c r="E196" i="32"/>
  <c r="L222" i="32"/>
  <c r="M222" i="32" s="1"/>
  <c r="H222" i="32"/>
  <c r="J222" i="32"/>
  <c r="E222" i="32"/>
  <c r="I222" i="32"/>
  <c r="J91" i="32"/>
  <c r="I91" i="32"/>
  <c r="L91" i="32"/>
  <c r="M91" i="32" s="1"/>
  <c r="H91" i="32"/>
  <c r="E91" i="32"/>
  <c r="H138" i="32" l="1"/>
  <c r="I138" i="32"/>
  <c r="E138" i="32"/>
  <c r="E99" i="32"/>
  <c r="E243" i="32"/>
  <c r="J243" i="32"/>
  <c r="L138" i="32"/>
  <c r="M138" i="32" s="1"/>
  <c r="E242" i="32"/>
  <c r="L242" i="32"/>
  <c r="M242" i="32" s="1"/>
  <c r="J99" i="32"/>
  <c r="I99" i="32"/>
  <c r="H243" i="32"/>
  <c r="L99" i="32"/>
  <c r="M99" i="32" s="1"/>
  <c r="E120" i="32"/>
  <c r="I120" i="32"/>
  <c r="L243" i="32"/>
  <c r="M243" i="32" s="1"/>
  <c r="L120" i="32"/>
  <c r="M120" i="32" s="1"/>
  <c r="H120" i="32"/>
  <c r="E95" i="32"/>
  <c r="I95" i="32"/>
  <c r="J155" i="32"/>
  <c r="J95" i="32"/>
  <c r="H155" i="32"/>
  <c r="L155" i="32"/>
  <c r="M155" i="32" s="1"/>
  <c r="I212" i="32"/>
  <c r="L95" i="32"/>
  <c r="M95" i="32" s="1"/>
  <c r="J199" i="32"/>
  <c r="I70" i="32"/>
  <c r="E212" i="32"/>
  <c r="H70" i="32"/>
  <c r="J134" i="32"/>
  <c r="L184" i="32"/>
  <c r="M184" i="32" s="1"/>
  <c r="H212" i="32"/>
  <c r="I134" i="32"/>
  <c r="J184" i="32"/>
  <c r="I82" i="32"/>
  <c r="I135" i="32"/>
  <c r="L70" i="32"/>
  <c r="M70" i="32" s="1"/>
  <c r="I155" i="32"/>
  <c r="J242" i="32"/>
  <c r="I128" i="32"/>
  <c r="L100" i="32"/>
  <c r="M100" i="32" s="1"/>
  <c r="H198" i="32"/>
  <c r="E135" i="32"/>
  <c r="L198" i="32"/>
  <c r="M198" i="32" s="1"/>
  <c r="J257" i="32"/>
  <c r="J97" i="32"/>
  <c r="I111" i="32"/>
  <c r="J135" i="32"/>
  <c r="H181" i="32"/>
  <c r="E181" i="32"/>
  <c r="L181" i="32"/>
  <c r="M181" i="32" s="1"/>
  <c r="J112" i="32"/>
  <c r="E112" i="32"/>
  <c r="H237" i="32"/>
  <c r="J237" i="32"/>
  <c r="E237" i="32"/>
  <c r="H134" i="32"/>
  <c r="J239" i="32"/>
  <c r="H239" i="32"/>
  <c r="H76" i="32"/>
  <c r="E76" i="32"/>
  <c r="L172" i="32"/>
  <c r="M172" i="32" s="1"/>
  <c r="L127" i="32"/>
  <c r="M127" i="32" s="1"/>
  <c r="I242" i="32"/>
  <c r="L106" i="32"/>
  <c r="M106" i="32" s="1"/>
  <c r="E100" i="32"/>
  <c r="E184" i="32"/>
  <c r="L103" i="32"/>
  <c r="M103" i="32" s="1"/>
  <c r="I61" i="32"/>
  <c r="J251" i="32"/>
  <c r="J61" i="32"/>
  <c r="E251" i="32"/>
  <c r="L61" i="32"/>
  <c r="M61" i="32" s="1"/>
  <c r="L251" i="32"/>
  <c r="M251" i="32" s="1"/>
  <c r="H251" i="32"/>
  <c r="H100" i="32"/>
  <c r="I90" i="32"/>
  <c r="L132" i="32"/>
  <c r="M132" i="32" s="1"/>
  <c r="J127" i="32"/>
  <c r="L82" i="32"/>
  <c r="M82" i="32" s="1"/>
  <c r="J131" i="32"/>
  <c r="E131" i="32"/>
  <c r="I181" i="32"/>
  <c r="I112" i="32"/>
  <c r="H199" i="32"/>
  <c r="L68" i="32"/>
  <c r="M68" i="32" s="1"/>
  <c r="I136" i="32"/>
  <c r="E68" i="32"/>
  <c r="H224" i="32"/>
  <c r="I68" i="32"/>
  <c r="I224" i="32"/>
  <c r="J68" i="32"/>
  <c r="L136" i="32"/>
  <c r="M136" i="32" s="1"/>
  <c r="E199" i="32"/>
  <c r="L97" i="32"/>
  <c r="M97" i="32" s="1"/>
  <c r="H246" i="32"/>
  <c r="L112" i="32"/>
  <c r="M112" i="32" s="1"/>
  <c r="I172" i="32"/>
  <c r="E127" i="32"/>
  <c r="E61" i="32"/>
  <c r="E172" i="32"/>
  <c r="L239" i="32"/>
  <c r="M239" i="32" s="1"/>
  <c r="H172" i="32"/>
  <c r="E239" i="32"/>
  <c r="L134" i="32"/>
  <c r="M134" i="32" s="1"/>
  <c r="L90" i="32"/>
  <c r="M90" i="32" s="1"/>
  <c r="J90" i="32"/>
  <c r="I143" i="32"/>
  <c r="H90" i="32"/>
  <c r="J76" i="32"/>
  <c r="I127" i="32"/>
  <c r="H106" i="32"/>
  <c r="J249" i="32"/>
  <c r="I249" i="32"/>
  <c r="I108" i="32"/>
  <c r="I237" i="32"/>
  <c r="E183" i="32"/>
  <c r="E224" i="32"/>
  <c r="I183" i="32"/>
  <c r="L131" i="32"/>
  <c r="M131" i="32" s="1"/>
  <c r="H183" i="32"/>
  <c r="J246" i="32"/>
  <c r="H131" i="32"/>
  <c r="H128" i="32"/>
  <c r="E246" i="32"/>
  <c r="I76" i="32"/>
  <c r="E253" i="32"/>
  <c r="E240" i="32"/>
  <c r="I246" i="32"/>
  <c r="E189" i="32"/>
  <c r="H118" i="32"/>
  <c r="I228" i="32"/>
  <c r="L118" i="32"/>
  <c r="M118" i="32" s="1"/>
  <c r="E188" i="32"/>
  <c r="H188" i="32"/>
  <c r="J183" i="32"/>
  <c r="J103" i="32"/>
  <c r="E252" i="32"/>
  <c r="E143" i="32"/>
  <c r="E128" i="32"/>
  <c r="H103" i="32"/>
  <c r="J188" i="32"/>
  <c r="H139" i="32"/>
  <c r="E103" i="32"/>
  <c r="I188" i="32"/>
  <c r="L187" i="32"/>
  <c r="M187" i="32" s="1"/>
  <c r="E216" i="32"/>
  <c r="L216" i="32"/>
  <c r="M216" i="32" s="1"/>
  <c r="H140" i="32"/>
  <c r="J187" i="32"/>
  <c r="J185" i="32"/>
  <c r="I187" i="32"/>
  <c r="E215" i="32"/>
  <c r="E225" i="32"/>
  <c r="H249" i="32"/>
  <c r="L247" i="32"/>
  <c r="M247" i="32" s="1"/>
  <c r="I225" i="32"/>
  <c r="E97" i="32"/>
  <c r="H184" i="32"/>
  <c r="I60" i="32"/>
  <c r="I140" i="32"/>
  <c r="J140" i="32"/>
  <c r="I200" i="32"/>
  <c r="L225" i="32"/>
  <c r="M225" i="32" s="1"/>
  <c r="J225" i="32"/>
  <c r="L163" i="32"/>
  <c r="M163" i="32" s="1"/>
  <c r="J118" i="32"/>
  <c r="L139" i="32"/>
  <c r="M139" i="32" s="1"/>
  <c r="I97" i="32"/>
  <c r="H200" i="32"/>
  <c r="H219" i="32"/>
  <c r="I185" i="32"/>
  <c r="E259" i="32"/>
  <c r="E140" i="32"/>
  <c r="E187" i="32"/>
  <c r="L200" i="32"/>
  <c r="M200" i="32" s="1"/>
  <c r="E185" i="32"/>
  <c r="H240" i="32"/>
  <c r="J253" i="32"/>
  <c r="H161" i="32"/>
  <c r="J240" i="32"/>
  <c r="E78" i="32"/>
  <c r="E247" i="32"/>
  <c r="J164" i="32"/>
  <c r="L259" i="32"/>
  <c r="M259" i="32" s="1"/>
  <c r="J192" i="32"/>
  <c r="L192" i="32"/>
  <c r="M192" i="32" s="1"/>
  <c r="H192" i="32"/>
  <c r="I192" i="32"/>
  <c r="L72" i="32"/>
  <c r="M72" i="32" s="1"/>
  <c r="H178" i="32"/>
  <c r="L164" i="32"/>
  <c r="M164" i="32" s="1"/>
  <c r="H255" i="32"/>
  <c r="E72" i="32"/>
  <c r="E178" i="32"/>
  <c r="E164" i="32"/>
  <c r="I259" i="32"/>
  <c r="J255" i="32"/>
  <c r="H72" i="32"/>
  <c r="L178" i="32"/>
  <c r="M178" i="32" s="1"/>
  <c r="J259" i="32"/>
  <c r="E126" i="32"/>
  <c r="J252" i="32"/>
  <c r="J72" i="32"/>
  <c r="J178" i="32"/>
  <c r="L215" i="32"/>
  <c r="M215" i="32" s="1"/>
  <c r="E249" i="32"/>
  <c r="J143" i="32"/>
  <c r="I247" i="32"/>
  <c r="J106" i="32"/>
  <c r="H216" i="32"/>
  <c r="E200" i="32"/>
  <c r="I93" i="32"/>
  <c r="H93" i="32"/>
  <c r="L93" i="32"/>
  <c r="M93" i="32" s="1"/>
  <c r="L194" i="32"/>
  <c r="M194" i="32" s="1"/>
  <c r="L117" i="32"/>
  <c r="M117" i="32" s="1"/>
  <c r="I194" i="32"/>
  <c r="H185" i="32"/>
  <c r="I257" i="32"/>
  <c r="H117" i="32"/>
  <c r="E194" i="32"/>
  <c r="E257" i="32"/>
  <c r="E82" i="32"/>
  <c r="E219" i="32"/>
  <c r="J163" i="32"/>
  <c r="I253" i="32"/>
  <c r="L126" i="32"/>
  <c r="M126" i="32" s="1"/>
  <c r="L240" i="32"/>
  <c r="M240" i="32" s="1"/>
  <c r="I219" i="32"/>
  <c r="H197" i="32"/>
  <c r="J117" i="32"/>
  <c r="E124" i="32"/>
  <c r="H132" i="32"/>
  <c r="H125" i="32"/>
  <c r="I216" i="32"/>
  <c r="J93" i="32"/>
  <c r="L124" i="32"/>
  <c r="M124" i="32" s="1"/>
  <c r="J125" i="32"/>
  <c r="L143" i="32"/>
  <c r="M143" i="32" s="1"/>
  <c r="H231" i="32"/>
  <c r="E231" i="32"/>
  <c r="I197" i="32"/>
  <c r="H124" i="32"/>
  <c r="I125" i="32"/>
  <c r="H213" i="32"/>
  <c r="J124" i="32"/>
  <c r="H229" i="32"/>
  <c r="L229" i="32"/>
  <c r="M229" i="32" s="1"/>
  <c r="H175" i="32"/>
  <c r="I62" i="32"/>
  <c r="H205" i="32"/>
  <c r="L228" i="32"/>
  <c r="M228" i="32" s="1"/>
  <c r="J229" i="32"/>
  <c r="J175" i="32"/>
  <c r="L253" i="32"/>
  <c r="M253" i="32" s="1"/>
  <c r="J202" i="32"/>
  <c r="I205" i="32"/>
  <c r="H228" i="32"/>
  <c r="J247" i="32"/>
  <c r="I229" i="32"/>
  <c r="E175" i="32"/>
  <c r="H257" i="32"/>
  <c r="L202" i="32"/>
  <c r="M202" i="32" s="1"/>
  <c r="J194" i="32"/>
  <c r="J162" i="32"/>
  <c r="L252" i="32"/>
  <c r="M252" i="32" s="1"/>
  <c r="J236" i="32"/>
  <c r="L87" i="32"/>
  <c r="M87" i="32" s="1"/>
  <c r="J226" i="32"/>
  <c r="I87" i="32"/>
  <c r="E226" i="32"/>
  <c r="Q8" i="32"/>
  <c r="E87" i="32"/>
  <c r="H226" i="32"/>
  <c r="I57" i="32"/>
  <c r="J77" i="32"/>
  <c r="I221" i="32"/>
  <c r="L57" i="32"/>
  <c r="M57" i="32" s="1"/>
  <c r="L77" i="32"/>
  <c r="M77" i="32" s="1"/>
  <c r="L221" i="32"/>
  <c r="M221" i="32" s="1"/>
  <c r="E77" i="32"/>
  <c r="J221" i="32"/>
  <c r="H152" i="32"/>
  <c r="E125" i="32"/>
  <c r="E221" i="32"/>
  <c r="J152" i="32"/>
  <c r="J109" i="32"/>
  <c r="J197" i="32"/>
  <c r="H109" i="32"/>
  <c r="J228" i="32"/>
  <c r="L197" i="32"/>
  <c r="M197" i="32" s="1"/>
  <c r="E106" i="32"/>
  <c r="H62" i="32"/>
  <c r="I213" i="32"/>
  <c r="E139" i="32"/>
  <c r="J161" i="32"/>
  <c r="J158" i="32"/>
  <c r="L62" i="32"/>
  <c r="M62" i="32" s="1"/>
  <c r="L213" i="32"/>
  <c r="M213" i="32" s="1"/>
  <c r="L161" i="32"/>
  <c r="M161" i="32" s="1"/>
  <c r="H252" i="32"/>
  <c r="I255" i="32"/>
  <c r="E236" i="32"/>
  <c r="H215" i="32"/>
  <c r="I117" i="32"/>
  <c r="J201" i="32"/>
  <c r="H78" i="32"/>
  <c r="I231" i="32"/>
  <c r="H236" i="32"/>
  <c r="J238" i="32"/>
  <c r="E57" i="32"/>
  <c r="S8" i="32" s="1"/>
  <c r="I132" i="32"/>
  <c r="I164" i="32"/>
  <c r="E60" i="32"/>
  <c r="J213" i="32"/>
  <c r="J139" i="32"/>
  <c r="I226" i="32"/>
  <c r="L162" i="32"/>
  <c r="M162" i="32" s="1"/>
  <c r="E201" i="32"/>
  <c r="L78" i="32"/>
  <c r="M78" i="32" s="1"/>
  <c r="E109" i="32"/>
  <c r="J231" i="32"/>
  <c r="L236" i="32"/>
  <c r="M236" i="32" s="1"/>
  <c r="L238" i="32"/>
  <c r="M238" i="32" s="1"/>
  <c r="J57" i="32"/>
  <c r="P8" i="32" s="1"/>
  <c r="J132" i="32"/>
  <c r="J60" i="32"/>
  <c r="I162" i="32"/>
  <c r="L201" i="32"/>
  <c r="M201" i="32" s="1"/>
  <c r="L86" i="32"/>
  <c r="M86" i="32" s="1"/>
  <c r="E142" i="32"/>
  <c r="J147" i="32"/>
  <c r="I201" i="32"/>
  <c r="I238" i="32"/>
  <c r="L119" i="32"/>
  <c r="M119" i="32" s="1"/>
  <c r="H238" i="32"/>
  <c r="I118" i="32"/>
  <c r="I78" i="32"/>
  <c r="J189" i="32"/>
  <c r="J208" i="32"/>
  <c r="E108" i="32"/>
  <c r="H189" i="32"/>
  <c r="L145" i="32"/>
  <c r="M145" i="32" s="1"/>
  <c r="H208" i="32"/>
  <c r="L108" i="32"/>
  <c r="M108" i="32" s="1"/>
  <c r="I163" i="32"/>
  <c r="I189" i="32"/>
  <c r="J145" i="32"/>
  <c r="E161" i="32"/>
  <c r="J126" i="32"/>
  <c r="E208" i="32"/>
  <c r="J108" i="32"/>
  <c r="H163" i="32"/>
  <c r="H202" i="32"/>
  <c r="H126" i="32"/>
  <c r="J195" i="32"/>
  <c r="E195" i="32"/>
  <c r="L195" i="32"/>
  <c r="M195" i="32" s="1"/>
  <c r="H88" i="32"/>
  <c r="E81" i="32"/>
  <c r="L88" i="32"/>
  <c r="M88" i="32" s="1"/>
  <c r="L116" i="32"/>
  <c r="M116" i="32" s="1"/>
  <c r="H116" i="32"/>
  <c r="I116" i="32"/>
  <c r="E204" i="32"/>
  <c r="J204" i="32"/>
  <c r="F74" i="32"/>
  <c r="K260" i="32"/>
  <c r="E245" i="32"/>
  <c r="H245" i="32"/>
  <c r="L245" i="32"/>
  <c r="M245" i="32" s="1"/>
  <c r="J245" i="32"/>
  <c r="H179" i="32"/>
  <c r="I179" i="32"/>
  <c r="J179" i="32"/>
  <c r="E179" i="32"/>
  <c r="L179" i="32"/>
  <c r="M179" i="32" s="1"/>
  <c r="J130" i="32"/>
  <c r="L130" i="32"/>
  <c r="M130" i="32" s="1"/>
  <c r="H130" i="32"/>
  <c r="E130" i="32"/>
  <c r="I130" i="32"/>
  <c r="L218" i="32"/>
  <c r="M218" i="32" s="1"/>
  <c r="J218" i="32"/>
  <c r="E218" i="32"/>
  <c r="H218" i="32"/>
  <c r="I218" i="32"/>
  <c r="E147" i="32"/>
  <c r="H147" i="32"/>
  <c r="L147" i="32"/>
  <c r="M147" i="32" s="1"/>
  <c r="J142" i="32"/>
  <c r="L142" i="32"/>
  <c r="M142" i="32" s="1"/>
  <c r="I142" i="32"/>
  <c r="E86" i="32"/>
  <c r="I86" i="32"/>
  <c r="J86" i="32"/>
  <c r="I206" i="32"/>
  <c r="J206" i="32"/>
  <c r="H206" i="32"/>
  <c r="E206" i="32"/>
  <c r="L206" i="32"/>
  <c r="M206" i="32" s="1"/>
  <c r="I223" i="32"/>
  <c r="E223" i="32"/>
  <c r="H223" i="32"/>
  <c r="L223" i="32"/>
  <c r="M223" i="32" s="1"/>
  <c r="I158" i="32"/>
  <c r="H158" i="32"/>
  <c r="E158" i="32"/>
  <c r="L248" i="32"/>
  <c r="M248" i="32" s="1"/>
  <c r="H248" i="32"/>
  <c r="J248" i="32"/>
  <c r="I248" i="32"/>
  <c r="I204" i="32"/>
  <c r="E113" i="32"/>
  <c r="H113" i="32"/>
  <c r="L113" i="32"/>
  <c r="M113" i="32" s="1"/>
  <c r="J113" i="32"/>
  <c r="I113" i="32"/>
  <c r="I195" i="32"/>
  <c r="H81" i="32"/>
  <c r="L146" i="32"/>
  <c r="M146" i="32" s="1"/>
  <c r="E116" i="32"/>
  <c r="H204" i="32"/>
  <c r="I175" i="32"/>
  <c r="I119" i="32"/>
  <c r="E88" i="32"/>
  <c r="I81" i="32"/>
  <c r="H146" i="32"/>
  <c r="I235" i="32"/>
  <c r="J235" i="32"/>
  <c r="E235" i="32"/>
  <c r="H235" i="32"/>
  <c r="E254" i="32"/>
  <c r="I254" i="32"/>
  <c r="L254" i="32"/>
  <c r="M254" i="32" s="1"/>
  <c r="J254" i="32"/>
  <c r="E156" i="32"/>
  <c r="H156" i="32"/>
  <c r="L156" i="32"/>
  <c r="M156" i="32" s="1"/>
  <c r="I156" i="32"/>
  <c r="J156" i="32"/>
  <c r="H80" i="32"/>
  <c r="E80" i="32"/>
  <c r="L80" i="32"/>
  <c r="M80" i="32" s="1"/>
  <c r="J80" i="32"/>
  <c r="I80" i="32"/>
  <c r="J119" i="32"/>
  <c r="I245" i="32"/>
  <c r="J88" i="32"/>
  <c r="J81" i="32"/>
  <c r="I146" i="32"/>
  <c r="H119" i="32"/>
  <c r="H195" i="32"/>
  <c r="J146" i="32"/>
  <c r="E217" i="32"/>
  <c r="H217" i="32"/>
  <c r="I217" i="32"/>
  <c r="J217" i="32"/>
  <c r="L217" i="32"/>
  <c r="M217" i="32" s="1"/>
  <c r="L205" i="32"/>
  <c r="M205" i="32" s="1"/>
  <c r="E152" i="32"/>
  <c r="E145" i="32"/>
  <c r="I152" i="32"/>
  <c r="I109" i="32"/>
  <c r="H145" i="32"/>
  <c r="I202" i="32"/>
  <c r="H162" i="32"/>
  <c r="J224" i="32"/>
  <c r="L208" i="32"/>
  <c r="M208" i="32" s="1"/>
  <c r="L255" i="32"/>
  <c r="M255" i="32" s="1"/>
  <c r="L219" i="32"/>
  <c r="M219" i="32" s="1"/>
  <c r="I77" i="32"/>
  <c r="L60" i="32"/>
  <c r="M60" i="32" s="1"/>
  <c r="J62" i="32"/>
  <c r="I215" i="32"/>
  <c r="H87" i="32"/>
  <c r="E205" i="32"/>
  <c r="J56" i="32"/>
  <c r="H56" i="32"/>
  <c r="E56" i="32"/>
  <c r="I56" i="32"/>
  <c r="Q7" i="32"/>
  <c r="L56" i="32"/>
  <c r="E58" i="32"/>
  <c r="S9" i="32" s="1"/>
  <c r="H58" i="32"/>
  <c r="I58" i="32"/>
  <c r="Q9" i="32"/>
  <c r="L58" i="32"/>
  <c r="M58" i="32" s="1"/>
  <c r="J58" i="32"/>
  <c r="J74" i="32" l="1"/>
  <c r="J260" i="32" s="1"/>
  <c r="E74" i="32"/>
  <c r="F268" i="32" s="1"/>
  <c r="H74" i="32"/>
  <c r="L74" i="32"/>
  <c r="M74" i="32" s="1"/>
  <c r="I74" i="32"/>
  <c r="M56" i="32"/>
  <c r="S7" i="32"/>
  <c r="E270" i="32" l="1"/>
  <c r="E267" i="32"/>
  <c r="E271" i="32"/>
  <c r="F270" i="32"/>
  <c r="F272" i="32"/>
  <c r="E268" i="32"/>
  <c r="F269" i="32"/>
  <c r="E269" i="32"/>
  <c r="L260" i="32" a="1"/>
  <c r="L260" i="32" s="1"/>
  <c r="M260" i="32" s="1"/>
  <c r="F271" i="32"/>
  <c r="E272" i="32"/>
  <c r="F267"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tc={28759D42-4F8A-4AC4-B849-79496CC87E09}</author>
    <author>tc={4DF03FE9-7CA2-468A-9517-04DEC2B8E99D}</author>
    <author>tc={BB7C98AD-2251-4C44-ACEB-B2DA8D7167B2}</author>
    <author>tc={676CD507-2FE5-4E54-8EFB-77C0B9BCDEA3}</author>
    <author>tc={E9DC6DE0-6D4F-4D55-8A98-DC1B2389B2DA}</author>
    <author>tc={AB0D28BA-B3BC-454D-A3F5-89DCE350A700}</author>
    <author>Janderson Bezerra de Oliveira</author>
    <author>tc={B90ED909-B286-44F7-8740-283945A902CC}</author>
    <author>tc={A1B78FEA-2677-4BF5-BB7F-6C9ABA46D0C7}</author>
    <author>tc={9C283E7A-D43D-46F7-B1FD-B2EBC09E60A7}</author>
    <author>tc={D83B51F4-8645-4F56-98F1-531ED4C00E90}</author>
    <author>tc={7E8C0128-7755-48B3-91AB-C09B3489A577}</author>
    <author>tc={FE3278E4-0296-43DA-B9D8-B6B4C0F4EC50}</author>
    <author>tc={9FC3433F-7D84-40E0-B700-7E8537B51233}</author>
    <author>tc={5A43565F-B0BF-4D35-94B7-73AE73DFC2AB}</author>
    <author>tc={2DB277DB-B588-445F-828F-5F6F541C64F1}</author>
    <author>tc={3C057EED-A86A-4CA6-ACFC-77AC795147FD}</author>
    <author>tc={10D38F70-6A31-4741-82BC-070C48D97B29}</author>
    <author>tc={757891D3-0E03-4B15-BCEA-6A7FF7E700C1}</author>
    <author>tc={269B480C-84A6-48D8-A511-8C20A00D3FF3}</author>
    <author>tc={8E8634D2-F205-40BD-9096-E99A464D2CC8}</author>
    <author>tc={71865C6C-167A-4E96-A15A-729816200225}</author>
    <author>tc={9AD07D01-7A28-4159-A9C7-0BAA2AB5CE21}</author>
    <author>tc={F8F01AE3-0C87-4175-BE2D-E4130E4E353C}</author>
    <author>tc={D96BD6C1-A00E-456E-B5B2-1D72D0329129}</author>
    <author>tc={55FE89BC-2213-44FE-A124-56344DA4DBC7}</author>
    <author>tc={3688039B-B610-4CD3-B2D3-44B6577C54EA}</author>
    <author>tc={BBC5978B-3F4E-4AEB-85F5-A7EA1C414133}</author>
    <author>tc={02E07E83-1B8B-4A6C-97F0-20E0649452F3}</author>
    <author>tc={7A13B847-B627-457B-ACAE-5C13634B108A}</author>
    <author>tc={0D74F7D7-93F7-4476-AA1A-3DCB67E0A57C}</author>
    <author>tc={D90BA3A0-8033-4827-AC8F-956FBBE4FD65}</author>
    <author>tc={F8F3DFD2-F49E-4D24-BD03-5CAD63688474}</author>
    <author>tc={C64FD8F5-5D36-4C1E-81B1-BA8E2C0194DA}</author>
    <author>tc={8AD98D8B-ED85-456D-B62C-7276F5911BAA}</author>
    <author>tc={8E33037D-9B7B-471C-8323-0C4A235583CA}</author>
    <author>tc={0B6C7B7A-9CCB-4476-ACC8-7673B822528E}</author>
    <author>tc={260B6D02-4416-45F3-8E82-6812914771FD}</author>
    <author>tc={4BF225A5-F752-4589-B1ED-02C5EEFEBC47}</author>
    <author>tc={817153C8-6DC8-4DF2-B184-1B97EE56D69E}</author>
    <author>tc={298E6972-510E-4102-B577-CEA45B4F4B91}</author>
    <author>tc={6DDA57E5-3655-4953-9569-CE5945E4F70F}</author>
    <author>tc={AD46BC94-777C-48CC-9292-805537A3EF33}</author>
    <author>tc={5897A164-4E0C-4EE3-8FA8-CA10A652B9CC}</author>
    <author>tc={7CEEFAAD-1CD5-405D-A68D-4C602F4F79CA}</author>
    <author>tc={33242355-8A05-4206-830A-C59703272FBA}</author>
    <author>tc={809B165B-6796-4DA9-A728-3035529DB397}</author>
    <author>Carolina Reis Machado Rodrigues</author>
    <author>tc={13954A5D-0E36-4FBC-8226-FF1F513354B0}</author>
    <author>tc={B8C6082A-1CA3-4C02-8F8C-D1C222F2224C}</author>
    <author>tc={7498A677-8EF2-4F38-8764-AEDC2252145E}</author>
    <author>tc={2E265D4F-8EAE-49CC-B73A-C3FBFA173303}</author>
    <author>tc={9CE49821-AD90-46C7-B1A0-02794ACF4E10}</author>
    <author>tc={E37ACD5E-DE92-4E10-AC14-E7DA259C61E9}</author>
    <author>tc={A22FFF6D-5F12-4334-AF5E-3FD66C2B1F41}</author>
    <author>tc={CEB78264-27F6-4317-9E14-AA87CEB25979}</author>
    <author>tc={712E16CC-BEB3-49DC-8FF7-CFF5A426F97E}</author>
    <author>tc={36E18497-37A9-4FFC-A9EA-FE0140347E5F}</author>
    <author>tc={E9F6D9CF-D71C-4AF8-80D2-A3B8117C18BA}</author>
    <author>tc={C76A88FB-4592-4F73-BE4A-9FDFB4834478}</author>
    <author>tc={D06ACC9D-673E-47C5-95AC-1CE9AEBEB2CD}</author>
    <author>tc={87E73996-F830-4ADB-AD82-437FE023E25B}</author>
    <author>tc={ACDBC44D-16FD-4924-BBCA-991A0399B4BC}</author>
    <author>tc={1C15A06B-72CF-48D2-ADBD-69452259D7E6}</author>
    <author>tc={83E36BC1-12DE-48C1-B699-BA019536783A}</author>
    <author>tc={BF129A0C-8BDA-408D-B085-925C7B56D91D}</author>
    <author>tc={44052750-9FD1-4646-A3AF-D649FB402189}</author>
    <author>tc={4C844F29-B281-4629-83D1-E7AD1576E12D}</author>
  </authors>
  <commentList>
    <comment ref="O4" authorId="0" shapeId="0" xr:uid="{28759D42-4F8A-4AC4-B849-79496CC87E0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U18" authorId="1" shapeId="0" xr:uid="{4DF03FE9-7CA2-468A-9517-04DEC2B8E99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Materia Prima ainda não acabou</t>
      </text>
    </comment>
    <comment ref="B29" authorId="2" shapeId="0" xr:uid="{BB7C98AD-2251-4C44-ACEB-B2DA8D7167B2}">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0" authorId="3" shapeId="0" xr:uid="{676CD507-2FE5-4E54-8EFB-77C0B9BCDEA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2" authorId="4" shapeId="0" xr:uid="{E9DC6DE0-6D4F-4D55-8A98-DC1B2389B2D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42" authorId="5" shapeId="0" xr:uid="{AB0D28BA-B3BC-454D-A3F5-89DCE350A70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H44" authorId="6" shapeId="0" xr:uid="{0356147A-C73C-4B3E-A405-BA3FD6EA34A3}">
      <text>
        <r>
          <rPr>
            <b/>
            <sz val="9"/>
            <color indexed="81"/>
            <rFont val="Segoe UI"/>
            <family val="2"/>
          </rPr>
          <t>Janderson Bezerra de Oliveira:</t>
        </r>
        <r>
          <rPr>
            <sz val="9"/>
            <color indexed="81"/>
            <rFont val="Segoe UI"/>
            <family val="2"/>
          </rPr>
          <t xml:space="preserve">
2 acidentes com afastamento
1 - 13/01/2026 - 5 dias (corte no dedo)
2 - 31/01/2026 - 21 dias (fratura de ponta de dedo)</t>
        </r>
      </text>
    </comment>
    <comment ref="J44" authorId="6" shapeId="0" xr:uid="{B13D8073-019E-4278-A04A-CA659F892850}">
      <text>
        <r>
          <rPr>
            <b/>
            <sz val="9"/>
            <color indexed="81"/>
            <rFont val="Segoe UI"/>
            <family val="2"/>
          </rPr>
          <t xml:space="preserve">Janderson Bezerra de Oliveira:
</t>
        </r>
        <r>
          <rPr>
            <sz val="9"/>
            <color indexed="81"/>
            <rFont val="Segoe UI"/>
            <family val="2"/>
          </rPr>
          <t xml:space="preserve">2 acidentes com afastamento
1 - 11/02/2026 - 3 dias (corte no dorso da mão)
2 - 26/02/2026 - 7 dias (contusão no dedo)
</t>
        </r>
      </text>
    </comment>
    <comment ref="L44" authorId="6" shapeId="0" xr:uid="{911D124C-062D-4358-8D7D-46D4FFDCF6E3}">
      <text>
        <r>
          <rPr>
            <b/>
            <sz val="9"/>
            <color indexed="81"/>
            <rFont val="Segoe UI"/>
            <family val="2"/>
          </rPr>
          <t>Janderson Bezerra de Oliveira:</t>
        </r>
        <r>
          <rPr>
            <sz val="9"/>
            <color indexed="81"/>
            <rFont val="Segoe UI"/>
            <family val="2"/>
          </rPr>
          <t xml:space="preserve">
1 acidente; Dedo. 5 dias</t>
        </r>
      </text>
    </comment>
    <comment ref="G47" authorId="6" shapeId="0" xr:uid="{73EE0D96-02E7-423B-8A00-0048804473C6}">
      <text>
        <r>
          <rPr>
            <b/>
            <sz val="9"/>
            <color indexed="81"/>
            <rFont val="Segoe UI"/>
            <family val="2"/>
          </rPr>
          <t>Janderson Bezerra de Oliveira:</t>
        </r>
        <r>
          <rPr>
            <sz val="9"/>
            <color indexed="81"/>
            <rFont val="Segoe UI"/>
            <family val="2"/>
          </rPr>
          <t xml:space="preserve">
A meta foi definida considerando 2T para 2026
Em 2025 eram 3T</t>
        </r>
      </text>
    </comment>
    <comment ref="J49" authorId="7" shapeId="0" xr:uid="{B90ED909-B286-44F7-8740-283945A902C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GGF melhor em Janeiro R$170000 MOD e MOI controle e Redução de HE nas áreas suportes EBITDA R$360000 Melhor no bimestre contra Budget </t>
      </text>
    </comment>
    <comment ref="L49" authorId="8" shapeId="0" xr:uid="{A1B78FEA-2677-4BF5-BB7F-6C9ABA46D0C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R$ 16.000,00 Positivo , Faturamento no mês foi maior, melhora na margem VA e GGF conseguiu absorver o aumento de faturamento , proporcionando  margem bruta positivo.  </t>
      </text>
    </comment>
    <comment ref="W56" authorId="9" shapeId="0" xr:uid="{9C283E7A-D43D-46F7-B1FD-B2EBC09E60A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O material novo passou a ser cortado e utilizado a partir de 12/03 - desconsiderada as qtds faturadas anteriores a essa data.
Se fosse no mês todo, o ganho real seria cerca de 19k.</t>
      </text>
    </comment>
    <comment ref="N57" authorId="10" shapeId="0" xr:uid="{D83B51F4-8645-4F56-98F1-531ED4C00E9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standby aguardando definição da Diretoria se seguiremos com Kaizens de energia
Resposta:
    DEFINIDO que esse tipo de Kaizen deve sair do controle - deve ser considerado nas questões de performance.
Resposta:
    Incluso retorno real - baseado no levantamento de valor estimado da planta.</t>
      </text>
    </comment>
    <comment ref="N63" authorId="11" shapeId="0" xr:uid="{7E8C0128-7755-48B3-91AB-C09B3489A57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Calculo validado, considerando a previsao de ganho inicial que foi de Fev a Dez. 
- ganho real considerado a partir de Março, com a mudança efetica do contrato e dos pagamentos.</t>
      </text>
    </comment>
    <comment ref="N65" authorId="12" shapeId="0" xr:uid="{FE3278E4-0296-43DA-B9D8-B6B4C0F4EC5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Ganho de 79.673,52 -&gt; Considerando valores de Rescisão levantados.</t>
      </text>
    </comment>
    <comment ref="Z66" authorId="13" shapeId="0" xr:uid="{9FC3433F-7D84-40E0-B700-7E8537B5123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Considerando rescisões = -31.423,70</t>
      </text>
    </comment>
    <comment ref="N67" authorId="14" shapeId="0" xr:uid="{5A43565F-B0BF-4D35-94B7-73AE73DFC2A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Standby aguardando definição da Diretoria se seguiremos com Kaizens de Consumo de agua.
Resposta:
    DEFINIDO que esse tipo de Kaizen deve sair do controle - deve ser considerado nas questões de performance.</t>
      </text>
    </comment>
    <comment ref="Z70" authorId="15" shapeId="0" xr:uid="{2DB277DB-B588-445F-828F-5F6F541C64F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atualizada com pesos menores do que o proposto e também não foi atualizada a chapa proposta (permaneceu a mesma) - CONFIRMAR DADOS.</t>
      </text>
    </comment>
    <comment ref="N71" authorId="16" shapeId="0" xr:uid="{3C057EED-A86A-4CA6-ACFC-77AC795147F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DEFINIDO que esse tipo de Kaizen deve sair do controle - deve ser considerado nas questões de performance.</t>
      </text>
    </comment>
    <comment ref="N73" authorId="17" shapeId="0" xr:uid="{10D38F70-6A31-4741-82BC-070C48D97B2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retorno do Izaias - sobre memoria de calculo.
De onde foram retirados os valores e quantidades do arame.
Necessario tb o codigo dos arames.</t>
      </text>
    </comment>
    <comment ref="M75" authorId="18" shapeId="0" xr:uid="{757891D3-0E03-4B15-BCEA-6A7FF7E700C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Foi decidido que estas ferramentas ficarão em São Leopoldo</t>
      </text>
    </comment>
    <comment ref="M79" authorId="19" shapeId="0" xr:uid="{269B480C-84A6-48D8-A511-8C20A00D3FF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Dado o retorno, risco e necessidade de re-submissão de PPAP com a MBB, não seguiremos com este item.</t>
      </text>
    </comment>
    <comment ref="N79" authorId="20" shapeId="0" xr:uid="{8E8634D2-F205-40BD-9096-E99A464D2CC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Custo da porca = 0,155750 (9 meses de economia) 
última entrada em Diadema - NFs (11/25) 
Resposta:
    Por favor, enviar em qual codigo Delga realizamos essa reduçao - no A3 tem apenas A9792901919 .
Resposta:
    Não terá andamento - Julho/26</t>
      </text>
    </comment>
    <comment ref="Y80" authorId="21" shapeId="0" xr:uid="{71865C6C-167A-4E96-A15A-72981620022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Por favor, enviar em qual codigo Delga realizamos essa reduçao - no A3 tem apenas A9792901919 .</t>
      </text>
    </comment>
    <comment ref="Z80" authorId="22" shapeId="0" xr:uid="{9AD07D01-7A28-4159-A9C7-0BAA2AB5CE2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Por favor, enviar em qual codigo Delga realizamos essa reduçao - no A3 tem apenas A9792901919 .</t>
      </text>
    </comment>
    <comment ref="AC80" authorId="23" shapeId="0" xr:uid="{F8F01AE3-0C87-4175-BE2D-E4130E4E353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terá andamento - Julho/26</t>
      </text>
    </comment>
    <comment ref="V82" authorId="24" shapeId="0" xr:uid="{D96BD6C1-A00E-456E-B5B2-1D72D032912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Valor associado ao volume de 1259 pcs  faturadas ( contra 1050 projetada em Budget, utilizada no calculo previsto)</t>
      </text>
    </comment>
    <comment ref="I89" authorId="25" shapeId="0" xr:uid="{55FE89BC-2213-44FE-A124-56344DA4DBC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20k referente a venda de lavadora NF589224 01/06/2026
Resposta:
    26k referente a venda de sucata NF 589563
10/06/2026</t>
      </text>
    </comment>
    <comment ref="U94" authorId="26" shapeId="0" xr:uid="{3688039B-B610-4CD3-B2D3-44B6577C54E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 planta possui um Budget de 20k mensal e esse mês gastou 28k - representando -0,05% de "redução real" sobre o faturamento total do mês. Resultando em 6k a mais do que o planejado.
</t>
      </text>
    </comment>
    <comment ref="V94" authorId="27" shapeId="0" xr:uid="{BBC5978B-3F4E-4AEB-85F5-A7EA1C41413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 planta possui um Budget de 40k mensal e esse mês gastou 110k - representando -0,43% de "redução" sobre o faturamento total do mês. Resultando em 67k a mais do que o planejado.
</t>
      </text>
    </comment>
    <comment ref="N97" authorId="28" shapeId="0" xr:uid="{02E07E83-1B8B-4A6C-97F0-20E0649452F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Conversado com Bruno na semana passada, ele irá revisitar o projeto, pois tivemos algumas duvidas e precisamos entender como será feito a validação mensal desse kaizen
Resposta:
    Em revisao com Bruno, confirmar se iremos retirar esse projeto devido a forma de medição incompativel com o sistema
Resposta:
    Necessario confirmar se manteremos o projeto ou não.</t>
      </text>
    </comment>
    <comment ref="P99" authorId="29" shapeId="0" xr:uid="{7A13B847-B627-457B-ACAE-5C13634B108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03/08 é o prazo para retorno da Usina.</t>
      </text>
    </comment>
    <comment ref="N103" authorId="30" shapeId="0" xr:uid="{0D74F7D7-93F7-4476-AA1A-3DCB67E0A57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Revisado em Abril - novo calculo de peso.</t>
      </text>
    </comment>
    <comment ref="W108" authorId="31" shapeId="0" xr:uid="{D90BA3A0-8033-4827-AC8F-956FBBE4FD6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alinhametno com Bruno (22/04) no momento = Sem retorno calculado, LT no sistema ainda consta com o peso antigo do material (8,403 e não 8,242kgs como proposto)</t>
      </text>
    </comment>
    <comment ref="N109" authorId="32" shapeId="0" xr:uid="{F8F3DFD2-F49E-4D24-BD03-5CAD6368847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Diferenças de cadastro - validar em reuniao.
Volume considerando apenas o  SV205Z - pois o 206Z não foi considerado no Budget.
Resposta:
    Em revisao com Bruno - veirificar historico da LT cadastrada e processo atual (A premissa de validaçao é o Budget e na lista de 11/2025 não constavam esses materiais no cadastro..</t>
      </text>
    </comment>
    <comment ref="O109" authorId="33" shapeId="0" xr:uid="{C64FD8F5-5D36-4C1E-81B1-BA8E2C0194D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Item de baixo voluma. Quando entrar em produção, deve-se apurar os ganhos.</t>
      </text>
    </comment>
    <comment ref="N111" authorId="34" shapeId="0" xr:uid="{8AD98D8B-ED85-456D-B62C-7276F5911BA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Ganho previsto considerando as duas peças - o valor de entrada das ultimas MPs está bem inferior ao projetado - compramos mais barato.
De cada blank saem 2pçs.</t>
      </text>
    </comment>
    <comment ref="P113" authorId="35" shapeId="0" xr:uid="{8E33037D-9B7B-471C-8323-0C4A235583C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Precisa consumir o estoque 17ton - 03/07/2026</t>
      </text>
    </comment>
    <comment ref="N115" authorId="36" shapeId="0" xr:uid="{0B6C7B7A-9CCB-4476-ACC8-7673B822528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Retorno Bruno para validação das informações cadastradas.
Resposta:
    Finalizado - volumes atualizados.
Resposta:
    Primeira validação = 102.560,41 
Material revisado, aplicado software AlmaCAM, trazendo um melhor aproveitamento da chapa, aumentando o ganho.</t>
      </text>
    </comment>
    <comment ref="N117" authorId="37" shapeId="0" xr:uid="{260B6D02-4416-45F3-8E82-6812914771F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O Ganho sinalizado por Diadema no A3 é de 624 reais e não 5.625 como esta no previsto! Checar !!</t>
      </text>
    </comment>
    <comment ref="W118" authorId="38" shapeId="0" xr:uid="{4BF225A5-F752-4589-B1ED-02C5EEFEBC4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Material ainda não teve a LT alterada (Mar/Abr) - continua com o mesmo peso.</t>
      </text>
    </comment>
    <comment ref="W120" authorId="39" shapeId="0" xr:uid="{817153C8-6DC8-4DF2-B184-1B97EE56D69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Item ainda não teve a LT alterada (Mar/Abr) - continuamos com o peso inicial de 0,554</t>
      </text>
    </comment>
    <comment ref="W122" authorId="40" shapeId="0" xr:uid="{298E6972-510E-4102-B577-CEA45B4F4B9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Item ainda não teve a LT alterada (Mar/Abr) - continuamos com o peso inicial de 0,261 e não 0,226 como proposta
</t>
      </text>
    </comment>
    <comment ref="W124" authorId="41" shapeId="0" xr:uid="{6DDA57E5-3655-4953-9569-CE5945E4F70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Item ainda não teve a LT alterada (Mar/Abr) - continuamos com o peso inicial de 2,117 </t>
      </text>
    </comment>
    <comment ref="C125" authorId="42" shapeId="0" xr:uid="{AD46BC94-777C-48CC-9292-805537A3EF3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Código = MB003673AL ?</t>
      </text>
    </comment>
    <comment ref="W126" authorId="43" shapeId="0" xr:uid="{5897A164-4E0C-4EE3-8FA8-CA10A652B9C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não alterada em Mar/Abr.</t>
      </text>
    </comment>
    <comment ref="Y126" authorId="44" shapeId="0" xr:uid="{7CEEFAAD-1CD5-405D-A68D-4C602F4F79C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alterada para 0,572 e não 0,571 como no A3 previsto (ganho total reduzido de $635 para $611)</t>
      </text>
    </comment>
    <comment ref="M127" authorId="45" shapeId="0" xr:uid="{33242355-8A05-4206-830A-C59703272FB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Estrutura não contem MP e a chapa sinalizada esta como subcontratação - ao valor de 100,27 reais. - planta = validar cadastros.
Resposta:
    Cadastro validado, MP atualizada.
Budget considerado quantidade necessaria em Kgs maior que o utilizado, favorecendo o ganho nesse comparativo.</t>
      </text>
    </comment>
    <comment ref="Y130" authorId="46" shapeId="0" xr:uid="{809B165B-6796-4DA9-A728-3035529DB39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Validado sobre o peso informado no A3 - 3,217kgs (na lista atualizada esta com 3,205kgs - solicitado confirmaçao da planta.</t>
      </text>
    </comment>
    <comment ref="M133" authorId="47" shapeId="0" xr:uid="{1575BD1C-89E5-41AF-8D2A-6F63F55471D0}">
      <text>
        <r>
          <rPr>
            <b/>
            <sz val="9"/>
            <color indexed="81"/>
            <rFont val="Segoe UI"/>
            <family val="2"/>
          </rPr>
          <t>Carolina Reis Machado Rodrigues:</t>
        </r>
        <r>
          <rPr>
            <sz val="9"/>
            <color indexed="81"/>
            <rFont val="Segoe UI"/>
            <family val="2"/>
          </rPr>
          <t xml:space="preserve">
Chapa entra como compra direta em Diadema - ultima NF em 07/2025
MP - não existe saldo em Ferraz e nunca foi cadastrada em Diadema
- planta = validar estrutura!
</t>
        </r>
      </text>
    </comment>
    <comment ref="I135" authorId="48" shapeId="0" xr:uid="{13954A5D-0E36-4FBC-8226-FF1F513354B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Revisado em Maio - vlores atualizados.</t>
      </text>
    </comment>
    <comment ref="W136" authorId="49" shapeId="0" xr:uid="{B8C6082A-1CA3-4C02-8F8C-D1C222F2224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sem atualizaçao (Mar/Abr) - material com 5,211 e não com 4,750 como proposto.
</t>
      </text>
    </comment>
    <comment ref="N139" authorId="50" shapeId="0" xr:uid="{7498A677-8EF2-4F38-8764-AEDC2252145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não tem memoria de calculo - A MO reduzida foir realocada, desligada ?
Resposta:
    @Carolina Reis Machado Rodrigues A MOD será desligada após a implementação do kaizen. A gente sempre usa como base o de custo de 10K/mês para a MOD. Quando ocorrer o desligamento, te enviarei a evidência.</t>
      </text>
    </comment>
    <comment ref="N145" authorId="51" shapeId="0" xr:uid="{2E265D4F-8EAE-49CC-B73A-C3FBFA17330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Enviar evidencia do levantamento dos dados - R$650 gasolina utilizada / R$9mil da compra da água.
Para o Deionizador, gastaremos so o investimento ?
Mensalmente quais são os gastos dele ? 
Sera necessario um operador para isso ?</t>
      </text>
    </comment>
    <comment ref="N147" authorId="52" shapeId="0" xr:uid="{9CE49821-AD90-46C7-B1A0-02794ACF4E1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Considerado apenas o volume dos itens VW940Z_941Z - os demais não foram encontrados historicos</t>
      </text>
    </comment>
    <comment ref="N149" authorId="53" shapeId="0" xr:uid="{E37ACD5E-DE92-4E10-AC14-E7DA259C61E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Volume maior Budget maior que o da proposta - considerando todos os itens GMxxxZ de Ago a Dez.
Necessario ainda passar o item vendavel que consome o DJxxxx</t>
      </text>
    </comment>
    <comment ref="P149" authorId="54" shapeId="0" xr:uid="{A22FFF6D-5F12-4334-AF5E-3FD66C2B1F4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t>
      </text>
    </comment>
    <comment ref="N151" authorId="55" shapeId="0" xr:uid="{CEB78264-27F6-4317-9E14-AA87CEB2597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Necessario verificar LT cadastrada atualmente, pois já tivemos um Kaizen validado desse mesmo material</t>
      </text>
    </comment>
    <comment ref="P151" authorId="56" shapeId="0" xr:uid="{712E16CC-BEB3-49DC-8FF7-CFF5A426F97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Necessário consumir o estoque</t>
      </text>
    </comment>
    <comment ref="P153" authorId="57" shapeId="0" xr:uid="{36E18497-37A9-4FFC-A9EA-FE0140347E5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Necessário consumir o estoque
Resposta:
    6ton</t>
      </text>
    </comment>
    <comment ref="AA154" authorId="58" shapeId="0" xr:uid="{E9F6D9CF-D71C-4AF8-80D2-A3B8117C18B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ALTERADA.</t>
      </text>
    </comment>
    <comment ref="AC154" authorId="59" shapeId="0" xr:uid="{C76A88FB-4592-4F73-BE4A-9FDFB483447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ALTERADA.</t>
      </text>
    </comment>
    <comment ref="P155" authorId="60" shapeId="0" xr:uid="{D06ACC9D-673E-47C5-95AC-1CE9AEBEB2C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validação in loco</t>
      </text>
    </comment>
    <comment ref="N157" authorId="61" shapeId="0" xr:uid="{87E73996-F830-4ADB-AD82-437FE023E25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atualizada com QTD maior do que o proposto (0,465 -&gt; 0,929) PARA (0,492 -&gt; 0,984)
Ganho reduzido já atualizado (Considerando proposta do projeto inicial - Maio a Dezembro)
Ganho inicial R$ de 138k</t>
      </text>
    </comment>
    <comment ref="AA158" authorId="62" shapeId="0" xr:uid="{ACDBC44D-16FD-4924-BBCA-991A0399B4B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ALTERADA PARA JUNHO</t>
      </text>
    </comment>
    <comment ref="N161" authorId="63" shapeId="0" xr:uid="{1C15A06B-72CF-48D2-ADBD-69452259D7E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Verificar chapa proposta - não encontrada no sistema. Necessário orçamento, para calcular os valores .</t>
      </text>
    </comment>
    <comment ref="P161" authorId="64" shapeId="0" xr:uid="{83E36BC1-12DE-48C1-B699-BA019536783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 Engenharia precisa criar um cadastro e plano de corte para enviar ao fornecedor.</t>
      </text>
    </comment>
    <comment ref="P163" authorId="65" shapeId="0" xr:uid="{BF129A0C-8BDA-408D-B085-925C7B56D91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14mil blanks em estoque. 28 peças. Temos que reavaliar o ponto de corte.</t>
      </text>
    </comment>
    <comment ref="F180" authorId="66" shapeId="0" xr:uid="{44052750-9FD1-4646-A3AF-D649FB40218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É realizado o relatório de produção atravez do EGA.</t>
      </text>
    </comment>
    <comment ref="P224" authorId="67" shapeId="0" xr:uid="{4C844F29-B281-4629-83D1-E7AD1576E12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conforme preenchimento de datas no controle enviado pelo Elio.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tc={6C5D3DFA-3171-4014-A768-5936E9F1A5DC}</author>
    <author>tc={05296EBE-5199-457C-BB20-6637F2574CB3}</author>
    <author>tc={701FAD2B-41AC-4D18-972F-9E580F4EBF4A}</author>
    <author>tc={3754B9AF-2423-4845-955C-144BA4799462}</author>
    <author>tc={6780A1B4-3784-42DE-964D-65576B57665B}</author>
    <author>tc={4C52FC0D-D44C-4E1A-B0B2-472E2A409943}</author>
    <author>tc={903C14F0-73A2-424A-A80B-FAFB62E493CC}</author>
    <author>tc={AFDD9F63-1752-48FE-8DCC-EB088355A160}</author>
    <author>tc={6B9801FA-247A-406C-A2F2-83F94F8BBA09}</author>
    <author>tc={7A5CB152-6C47-4CC7-BA82-79C27187D6FF}</author>
    <author>tc={B72163E5-17FB-420F-9BD8-A7F295B88023}</author>
    <author>tc={07400FC9-6285-4863-9894-0527D1EFE75F}</author>
    <author>tc={66F9DF06-A4E7-45D9-AC2A-CBE266FE0DBB}</author>
    <author>tc={2675FB6E-613E-4E9C-B0EA-37F0E2D38DA1}</author>
    <author>tc={ECE3338E-1AA7-445A-8EDD-A25F7DB0FA73}</author>
    <author>tc={46469C05-6E0E-4A72-8E40-FB9E8003E701}</author>
    <author>tc={9A77F069-39DE-4879-A602-314E17DD9562}</author>
    <author>tc={97F5D9CD-0C6A-4861-9723-193CBB305BF6}</author>
    <author>tc={0531DA1A-FCB5-46D1-B52E-F0D28782D7B3}</author>
    <author>tc={9E799D5B-DC65-450B-94C0-8F37F445E3C7}</author>
    <author>tc={EF7C7F25-BC58-45E1-B506-31675D5F1721}</author>
    <author>tc={6A086458-C5FC-44FA-A10A-1138F44AB92B}</author>
    <author>tc={DE666EB3-089E-4E57-966F-BF9D7647287E}</author>
    <author>tc={259014A4-F410-4907-B0C3-378CBE17AD68}</author>
    <author>tc={70407FA3-5E8E-47B1-A2BD-CFC5BA48DFA1}</author>
    <author>tc={34E7657A-2331-41DF-B89B-1560C533F04A}</author>
    <author>tc={30425816-C2A3-4408-A387-DCFB152B133B}</author>
    <author>tc={49ADE79C-0C1C-4AA7-B55B-03DBB53F727F}</author>
    <author>tc={9815DC04-D558-4F0A-BE96-30EE24BA0F2F}</author>
    <author>tc={DD81C8B2-1D10-4424-B2F5-852E89B5B727}</author>
    <author>tc={1EBDDAE5-0CEB-4795-A49A-31937CB11171}</author>
    <author>tc={D088280A-F6EB-4C7A-9B19-D19A580AC357}</author>
    <author>tc={AB851EF9-8729-47FC-BE49-1F675A6ED8DB}</author>
    <author>tc={621E6978-943B-4A0D-8A8C-E80AB318078B}</author>
    <author>tc={1CE1AE6D-6159-45B5-BBE7-123B5B3A7C3E}</author>
    <author>tc={CDCF625B-19E9-47A4-9E05-24A7F26BAD4D}</author>
    <author>tc={61091C02-DED5-4768-882D-59AF107376DE}</author>
    <author>tc={282B3DC1-0EBC-4EF6-AFCE-B2E0294B8ED4}</author>
    <author>tc={0693862C-7E65-42C2-BCF0-B931BF946D1C}</author>
    <author>tc={F2DD8365-8DDE-42B0-9CEB-03690EA342DC}</author>
    <author>tc={5F19A1DA-1E40-4ACE-B0D3-DCF9DBA7FB7C}</author>
    <author>tc={ED06F117-19B0-4A8A-ABB3-E35C1A30CD3C}</author>
    <author>tc={9FA81C51-ECE8-48B8-8E27-AFF118DE533C}</author>
    <author>tc={B7646165-9B2A-44FD-B8FC-47DCE5C4A1D3}</author>
    <author>tc={CCA0F6B9-5AEE-4306-A478-DF9D4560BEC9}</author>
    <author>tc={B4DC188F-9E1E-4E0E-9979-8617D9A5C069}</author>
    <author>tc={C63BF4A8-873A-40EE-AD07-202C1CD30716}</author>
    <author>tc={9F02E5C6-DA97-4C79-B2F8-AC5042B4F8AF}</author>
    <author>tc={41E4FF92-F2E4-41A4-9B1A-DD84FA4750DA}</author>
    <author>tc={D8B64661-99DB-48BD-B6C0-344BC1B41EF6}</author>
    <author>tc={27F3DDB3-8C28-4B0D-B732-ADE3939E1368}</author>
    <author>tc={B9552399-BC20-4525-9F5E-3780E901530E}</author>
    <author>tc={B8F54696-81D6-49EF-80CF-D8F1CD636EC4}</author>
    <author>tc={EBC93353-4B0C-4B3F-930F-FA60C97CD8B2}</author>
    <author>tc={9E672634-97B3-4313-929B-089A6315133B}</author>
    <author>tc={63D0E797-D039-4C54-9332-2E9871DB99B3}</author>
    <author>tc={80BDD79D-ED9E-406F-8132-4FD5FF6A99AA}</author>
    <author>tc={E0AD14E8-41AE-4604-A357-4587C54D9206}</author>
    <author>tc={15116070-67E9-4519-BD81-5EDBF2A0FB07}</author>
    <author>tc={3F4E69B5-C0FB-4718-AFE7-F2908AC5B96D}</author>
    <author>tc={EE982285-1D51-4BDE-82E3-A224B08CE463}</author>
    <author>tc={3BD242C6-30B9-42F1-B432-846BE6239335}</author>
    <author>tc={26A86692-3C64-44C1-80ED-24A8A02F21E4}</author>
    <author>tc={C7956D39-F6AA-49B3-BB6F-08E81F13CA19}</author>
    <author>tc={0CE46F6A-60F1-4617-A37C-9E28F103EE02}</author>
    <author>tc={F8D18132-89D2-4774-8CEE-81B22DC1EA1E}</author>
    <author>tc={841E5A5B-4A15-4C2D-9A2C-331DE4D2F1E7}</author>
  </authors>
  <commentList>
    <comment ref="O4" authorId="0" shapeId="0" xr:uid="{6C5D3DFA-3171-4014-A768-5936E9F1A5D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B5" authorId="1" shapeId="0" xr:uid="{05296EBE-5199-457C-BB20-6637F2574CB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Foi desconsiderado projetos de MOD valor de 1.25M</t>
      </text>
    </comment>
    <comment ref="N8" authorId="2" shapeId="0" xr:uid="{701FAD2B-41AC-4D18-972F-9E580F4EBF4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Alinhamento junto ao Plant Manager</t>
      </text>
    </comment>
    <comment ref="AD10" authorId="3" shapeId="0" xr:uid="{3754B9AF-2423-4845-955C-144BA479946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Atraso de validação de custos.</t>
      </text>
    </comment>
    <comment ref="AD11" authorId="4" shapeId="0" xr:uid="{6780A1B4-3784-42DE-964D-65576B57665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Atraso de validação de custos.</t>
      </text>
    </comment>
    <comment ref="AD12" authorId="5" shapeId="0" xr:uid="{4C52FC0D-D44C-4E1A-B0B2-472E2A40994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Atraso de validação de custos.</t>
      </text>
    </comment>
    <comment ref="AD13" authorId="6" shapeId="0" xr:uid="{903C14F0-73A2-424A-A80B-FAFB62E493C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Atraso de validação de custos.</t>
      </text>
    </comment>
    <comment ref="AD18" authorId="7" shapeId="0" xr:uid="{AFDD9F63-1752-48FE-8DCC-EB088355A16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Compras</t>
      </text>
    </comment>
    <comment ref="AD24" authorId="8" shapeId="0" xr:uid="{6B9801FA-247A-406C-A2F2-83F94F8BBA0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Pendente compras</t>
      </text>
    </comment>
    <comment ref="AD25" authorId="9" shapeId="0" xr:uid="{7A5CB152-6C47-4CC7-BA82-79C27187D6F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Pendente Compras</t>
      </text>
    </comment>
    <comment ref="G28" authorId="10" shapeId="0" xr:uid="{B72163E5-17FB-420F-9BD8-A7F295B8802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Sergio 
</t>
      </text>
    </comment>
    <comment ref="B29" authorId="11" shapeId="0" xr:uid="{07400FC9-6285-4863-9894-0527D1EFE75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0" authorId="12" shapeId="0" xr:uid="{66F9DF06-A4E7-45D9-AC2A-CBE266FE0DB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T30" authorId="13" shapeId="0" xr:uid="{2675FB6E-613E-4E9C-B0EA-37F0E2D38DA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2" authorId="14" shapeId="0" xr:uid="{ECE3338E-1AA7-445A-8EDD-A25F7DB0FA7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T32" authorId="15" shapeId="0" xr:uid="{46469C05-6E0E-4A72-8E40-FB9E8003E70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42" authorId="16" shapeId="0" xr:uid="{9A77F069-39DE-4879-A602-314E17DD9562}">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T42" authorId="17" shapeId="0" xr:uid="{97F5D9CD-0C6A-4861-9723-193CBB305BF6}">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I55" authorId="18" shapeId="0" xr:uid="{0531DA1A-FCB5-46D1-B52E-F0D28782D7B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Era previsto R$ 560.00</t>
      </text>
    </comment>
    <comment ref="C57" authorId="19" shapeId="0" xr:uid="{9E799D5B-DC65-450B-94C0-8F37F445E3C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[Tasks]
Existe uma tarefa ancorada a este comentário que não pode ser visualizada no seu cliente.
Comentário:
    @Willian Avigni Matos </t>
      </text>
    </comment>
    <comment ref="C59" authorId="20" shapeId="0" xr:uid="{EF7C7F25-BC58-45E1-B506-31675D5F172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Até 13/07</t>
      </text>
    </comment>
    <comment ref="C61" authorId="21" shapeId="0" xr:uid="{6A086458-C5FC-44FA-A10A-1138F44AB92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retorno de compras</t>
      </text>
    </comment>
    <comment ref="N63" authorId="22" shapeId="0" xr:uid="{DE666EB3-089E-4E57-966F-BF9D7647287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arquivo final da planta - conversado com Felipe em 19/03..</t>
      </text>
    </comment>
    <comment ref="C67" authorId="23" shapeId="0" xr:uid="{259014A4-F410-4907-B0C3-378CBE17AD6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946AD não da altura para entrar a ferramenta, 325 rasgo da base superior 06/05
Resposta:
    Cadastro alterado até quarta dia 19/08</t>
      </text>
    </comment>
    <comment ref="I67" authorId="24" shapeId="0" xr:uid="{70407FA3-5E8E-47B1-A2BD-CFC5BA48DFA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foi validado por custos: R$ 1.459,30</t>
      </text>
    </comment>
    <comment ref="C69" authorId="25" shapeId="0" xr:uid="{34E7657A-2331-41DF-B89B-1560C533F04A}">
      <text>
        <t>[Comentário por tópicos]
A sua versão do Excel permite-lhe ler este comentário por tópicos. No entanto, as edições feitas ao comentário serão removidas se o ficheiro for aberto numa versão mais recente do Excel. Saiba mais: https://go.microsoft.com/fwlink/?linkid=870924
[Tasks]
Existe uma tarefa ancorada a este comentário que não pode ser visualizada no seu cliente.
Comentário:
    @Jonathan Henrique Alves Justificar</t>
      </text>
    </comment>
    <comment ref="E77" authorId="26" shapeId="0" xr:uid="{30425816-C2A3-4408-A387-DCFB152B133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Itens transferidos para outra unidade</t>
      </text>
    </comment>
    <comment ref="C79" authorId="27" shapeId="0" xr:uid="{49ADE79C-0C1C-4AA7-B55B-03DBB53F727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Novo projeto 08/05</t>
      </text>
    </comment>
    <comment ref="W80" authorId="28" shapeId="0" xr:uid="{9815DC04-D558-4F0A-BE96-30EE24BA0F2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atuzalizada com o peso proposto (Mar/Abr)</t>
      </text>
    </comment>
    <comment ref="Y80" authorId="29" shapeId="0" xr:uid="{DD81C8B2-1D10-4424-B2F5-852E89B5B72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atuzalizada com o peso proposto (Mar/Abr)</t>
      </text>
    </comment>
    <comment ref="C81" authorId="30" shapeId="0" xr:uid="{1EBDDAE5-0CEB-4795-A49A-31937CB1117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Validar com a Carol 04/05</t>
      </text>
    </comment>
    <comment ref="I81" authorId="31" shapeId="0" xr:uid="{D088280A-F6EB-4C7A-9B19-D19A580AC35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Revisado, pois reduziu mais que o proposto. DE 1,7kgs PARA 1,655Kgs --&gt; 
R$25.661,61 (Julho a Dezembro)
</t>
      </text>
    </comment>
    <comment ref="M81" authorId="32" shapeId="0" xr:uid="{AB851EF9-8729-47FC-BE49-1F675A6ED8D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Realizar novo calculo -3,0mm</t>
      </text>
    </comment>
    <comment ref="N81" authorId="33" shapeId="0" xr:uid="{621E6978-943B-4A0D-8A8C-E80AB318078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Cadastro no SAP já é menor que o proposto.
REVISÃO dos cadastros e nova analise realizada em Abril/26 - cenarios OK.</t>
      </text>
    </comment>
    <comment ref="Y82" authorId="34" shapeId="0" xr:uid="{1CE1AE6D-6159-45B5-BBE7-123B5B3A7C3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atuzalizada com o peso proposto (Mar/Abr).</t>
      </text>
    </comment>
    <comment ref="Z82" authorId="35" shapeId="0" xr:uid="{CDCF625B-19E9-47A4-9E05-24A7F26BAD4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atualizada com o peso proposto (Abr/Mai).</t>
      </text>
    </comment>
    <comment ref="AA82" authorId="36" shapeId="0" xr:uid="{61091C02-DED5-4768-882D-59AF107376D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atualizada com o peso proposto (Jun).</t>
      </text>
    </comment>
    <comment ref="I83" authorId="37" shapeId="0" xr:uid="{282B3DC1-0EBC-4EF6-AFCE-B2E0294B8ED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Revisado, pois reduziu mais que o proposto. DE 1,7kgs PARA 1,655Kgs --&gt; 
R$46.796 (Julho a Dezembro)
</t>
      </text>
    </comment>
    <comment ref="M83" authorId="38" shapeId="0" xr:uid="{0693862C-7E65-42C2-BCF0-B931BF946D1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Realizar novo calculo -3,0mm</t>
      </text>
    </comment>
    <comment ref="W84" authorId="39" shapeId="0" xr:uid="{F2DD8365-8DDE-42B0-9CEB-03690EA342D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atualizada com o peso proposto (Mar/Abr)</t>
      </text>
    </comment>
    <comment ref="Y84" authorId="40" shapeId="0" xr:uid="{5F19A1DA-1E40-4ACE-B0D3-DCF9DBA7FB7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foi atuzalizada com o peso proposto (Mar/Abr).</t>
      </text>
    </comment>
    <comment ref="M85" authorId="41" shapeId="0" xr:uid="{ED06F117-19B0-4A8A-ABB3-E35C1A30CD3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Invalidado por compras
Resposta:
    Bucar refilo</t>
      </text>
    </comment>
    <comment ref="N85" authorId="42" shapeId="0" xr:uid="{9FA81C51-ECE8-48B8-8E27-AFF118DE533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Material com PESO cadastrado (3,202 p/peça) já menor do que o proposto (3,36 p/peça)
Aguardando reenvio das informações pela planta</t>
      </text>
    </comment>
    <comment ref="C87" authorId="43" shapeId="0" xr:uid="{B7646165-9B2A-44FD-B8FC-47DCE5C4A1D3}">
      <text>
        <t>[Comentário por tópicos]
A sua versão do Excel permite-lhe ler este comentário por tópicos. No entanto, as edições feitas ao comentário serão removidas se o ficheiro for aberto numa versão mais recente do Excel. Saiba mais: https://go.microsoft.com/fwlink/?linkid=870924
[Tasks]
Existe uma tarefa ancorada a este comentário que não pode ser visualizada no seu cliente.
Comentário:
    @Jonathan Henrique Alves  reavaliar projeto com a solução que Ferraz implementou.</t>
      </text>
    </comment>
    <comment ref="Y88" authorId="44" shapeId="0" xr:uid="{CCA0F6B9-5AEE-4306-A478-DF9D4560BEC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confirmaçaõ das informações  para as consultas de entrada de NFs.</t>
      </text>
    </comment>
    <comment ref="C93" authorId="45" shapeId="0" xr:uid="{B4DC188F-9E1E-4E0E-9979-8617D9A5C06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Validar com a Carol retorno financeiro</t>
      </text>
    </comment>
    <comment ref="W94" authorId="46" shapeId="0" xr:uid="{C63BF4A8-873A-40EE-AD07-202C1CD3071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ainda não atualizada com o peso proposto (Mr/Abr)</t>
      </text>
    </comment>
    <comment ref="I99" authorId="47" shapeId="0" xr:uid="{9F02E5C6-DA97-4C79-B2F8-AC5042B4F8A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Valor foi desconsiderado de 359.000</t>
      </text>
    </comment>
    <comment ref="M99" authorId="48" shapeId="0" xr:uid="{41E4FF92-F2E4-41A4-9B1A-DD84FA4750D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Checar memoria de calculo - informações de RT.</t>
      </text>
    </comment>
    <comment ref="Y106" authorId="49" shapeId="0" xr:uid="{D8B64661-99DB-48BD-B6C0-344BC1B41EF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não atualizada Abril/26</t>
      </text>
    </comment>
    <comment ref="Z106" authorId="50" shapeId="0" xr:uid="{27F3DDB3-8C28-4B0D-B732-ADE3939E136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não atualizada fechamento Maio/26</t>
      </text>
    </comment>
    <comment ref="AA106" authorId="51" shapeId="0" xr:uid="{B9552399-BC20-4525-9F5E-3780E901530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LT não atualizada fechamento Junho/26</t>
      </text>
    </comment>
    <comment ref="N107" authorId="52" shapeId="0" xr:uid="{B8F54696-81D6-49EF-80CF-D8F1CD636EC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Memoria de calculo para validação real, deve conter as mesmas informações. Itens - qtds de ensaios - vlrs 
Resposta:
    Alinhado que teremos mais um mês de ensaios nessa frequencia para validar o retorno real (Andreia)</t>
      </text>
    </comment>
    <comment ref="N109" authorId="53" shapeId="0" xr:uid="{EBC93353-4B0C-4B3F-930F-FA60C97CD8B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Para que seja possivel validaçao real, importante enviar evidencia do fornecedor com a cobrança de uma impressora a menos na planta.</t>
      </text>
    </comment>
    <comment ref="D111" authorId="54" shapeId="0" xr:uid="{9E672634-97B3-4313-929B-089A6315133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Confirmação sobre empilhadeira no nosso piso - 17/08</t>
      </text>
    </comment>
    <comment ref="N111" authorId="55" shapeId="0" xr:uid="{63D0E797-D039-4C54-9332-2E9871DB99B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Ajustado conforme memoria de calculo da economia de energia enviada pelo Fornecedor e calculo de ganho para 7 meses (em 2026)</t>
      </text>
    </comment>
    <comment ref="N115" authorId="56" shapeId="0" xr:uid="{80BDD79D-ED9E-406F-8132-4FD5FF6A99A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Em standby - aguardando definição da Diretoria se seguiremos com projetos de energia.
Resposta:
    DEFINIDO que esse tipo de Kaizen deve sair do controle - deve ser considerado nas questões de performance.
</t>
      </text>
    </comment>
    <comment ref="C117" authorId="57" shapeId="0" xr:uid="{E0AD14E8-41AE-4604-A357-4587C54D920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Teste 20 blanks para diadema segunda 17/08</t>
      </text>
    </comment>
    <comment ref="N119" authorId="58" shapeId="0" xr:uid="{15116070-67E9-4519-BD81-5EDBF2A0FB0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Envio de 3 NFs - duas emitidas por Jarinu e uma de 50k é referente ao ativo da anchieta, já considerado na planta.
Valores entraram no resultado em Janeiro/26 (controladoria)</t>
      </text>
    </comment>
    <comment ref="U120" authorId="59" shapeId="0" xr:uid="{3F4E69B5-C0FB-4718-AFE7-F2908AC5B96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Retorno Real esta sendo validado, visto que a contabilidade sinalizou que alguns itens ainda podem ter depreciação.</t>
      </text>
    </comment>
    <comment ref="F147" authorId="60" shapeId="0" xr:uid="{EE982285-1D51-4BDE-82E3-A224B08CE46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Usam o documento correto, porém, ata de reunião está faltando quem foi o representante onde consta "Reportado". Form.370 sem atrasos, OK.</t>
      </text>
    </comment>
    <comment ref="F148" authorId="61" shapeId="0" xr:uid="{3BD242C6-30B9-42F1-B432-846BE623933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Documentação correta / Falta motivo no verso (Ocorrências) da meta programada da hora não realizada - PROG:27 - REAL: 23.</t>
      </text>
    </comment>
    <comment ref="F150" authorId="62" shapeId="0" xr:uid="{26A86692-3C64-44C1-80ED-24A8A02F21E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Evidenciado somente OEE da Prensa ISGEC, onde o EGA está ausente é acompanhado pelo BI </t>
      </text>
    </comment>
    <comment ref="F151" authorId="63" shapeId="0" xr:uid="{C7956D39-F6AA-49B3-BB6F-08E81F13CA1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Evidenciado somente OEE da Prensa ISGEC, onde o EGA está ausente é acompanhado pelo BI </t>
      </text>
    </comment>
    <comment ref="F152" authorId="64" shapeId="0" xr:uid="{0CE46F6A-60F1-4617-A37C-9E28F103EE0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Projetos em atraso e/ou falta de acompanhamento nos projetos.</t>
      </text>
    </comment>
    <comment ref="H157" authorId="65" shapeId="0" xr:uid="{F8D18132-89D2-4774-8CEE-81B22DC1EA1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Informações do Form 206  como Material utilizado no processo  e tempo diferem do que esta no SAP</t>
      </text>
    </comment>
    <comment ref="P179" authorId="66" shapeId="0" xr:uid="{841E5A5B-4A15-4C2D-9A2C-331DE4D2F1E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conforme preenchimento de datas no controle enviado pelo Elio.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tc={AD15BF91-1EB0-4ECC-ACCD-AEFFBEFBA4CB}</author>
    <author>tc={2ED46F5D-C043-4F15-8C21-F2B393F14266}</author>
    <author>tc={30FE3D46-3BB5-473F-B2BD-B0F3CC2E8E96}</author>
    <author>tc={5110C3B8-5C7B-4C9D-91B2-DAC91C1E0F3F}</author>
    <author>tc={578FF154-B75C-4530-9B6E-446E05CA3B64}</author>
    <author>tc={656AB246-5EE5-417E-BB59-A2F3B64AEEB7}</author>
    <author>tc={169813D5-4589-48ED-9F53-B1864F8B4DCC}</author>
    <author>tc={A41F462D-4B83-4C8D-BF49-F0141BEC7925}</author>
    <author>tc={CFD4E37F-390E-41A8-8D2A-2993982999D3}</author>
    <author>tc={3229778D-949F-4E09-8F6E-B88712196FE4}</author>
    <author>tc={B2FC7EC7-46E2-4BA1-AD66-7CCB20EECDC5}</author>
    <author>tc={1FB1C2F9-91F8-43AE-A0C1-B4EA3C61298D}</author>
    <author>tc={1F6683AB-DBB1-4C00-81CD-35069099378F}</author>
    <author>tc={31DCFE99-45E0-4061-BB45-C33C60A32099}</author>
    <author>tc={5BBE9062-337B-4AAD-AE33-2540727DF964}</author>
    <author>tc={61D7DC84-078C-4C5A-B52D-7AE951F2D15A}</author>
    <author>tc={16FEEFB8-8C4A-4A09-9BAE-B898A306C185}</author>
    <author>tc={65247B02-628A-41FC-A3B2-D640AC7382B7}</author>
    <author>tc={89B734F2-A71F-4AFF-A0C7-5C3471A3AC91}</author>
    <author>tc={F47EA6CC-D47B-4B5B-860C-30C50CEB1700}</author>
    <author>Gleidson Pereira Cunha</author>
    <author>tc={AE18DCE1-2A12-49D5-81E4-82EC07456E31}</author>
    <author>Fabiana Francischetti</author>
    <author>tc={7DA3EEAD-9122-43E9-8449-D8934619A52B}</author>
    <author>tc={90EDE195-5581-45C6-9C49-8E6C552C6AE4}</author>
    <author>tc={ADD34DE3-4AA8-4E8D-A8FE-6C0F69E5F426}</author>
    <author>tc={C444063D-0925-4C1A-A2DA-236CBC3D1922}</author>
    <author>tc={81630990-8F06-4C8E-85A2-EB931C5856BD}</author>
    <author>tc={C50745F1-B8DB-48D0-B9E5-54C2EBC3F791}</author>
    <author>tc={7656BB5F-9D6D-4AD8-8280-23ABBDC44F69}</author>
    <author>tc={FBE3C3AE-87D8-4E67-9D97-F98F5C282058}</author>
    <author>tc={CA3ED050-36D3-46D6-89AE-337F37015C6B}</author>
    <author>tc={D183D07B-CADA-4F3C-A242-389EE4C96BA7}</author>
    <author>tc={11772B05-24A8-4FD7-B319-3D08F67FF915}</author>
    <author>tc={D462F49E-A3C2-4A52-B042-B45F2D5C3F05}</author>
    <author>tc={7ED214CB-A858-4766-AEC7-15F9541260C9}</author>
    <author>tc={77847385-7739-47B0-9D1D-1E90ABC20B0B}</author>
    <author>tc={CA2F144E-0BEC-4D8A-91BE-71058BE6C5CA}</author>
    <author>tc={1D4E3BC8-5775-444E-8BD5-3CE8FAC262F1}</author>
    <author>tc={2389CDB8-E268-4EC0-96D7-533232ADC17B}</author>
    <author>tc={FA7FB255-7483-42A4-9339-8C4DA2F61E98}</author>
    <author>tc={1E5DB897-C325-489B-B398-6F045387E383}</author>
    <author>tc={AF04D26F-419D-4609-A566-5981E8FAEF1E}</author>
    <author>tc={F82A4AE4-4916-4904-852A-59C8650ABC86}</author>
    <author>tc={A5CCBD2E-07FB-445B-928A-F5C303ACFA91}</author>
    <author>tc={56161C62-83DC-423F-811B-FCD426A154CF}</author>
    <author>tc={2D0BCBE5-4BFF-4717-B308-CCEB44068D6F}</author>
    <author>tc={B4B18A84-BDE4-4F06-872F-F2042A4A82D6}</author>
    <author>tc={E8490572-1FF1-422C-8224-28D28427944C}</author>
    <author>tc={7B771F2D-AF3C-422A-84A9-DD31B3CAE1BA}</author>
    <author>tc={24B4733D-6303-4772-A454-A539E1A5097E}</author>
    <author>tc={EC2505FB-8F0E-4875-AB36-80443AC6510F}</author>
    <author>tc={77A7709B-8E5A-439A-AFB3-76B1906B5629}</author>
    <author>tc={D6B64185-BD9F-4099-96B1-E85E25F008C3}</author>
    <author>tc={EC652186-73A9-4C66-BF55-23EB07FDE33D}</author>
    <author>tc={5C74C366-5AD5-47BF-B799-C52869E5CAA0}</author>
    <author>tc={B254F233-1A25-492E-9E5C-58843BF0A5B4}</author>
    <author>tc={69E9F477-E61F-4E71-AB02-D56863939C1D}</author>
    <author>tc={FC0A6762-1B22-4487-81DF-D344DEDB258C}</author>
    <author>tc={8E621660-6E20-44B6-A5FC-D332163AC2D9}</author>
    <author>tc={68E558DE-0EB6-4F8F-8FBE-3C6328E929C5}</author>
    <author>tc={A78DDE0A-DD35-46D0-89B2-BC3096080A6A}</author>
    <author>tc={2DFA707F-A5BA-454E-91DA-268AE3392955}</author>
    <author>tc={289EEF16-269E-4685-932A-4711EC2E202D}</author>
    <author>tc={431D6035-2EA2-472D-B3A6-B578EC566C19}</author>
    <author>tc={5B45FD53-A66A-4926-97EC-D983A579867F}</author>
    <author>tc={D07C8F38-2389-4505-B4A3-27E5E45E8B18}</author>
    <author>tc={F1644269-4E14-4409-B819-1862CDDB10FA}</author>
  </authors>
  <commentList>
    <comment ref="O4" authorId="0" shapeId="0" xr:uid="{AD15BF91-1EB0-4ECC-ACCD-AEFFBEFBA4C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U6" authorId="1" shapeId="0" xr:uid="{2ED46F5D-C043-4F15-8C21-F2B393F1426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Desenvolver um formulário mais dinâmico
Emerson e Gleidson</t>
      </text>
    </comment>
    <comment ref="U7" authorId="2" shapeId="0" xr:uid="{30FE3D46-3BB5-473F-B2BD-B0F3CC2E8E9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Validar com Compras os itens que já tivemos retorno da Usina
Gleidson
Resposta:
    Retorno de Compras de R$ 772K com Usina - Enviar para Emerson as evidÊncias
Revisar Lista técnica após validação de custo e entrada do novo material</t>
      </text>
    </comment>
    <comment ref="N8" authorId="3" shapeId="0" xr:uid="{5110C3B8-5C7B-4C9D-91B2-DAC91C1E0F3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Alinhamento junto ao Plant Manager</t>
      </text>
    </comment>
    <comment ref="U8" authorId="4" shapeId="0" xr:uid="{578FF154-B75C-4530-9B6E-446E05CA3B6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Custos alega que a taxa horária interna esta maior que externa 
Gleidson enviou a crono analise dos itens que são feitos na laser </t>
      </text>
    </comment>
    <comment ref="U11" authorId="5" shapeId="0" xr:uid="{656AB246-5EE5-417E-BB59-A2F3B64AEEB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Numero de PNs reduziu, necessidade de validar com o Emerson
Gleidson</t>
      </text>
    </comment>
    <comment ref="U14" authorId="6" shapeId="0" xr:uid="{169813D5-4589-48ED-9F53-B1864F8B4DC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Verificar com Emerson como esta sendo apurado 
</t>
      </text>
    </comment>
    <comment ref="U15" authorId="7" shapeId="0" xr:uid="{A41F462D-4B83-4C8D-BF49-F0141BEC792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Verificar Consumo com Paulo Ribeiro
Conta de Manutenção vem apresentando Saving mensalmente</t>
      </text>
    </comment>
    <comment ref="U16" authorId="8" shapeId="0" xr:uid="{CFD4E37F-390E-41A8-8D2A-2993982999D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enviar material para Emerson
Gleidson</t>
      </text>
    </comment>
    <comment ref="U17" authorId="9" shapeId="0" xr:uid="{3229778D-949F-4E09-8F6E-B88712196FE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enviar material para Emerson
Gleidson
</t>
      </text>
    </comment>
    <comment ref="U18" authorId="10" shapeId="0" xr:uid="{B2FC7EC7-46E2-4BA1-AD66-7CCB20EECDC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Agendar reunião com Elison e Emerson
Gleidson
</t>
      </text>
    </comment>
    <comment ref="U21" authorId="11" shapeId="0" xr:uid="{1FB1C2F9-91F8-43AE-A0C1-B4EA3C61298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Montar Base de Calculo para enviar para Custos
Gleidson</t>
      </text>
    </comment>
    <comment ref="U22" authorId="12" shapeId="0" xr:uid="{1F6683AB-DBB1-4C00-81CD-35069099378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validação de Custos
Fabiana</t>
      </text>
    </comment>
    <comment ref="U23" authorId="13" shapeId="0" xr:uid="{31DCFE99-45E0-4061-BB45-C33C60A3209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Montar A3 
Anderson dos Santos</t>
      </text>
    </comment>
    <comment ref="U24" authorId="14" shapeId="0" xr:uid="{5BBE9062-337B-4AAD-AE33-2540727DF96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A3
Evangelista</t>
      </text>
    </comment>
    <comment ref="U25" authorId="15" shapeId="0" xr:uid="{61D7DC84-078C-4C5A-B52D-7AE951F2D15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Aumentar Escopo considerando mais máquinas
Elio + Gleidson</t>
      </text>
    </comment>
    <comment ref="B29" authorId="16" shapeId="0" xr:uid="{16FEEFB8-8C4A-4A09-9BAE-B898A306C18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0" authorId="17" shapeId="0" xr:uid="{65247B02-628A-41FC-A3B2-D640AC7382B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2" authorId="18" shapeId="0" xr:uid="{89B734F2-A71F-4AFF-A0C7-5C3471A3AC9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42" authorId="19" shapeId="0" xr:uid="{F47EA6CC-D47B-4B5B-860C-30C50CEB170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H49" authorId="20" shapeId="0" xr:uid="{0E54D914-6885-4E66-850A-43EA6B15CC65}">
      <text>
        <r>
          <rPr>
            <b/>
            <sz val="9"/>
            <color indexed="81"/>
            <rFont val="Segoe UI"/>
            <family val="2"/>
          </rPr>
          <t>Redução de gasto de manutenção, e materiais auxiliares.</t>
        </r>
      </text>
    </comment>
    <comment ref="J49" authorId="20" shapeId="0" xr:uid="{041F7593-21FD-48D0-97AE-B604146D95F8}">
      <text>
        <r>
          <rPr>
            <b/>
            <sz val="9"/>
            <color indexed="81"/>
            <rFont val="Segoe UI"/>
            <family val="2"/>
          </rPr>
          <t xml:space="preserve">Redução de gastos com manutenção e custos fixos.
</t>
        </r>
      </text>
    </comment>
    <comment ref="N55" authorId="21" shapeId="0" xr:uid="{AE18DCE1-2A12-49D5-81E4-82EC07456E3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Inicio validação 05/05</t>
      </text>
    </comment>
    <comment ref="J57" authorId="22" shapeId="0" xr:uid="{73AF5FF4-46F5-4947-88B5-A6A5EDEEDECF}">
      <text>
        <r>
          <rPr>
            <sz val="11"/>
            <color theme="1"/>
            <rFont val="Calibri"/>
            <family val="2"/>
            <scheme val="minor"/>
          </rPr>
          <t xml:space="preserve">Fabiana Francischetti:
</t>
        </r>
      </text>
    </comment>
    <comment ref="Z60" authorId="22" shapeId="0" xr:uid="{BC07E302-E23D-4276-8B24-BF40D0AF2C79}">
      <text>
        <r>
          <rPr>
            <b/>
            <sz val="9"/>
            <color indexed="81"/>
            <rFont val="Segoe UI"/>
            <family val="2"/>
          </rPr>
          <t>Fabiana Francischetti:</t>
        </r>
        <r>
          <rPr>
            <sz val="9"/>
            <color indexed="81"/>
            <rFont val="Segoe UI"/>
            <family val="2"/>
          </rPr>
          <t xml:space="preserve">
revisado cód.materiais/volume de todos meses</t>
        </r>
      </text>
    </comment>
    <comment ref="M63" authorId="23" shapeId="0" xr:uid="{7DA3EEAD-9122-43E9-8449-D8934619A52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Foi analisado que o custo Taxa horário Delga pra cortar isso nas nossas máquinas laser é superior ao valor de compramos de terceiro </t>
      </text>
    </comment>
    <comment ref="N63" authorId="24" shapeId="0" xr:uid="{90EDE195-5581-45C6-9C49-8E6C552C6AE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Corte interno no Budget. Corte laser externo estava com saving. Agendei reunião com o Emerson.</t>
      </text>
    </comment>
    <comment ref="V66" authorId="22" shapeId="0" xr:uid="{5C45DEF7-C683-4394-8977-07FC70440D34}">
      <text>
        <r>
          <rPr>
            <b/>
            <sz val="9"/>
            <color indexed="81"/>
            <rFont val="Segoe UI"/>
            <family val="2"/>
          </rPr>
          <t>Fabiana Francischetti:</t>
        </r>
        <r>
          <rPr>
            <sz val="9"/>
            <color indexed="81"/>
            <rFont val="Segoe UI"/>
            <family val="2"/>
          </rPr>
          <t xml:space="preserve">
ABAIXO DA META</t>
        </r>
      </text>
    </comment>
    <comment ref="Y66" authorId="22" shapeId="0" xr:uid="{C249CE7D-7D18-4E95-AEBE-E8D575E2B8CE}">
      <text>
        <r>
          <rPr>
            <b/>
            <sz val="9"/>
            <color indexed="81"/>
            <rFont val="Segoe UI"/>
            <family val="2"/>
          </rPr>
          <t>Fabiana Francischetti:</t>
        </r>
        <r>
          <rPr>
            <sz val="9"/>
            <color indexed="81"/>
            <rFont val="Segoe UI"/>
            <family val="2"/>
          </rPr>
          <t xml:space="preserve">
ABAIXO DA META</t>
        </r>
      </text>
    </comment>
    <comment ref="Z68" authorId="22" shapeId="0" xr:uid="{AB077D25-81B3-42E5-8876-C75C8196D08D}">
      <text>
        <r>
          <rPr>
            <b/>
            <sz val="9"/>
            <color indexed="81"/>
            <rFont val="Segoe UI"/>
            <family val="2"/>
          </rPr>
          <t>Fabiana Francischetti:</t>
        </r>
        <r>
          <rPr>
            <sz val="9"/>
            <color indexed="81"/>
            <rFont val="Segoe UI"/>
            <family val="2"/>
          </rPr>
          <t xml:space="preserve">
revisado cód.materiais/volume de todos meses</t>
        </r>
      </text>
    </comment>
    <comment ref="N69" authorId="25" shapeId="0" xr:uid="{ADD34DE3-4AA8-4E8D-A8FE-6C0F69E5F42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Códigos SAP dos consumíveis e critérios de consumo</t>
      </text>
    </comment>
    <comment ref="N75" authorId="26" shapeId="0" xr:uid="{C444063D-0925-4C1A-A2DA-236CBC3D192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Agendando conversa</t>
      </text>
    </comment>
    <comment ref="V78" authorId="22" shapeId="0" xr:uid="{BEC7DAF8-02C9-452E-A233-E8DB4F59856B}">
      <text>
        <r>
          <rPr>
            <b/>
            <sz val="9"/>
            <color indexed="81"/>
            <rFont val="Segoe UI"/>
            <family val="2"/>
          </rPr>
          <t>Fabiana Francischetti:</t>
        </r>
        <r>
          <rPr>
            <sz val="9"/>
            <color indexed="81"/>
            <rFont val="Segoe UI"/>
            <family val="2"/>
          </rPr>
          <t xml:space="preserve">
abaixo da meta</t>
        </r>
      </text>
    </comment>
    <comment ref="Y78" authorId="22" shapeId="0" xr:uid="{EAF7E4D7-B1DC-45C8-B7EC-4B81A20A73AF}">
      <text>
        <r>
          <rPr>
            <b/>
            <sz val="9"/>
            <color indexed="81"/>
            <rFont val="Segoe UI"/>
            <family val="2"/>
          </rPr>
          <t>Fabiana Francischetti:</t>
        </r>
        <r>
          <rPr>
            <sz val="9"/>
            <color indexed="81"/>
            <rFont val="Segoe UI"/>
            <family val="2"/>
          </rPr>
          <t xml:space="preserve">
Despesa aumentou em abriu e caiu em maio</t>
        </r>
      </text>
    </comment>
    <comment ref="Z78" authorId="22" shapeId="0" xr:uid="{1BBFA8A5-60CA-4825-A9FA-A0172F63B0EF}">
      <text>
        <r>
          <rPr>
            <b/>
            <sz val="9"/>
            <color indexed="81"/>
            <rFont val="Segoe UI"/>
            <family val="2"/>
          </rPr>
          <t>Fabiana Francischetti:</t>
        </r>
        <r>
          <rPr>
            <sz val="9"/>
            <color indexed="81"/>
            <rFont val="Segoe UI"/>
            <family val="2"/>
          </rPr>
          <t xml:space="preserve">
Despesa aumentou em abriu e caiu em maio</t>
        </r>
      </text>
    </comment>
    <comment ref="I81" authorId="20" shapeId="0" xr:uid="{7A3E0E16-D9FA-4363-9E01-8B5DF87449E0}">
      <text>
        <r>
          <rPr>
            <sz val="9"/>
            <color indexed="81"/>
            <rFont val="Segoe UI"/>
            <family val="2"/>
          </rPr>
          <t>PROPOSTA INICIAL: 
R$1.452.384,82</t>
        </r>
      </text>
    </comment>
    <comment ref="M81" authorId="27" shapeId="0" xr:uid="{81630990-8F06-4C8E-85A2-EB931C5856B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Peso Bruto do SAP já está abaixo do peso considerado após a redução da tolerância enviada pela Usina. Emerson e Gleidson levarão para reunião do BSW: não são todos os cenários que estão ok por Compras/Usina.
Resposta:
    Gleidson vai criar varias controle para todos os projetos.
Resposta:
    BSW
</t>
      </text>
    </comment>
    <comment ref="N85" authorId="28" shapeId="0" xr:uid="{C50745F1-B8DB-48D0-B9E5-54C2EBC3F79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Agendando reunião. Falta dados: qual é a empresa terceirizada?
Resposta:
    Cálculo do saving de jul a dez.</t>
      </text>
    </comment>
    <comment ref="N87" authorId="29" shapeId="0" xr:uid="{7656BB5F-9D6D-4AD8-8280-23ABBDC44F6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Previsão 05/05
Resposta:
    Elio pediu para o Gleidsom aumentar escopo</t>
      </text>
    </comment>
    <comment ref="F383" authorId="30" shapeId="0" xr:uid="{FBE3C3AE-87D8-4E67-9D97-F98F5C28205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Incidente com ponte rolante informado como NOK no dia 19 e 09/03 operador escorregou - não foi encontrado ação no Form.370 e também no Form.506  também não houve registro</t>
      </text>
    </comment>
    <comment ref="F384" authorId="31" shapeId="0" xr:uid="{CA3ED050-36D3-46D6-89AE-337F37015C6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Está Ok, mas não tem a lista de quem participou da reunião</t>
      </text>
    </comment>
    <comment ref="F385" authorId="32" shapeId="0" xr:uid="{D183D07B-CADA-4F3C-A242-389EE4C96BA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Evidência Form.015 Fast Response
Resposta:
    Acontece, pois temos fotos e afins, mas não há evidência como alguma ATA</t>
      </text>
    </comment>
    <comment ref="F386" authorId="33" shapeId="0" xr:uid="{11772B05-24A8-4FD7-B319-3D08F67FF91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foram realizadas o preenchimento das atas  de Janeiro e Fevereiro.
Foram feitas reuniões porém não evidência no form.104
Está sendo usado Lista de presença e não está usado a Ata de Analise crítica. 104.</t>
      </text>
    </comment>
    <comment ref="F387" authorId="34" shapeId="0" xr:uid="{D462F49E-A3C2-4A52-B042-B45F2D5C3F0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 reunião acontece, porém, Item com INC acima de 250 sem ação definida no form.506 e 370.</t>
      </text>
    </comment>
    <comment ref="F388" authorId="35" shapeId="0" xr:uid="{7ED214CB-A858-4766-AEC7-15F9541260C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disponibilizar o verso na produção - diário de bordo</t>
      </text>
    </comment>
    <comment ref="F389" authorId="36" shapeId="0" xr:uid="{77847385-7739-47B0-9D1D-1E90ABC20B0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Está no formato correto, mas não está atualizado janeiro e fevereiro </t>
      </text>
    </comment>
    <comment ref="F390" authorId="37" shapeId="0" xr:uid="{CA2F144E-0BEC-4D8A-91BE-71058BE6C5C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preenchimento na segurança, perfomance de entrega preenchimento atraso, Refugo OK, OEE falta preenchimento, Manutenção OK.</t>
      </text>
    </comment>
    <comment ref="F391" authorId="38" shapeId="0" xr:uid="{1D4E3BC8-5775-444E-8BD5-3CE8FAC262F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Indicadores do 121 estão desatualizados. Ex.: recursos humanos e engenharia. </t>
      </text>
    </comment>
    <comment ref="F392" authorId="39" shapeId="0" xr:uid="{2389CDB8-E268-4EC0-96D7-533232ADC17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de adesivos</t>
      </text>
    </comment>
    <comment ref="F396" authorId="40" shapeId="0" xr:uid="{FA7FB255-7483-42A4-9339-8C4DA2F61E9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foram realizadas o preenchimento das atas  de Janeiro e Fevereiro.</t>
      </text>
    </comment>
    <comment ref="F397" authorId="41" shapeId="0" xr:uid="{1E5DB897-C325-489B-B398-6F045387E38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Os 8D's foram fechados com data anterior da abertura e a planilha não está com as fórmulas travadas de acordo com as do Sharepoint.
Falta também o número de alerta da qualidade
Só há reclamação do cliente</t>
      </text>
    </comment>
    <comment ref="F398" authorId="42" shapeId="0" xr:uid="{AF04D26F-419D-4609-A566-5981E8FAEF1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assinatura dos representantes ou titulares e nos demais turnos não houve assinatura. 
Há itens marcados ok, mas NOK no 506 que consta como atraso referente ações de Janeiro e  Fevereiro.</t>
      </text>
    </comment>
    <comment ref="F399" authorId="43" shapeId="0" xr:uid="{F82A4AE4-4916-4904-852A-59C8650ABC86}">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Está usando formulário correto, porém há ações de Janeiro e Fevereiro em atraso. </t>
      </text>
    </comment>
    <comment ref="F401" authorId="44" shapeId="0" xr:uid="{A5CCBD2E-07FB-445B-928A-F5C303ACFA9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de aprovação de lider</t>
      </text>
    </comment>
    <comment ref="F402" authorId="45" shapeId="0" xr:uid="{56161C62-83DC-423F-811B-FCD426A154C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informações nos campos - está em branco.</t>
      </text>
    </comment>
    <comment ref="F403" authorId="46" shapeId="0" xr:uid="{2D0BCBE5-4BFF-4717-B308-CCEB44068D6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próxima operação - roteiro</t>
      </text>
    </comment>
    <comment ref="F404" authorId="47" shapeId="0" xr:uid="{B4B18A84-BDE4-4F06-872F-F2042A4A82D6}">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roteiro da etiqueta </t>
      </text>
    </comment>
    <comment ref="F405" authorId="48" shapeId="0" xr:uid="{E8490572-1FF1-422C-8224-28D28427944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DA87z Falta informação de preenchiment0 - 25/09</t>
      </text>
    </comment>
    <comment ref="F406" authorId="49" shapeId="0" xr:uid="{7B771F2D-AF3C-422A-84A9-DD31B3CAE1B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informações - EX.: SV000464AE - DA00077AA. </t>
      </text>
    </comment>
    <comment ref="F407" authorId="50" shapeId="0" xr:uid="{24B4733D-6303-4772-A454-A539E1A5097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Pontuado como ñok, devido ao consumo da etiqueta antiga que possui no almoxarifado, para evitar desperdício de custos.  Porém evidência da solicitação para os próximos pedidos, chegar com etiqueta nova</t>
      </text>
    </comment>
    <comment ref="F408" authorId="51" shapeId="0" xr:uid="{EC2505FB-8F0E-4875-AB36-80443AC6510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Foi encontrado material em processo - com roteiro de serviço externo </t>
      </text>
    </comment>
    <comment ref="F409" authorId="52" shapeId="0" xr:uid="{77A7709B-8E5A-439A-AFB3-76B1906B562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identificação
</t>
      </text>
    </comment>
    <comment ref="F410" authorId="53" shapeId="0" xr:uid="{D6B64185-BD9F-4099-96B1-E85E25F008C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Usar o que tem disponível no sharepoint </t>
      </text>
    </comment>
    <comment ref="F411" authorId="54" shapeId="0" xr:uid="{EC652186-73A9-4C66-BF55-23EB07FDE33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Coloração onde fica a letra "S" está preto e branco e o correto é Fundo amarelo e o "S" Vermelho</t>
      </text>
    </comment>
    <comment ref="F413" authorId="55" shapeId="0" xr:uid="{5C74C366-5AD5-47BF-B799-C52869E5CAA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Atualizar para o formato do Sharepoint</t>
      </text>
    </comment>
    <comment ref="F415" authorId="56" shapeId="0" xr:uid="{B254F233-1A25-492E-9E5C-58843BF0A5B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Padronizar plano mestre de produtividade</t>
      </text>
    </comment>
    <comment ref="F416" authorId="57" shapeId="0" xr:uid="{69E9F477-E61F-4E71-AB02-D56863939C1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evidências atualizadas para 2026 (Produtividade), Falta atualização para 2026 (SMED), não está de acordo OEE.</t>
      </text>
    </comment>
    <comment ref="F417" authorId="58" shapeId="0" xr:uid="{FC0A6762-1B22-4487-81DF-D344DEDB258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Temos o gerenciamento do programa 5S implementado, porém pontuado como não ok devido auditorias em atraso
Resposta:
    Possui auditorias em atraso desde o dia 03/03 e auditorias não realizada em Janeiro e Fevereiro.
Auditorias realizada com atraso.
As ações estão sendo acompanhadas pelo Planer e não está atualizando o 506.</t>
      </text>
    </comment>
    <comment ref="F418" authorId="59" shapeId="0" xr:uid="{8E621660-6E20-44B6-A5FC-D332163AC2D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Matriz não se encontra no local correto no sharepoint - Áreas/Recursos Humanos/ Matriz de versatilidade/ Ferraz e anexa.
Preenchimento da situação dos funcionários NOK.
Atualização do change log. 
</t>
      </text>
    </comment>
    <comment ref="F419" authorId="60" shapeId="0" xr:uid="{68E558DE-0EB6-4F8F-8FBE-3C6328E929C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Não atende o formato atual</t>
      </text>
    </comment>
    <comment ref="F420" authorId="61" shapeId="0" xr:uid="{A78DDE0A-DD35-46D0-89B2-BC3096080A6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aprovação da inspeção, preenchimento do form não está completo e no verso não está preenchido</t>
      </text>
    </comment>
    <comment ref="F421" authorId="62" shapeId="0" xr:uid="{2DFA707F-A5BA-454E-91DA-268AE339295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verso - Diário de bordo / falta informação no preenchimento.</t>
      </text>
    </comment>
    <comment ref="F422" authorId="63" shapeId="0" xr:uid="{289EEF16-269E-4685-932A-4711EC2E202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Atualizar para novo</t>
      </text>
    </comment>
    <comment ref="F423" authorId="64" shapeId="0" xr:uid="{431D6035-2EA2-472D-B3A6-B578EC566C1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Atualizar para novo
</t>
      </text>
    </comment>
    <comment ref="F427" authorId="65" shapeId="0" xr:uid="{5B45FD53-A66A-4926-97EC-D983A579867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Form.618 não está sendo utilizado </t>
      </text>
    </comment>
    <comment ref="F428" authorId="66" shapeId="0" xr:uid="{D07C8F38-2389-4505-B4A3-27E5E45E8B18}">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Falta identificação no Plasma </t>
      </text>
    </comment>
    <comment ref="F429" authorId="67" shapeId="0" xr:uid="{F1644269-4E14-4409-B819-1862CDDB10F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Fábrica de Eixos 100% implementado, e está em processo fábrica de Chassis.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tc={53340A36-E976-49FC-A577-F4768F339BBD}</author>
    <author>tc={DF8D4096-2655-452C-BD3B-DE45DA387D44}</author>
    <author>tc={37DD9B03-E887-44FA-80FC-CA6444C0F425}</author>
    <author>tc={CF479CBD-6895-4282-912B-EC9F06EC2861}</author>
    <author>tc={A58C288F-F1EC-47E9-9DF9-915C401DFC83}</author>
    <author>Janderson Bezerra de Oliveira</author>
    <author>tc={865E8E36-F1B1-4710-83AF-DD113BD40BEF}</author>
  </authors>
  <commentList>
    <comment ref="O4" authorId="0" shapeId="0" xr:uid="{53340A36-E976-49FC-A577-F4768F339BB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B29" authorId="1" shapeId="0" xr:uid="{DF8D4096-2655-452C-BD3B-DE45DA387D4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0" authorId="2" shapeId="0" xr:uid="{37DD9B03-E887-44FA-80FC-CA6444C0F42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2" authorId="3" shapeId="0" xr:uid="{CF479CBD-6895-4282-912B-EC9F06EC286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42" authorId="4" shapeId="0" xr:uid="{A58C288F-F1EC-47E9-9DF9-915C401DFC8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H44" authorId="5" shapeId="0" xr:uid="{6A0895C1-DD95-4757-A3C0-55E1186B93CE}">
      <text>
        <r>
          <rPr>
            <b/>
            <sz val="9"/>
            <color indexed="81"/>
            <rFont val="Segoe UI"/>
            <family val="2"/>
          </rPr>
          <t>Janderson Bezerra de Oliveira:</t>
        </r>
        <r>
          <rPr>
            <sz val="9"/>
            <color indexed="81"/>
            <rFont val="Segoe UI"/>
            <family val="2"/>
          </rPr>
          <t xml:space="preserve">
2 acidentes com afastamento
1 - 13/01/2026 - 5 dias (corte no dedo)
2 - 31/01/2026 - 21 dias (fratura de ponta de dedo)</t>
        </r>
      </text>
    </comment>
    <comment ref="G47" authorId="5" shapeId="0" xr:uid="{C0E1A150-943D-455C-896B-A6204B544900}">
      <text>
        <r>
          <rPr>
            <b/>
            <sz val="9"/>
            <color indexed="81"/>
            <rFont val="Segoe UI"/>
            <family val="2"/>
          </rPr>
          <t>Janderson Bezerra de Oliveira:</t>
        </r>
        <r>
          <rPr>
            <sz val="9"/>
            <color indexed="81"/>
            <rFont val="Segoe UI"/>
            <family val="2"/>
          </rPr>
          <t xml:space="preserve">
A meta foi definida considerando 2T para 2026
Em 2025 eram 3T</t>
        </r>
      </text>
    </comment>
    <comment ref="E120" authorId="5" shapeId="0" xr:uid="{DB9B0876-D6E0-4BD0-B557-1F28441166C0}">
      <text>
        <r>
          <rPr>
            <b/>
            <sz val="9"/>
            <color indexed="81"/>
            <rFont val="Segoe UI"/>
            <family val="2"/>
          </rPr>
          <t>Janderson Bezerra de Oliveira:</t>
        </r>
        <r>
          <rPr>
            <sz val="9"/>
            <color indexed="81"/>
            <rFont val="Segoe UI"/>
            <family val="2"/>
          </rPr>
          <t xml:space="preserve">
</t>
        </r>
        <r>
          <rPr>
            <sz val="10"/>
            <color indexed="81"/>
            <rFont val="Segoe UI"/>
            <family val="2"/>
          </rPr>
          <t>19/02/2026: implementado nesta data. Book de evidência atualizado.</t>
        </r>
      </text>
    </comment>
    <comment ref="E130" authorId="5" shapeId="0" xr:uid="{6526AD36-A213-4193-9176-03CEF9469D16}">
      <text>
        <r>
          <rPr>
            <b/>
            <sz val="9"/>
            <color indexed="81"/>
            <rFont val="Segoe UI"/>
            <family val="2"/>
          </rPr>
          <t>Janderson Bezerra de Oliveira:</t>
        </r>
        <r>
          <rPr>
            <sz val="9"/>
            <color indexed="81"/>
            <rFont val="Segoe UI"/>
            <family val="2"/>
          </rPr>
          <t xml:space="preserve">
Em 04/02/2026 era NOK
Em 05/02/2026, foi alterado para ok, após esclarecimento da Ingrid.</t>
        </r>
      </text>
    </comment>
    <comment ref="E138" authorId="5" shapeId="0" xr:uid="{E8283CFA-421F-499E-9A31-1456BD7235B9}">
      <text>
        <r>
          <rPr>
            <b/>
            <sz val="9"/>
            <color indexed="81"/>
            <rFont val="Segoe UI"/>
            <family val="2"/>
          </rPr>
          <t>Janderson Bezerra de Oliveira:</t>
        </r>
        <r>
          <rPr>
            <sz val="9"/>
            <color indexed="81"/>
            <rFont val="Segoe UI"/>
            <family val="2"/>
          </rPr>
          <t xml:space="preserve">
06/02/2026 - foi considerado o form 147, para produto aprovado. Evidência incluída no book.</t>
        </r>
      </text>
    </comment>
    <comment ref="E141" authorId="5" shapeId="0" xr:uid="{A3169E8D-2994-447F-BA05-6092CDBC967E}">
      <text>
        <r>
          <rPr>
            <b/>
            <sz val="9"/>
            <color indexed="81"/>
            <rFont val="Segoe UI"/>
            <family val="2"/>
          </rPr>
          <t>Janderson Bezerra de Oliveira:</t>
        </r>
        <r>
          <rPr>
            <sz val="9"/>
            <color indexed="81"/>
            <rFont val="Segoe UI"/>
            <family val="2"/>
          </rPr>
          <t xml:space="preserve">
17/02/2026: implementado nesta data. Book evidência atualizado com evidência</t>
        </r>
      </text>
    </comment>
    <comment ref="E143" authorId="5" shapeId="0" xr:uid="{F7B4E798-7F47-4599-9D9C-487C5FF2137C}">
      <text>
        <r>
          <rPr>
            <b/>
            <sz val="9"/>
            <color indexed="81"/>
            <rFont val="Segoe UI"/>
            <family val="2"/>
          </rPr>
          <t xml:space="preserve">Janderson Bezerra de Oliveira:
</t>
        </r>
        <r>
          <rPr>
            <sz val="9"/>
            <color indexed="81"/>
            <rFont val="Segoe UI"/>
            <family val="2"/>
          </rPr>
          <t>Em 04/02/2026 era NOK
Em 05/02/2026, foi alterado para ok, após esclarecimento da Ingrid.</t>
        </r>
      </text>
    </comment>
    <comment ref="E149" authorId="5" shapeId="0" xr:uid="{1FDC1E07-BC79-4B17-BFF1-F93F1CDC6204}">
      <text>
        <r>
          <rPr>
            <b/>
            <sz val="9"/>
            <color indexed="81"/>
            <rFont val="Segoe UI"/>
            <family val="2"/>
          </rPr>
          <t>Janderson Bezerra de Oliveira:</t>
        </r>
        <r>
          <rPr>
            <sz val="9"/>
            <color indexed="81"/>
            <rFont val="Segoe UI"/>
            <family val="2"/>
          </rPr>
          <t xml:space="preserve">
O plano mestre é apresentado mensalmente para a diretoria. Já coloquei a evidência correta no nook.
06/02/2026</t>
        </r>
      </text>
    </comment>
    <comment ref="E151" authorId="5" shapeId="0" xr:uid="{99952259-146A-45DF-B7C2-8D07B1EB64E2}">
      <text>
        <r>
          <rPr>
            <b/>
            <sz val="9"/>
            <color indexed="81"/>
            <rFont val="Segoe UI"/>
            <family val="2"/>
          </rPr>
          <t>Janderson Bezerra de Oliveira:</t>
        </r>
        <r>
          <rPr>
            <sz val="9"/>
            <color indexed="81"/>
            <rFont val="Segoe UI"/>
            <family val="2"/>
          </rPr>
          <t xml:space="preserve">
06/02/2026 - o programa de 5S está de acordo com os padrões.
Falta disponibilizar no Sharepoint. </t>
        </r>
      </text>
    </comment>
    <comment ref="E153" authorId="5" shapeId="0" xr:uid="{8D76CBCE-C11C-44F0-8AF3-293FE8E65F3C}">
      <text>
        <r>
          <rPr>
            <b/>
            <sz val="9"/>
            <color indexed="81"/>
            <rFont val="Segoe UI"/>
            <family val="2"/>
          </rPr>
          <t xml:space="preserve">Janderson Bezerra de Oliveira:
</t>
        </r>
        <r>
          <rPr>
            <sz val="9"/>
            <color indexed="81"/>
            <rFont val="Segoe UI"/>
            <family val="2"/>
          </rPr>
          <t>17/02/2026: implementado nesta data. Book evidência atualizado com evidência</t>
        </r>
      </text>
    </comment>
    <comment ref="E155" authorId="5" shapeId="0" xr:uid="{5A4C4BBC-E32F-4634-95F4-FA682049548B}">
      <text>
        <r>
          <rPr>
            <b/>
            <sz val="9"/>
            <color indexed="81"/>
            <rFont val="Segoe UI"/>
            <family val="2"/>
          </rPr>
          <t>Janderson Bezerra de Oliveira:</t>
        </r>
        <r>
          <rPr>
            <sz val="9"/>
            <color indexed="81"/>
            <rFont val="Segoe UI"/>
            <family val="2"/>
          </rPr>
          <t xml:space="preserve">
Atualizado em 10/02/2026</t>
        </r>
      </text>
    </comment>
    <comment ref="E156" authorId="5" shapeId="0" xr:uid="{2439C34C-5BF7-4DDB-8131-90142273C546}">
      <text>
        <r>
          <rPr>
            <b/>
            <sz val="9"/>
            <color indexed="81"/>
            <rFont val="Segoe UI"/>
            <family val="2"/>
          </rPr>
          <t xml:space="preserve">Janderson Bezerra de Oliveira:
</t>
        </r>
        <r>
          <rPr>
            <sz val="9"/>
            <color indexed="81"/>
            <rFont val="Segoe UI"/>
            <family val="2"/>
          </rPr>
          <t>17/02/2026: implementado nest data. Book evidência atualizado com evidência</t>
        </r>
      </text>
    </comment>
    <comment ref="I173" authorId="6" shapeId="0" xr:uid="{865E8E36-F1B1-4710-83AF-DD113BD40BE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conforme preenchimento de datas no controle enviado pelo Elio.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tc={126A1AE3-E599-4CD3-9467-309950A752AA}</author>
    <author>tc={F95887A3-92B1-44F0-B857-4B985D1A88F8}</author>
    <author>tc={1CB3A1B9-5D48-476D-BECF-9056085445CE}</author>
    <author>tc={1725BE74-358B-47AF-8F11-6F27724D0A4F}</author>
    <author>tc={43BFD43C-ACEC-4518-9351-DF468B601361}</author>
    <author>tc={7E2B708B-0ECF-4119-8E08-4FFA2FB16650}</author>
    <author>tc={FF1853F4-B4B8-4B9F-A504-A81E6C289619}</author>
    <author>tc={DF6066D4-EC7D-4328-AA1D-1EF17382536D}</author>
    <author>tc={77B10AEA-3564-48A7-8DC0-074D1CD4AE01}</author>
    <author>tc={D4932226-367D-432C-8A35-BD55C29E9FAC}</author>
    <author>tc={EC7DEB58-9FE0-4B91-99CE-294339970F0B}</author>
    <author>tc={C18828FC-2409-45A7-B1F4-AE5868AC9862}</author>
    <author>tc={63F6E060-19A7-4522-8187-7F4A8E8CBE50}</author>
    <author>tc={2D71E14F-EC7E-4AEA-AC2C-8C5B08C9051F}</author>
    <author>Isabele Portela</author>
    <author>tc={99F98007-554C-469E-A6DF-1E6B9052EA1A}</author>
    <author>tc={18E268AD-3EF8-402A-A9A4-492D290FC5CC}</author>
    <author>tc={BA60900C-9454-4AE3-B753-AF8F03389F84}</author>
    <author>tc={FA8968D2-4D80-4889-945E-A502337DB423}</author>
    <author>tc={14E8087C-B9A4-45A3-8EB0-DDB01648E988}</author>
    <author>tc={92D115C8-58FC-4F30-952E-30A07DE45898}</author>
    <author>tc={7589B562-73CB-44F8-9EF8-0DC02CC2B515}</author>
    <author>tc={B5426281-D462-4069-9872-1AC4C3CCDE0C}</author>
    <author>tc={7FB644CF-A5B3-43BB-A55A-CE33D7810FC1}</author>
    <author>tc={76BE9760-1974-43FD-95DC-FEFB062B8A73}</author>
    <author>tc={7160DCAE-6B26-4F2F-931F-5FBC49473817}</author>
    <author>tc={B692DBE5-4D43-4A97-B5A6-FA3BD096CF0B}</author>
    <author>tc={D5D39FF5-35A1-42DE-8948-F9FB9409BE08}</author>
    <author>tc={96F71421-C4C6-4D09-830B-FF1203AB5D42}</author>
    <author>tc={FF380B8C-BD5C-44FB-8B1C-3360415C5EA4}</author>
    <author>tc={3BD7DF7E-7BD0-4535-BC12-C8E13484897E}</author>
    <author>tc={D043B60C-B98C-4C39-A0D6-C0778EF6CCC5}</author>
    <author>tc={2EAB8D5A-1FD4-4840-A0D2-D5AF4B7091AD}</author>
  </authors>
  <commentList>
    <comment ref="O4" authorId="0" shapeId="0" xr:uid="{126A1AE3-E599-4CD3-9467-309950A752AA}">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N8" authorId="1" shapeId="0" xr:uid="{F95887A3-92B1-44F0-B857-4B985D1A88F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Alinhamento junto ao Plant Manager</t>
      </text>
    </comment>
    <comment ref="B29" authorId="2" shapeId="0" xr:uid="{1CB3A1B9-5D48-476D-BECF-9056085445CE}">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0" authorId="3" shapeId="0" xr:uid="{1725BE74-358B-47AF-8F11-6F27724D0A4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2" authorId="4" shapeId="0" xr:uid="{43BFD43C-ACEC-4518-9351-DF468B60136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42" authorId="5" shapeId="0" xr:uid="{7E2B708B-0ECF-4119-8E08-4FFA2FB16650}">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H49" authorId="6" shapeId="0" xr:uid="{FF1853F4-B4B8-4B9F-A504-A81E6C28961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Gases, alocação, manutenção e outras despesas.</t>
      </text>
    </comment>
    <comment ref="J49" authorId="7" shapeId="0" xr:uid="{DF6066D4-EC7D-4328-AA1D-1EF17382536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Gases, alocação, manutenção e outras despesas.</t>
      </text>
    </comment>
    <comment ref="L57" authorId="8" shapeId="0" xr:uid="{77B10AEA-3564-48A7-8DC0-074D1CD4AE0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8 projetos até 24/8
</t>
      </text>
    </comment>
    <comment ref="C65" authorId="9" shapeId="0" xr:uid="{D4932226-367D-432C-8A35-BD55C29E9FA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Aguardando devolutiva do cliente
</t>
      </text>
    </comment>
    <comment ref="V68" authorId="10" shapeId="0" xr:uid="{EC7DEB58-9FE0-4B91-99CE-294339970F0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Mês de fev. impacto negativo - rescisão
Resposta:
    Despesas com Rescisão 757.777,62  abatidos da provisão (Conforme acordado com o Emerson)
</t>
      </text>
    </comment>
    <comment ref="Y70" authorId="11" shapeId="0" xr:uid="{C18828FC-2409-45A7-B1F4-AE5868AC986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Virada oficial realizada para o fornecedor BRASRENTAL. Contudo, houve cobrança referente aos primeiros dias de abril até a devolução do equipamento ao fornecedor anterior, Retrak.</t>
      </text>
    </comment>
    <comment ref="E75" authorId="12" shapeId="0" xr:uid="{63F6E060-19A7-4522-8187-7F4A8E8CBE5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No cenário validado, houve a desmobilização de apenas uma.</t>
      </text>
    </comment>
    <comment ref="AA76" authorId="13" shapeId="0" xr:uid="{2D71E14F-EC7E-4AEA-AC2C-8C5B08C9051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Pago R$ 10.000,00 para a devolução. Considerando a economia obtida com a desmobilização de uma máquina, o custo foi de R$ 8.900,00. O impacto positivo da redução do valor alocado será refletido a partir do próximo mês.</t>
      </text>
    </comment>
    <comment ref="N79" authorId="14" shapeId="0" xr:uid="{132FE68D-6386-471E-92D0-CC462459D7A3}">
      <text>
        <r>
          <rPr>
            <b/>
            <sz val="9"/>
            <color indexed="81"/>
            <rFont val="Segoe UI"/>
            <family val="2"/>
          </rPr>
          <t>Isabele Portela:</t>
        </r>
        <r>
          <rPr>
            <sz val="9"/>
            <color indexed="81"/>
            <rFont val="Segoe UI"/>
            <family val="2"/>
          </rPr>
          <t xml:space="preserve">
Considerado período efetivo da proposta com o 1° retorno em Maio.2026 (8 meses)</t>
        </r>
      </text>
    </comment>
    <comment ref="Y80" authorId="15" shapeId="0" xr:uid="{99F98007-554C-469E-A6DF-1E6B9052EA1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 economia do valor integral da locação da 3ª empilhadeira não ocorreu, pois ainda houve cobrança proporcional referente aos dias do mês de abril em que o equipamento permaneceu na fábrica até sua devolução.</t>
      </text>
    </comment>
    <comment ref="M81" authorId="16" shapeId="0" xr:uid="{18E268AD-3EF8-402A-A9A4-492D290FC5C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Conforme decisão da Diretoria, esse tipo de projeto não será validado por Custos.
Ele deve entrar na linha de performance de gestão.</t>
      </text>
    </comment>
    <comment ref="C83" authorId="17" shapeId="0" xr:uid="{BA60900C-9454-4AE3-B753-AF8F03389F8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 planta ainda está consolidando as informações.</t>
      </text>
    </comment>
    <comment ref="C85" authorId="18" shapeId="0" xr:uid="{FA8968D2-4D80-4889-945E-A502337DB42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Acompanhar eliminação do serviço de usinagem.
Importante: SAP deve refletir a melhoria proposta do processo (ainda pendente).</t>
      </text>
    </comment>
    <comment ref="N85" authorId="14" shapeId="0" xr:uid="{C48291FD-1F0B-44FC-8DA7-B5E69069C7C4}">
      <text>
        <r>
          <rPr>
            <b/>
            <sz val="9"/>
            <color indexed="81"/>
            <rFont val="Segoe UI"/>
            <family val="2"/>
          </rPr>
          <t>Isabele Portela:</t>
        </r>
        <r>
          <rPr>
            <sz val="9"/>
            <color indexed="81"/>
            <rFont val="Segoe UI"/>
            <family val="2"/>
          </rPr>
          <t xml:space="preserve">
Considerado período efetivo da proposta com o 1° retorno em Maio.2026 (8 meses)</t>
        </r>
      </text>
    </comment>
    <comment ref="F110" authorId="19" shapeId="0" xr:uid="{14E8087C-B9A4-45A3-8EB0-DDB01648E98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Apontamento linha schuler com pç/h fora pedindo 300 e realizando 370, e PCG 03 com pç/h fora pedindo 240 pç e produzindo 270, correção de cadastros. (Ok ecidênciado o projeto de melhoria de aumento de produtividade)</t>
      </text>
    </comment>
    <comment ref="H110" authorId="20" shapeId="0" xr:uid="{92D115C8-58FC-4F30-952E-30A07DE45898}">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 </t>
      </text>
    </comment>
    <comment ref="H111" authorId="21" shapeId="0" xr:uid="{7589B562-73CB-44F8-9EF8-0DC02CC2B51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F112" authorId="22" shapeId="0" xr:uid="{B5426281-D462-4069-9872-1AC4C3CCDE0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Ausência de Apontamento do dia 02/06 linha schuler</t>
      </text>
    </comment>
    <comment ref="H112" authorId="23" shapeId="0" xr:uid="{7FB644CF-A5B3-43BB-A55A-CE33D7810FC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13" authorId="24" shapeId="0" xr:uid="{76BE9760-1974-43FD-95DC-FEFB062B8A7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F114" authorId="25" shapeId="0" xr:uid="{7160DCAE-6B26-4F2F-931F-5FBC4947381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Projeto de Vazamento de ar comprimido, com ações concluidas sem retorno, ausência de retorno de validação de custos, e ausência de ações em andamento para tingir a meta, ação em atraso não iniciada. </t>
      </text>
    </comment>
    <comment ref="H114" authorId="26" shapeId="0" xr:uid="{B692DBE5-4D43-4A97-B5A6-FA3BD096CF0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15" authorId="27" shapeId="0" xr:uid="{D5D39FF5-35A1-42DE-8948-F9FB9409BE0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16" authorId="28" shapeId="0" xr:uid="{96F71421-C4C6-4D09-830B-FF1203AB5D4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17" authorId="29" shapeId="0" xr:uid="{FF380B8C-BD5C-44FB-8B1C-3360415C5EA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H118" authorId="30" shapeId="0" xr:uid="{3BD7DF7E-7BD0-4535-BC12-C8E13484897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Item substitui o CN000021Z que não teve PPAP aprovado e está ON HOLD até segunda ordem.</t>
      </text>
    </comment>
    <comment ref="H119" authorId="31" shapeId="0" xr:uid="{D043B60C-B98C-4C39-A0D6-C0778EF6CCC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Link</t>
      </text>
    </comment>
    <comment ref="P139" authorId="32" shapeId="0" xr:uid="{2EAB8D5A-1FD4-4840-A0D2-D5AF4B7091A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conforme preenchimento de datas no controle enviado pelo Elio.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tc={0797BA69-B0A1-45BC-A265-02EFA0C95E19}</author>
    <author>tc={5A5D13B7-C666-460C-8973-376DD490EFDA}</author>
    <author>tc={57605324-39F9-4960-968B-2EBF6E222A27}</author>
    <author>tc={875C35AA-683B-4C62-90E3-E711FA3E87D6}</author>
    <author>Eduardo Kakitsuka</author>
    <author>tc={1319C66C-E7A6-496E-A192-4844F93EEF89}</author>
    <author>tc={CBD3AB78-5AA6-42BC-9B33-C81FA202219F}</author>
    <author>tc={83357ED4-4F47-493F-9EB3-A50E9128480E}</author>
    <author>tc={870E3FB5-CAF6-4367-B760-69F1D9EE9774}</author>
    <author>tc={61A476B8-64F9-45B6-ADD2-FB84F99727A1}</author>
    <author>tc={3BE1DAB7-5A31-493A-8B58-A9206E5871B2}</author>
    <author>tc={85BB69F7-7268-4028-8634-870DEF40E9BB}</author>
    <author>tc={F8DB4C59-881D-477F-B21E-A720660EE133}</author>
    <author>tc={2AAF4E62-5AA9-4B2E-97DA-3E8A8A3F4D58}</author>
    <author>tc={D4E0CF2F-D725-4C14-8596-7FDB9A5A5E02}</author>
    <author>tc={2A5988A5-472C-4533-8F70-CD7B04BE7A64}</author>
    <author>tc={663BF5DA-E547-41E7-9871-F922F7751F3C}</author>
    <author>tc={06D9F538-B08D-40F6-B653-0C6F3B1B45BF}</author>
    <author>Gabriel Gustavo de Souza</author>
    <author>tc={7A2A8052-A215-4500-AE7D-9E964829F4AA}</author>
    <author>tc={266F6EF2-2ADF-4AF2-94F2-BC0BA2DE97FE}</author>
    <author>tc={1D314011-92A1-4346-AE0D-62CD453703F9}</author>
    <author>tc={E18A9F1D-AF22-42DD-8ADB-CE5E6777225C}</author>
    <author>tc={EFA97A40-CDEA-4278-9124-E3F0556F9C5D}</author>
    <author>tc={1D9B8FF9-29D1-4E3B-9F77-F465E72E7D66}</author>
    <author>tc={1F106446-4176-473C-8BD2-6802905CE580}</author>
    <author>tc={406FCD29-7222-4B84-8217-BC0D98A231D3}</author>
    <author>tc={90C35E04-6BBE-4472-A5D5-A08976F1F1A2}</author>
  </authors>
  <commentList>
    <comment ref="O4" authorId="0" shapeId="0" xr:uid="{0797BA69-B0A1-45BC-A265-02EFA0C95E1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 ref="N8" authorId="1" shapeId="0" xr:uid="{5A5D13B7-C666-460C-8973-376DD490EFD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Alinhamento junto ao Plant Manager</t>
      </text>
    </comment>
    <comment ref="B29" authorId="2" shapeId="0" xr:uid="{57605324-39F9-4960-968B-2EBF6E222A2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B30" authorId="3" shapeId="0" xr:uid="{875C35AA-683B-4C62-90E3-E711FA3E87D6}">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G30" authorId="4" shapeId="0" xr:uid="{27D80603-7FC5-4374-93AE-9C8F6CBE126A}">
      <text>
        <r>
          <rPr>
            <sz val="11"/>
            <color theme="1"/>
            <rFont val="Calibri"/>
            <family val="2"/>
            <scheme val="minor"/>
          </rPr>
          <t>Eduardo Kakitsuka:
Valor (R$) do Scrap / Custo Total da Produção</t>
        </r>
      </text>
    </comment>
    <comment ref="I30" authorId="5" shapeId="0" xr:uid="{1319C66C-E7A6-496E-A192-4844F93EEF8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Form.231
</t>
      </text>
    </comment>
    <comment ref="G31" authorId="4" shapeId="0" xr:uid="{E11AC141-D7F3-48B4-81D7-2A27B7FE36E0}">
      <text>
        <r>
          <rPr>
            <sz val="11"/>
            <color theme="1"/>
            <rFont val="Calibri"/>
            <family val="2"/>
            <scheme val="minor"/>
          </rPr>
          <t>Eduardo Kakitsuka:
Disponibilidade x Performance x Qualidade</t>
        </r>
      </text>
    </comment>
    <comment ref="B32" authorId="6" shapeId="0" xr:uid="{CBD3AB78-5AA6-42BC-9B33-C81FA202219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G32" authorId="4" shapeId="0" xr:uid="{5A62F742-27E0-4A2A-8D1A-29E52E507873}">
      <text>
        <r>
          <rPr>
            <sz val="11"/>
            <color theme="1"/>
            <rFont val="Calibri"/>
            <family val="2"/>
            <scheme val="minor"/>
          </rPr>
          <t>Eduardo Kakitsuka:
Horas Padrão / Horas Apontadas</t>
        </r>
      </text>
    </comment>
    <comment ref="G34" authorId="4" shapeId="0" xr:uid="{B06401A0-F276-49EC-B60A-98D0F60DB36C}">
      <text>
        <r>
          <rPr>
            <sz val="11"/>
            <color theme="1"/>
            <rFont val="Calibri"/>
            <family val="2"/>
            <scheme val="minor"/>
          </rPr>
          <t>Eduardo Kakitsuka:
Tempo Total Operando / Número de falhas</t>
        </r>
      </text>
    </comment>
    <comment ref="G36" authorId="4" shapeId="0" xr:uid="{58ADCE7B-D6A3-440D-8E8B-ACEC89444A04}">
      <text>
        <r>
          <rPr>
            <sz val="11"/>
            <color theme="1"/>
            <rFont val="Calibri"/>
            <family val="2"/>
            <scheme val="minor"/>
          </rPr>
          <t>Eduardo Kakitsuka:
Tempo Total Operando / Número de falhas</t>
        </r>
      </text>
    </comment>
    <comment ref="G37" authorId="4" shapeId="0" xr:uid="{B97CCA09-FA9E-4733-B947-D5062F06E179}">
      <text>
        <r>
          <rPr>
            <sz val="11"/>
            <color theme="1"/>
            <rFont val="Calibri"/>
            <family val="2"/>
            <scheme val="minor"/>
          </rPr>
          <t>Eduardo Kakitsuka:
Tempo Total de Reparo / Número de falhas</t>
        </r>
      </text>
    </comment>
    <comment ref="G39" authorId="4" shapeId="0" xr:uid="{1184A505-8DA8-4663-B437-DA56E2027304}">
      <text>
        <r>
          <rPr>
            <sz val="11"/>
            <color theme="1"/>
            <rFont val="Calibri"/>
            <family val="2"/>
            <scheme val="minor"/>
          </rPr>
          <t>Eduardo Kakitsuka:
Acuracidade: (Qtd de itens com saldo correto / Qtd de itens verificados) x 100
Divergência: ((Qtd física - Qtd sistema) / Qtd no sistema) x 100</t>
        </r>
      </text>
    </comment>
    <comment ref="G40" authorId="4" shapeId="0" xr:uid="{6ADE5F35-A4A9-44F2-8768-A91B3E180489}">
      <text>
        <r>
          <rPr>
            <sz val="11"/>
            <color theme="1"/>
            <rFont val="Calibri"/>
            <family val="2"/>
            <scheme val="minor"/>
          </rPr>
          <t>Eduardo Kakitsuka:
(Nº de Peças Defeituosas / Total de Peças Produzidas) x 1.000.000</t>
        </r>
      </text>
    </comment>
    <comment ref="G41" authorId="4" shapeId="0" xr:uid="{1E1FA7C5-2953-46B5-B304-89530426A8DD}">
      <text>
        <r>
          <rPr>
            <sz val="11"/>
            <color theme="1"/>
            <rFont val="Calibri"/>
            <family val="2"/>
            <scheme val="minor"/>
          </rPr>
          <t>Eduardo Kakitsuka:
(Nº de Peças Defeituosas / Total de Peças Produzidas) x 1.000.000</t>
        </r>
      </text>
    </comment>
    <comment ref="B42" authorId="7" shapeId="0" xr:uid="{83357ED4-4F47-493F-9EB3-A50E9128480E}">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Atualização da informação sempre no SETIMO dia útil - By Paulo Ribeiro Controladoria </t>
      </text>
    </comment>
    <comment ref="G44" authorId="4" shapeId="0" xr:uid="{93B250DE-B662-4667-BA52-EF51DC39C742}">
      <text>
        <r>
          <rPr>
            <sz val="11"/>
            <color theme="1"/>
            <rFont val="Calibri"/>
            <family val="2"/>
            <scheme val="minor"/>
          </rPr>
          <t>Eduardo Kakitsuka:
(Nº de Acidentes com Afastamento x 1.000.000) / HHT</t>
        </r>
      </text>
    </comment>
    <comment ref="G45" authorId="4" shapeId="0" xr:uid="{DF36AE18-3391-4E19-884C-DD294342E446}">
      <text>
        <r>
          <rPr>
            <sz val="11"/>
            <color theme="1"/>
            <rFont val="Calibri"/>
            <family val="2"/>
            <scheme val="minor"/>
          </rPr>
          <t>Eduardo Kakitsuka:
Auditorias de processo comparando o consumo real vs. POC</t>
        </r>
      </text>
    </comment>
    <comment ref="G46" authorId="4" shapeId="0" xr:uid="{AC9F1843-A760-4FFD-A9A2-FA97FB12535F}">
      <text>
        <r>
          <rPr>
            <sz val="11"/>
            <color theme="1"/>
            <rFont val="Calibri"/>
            <family val="2"/>
            <scheme val="minor"/>
          </rPr>
          <t>Eduardo Kakitsuka:
Auditoria semanal do preenchimento de formulários e reuniões.</t>
        </r>
      </text>
    </comment>
    <comment ref="B47" authorId="8" shapeId="0" xr:uid="{870E3FB5-CAF6-4367-B760-69F1D9EE977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Fonte: Resultado Financeiro Mensal (GGF e SG&amp;A)</t>
      </text>
    </comment>
    <comment ref="H47" authorId="9" shapeId="0" xr:uid="{61A476B8-64F9-45B6-ADD2-FB84F99727A1}">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GGF = R$477.000,00
SG&amp;A = R$11.000,00
</t>
      </text>
    </comment>
    <comment ref="J47" authorId="10" shapeId="0" xr:uid="{3BE1DAB7-5A31-493A-8B58-A9206E5871B2}">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GGF = R$247.000,00
SG&amp;A = R$-11.000,00
</t>
      </text>
    </comment>
    <comment ref="L47" authorId="11" shapeId="0" xr:uid="{85BB69F7-7268-4028-8634-870DEF40E9B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GGF = R$101.000,00
SG&amp;A = R$-24.000,00
</t>
      </text>
    </comment>
    <comment ref="N47" authorId="12" shapeId="0" xr:uid="{F8DB4C59-881D-477F-B21E-A720660EE13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GGF = R$215.000,00
SG&amp;A = R$-33.000,00
</t>
      </text>
    </comment>
    <comment ref="P47" authorId="13" shapeId="0" xr:uid="{2AAF4E62-5AA9-4B2E-97DA-3E8A8A3F4D58}">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GGF = R$472.000,00
SG&amp;A = R$-11.000,00
</t>
      </text>
    </comment>
    <comment ref="R47" authorId="14" shapeId="0" xr:uid="{D4E0CF2F-D725-4C14-8596-7FDB9A5A5E02}">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GGF = R$251.000,00
SG&amp;A = R$-76.000,00
</t>
      </text>
    </comment>
    <comment ref="M57" authorId="15" shapeId="0" xr:uid="{2A5988A5-472C-4533-8F70-CD7B04BE7A6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Analise da proposta em andamento. Planta retornará com algumas informações extras importantes para que seja possível dar sequência. </t>
      </text>
    </comment>
    <comment ref="N57" authorId="16" shapeId="0" xr:uid="{663BF5DA-E547-41E7-9871-F922F7751F3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17/08</t>
      </text>
    </comment>
    <comment ref="U60" authorId="17" shapeId="0" xr:uid="{06D9F538-B08D-40F6-B653-0C6F3B1B45B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Economia não atingida para o mês de Jan.</t>
      </text>
    </comment>
    <comment ref="M61" authorId="18" shapeId="0" xr:uid="{1E4A24EB-608F-4BC5-8B49-441DB4B8F639}">
      <text>
        <r>
          <rPr>
            <b/>
            <sz val="9"/>
            <color indexed="81"/>
            <rFont val="Tahoma"/>
            <family val="2"/>
          </rPr>
          <t>Gabriel Gustavo de Souza:</t>
        </r>
        <r>
          <rPr>
            <sz val="9"/>
            <color indexed="81"/>
            <rFont val="Tahoma"/>
            <family val="2"/>
          </rPr>
          <t xml:space="preserve">
22/05 previsto</t>
        </r>
      </text>
    </comment>
    <comment ref="M63" authorId="19" shapeId="0" xr:uid="{7A2A8052-A215-4500-AE7D-9E964829F4A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 proposta está em stand-by, considerando a necessidade de escalonamento aos gerentes para melhor alinhamento.</t>
      </text>
    </comment>
    <comment ref="L65" authorId="20" shapeId="0" xr:uid="{266F6EF2-2ADF-4AF2-94F2-BC0BA2DE97FE}">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17/08
</t>
      </text>
    </comment>
    <comment ref="M65" authorId="21" shapeId="0" xr:uid="{1D314011-92A1-4346-AE0D-62CD453703F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 planta está responsável por revisar e analisar uma forma alternativa de melhor refletir o controle e a mensuração da redução proposta na pintura a pó.</t>
      </text>
    </comment>
    <comment ref="M69" authorId="22" shapeId="0" xr:uid="{E18A9F1D-AF22-42DD-8ADB-CE5E6777225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Conforme decisão da Diretoria, esse tipo de projeto não será validado por Custos.
Ele deve entrar na linha de performance de gestão.
Resposta:
    Conforme decisão do Emerson</t>
      </text>
    </comment>
    <comment ref="M71" authorId="23" shapeId="0" xr:uid="{EFA97A40-CDEA-4278-9124-E3F0556F9C5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Conforme decisão da Diretoria, esse tipo de projeto não será validado por Custos.
Ele deve entrar na linha de performance de gestão.
Resposta:
    Conforme decisão da Emerson</t>
      </text>
    </comment>
    <comment ref="N73" authorId="24" shapeId="0" xr:uid="{1D9B8FF9-29D1-4E3B-9F77-F465E72E7D6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Estimativa validada. Acompanharemos mensalmente, iniciando no mês de abril, o reporte da redução, casou houver.</t>
      </text>
    </comment>
    <comment ref="M77" authorId="18" shapeId="0" xr:uid="{F1F86004-B093-4473-B69B-2424DCB2D080}">
      <text>
        <r>
          <rPr>
            <b/>
            <sz val="9"/>
            <color indexed="81"/>
            <rFont val="Tahoma"/>
            <family val="2"/>
          </rPr>
          <t>Gabriel Gustavo de Souza:</t>
        </r>
        <r>
          <rPr>
            <sz val="9"/>
            <color indexed="81"/>
            <rFont val="Tahoma"/>
            <family val="2"/>
          </rPr>
          <t xml:space="preserve">
22/05 previsto</t>
        </r>
      </text>
    </comment>
    <comment ref="L83" authorId="25" shapeId="0" xr:uid="{1F106446-4176-473C-8BD2-6802905CE58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17/08</t>
      </text>
    </comment>
    <comment ref="N85" authorId="26" shapeId="0" xr:uid="{406FCD29-7222-4B84-8217-BC0D98A231D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Considerado ganho de set. - dez. 2026.</t>
      </text>
    </comment>
    <comment ref="P137" authorId="27" shapeId="0" xr:uid="{90C35E04-6BBE-4472-A5D5-A08976F1F1A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Automático conforme preenchimento de datas no controle enviado pelo Elio.</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tc={850AA130-BC98-4FB1-9A1D-A07A2365AA23}</author>
  </authors>
  <commentList>
    <comment ref="R4" authorId="0" shapeId="0" xr:uid="{850AA130-BC98-4FB1-9A1D-A07A2365AA2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tc={BA37A69C-E1E5-47BB-B2C5-109317351F13}</author>
  </authors>
  <commentList>
    <comment ref="R8" authorId="0" shapeId="0" xr:uid="{BA37A69C-E1E5-47BB-B2C5-109317351F1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Nota técnica: O ranking considera valores potenciais distintos. Em caso de empate, recomenda-se ajuste mínimo (ex.: 0,001).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tc={D88A9B23-964D-4147-BA31-C029D418FEC7}</author>
    <author>tc={0FB6B2B9-326A-40F7-8746-ABD1346E42D5}</author>
    <author>tc={CDDEE2F8-CA49-4216-9638-B4F6677B97CA}</author>
    <author>tc={BDA776D3-7FAC-4AAF-BDB2-336D2932535C}</author>
    <author>tc={4EE00267-FF71-4296-9A52-237A8130F91F}</author>
    <author>tc={6A1C380F-6F1A-4C0E-A2E5-FBF3183A15F3}</author>
    <author>tc={F7F57100-ACA0-41FB-B257-256556E3EE30}</author>
    <author>tc={273B0949-D6C3-4E55-8029-D15D2DBE9483}</author>
    <author>tc={B2FAF34A-2041-4735-B0E7-7CF011956DBF}</author>
    <author>tc={E68BED9F-337E-4AB7-9AC3-202848CC4820}</author>
    <author>tc={5C8F071D-7980-458D-8767-03D40A29B005}</author>
    <author>tc={97EE70FF-E4BB-403B-BB95-F6187A414EB2}</author>
    <author>tc={2C1D4407-A02A-45F6-9F3F-6684566D664A}</author>
    <author>tc={1FC23990-861A-4E72-B7E8-DCF7552A4E8E}</author>
    <author>tc={1ECA232C-B845-478D-B73C-9F9EAFD0DF72}</author>
    <author>tc={9422A863-C9FC-4432-915B-5BC659602A65}</author>
    <author>tc={93FF6728-9803-410F-84B0-00C7F3D45D3D}</author>
    <author>tc={2D8BE2C1-81B4-4F55-A0B2-B94A32BC0C1E}</author>
    <author>tc={A100FC49-CB98-42DF-AEA2-CA70F77BB42C}</author>
    <author>tc={AD86390B-09FA-48B8-8095-5EBBDBABA72C}</author>
    <author>tc={C9D2B482-EB38-4F63-BBDB-AB3E09C5102D}</author>
    <author>tc={21E10CF9-8F7E-4975-AD5D-BBC0CE6D5ECD}</author>
    <author>tc={0B0883C1-DDCD-4F8E-91BD-CF5A46875DC3}</author>
    <author>tc={1BC6D244-8AD9-4F2D-A2AD-5A968CF75719}</author>
    <author>tc={3CD98D5D-E808-4EFC-A73E-BDED3E94E160}</author>
    <author>tc={1C9E04FE-CFE4-49DD-A320-F0D7A16E5E27}</author>
    <author>tc={2444F3C4-4027-4EA1-B09E-B0D5C7B8AF33}</author>
    <author>tc={81456B4A-7638-4F48-9675-FB52A3C93728}</author>
    <author>tc={358D4973-AB28-456F-A640-9856E01C5FE9}</author>
    <author>tc={9C425455-D843-4E13-AF70-2A45F253ECD5}</author>
    <author>tc={941AD74F-8240-4BB2-A2FE-7F6CC395C4EF}</author>
    <author>tc={1FA16A7E-CE84-44D7-AD2C-1EDBF8270E40}</author>
    <author>tc={4A471903-6BEF-4EE4-8DF8-8721D6A4BCBD}</author>
    <author>tc={315BB803-4484-40F8-9650-4214D3BCB388}</author>
    <author>tc={CAC2FD96-0BF8-4A1A-AB82-16B95356A42E}</author>
    <author>tc={8A78017D-CAB5-4010-84CD-6B9BC1954DCF}</author>
    <author>tc={27E78490-834C-4EC4-8CC2-3A81E1895CBB}</author>
    <author>tc={0FA8DC18-D388-442A-B7AC-D1D6A26C4E04}</author>
    <author>tc={085D4A6D-DD5C-47D4-AD93-CFA16A12A40B}</author>
    <author>tc={1DEBA298-4B30-4DB7-A997-C084AF8B9CBD}</author>
    <author>tc={5ED7A15F-8670-47F2-B65B-3E522AA01FE6}</author>
    <author>tc={FD0F00A5-291B-48DF-887C-3E11F99929AE}</author>
    <author>tc={6AB332AC-A64E-4EAC-9744-1EF1E9C5B40F}</author>
    <author>tc={04E19B96-2646-48EC-840A-C52298D37E6B}</author>
    <author>tc={65164BDE-3C08-4FF9-A10B-BE34958A49D3}</author>
    <author>tc={A5197233-05AC-46DD-B84A-06C738456CC7}</author>
    <author>tc={0CBFD93A-BF38-47E2-85F6-EDA8B032C8C9}</author>
    <author>tc={42D7C201-1EBE-44B9-BE3D-EB654D88F1AC}</author>
    <author>tc={CEC12F9E-B5BD-49F7-ACA2-D8088F90F10C}</author>
  </authors>
  <commentList>
    <comment ref="R3" authorId="0" shapeId="0" xr:uid="{D88A9B23-964D-4147-BA31-C029D418FEC7}">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 eficiência mão de obra - Geral
Downtime - Geral
Hora Extra
Tempo Médio de Setup
Golpes por Minuto
OEE % - Geral
</t>
      </text>
    </comment>
    <comment ref="S3" authorId="1" shapeId="0" xr:uid="{0FB6B2B9-326A-40F7-8746-ABD1346E42D5}">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MAN
Nº de Reclamações	GM - SCS
Nº de Reclamações	GM - Gravatai
Nº de Reclamações	GM - São José dos Campos
Nº de Reclamações	GM - Mogi das Cruzes
Nº de Reclamações	Mercedes Benz
Nº de Reclamações	Renault
Nº de Reclamações	Plascar
Nº de Reclamações	Delga Anchieta
Nº de Reclamações	Delga Ferraz
Nº de Reclamações	Delga Jarinu
Nº de Reclamações	Delga São Leopoldo
N.º de Paradas de Linha (Perturbação no Cliente)
PPM Cliente (Total)	Total
PPM - Cliente	Volkswagem - Anchieta
PPM - Cliente	Volkswagem - São Jose dos Pinhais
PPM - Cliente	Volkswagem - Taubaté
PPM - Cliente	MAN
PPM - Cliente	GM - SCS
PPM - Cliente	GM - Gravatai
PPM - Cliente	GM - São José dos Campos
PPM - Cliente	GM - Mogi das Cruzes
PPM - Cliente	Mercedes Benz
PPM - Cliente	Renault
PPM - Cliente	Plascar
PPM - Cliente	Delga Anchieta
PPM - Cliente	Delga Ferraz
PPM - Cliente	Delga Jarinu
PPM - Cliente	Delga São Leopoldo
N.º de Falhas de Garantia/Campo
Satisfação do Cliente (%) - Total
Nº de Peças em Embarque Controlado
PPM Interno (Total)	Total
PPM - Interno	Estamparia
PPM - Interno	Solda
Form.206 na aprovação do cliente - Fase 5 (%)
Atendimento do desenvolvimento no prazo (%)
Auditorias Escalonadas (% de Conformidade)
Auditoria de 5S (% de Conformidade)
 </t>
      </text>
    </comment>
    <comment ref="T3" authorId="2" shapeId="0" xr:uid="{CDDEE2F8-CA49-4216-9638-B4F6677B97C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Contábil (%)
Margem Contribuição (%)
Custos Fixos / Faturamento Líquido (%)
Faturamento  Bruto Peças (R$) /1000
Faturamento  Liquido (R$) (Efetivo) /1000
Resultado Operacional</t>
      </text>
    </comment>
    <comment ref="U3" authorId="3" shapeId="0" xr:uid="{BDA776D3-7FAC-4AAF-BDB2-336D2932535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(Qtde.)
Kaizen (R$)
Orçamento Atendido no Prazo
Custo Realizado x Orçado de Amostras</t>
      </text>
    </comment>
    <comment ref="V3" authorId="4" shapeId="0" xr:uid="{4EE00267-FF71-4296-9A52-237A8130F91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Prazo de entrega - Total
% Prazo de entrega	Volkswagem - Anchieta
% Prazo de entrega	Volkswagem - São Jose dos Pinhais
% Prazo de entrega	Volkswagem - Taubaté
% Prazo de entrega	MAN
% Prazo de entrega	GM - SCS
% Prazo de entrega	GM - Gravatai
% Prazo de entrega	GM - São José dos Campos
% Prazo de entrega	GM - Mogi das Cruzes
% Prazo de entrega	Mercedes Benz
% Prazo de entrega	Renault
% Prazo de entrega	Plascar
% Prazo de entrega	Delga Anchieta
% Prazo de entrega	Delga Ferraz
% Prazo de entrega	Delga Jarinu
% Prazo de entrega	Delga São Leopoldo
% atingimento da meta de faturamento mensal
Frete
Frete Extra
Days on hands ( dias de estoque )
Valor total de estoques
Giro de Estoque
IQF Fornecedores</t>
      </text>
    </comment>
    <comment ref="W3" authorId="5" shapeId="0" xr:uid="{6A1C380F-6F1A-4C0E-A2E5-FBF3183A15F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Ferramentaria
MTBF (Hrs) - Ferramentaria
Disponibilidade % - Ferramentaria</t>
      </text>
    </comment>
    <comment ref="X3" authorId="6" shapeId="0" xr:uid="{F7F57100-ACA0-41FB-B257-256556E3EE3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Manutenção
MTBF (Hrs) - Manutenção
Disponibilidade % - Manutenção</t>
      </text>
    </comment>
    <comment ref="Y3" authorId="7" shapeId="0" xr:uid="{273B0949-D6C3-4E55-8029-D15D2DBE948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
      </text>
    </comment>
    <comment ref="Z3" authorId="8" shapeId="0" xr:uid="{B2FAF34A-2041-4735-B0E7-7CF011956DB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Indice de Conformidade na Auditoria TISAX
SLA - % de atendimento a incidentes dentro do prazo
% de Ataque Cibernético contido
Tempo de Disp. dos Serviços de TI  - % de Atend. dentro do prazo
RTO (Tempo Max, de Rec.) % de Atend. dentro do prazo
RPO (Perda Maxima de Dados)  % de Atendimentos dentro do prazo </t>
      </text>
    </comment>
    <comment ref="AA3" authorId="9" shapeId="0" xr:uid="{E68BED9F-337E-4AB7-9AC3-202848CC482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Horas de Treinamentos x Colaborador
Absenteísmo - Geral
Turnover - Geral
Satisfação dos Colaboradores</t>
      </text>
    </comment>
    <comment ref="R4" authorId="10" shapeId="0" xr:uid="{5C8F071D-7980-458D-8767-03D40A29B00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eficiência mão de obra - Geral
Downtime - Geral
Hora Extra
Produtividade
OEE % - Geral</t>
      </text>
    </comment>
    <comment ref="S4" authorId="11" shapeId="0" xr:uid="{97EE70FF-E4BB-403B-BB95-F6187A414EB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custo da não conformidade (CONC)
Notas de Debito (R$)
Refugo / Scrap (R$)
Retrabalho (R$)
Nº de Reclamações de Clientes - Total
Nº de Reclamações	Scania
Nº de Reclamações	VWTB
Nº de Reclamações	Mercedes Benz
Nº de Reclamações	Volvo
Nº de Reclamações	Metalsa
Nº de Reclamações	Sogefi
Nº de Reclamações	Delga Diadema
Nº de Reclamações	Delga Ferraz
Nº de Reclamações	Delga Jarinu
N.º de Paradas de Linha (Perturbação no Cliente)
PPM Cliente (Total)	Total
PPM - Cliente	Scania
PPM - Cliente	VWTB
PPM - Cliente	Mercedes Benz
PPM - Cliente	Volvo
PPM - Cliente	Metalsa
PPM - Cliente	Sogefi
PPM - Cliente	Delga Diadema
PPM - Cliente	Delga Ferraz
PPM - Cliente	Delga Jarinu
N.º de Falhas de Garantia/Campo
Satisfação do Cliente (%) - Total
Nº de Peças em Embarque Controlado
PPM Interno (Total)	Total
PPM - Interno	Pintura
PPM - Interno	Montagem
Form.206 na aprovação do cliente - Fase 5 (%)
Atendimento do desenvolvimento no prazo (%)
Auditorias Escalonadas (% de Conformidade)
Auditoria de 5S (% de Conformidade)</t>
      </text>
    </comment>
    <comment ref="T4" authorId="12" shapeId="0" xr:uid="{2C1D4407-A02A-45F6-9F3F-6684566D664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Contábil (%)
ROS
Margem Contribuição (%)
Custos Fixos / Faturamento Líquido (%)
Faturamento  Bruto Peças (R$) /1000
Faturamento  Liquido (R$) (Efetivo) /1000
Resultado Operacional</t>
      </text>
    </comment>
    <comment ref="U4" authorId="13" shapeId="0" xr:uid="{1FC23990-861A-4E72-B7E8-DCF7552A4E8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(Qtde.)
Kaizen (R$)
Orçamento Atendido no Prazo
Custo Realizado x Orçado de Amostras</t>
      </text>
    </comment>
    <comment ref="V4" authorId="14" shapeId="0" xr:uid="{1ECA232C-B845-478D-B73C-9F9EAFD0DF7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Prazo de entrega - Total
% Prazo de entrega	Scania
% Prazo de entrega	VWTB
% Prazo de entrega	Mercedes Benz
% Prazo de entrega	Volvo
% Prazo de entrega	Metalsa
% Prazo de entrega	Sogefi
% Prazo de entrega	Delga Diadema
% Prazo de entrega	Delga Ferraz
% Prazo de entrega	Delga Jarinu
% atingimento da meta de faturamento mensal
Frete
Bitmap
Frete Extra
Days on hands ( dias de estoque )
Valor total de estoques
Giro de Estoque
IQF Fornecedores</t>
      </text>
    </comment>
    <comment ref="X4" authorId="15" shapeId="0" xr:uid="{9422A863-C9FC-4432-915B-5BC659602A6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Manutenção
MTBF (Hrs) - Manutenção
Disponibilidade % - Manutenção</t>
      </text>
    </comment>
    <comment ref="Y4" authorId="16" shapeId="0" xr:uid="{93FF6728-9803-410F-84B0-00C7F3D45D3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Dias sem acidentes
Nº acidentes c/ afastamento/comunicado
Taxa de frequência
Taxa de Gravidade
Dias de Afastamento
Qtde de Reclamações Ambientais
Consumo KWH / Colaborador
Consumo KWH / Matéria Prima
Consumo de água / Tonelada produzida
Resíduo sobre MP
% de resíduo reciclável
% de resíduos destinado para aterro </t>
      </text>
    </comment>
    <comment ref="Z4" authorId="17" shapeId="0" xr:uid="{2D8BE2C1-81B4-4F55-A0B2-B94A32BC0C1E}">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Indice de Conformidade na Auditoria TISAX
SLA - % de atendimento a incidentes dentro do prazo
% de Ataque Cibernético contido
Tempo de Disp. dos Serviços de TI  - % de Atend. dentro do prazo
RTO (Tempo Max, de Rec.) % de Atend. dentro do prazo
RPO (Perda Maxima de Dados)  % de Atendimentos dentro do prazo </t>
      </text>
    </comment>
    <comment ref="AA4" authorId="18" shapeId="0" xr:uid="{A100FC49-CB98-42DF-AEA2-CA70F77BB42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Horas de Treinamentos x Colaborador
Absenteísmo - Geral
Turnover - Geral
Satisfação dos Colaboradores</t>
      </text>
    </comment>
    <comment ref="R5" authorId="19" shapeId="0" xr:uid="{AD86390B-09FA-48B8-8095-5EBBDBABA72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eficiência mão de obra - Geral
% eficiência mão de obra - Chassis
% eficiência mão de obra - Eixos
Refugo / Scrap (%) - Chassis
Refugo / Scrap (%) Eixos
Downtime - Geral
Hora Extra
Tempo Médio de Setup
Golpes por Minuto
OEE % - Geral
OEE % - Chassis
OEE % - Eixos</t>
      </text>
    </comment>
    <comment ref="S5" authorId="20" shapeId="0" xr:uid="{C9D2B482-EB38-4F63-BBDB-AB3E09C5102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custo da não conformidade (CONC)
Notas de Debito (R$)
Refugo / Scrap (R$)
Refugo / Scrap (%)
Retrabalho (R$)
Controle de Material Não Conforme Bloqueados (R$)
Nº de Reclamações de Clientes - Total
Nº de Reclamações	CNH
Nº de Reclamações	Cummins
Nº de Reclamações	Dana
Nº de Reclamações	Man
Nº de Reclamações	Kongsberg
Nº de Reclamações	Maxion
Nº de Reclamações	Mercedes Benz
Nº de Reclamações	Méritor
Nº de Reclamações	MWM
Nº de Reclamações	SCANIA
N.º de Paradas de Linha (Perturbação no Cliente)
PPM Cliente (Total)
PPM - Cliente	CNH
PPM - Cliente	Cummins
PPM - Cliente	Dana
PPM - Cliente	Man
PPM - Cliente	Kongsberg
PPM - Cliente	Maxion
PPM - Cliente	Mercedes Benz
PPM - Cliente	Méritor
PPM - Cliente	MWM
PPM - Cliente	SCANIA
N.º de Falhas de Garantia/Campo
Satisfação do Cliente (%) - Total
Satisfação do Cliente (%)	CNH
Satisfação do Cliente (%)	Cummins
Satisfação do Cliente (%)	Dana
Satisfação do Cliente (%)	Man
Satisfação do Cliente (%)	Kongsberg
Satisfação do Cliente (%)	Maxion
Satisfação do Cliente (%)	Mercedes Benz
Satisfação do Cliente (%)	Méritor
Satisfação do Cliente (%)	MWM
Satisfação do Cliente (%)	SCANIA
Nº de Peças em Embarque Controlado
PPM Interno (Total)
PPM - Interno	Estamparia
PPM - Interno	Solda
PPM - Interno	Pintura
PPM - Interno	Montagem
PPM - Interno	Corte
PPM - Interno	Dobra
Form.206 na aprovação do cliente - Fase 5 (%)
Atendimento do desenvolvimento no prazo (%)
Auditorias Escalonadas (% de Conformidade)
Auditoria de 5S (% de Conformidade)</t>
      </text>
    </comment>
    <comment ref="T5" authorId="21" shapeId="0" xr:uid="{21E10CF9-8F7E-4975-AD5D-BBC0CE6D5EC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Contábil (%)
Margem Contribuição (%)
Custos Fixos / Faturamento Líquido (%)
Faturamento  Bruto Peças (R$) /1000
Faturamento  Liquido (R$) (Efetivo) /1000
Resultado Operacional</t>
      </text>
    </comment>
    <comment ref="U5" authorId="22" shapeId="0" xr:uid="{0B0883C1-DDCD-4F8E-91BD-CF5A46875DC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(Qtde.)
Kaizen (R$)
Orçamento Atendido no Prazo
Custo Realizado x Orçado de Amostras</t>
      </text>
    </comment>
    <comment ref="V5" authorId="23" shapeId="0" xr:uid="{1BC6D244-8AD9-4F2D-A2AD-5A968CF7571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Prazo de entrega - Total
% Prazo de entrega	CNH
% Prazo de entrega	Cummins
% Prazo de entrega	Dana
% Prazo de entrega	Man
% Prazo de entrega	Kongsberg
% Prazo de entrega	Maxion
% Prazo de entrega	Mercedes Benz
% Prazo de entrega	Méritor
% Prazo de entrega	MWM
% Prazo de entrega	SCANIA
% atingimento da meta de faturamento mensal
Frete
Frete Extra
Days on hands ( dias de estoque )
Valor total de estoques
Giro de Estoque
IQF Fornecedores</t>
      </text>
    </comment>
    <comment ref="W5" authorId="24" shapeId="0" xr:uid="{3CD98D5D-E808-4EFC-A73E-BDED3E94E16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Ferramentaria
MTBF (Hrs) - Ferramentaria
Disponibilidade % - Ferramentaria</t>
      </text>
    </comment>
    <comment ref="X5" authorId="25" shapeId="0" xr:uid="{1C9E04FE-CFE4-49DD-A320-F0D7A16E5E2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Manutenção
MTBF (Hrs) - Manutenção
Disponibilidade % - Manutenção</t>
      </text>
    </comment>
    <comment ref="Y5" authorId="26" shapeId="0" xr:uid="{2444F3C4-4027-4EA1-B09E-B0D5C7B8AF33}">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
      </text>
    </comment>
    <comment ref="Z5" authorId="27" shapeId="0" xr:uid="{81456B4A-7638-4F48-9675-FB52A3C93728}">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Faltou índice de conformidade na auditoria tisax
Resposta:
    SLA - % de atendimento a incidentes dentro do prazo
% de Ataque Cibernético contido
Tempo de Disp. dos Serviços de TI  - % de Atend. dentro do prazo
RTO (Tempo Max, de Rec.) % de Atend. dentro do prazo
RPO (Perda Maxima de Dados)  % de Atendimentos dentro do prazo </t>
      </text>
    </comment>
    <comment ref="AA5" authorId="28" shapeId="0" xr:uid="{358D4973-AB28-456F-A640-9856E01C5FE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Horas de Treinamentos x Colaborador
Absenteísmo - Geral
Turnover - Geral
Satisfação dos Colaboradores</t>
      </text>
    </comment>
    <comment ref="R6" authorId="29" shapeId="0" xr:uid="{9C425455-D843-4E13-AF70-2A45F253ECD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eficiência mão de obra - Geral
Downtime - Geral
Downtime - Estamparia
Downtime - Solda
Hora Extra
Tempo Médio de Setup
Golpes por Minuto
OEE % - Geral
OEE % - Isgec - EST25001
OEE % - Celula 04 - CSR61004
OEE % - Prensa Minster - Est05001
OEE % - Prensa Schuler - Est05002
OEE % - Prensa Gutmann - Est04002
OEE % - Prensa Gutmann - Est04003
OEE % - Prensa Schuler - Est08001</t>
      </text>
    </comment>
    <comment ref="S6" authorId="30" shapeId="0" xr:uid="{941AD74F-8240-4BB2-A2FE-7F6CC395C4EF}">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MAN
Nº de Reclamações	GM - SCS
Nº de Reclamações	GM - Gravatai
Nº de Reclamações	GM - São José dos Campos
Nº de Reclamações	GM - Mogi das Cruzes
Nº de Reclamações	Mercedes Benz
Nº de Reclamações	Renault
Nº de Reclamações	Plascar
Nº de Reclamações	Delga Anchieta
Nº de Reclamações	Delga Ferraz
Nº de Reclamações	Delga Jarinu
Nº de Reclamações	Delga São Leopoldo
N.º de Paradas de Linha (Perturbação no Cliente)
PPM Cliente (Total)	Total
PPM - Cliente	Volkswagem - Anchieta
PPM - Cliente	Volkswagem - São Jose dos Pinhais
PPM - Cliente	Volkswagem - Taubaté
PPM - Cliente	MAN
PPM - Cliente	GM - SCS
PPM - Cliente	GM - Gravatai
PPM - Cliente	GM - São José dos Campos
PPM - Cliente	GM - Mogi % custo da não conformidade (CONC)Notas de Debito (R$)Refugo / Scrap (R$)Retrabalho (R$)Nº de Reclamações de Clientes - TotalNº de ReclamaçõesVolkswagem - AnchietaNº de ReclamaçõesVolkswagem - São Jose dos PinhaisNº de ReclamaçõesVolkswagem - TaubatéNº de ReclamaçõesGM - SCSNº de ReclamaçõesGM - GravataiNº de ReclamaçõesGM - ArgentinaNº de ReclamaçõesGM - %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GM - SCS
Nº de Reclamações	GM - Gravatai
Nº de Reclamações	GM - Argentina
Nº de Reclamações	GM - Uzbequistão
Nº de Reclamações	GM - Colombia
Nº de Reclamações	Gestamp - Santa Isabel
Nº de Reclamações	Gestamp - Paraná
N.º de Paradas de Linha (Perturbação no Cliente)
PPM Cliente (Total)
PPM - Cliente	Volkswagem - Anchieta
PPM - Cliente	Volkswagem - São Jose dos Pinhais
PPM - Cliente	Volkswagem - Taubaté
PPM - Cliente	GM - SCS
PPM - Cliente	GM - Gravatai
PPM - Cliente	GM - Argentina
PPM - Cliente	GM - Uzbequistão
PPM - Cliente	GM - Colombia
PPM - Cliente	Gestamp - Santa Isabel
PPM - Cliente	Gestamp - Paraná
N.º de Falhas de Garantia/Campo
Satisfação do Cliente (%) - Total
Nº de Peças em Embarque Controlado
PPM Interno (Total)
PPM - Interno	Estamparia
PPM - Interno	Solda
Form.206 na aprovação do cliente - Fase 5 (%)
Atendimento do desenvolvimento no prazo (%)
Auditorias Escalonadas (% de Conformidade)
Auditoria de 5S (% de Conformidade)
</t>
      </text>
    </comment>
    <comment ref="T6" authorId="31" shapeId="0" xr:uid="{1FA16A7E-CE84-44D7-AD2C-1EDBF8270E4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Contábil (%)
Margem Contribuição (%)
Custos Fixos / Faturamento Líquido (%)
Faturamento  Bruto Peças (R$) /1000
Faturamento  Liquido (R$) (Efetivo) /1000
Resultado Operacional</t>
      </text>
    </comment>
    <comment ref="U6" authorId="32" shapeId="0" xr:uid="{4A471903-6BEF-4EE4-8DF8-8721D6A4BCB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(Qtde.)
Kaizen (R$)</t>
      </text>
    </comment>
    <comment ref="V6" authorId="33" shapeId="0" xr:uid="{315BB803-4484-40F8-9650-4214D3BCB38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Prazo de entrega - Total
% Prazo de entrega	Volkswagem - Anchieta
% Prazo de entrega	Volkswagem - Taubaté
% Prazo de entrega	GM - SCS
% Prazo de entrega	GM - Gravatai
% Prazo de entrega	GM - Argentina
% Prazo de entrega	GM - Uzbequistão
% Prazo de entrega	Gestamp - Santa Isabel
% Prazo de entrega	Gestamp - Paraná
% atingimento da meta de faturamento mensal
Frete
Frete Extra
Days on hands ( dias de estoque )
Valor total de estoques
Giro de Estoque
IQF Fornecedores</t>
      </text>
    </comment>
    <comment ref="W6" authorId="34" shapeId="0" xr:uid="{CAC2FD96-0BF8-4A1A-AB82-16B95356A42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Ferramentaria
MTTR (Hrs) - Ferramentaria - Estamparia
MTTR (Hrs) - Ferramentaria - Solda
MTBF (Hrs) - Ferramentaria
MTBF (Hrs) - Ferramentaria - Estamparia
MTBF (Hrs) - Ferramentaria - Solda
Disponibilidade % - Ferramentaria
Disponibilidade % - Ferramentaria - Estamparia
Disponibilidade % - Ferramentaria - Solda
Custos - Ferramentaria
Preventivas - Ferramentaria</t>
      </text>
    </comment>
    <comment ref="X6" authorId="35" shapeId="0" xr:uid="{8A78017D-CAB5-4010-84CD-6B9BC1954DC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Manutenção
MTTR (Hrs) - Manutenção - Estamparia
MTTR (Hrs) - Manutenção - Solda
MTBF (Hrs) - Manutenção
MTBF (Hrs) - Manutenção - Estamparia
MTBF (Hrs) - Manutenção - Solda
Disponibilidade % - Manutenção
Disponibilidade % - Manutenção - Estamparia
Disponibilidade % - Manutenção - Solda
Custos - Manutenção
Preventivas - Manutenção</t>
      </text>
    </comment>
    <comment ref="Y6" authorId="36" shapeId="0" xr:uid="{27E78490-834C-4EC4-8CC2-3A81E1895CBB}">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
      </text>
    </comment>
    <comment ref="Z6" authorId="37" shapeId="0" xr:uid="{0FA8DC18-D388-442A-B7AC-D1D6A26C4E04}">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Faltou índice de conformidade na auditoria tisax
Resposta:
    SLA - % de atendimento a incidentes dentro do prazo
% de Ataque Cibernético contido
Tempo de Disp. dos Serviços de TI  - % de Atend. dentro do prazo
RTO (Tempo Max, de Rec.) % de Atend. dentro do prazo
RPO (Perda Maxima de Dados)  % de Atendimentos dentro do prazo </t>
      </text>
    </comment>
    <comment ref="AA6" authorId="38" shapeId="0" xr:uid="{085D4A6D-DD5C-47D4-AD93-CFA16A12A40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Horas de Treinamentos x Colaborador
Absenteísmo - Geral
Absenteísmo - Efetivos
Absenteísmo - Temporarios
Turnover - Geral
Turnover - Efetivos
Turnover - Temporarios
Satisfação dos Colaboradores</t>
      </text>
    </comment>
    <comment ref="R7" authorId="39" shapeId="0" xr:uid="{1DEBA298-4B30-4DB7-A997-C084AF8B9CBD}">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 eficiência mão de obra - Geral
Downtime - Geral
Hora Extra
Tempo Médio de Setup
Golpes por Minuto
OEE % - Geral
</t>
      </text>
    </comment>
    <comment ref="S7" authorId="40" shapeId="0" xr:uid="{5ED7A15F-8670-47F2-B65B-3E522AA01FE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custo da não conformidade (CONC)
Notas de Debito (R$)
Refugo / Scrap (R$)
Retrabalho (R$)
Nº de Reclamações de Clientes - Total
Nº de Reclamações de Clientes (Total) - Automotivo
Nº de Reclamações de Clientes (Total) - Agricola
Nº de Reclamações	AGCO
Nº de Reclamações	CNH
Nº de Reclamações	Suspensys
Nº de Reclamações	Master
Nº de Reclamações	Delga Diadema
N.º de Paradas de Linha (Perturbação no Cliente)
PPM Cliente (Total)
PPM Cliente (Total)	Automotivo
PPM Cliente (Total)	Agricola
PPM - Cliente	CNH
PPM - Cliente	AGCO
PPM - Cliente	Suspensys
PPM - Cliente	Master
PPM - Cliente	Delga Diadema
N.º de Falhas de Garantia/Campo
Satisfação do Cliente (%) - Total
Satisfação do Cliente (%)	AGCO
Satisfação do Cliente (%)	CNH	 
Satisfação do Cliente (%)	Suspensys	 
Satisfação do Cliente (%)	Master 	 
Satisfação do Cliente (%)	Delga Diadema 
Nº de Peças em Embarque Controlado
PPM Interno (Total)
PPM - Interno	Estamparia
PPM - Interno	Solda
PPM - Interno	Usinagem
PPM - Interno	Dobradeira
PPM - Interno	Lsaer
PPM - Interno	Montagem
Form.206 na aprovação do cliente - Fase 5 (%)
Atendimento do desenvolvimento no prazo (%)
Auditorias Escalonadas (% de Conformidade)
Auditoria de 5S (% de Conformidade)</t>
      </text>
    </comment>
    <comment ref="T7" authorId="41" shapeId="0" xr:uid="{FD0F00A5-291B-48DF-887C-3E11F99929A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EBITDA Contábil (%)
Margem Contribuição (%)
Custos Fixos / Faturamento Líquido (%)
Faturamento  Bruto Peças (R$) /1000
Faturamento  Liquido (R$) (Efetivo) /1000
Resultado Operacional</t>
      </text>
    </comment>
    <comment ref="U7" authorId="42" shapeId="0" xr:uid="{6AB332AC-A64E-4EAC-9744-1EF1E9C5B40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Kaizen (Qtde.)
Kaizen (R$)
Orçamento Atendido no Prazo
Custo Realizado x Orçado de Amostras</t>
      </text>
    </comment>
    <comment ref="V7" authorId="43" shapeId="0" xr:uid="{04E19B96-2646-48EC-840A-C52298D37E6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 Prazo de entrega - Total
% Prazo de entrega	Master
% Prazo de entrega	Suspensys
% Prazo de entrega	AGCO
% Prazo de entrega	CNH
% Prazo de entrega	Delga Diadema
% atingimento da meta de faturamento mensal 
Frete
Frete Extra 
Days on hands ( dias de estoque )
Valor total de estoques
Giro de Estoque
IQF Fornecedores</t>
      </text>
    </comment>
    <comment ref="W7" authorId="44" shapeId="0" xr:uid="{65164BDE-3C08-4FF9-A10B-BE34958A49D3}">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Ferramentaria
MTBF (Hrs) - Ferramentaria
Disponibilidade % - Ferramentaria</t>
      </text>
    </comment>
    <comment ref="X7" authorId="45" shapeId="0" xr:uid="{A5197233-05AC-46DD-B84A-06C738456CC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MTTR (Hrs) - Manutenção
MTBF (Hrs) - Manutenção
Disponibilidade % - Manutenção</t>
      </text>
    </comment>
    <comment ref="Y7" authorId="46" shapeId="0" xr:uid="{0CBFD93A-BF38-47E2-85F6-EDA8B032C8C9}">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
      </text>
    </comment>
    <comment ref="Z7" authorId="47" shapeId="0" xr:uid="{42D7C201-1EBE-44B9-BE3D-EB654D88F1AC}">
      <text>
        <t xml:space="preserve">[Comentário por tópicos]
A sua versão do Excel permite-lhe ler este comentário por tópicos. No entanto, as edições feitas ao comentário serão removidas se o ficheiro for aberto numa versão mais recente do Excel. Saiba mais: https://go.microsoft.com/fwlink/?linkid=870924
Comentário:
    Faltou índice de conformidade na auditoria tisax
Resposta:
    SLA - % de atendimento a incidentes dentro do prazo
% de Ataque Cibernético contido
Tempo de Disp. dos Serviços de TI  - % de Atend. dentro do prazo
RTO (Tempo Max, de Rec.) % de Atend. dentro do prazo
RPO (Perda Maxima de Dados)  % de Atendimentos dentro do prazo </t>
      </text>
    </comment>
    <comment ref="AA7" authorId="48" shapeId="0" xr:uid="{CEC12F9E-B5BD-49F7-ACA2-D8088F90F10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Horas de Treinamentos x Colaborador
Absenteísmo - Geral
Turnover - Geral
Satisfação dos Colaboradores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<sst xmlns="http://schemas.openxmlformats.org/spreadsheetml/2006/main" count="12401" uniqueCount="2761">
  <si>
    <t>DASHBOARD CONSOLIDADO - GRUPO DELGA 2026</t>
  </si>
  <si>
    <t>Atualizado:</t>
  </si>
  <si>
    <t>13/01/2026</t>
  </si>
  <si>
    <t>Semana:</t>
  </si>
  <si>
    <t>VISÃO GERAL - BIG NUMBERS</t>
  </si>
  <si>
    <t>META ANUAL</t>
  </si>
  <si>
    <t>REALIZADO YTD</t>
  </si>
  <si>
    <t>% ATINGIMENTO</t>
  </si>
  <si>
    <t>GAP</t>
  </si>
  <si>
    <t>PROJETOS ATIVOS</t>
  </si>
  <si>
    <t>KAIZENS</t>
  </si>
  <si>
    <t>R$ 50,32 Mi</t>
  </si>
  <si>
    <t>R$ 0</t>
  </si>
  <si>
    <t>0%</t>
  </si>
  <si>
    <t>0</t>
  </si>
  <si>
    <t>SAVING POR FONTE</t>
  </si>
  <si>
    <t>FONTE</t>
  </si>
  <si>
    <t>META</t>
  </si>
  <si>
    <t>REALIZADO</t>
  </si>
  <si>
    <t>% ATING.</t>
  </si>
  <si>
    <t>STATUS</t>
  </si>
  <si>
    <t>Diadema</t>
  </si>
  <si>
    <t>Ferraz</t>
  </si>
  <si>
    <t>São Leopoldo</t>
  </si>
  <si>
    <t>Jarinu</t>
  </si>
  <si>
    <t>Anchieta</t>
  </si>
  <si>
    <t>Compras</t>
  </si>
  <si>
    <t>Vendas</t>
  </si>
  <si>
    <t>Corporativo</t>
  </si>
  <si>
    <t>TOTAL</t>
  </si>
  <si>
    <t>KPIs OPERACIONAIS - COMPARATIVO UNIDADES</t>
  </si>
  <si>
    <t>KPI</t>
  </si>
  <si>
    <t>DIADEMA</t>
  </si>
  <si>
    <t>FERRAZ</t>
  </si>
  <si>
    <t>SÃO LEOPOLDO</t>
  </si>
  <si>
    <t>JARINU</t>
  </si>
  <si>
    <t>ANCHIETA</t>
  </si>
  <si>
    <t>MÉDIA</t>
  </si>
  <si>
    <t>DESTAQUES DA SEMANA</t>
  </si>
  <si>
    <t>RISCOS E AÇÕES</t>
  </si>
  <si>
    <t>1.</t>
  </si>
  <si>
    <t>2.</t>
  </si>
  <si>
    <t>3.</t>
  </si>
  <si>
    <t>4.</t>
  </si>
  <si>
    <t>5.</t>
  </si>
  <si>
    <t>DASHBOARD EXECUTIVO - GRUPO DELGA</t>
  </si>
  <si>
    <t>Gestão Estratégica de Projetos e Redução de Custos | Grupo Delga | 2026</t>
  </si>
  <si>
    <t>META DO GRUPO 2026</t>
  </si>
  <si>
    <t>RETORNO PREVISTO (Anual)</t>
  </si>
  <si>
    <t>Retorno Validado (Anual)</t>
  </si>
  <si>
    <t>PREVISTO 2026</t>
  </si>
  <si>
    <t>💰 RETORNO VALIDADO 2026</t>
  </si>
  <si>
    <t>💰 RETORNO REAL 2026</t>
  </si>
  <si>
    <t>Extra DRE (Até o momento)</t>
  </si>
  <si>
    <t>% ATINGIMENTO DA META</t>
  </si>
  <si>
    <t>INICIATIVAS</t>
  </si>
  <si>
    <t>Top 03 Projetos  (Maior Retorno REAL até o momento)</t>
  </si>
  <si>
    <t>Kaizen - Capital de Giro</t>
  </si>
  <si>
    <t xml:space="preserve">redução de estoque, melhora o caixa mas não o DRE de forma tangível </t>
  </si>
  <si>
    <t>Kaizen - Ganho Recorrente</t>
  </si>
  <si>
    <t>impacto direto e tangível no DRE</t>
  </si>
  <si>
    <t>Kaizen - Custo Evitado</t>
  </si>
  <si>
    <t>Ganho real, mas não reflete diretamente como redução no DRE</t>
  </si>
  <si>
    <t>📊 SAVING ESPECULADO POR PILAR</t>
  </si>
  <si>
    <t>📋 STATUS DAS INICIATIVAS</t>
  </si>
  <si>
    <t>🏭 INDICADORES OPERACIONAIS</t>
  </si>
  <si>
    <t>MATRIZ SPD 5 unidades</t>
  </si>
  <si>
    <t>Pilar</t>
  </si>
  <si>
    <t>Qtd.</t>
  </si>
  <si>
    <t>Saving (R$)</t>
  </si>
  <si>
    <t>Saving Validado 2026</t>
  </si>
  <si>
    <t xml:space="preserve">Até o Momento </t>
  </si>
  <si>
    <t>Status</t>
  </si>
  <si>
    <t>R$ Previsto</t>
  </si>
  <si>
    <t>Aderência SPD: Unidade</t>
  </si>
  <si>
    <t>Aderência SPD: Auditado</t>
  </si>
  <si>
    <t>Análise de Margem</t>
  </si>
  <si>
    <t>Tipo</t>
  </si>
  <si>
    <t>Unidade</t>
  </si>
  <si>
    <t>Auditado</t>
  </si>
  <si>
    <t>Meta</t>
  </si>
  <si>
    <t>✓ Concluído</t>
  </si>
  <si>
    <t>Produtividade e Controle</t>
  </si>
  <si>
    <t>⏳ Em Execução</t>
  </si>
  <si>
    <t xml:space="preserve">Documentos e Registro </t>
  </si>
  <si>
    <t>📝 Não iniciado</t>
  </si>
  <si>
    <t xml:space="preserve">Manutenção do Processo </t>
  </si>
  <si>
    <t xml:space="preserve">Kaizen </t>
  </si>
  <si>
    <t xml:space="preserve">Análise dos Dados </t>
  </si>
  <si>
    <t>Redução de Custo</t>
  </si>
  <si>
    <t>Você Resolve</t>
  </si>
  <si>
    <t>BSW</t>
  </si>
  <si>
    <t>Estratégia Comercial</t>
  </si>
  <si>
    <t>-</t>
  </si>
  <si>
    <t>META DA UNIDADE</t>
  </si>
  <si>
    <t>VA</t>
  </si>
  <si>
    <t>RETORNO PREVISTO</t>
  </si>
  <si>
    <t>GGF</t>
  </si>
  <si>
    <r>
      <t>PREVISTO</t>
    </r>
    <r>
      <rPr>
        <b/>
        <sz val="8"/>
        <color theme="1" tint="4.9989318521683403E-2"/>
        <rFont val="Calibri"/>
        <family val="2"/>
      </rPr>
      <t xml:space="preserve"> (Concluido)</t>
    </r>
  </si>
  <si>
    <t>MA</t>
  </si>
  <si>
    <t>💰 RETORNO VALIDADO</t>
  </si>
  <si>
    <t>Outros</t>
  </si>
  <si>
    <t>💰 RETORNO REAL</t>
  </si>
  <si>
    <t>Extra DRE</t>
  </si>
  <si>
    <t>Status SPD: Unidade</t>
  </si>
  <si>
    <t>Status SPD: Auditado</t>
  </si>
  <si>
    <t>,</t>
  </si>
  <si>
    <t xml:space="preserve">Posição </t>
  </si>
  <si>
    <t>Unidade / Departamento</t>
  </si>
  <si>
    <t>Nome do projeto /Inicio do Saving</t>
  </si>
  <si>
    <t>Status de Custos</t>
  </si>
  <si>
    <t>Previsto em 2026</t>
  </si>
  <si>
    <t xml:space="preserve">Valor Previsto até o Momento </t>
  </si>
  <si>
    <t xml:space="preserve">Valor Real até o Momento </t>
  </si>
  <si>
    <t>Delta</t>
  </si>
  <si>
    <t>total</t>
  </si>
  <si>
    <t>Previsto</t>
  </si>
  <si>
    <t>Real</t>
  </si>
  <si>
    <t xml:space="preserve">Q. Projetos </t>
  </si>
  <si>
    <t>Acumulado Previsto</t>
  </si>
  <si>
    <t>Acumulado Real</t>
  </si>
  <si>
    <t>Projeção da Meta</t>
  </si>
  <si>
    <t>Acumulado prev.Custos</t>
  </si>
  <si>
    <t>Custos</t>
  </si>
  <si>
    <t>São leopoldo</t>
  </si>
  <si>
    <t>DASHBOARD EXECUTIVO - UNIDADE DIADEMA</t>
  </si>
  <si>
    <t>META DA UNIDADE 2026</t>
  </si>
  <si>
    <t>% ATINGIMENTO DA META 2026</t>
  </si>
  <si>
    <t xml:space="preserve"> </t>
  </si>
  <si>
    <t xml:space="preserve"> TOP 20 Raking de Projetos Valorizados</t>
  </si>
  <si>
    <t>dip</t>
  </si>
  <si>
    <t>perf</t>
  </si>
  <si>
    <t>POS</t>
  </si>
  <si>
    <t>Valor Previsto
Unidade</t>
  </si>
  <si>
    <t>Valor Previsto
Custos</t>
  </si>
  <si>
    <t>Retorno Previsto</t>
  </si>
  <si>
    <t>Retorno Real  até hoje</t>
  </si>
  <si>
    <t>Projetos</t>
  </si>
  <si>
    <t>Peso</t>
  </si>
  <si>
    <t>Pareto</t>
  </si>
  <si>
    <t>% Previsto</t>
  </si>
  <si>
    <t>% Real</t>
  </si>
  <si>
    <t xml:space="preserve">Planejado </t>
  </si>
  <si>
    <t>% Responsabilidade  Delga</t>
  </si>
  <si>
    <t>p</t>
  </si>
  <si>
    <t>📊 SAVING PREVISTO POR PILAR</t>
  </si>
  <si>
    <t>d</t>
  </si>
  <si>
    <t>Análise de Margem 
(Form 206)</t>
  </si>
  <si>
    <t>q</t>
  </si>
  <si>
    <t>Total</t>
  </si>
  <si>
    <t>1. KPIs ESTRATÉGICOS</t>
  </si>
  <si>
    <t>CATEGORIA</t>
  </si>
  <si>
    <t>UN</t>
  </si>
  <si>
    <t xml:space="preserve">Frequência </t>
  </si>
  <si>
    <t>TIPO</t>
  </si>
  <si>
    <t>BASELINE 2025</t>
  </si>
  <si>
    <t>META 2026</t>
  </si>
  <si>
    <t>Jan</t>
  </si>
  <si>
    <t>P. Ofensor1</t>
  </si>
  <si>
    <t>Fev</t>
  </si>
  <si>
    <t>P. Ofensor2</t>
  </si>
  <si>
    <t>Mar</t>
  </si>
  <si>
    <t>P. Ofensor3</t>
  </si>
  <si>
    <t>Abr</t>
  </si>
  <si>
    <t>P. Ofensor4</t>
  </si>
  <si>
    <t>Mai</t>
  </si>
  <si>
    <t>P. Ofensor5</t>
  </si>
  <si>
    <t>Jun</t>
  </si>
  <si>
    <t>P. Ofensor6</t>
  </si>
  <si>
    <t>Jul</t>
  </si>
  <si>
    <t>P. Ofensor7</t>
  </si>
  <si>
    <t>Ago</t>
  </si>
  <si>
    <t>P. Ofensor8</t>
  </si>
  <si>
    <t>Set</t>
  </si>
  <si>
    <t>P. Ofensor9</t>
  </si>
  <si>
    <t>Out</t>
  </si>
  <si>
    <t>P. Ofensor10</t>
  </si>
  <si>
    <t>Nov</t>
  </si>
  <si>
    <t>P. Ofensor11</t>
  </si>
  <si>
    <t>Dez</t>
  </si>
  <si>
    <t>P. Ofensor12</t>
  </si>
  <si>
    <t>Financeiro</t>
  </si>
  <si>
    <t>Margem VA</t>
  </si>
  <si>
    <t>%</t>
  </si>
  <si>
    <t>Mensal</t>
  </si>
  <si>
    <r>
      <t xml:space="preserve">Maior Melhor </t>
    </r>
    <r>
      <rPr>
        <b/>
        <sz val="11"/>
        <color rgb="FF0000FF"/>
        <rFont val="Calibri"/>
        <family val="2"/>
        <scheme val="minor"/>
      </rPr>
      <t>↑</t>
    </r>
  </si>
  <si>
    <t>Matéria Prima</t>
  </si>
  <si>
    <t>Custo de Scrap (Refugo)</t>
  </si>
  <si>
    <r>
      <t xml:space="preserve">Menor Melhor </t>
    </r>
    <r>
      <rPr>
        <b/>
        <sz val="11"/>
        <color rgb="FFFF0000"/>
        <rFont val="Calibri"/>
        <family val="2"/>
        <scheme val="minor"/>
      </rPr>
      <t>↓</t>
    </r>
  </si>
  <si>
    <t>Rachadura</t>
  </si>
  <si>
    <t>Operacional</t>
  </si>
  <si>
    <t>OEE Prensas Grandes (24)</t>
  </si>
  <si>
    <t>Semanal</t>
  </si>
  <si>
    <t>Falta de energia</t>
  </si>
  <si>
    <t>Manutenção</t>
  </si>
  <si>
    <t>Eficiência de MO Planta</t>
  </si>
  <si>
    <t>Falta de OP</t>
  </si>
  <si>
    <t>Performance Prensas Grandes (24)</t>
  </si>
  <si>
    <t>Qualidade Prensas Grandes (24)</t>
  </si>
  <si>
    <t>Ferramentaria</t>
  </si>
  <si>
    <t>Disponibilidade Prensas Grandes (24)</t>
  </si>
  <si>
    <t>MTBF (Manutenção)</t>
  </si>
  <si>
    <t>h</t>
  </si>
  <si>
    <t>13:00</t>
  </si>
  <si>
    <t>15:00</t>
  </si>
  <si>
    <t xml:space="preserve">Quebra mecânica  </t>
  </si>
  <si>
    <t>MTTR (Manutenção)</t>
  </si>
  <si>
    <t>0:33</t>
  </si>
  <si>
    <t>0:30</t>
  </si>
  <si>
    <t>00:15</t>
  </si>
  <si>
    <t>Problema com CLP</t>
  </si>
  <si>
    <t>Horas Extras</t>
  </si>
  <si>
    <t>Valor</t>
  </si>
  <si>
    <t>Acuracidade Estoque</t>
  </si>
  <si>
    <t>Apontamento incorreto</t>
  </si>
  <si>
    <t>Mat. sem saldo</t>
  </si>
  <si>
    <t>Não aplicável</t>
  </si>
  <si>
    <t>Qualidade</t>
  </si>
  <si>
    <t>PPM Interno</t>
  </si>
  <si>
    <t>ppm</t>
  </si>
  <si>
    <t>Rebarba</t>
  </si>
  <si>
    <t>PPM Externo</t>
  </si>
  <si>
    <t>Solda irregular</t>
  </si>
  <si>
    <t>Falta de rosca</t>
  </si>
  <si>
    <t>Quebra de FIFO</t>
  </si>
  <si>
    <t>Falta de componente</t>
  </si>
  <si>
    <t>Dimensional</t>
  </si>
  <si>
    <t xml:space="preserve">Falta de operação </t>
  </si>
  <si>
    <t>CONC</t>
  </si>
  <si>
    <t>Horas extras</t>
  </si>
  <si>
    <t>Refugo</t>
  </si>
  <si>
    <t>Frete extra</t>
  </si>
  <si>
    <t>Reclamações de Clientes</t>
  </si>
  <si>
    <t>qtd</t>
  </si>
  <si>
    <t>Diário</t>
  </si>
  <si>
    <t>Rosca obstruída</t>
  </si>
  <si>
    <t>Segurança</t>
  </si>
  <si>
    <t>Taxa de Frequência de Acidente</t>
  </si>
  <si>
    <t>taxa</t>
  </si>
  <si>
    <t>Lesão dedos</t>
  </si>
  <si>
    <t>Validação Processo</t>
  </si>
  <si>
    <t>% Conformidade vs POC</t>
  </si>
  <si>
    <t>P/ Prioridade</t>
  </si>
  <si>
    <t>Engenharia</t>
  </si>
  <si>
    <t>Departamento Suporte</t>
  </si>
  <si>
    <t>Sistema de Produção Delga (SPD)</t>
  </si>
  <si>
    <t>% Aderência às Ferramentas SPD</t>
  </si>
  <si>
    <t>Logística</t>
  </si>
  <si>
    <t>Produção</t>
  </si>
  <si>
    <t xml:space="preserve">Departamentos </t>
  </si>
  <si>
    <t>Valor de Impacto</t>
  </si>
  <si>
    <t>MTBF (Ferramentaria)</t>
  </si>
  <si>
    <t>80:00</t>
  </si>
  <si>
    <t>60:00</t>
  </si>
  <si>
    <t>54:25</t>
  </si>
  <si>
    <t>Qualidade/dimensional</t>
  </si>
  <si>
    <t>57:08</t>
  </si>
  <si>
    <t>74:31</t>
  </si>
  <si>
    <t>Linhas de corte/ajustes</t>
  </si>
  <si>
    <t>Rebarbas</t>
  </si>
  <si>
    <t>MTTR (Ferramentaria)</t>
  </si>
  <si>
    <t>2:00</t>
  </si>
  <si>
    <t>1:45</t>
  </si>
  <si>
    <t>Gerente de Planta</t>
  </si>
  <si>
    <t>Performance de GESTÂO</t>
  </si>
  <si>
    <t>R$</t>
  </si>
  <si>
    <t>Orçamento</t>
  </si>
  <si>
    <t>Simulação</t>
  </si>
  <si>
    <t>Eng. Corporativa</t>
  </si>
  <si>
    <t>2. IDEIAS DE KAIZENS E PROJETOS DE REDUÇÃO DE CUSTOS</t>
  </si>
  <si>
    <t>1° Tri</t>
  </si>
  <si>
    <t>2° Tri</t>
  </si>
  <si>
    <t>3° Tri</t>
  </si>
  <si>
    <t>4° Tri</t>
  </si>
  <si>
    <t>TIPO 
Redução de custos 
 Kaizen / Você resolve</t>
  </si>
  <si>
    <t xml:space="preserve">VA / GGF / Material Auxiliar </t>
  </si>
  <si>
    <t>Nome do Projeto</t>
  </si>
  <si>
    <t>Caminho da Evidência</t>
  </si>
  <si>
    <t>DESCRIÇÃO</t>
  </si>
  <si>
    <t>RESPONSÁVEL</t>
  </si>
  <si>
    <t>Inicio
Mês/Ano</t>
  </si>
  <si>
    <t xml:space="preserve">Termino
Mês/Ano </t>
  </si>
  <si>
    <t>Previsto (R$)</t>
  </si>
  <si>
    <t>Mês do 1º RETORNO</t>
  </si>
  <si>
    <t xml:space="preserve">Quantidade de meses com retorno </t>
  </si>
  <si>
    <t>Processo de entrega do projeto a custos</t>
  </si>
  <si>
    <t>VALIDADOR
OK / NOK
CUSTOS</t>
  </si>
  <si>
    <t>SAVING VALIDADO
(R$ Valor)</t>
  </si>
  <si>
    <t>Onde esta parado</t>
  </si>
  <si>
    <t xml:space="preserve">Data de liberação. </t>
  </si>
  <si>
    <t>Previsto /Real</t>
  </si>
  <si>
    <t>Avanço</t>
  </si>
  <si>
    <t>Total 1° Tri</t>
  </si>
  <si>
    <t>Total 2° Tri</t>
  </si>
  <si>
    <t>Total 3° Tri</t>
  </si>
  <si>
    <t>Total 4° Tri</t>
  </si>
  <si>
    <t>Total Ano</t>
  </si>
  <si>
    <t>OBS</t>
  </si>
  <si>
    <t>% de Impacto</t>
  </si>
  <si>
    <t>Impacto Financeiro</t>
  </si>
  <si>
    <t>proj ref.</t>
  </si>
  <si>
    <t>Retorno até hoje</t>
  </si>
  <si>
    <t>Unidade até Dezembro</t>
  </si>
  <si>
    <t>Custos (12M)</t>
  </si>
  <si>
    <t>01 - Redução de peso bruto DA000489A</t>
  </si>
  <si>
    <t>\\192.168.0.20\DEPARTAMENTOS\\Engenharia\0. Kaizen Diadema\6. 2026\01 Janeiro\01 - DA000489AB -Bruno Manachini_Engenharia\01 - KAIZEN - DA000489AB_Rev00_Bruno Manachini.xlsx</t>
  </si>
  <si>
    <t>Peso bruto: de 4,27 Kg / peça para 4,18kg / peça</t>
  </si>
  <si>
    <t>B. Manachini</t>
  </si>
  <si>
    <t>OK</t>
  </si>
  <si>
    <t>NA</t>
  </si>
  <si>
    <r>
      <t xml:space="preserve">Validado pela Carolina Reis Machado em 18/12/2025 (e-mail 11:55) </t>
    </r>
    <r>
      <rPr>
        <sz val="11"/>
        <rFont val="Calibri"/>
        <family val="2"/>
        <scheme val="minor"/>
      </rPr>
      <t>- Redução de Peso Bruto do item DA000489AB (Reforço Sup. Tanque) -</t>
    </r>
    <r>
      <rPr>
        <i/>
        <sz val="11"/>
        <color theme="5" tint="-0.249977111117893"/>
        <rFont val="Calibri"/>
        <family val="2"/>
        <scheme val="minor"/>
      </rPr>
      <t xml:space="preserve"> Revisão em 09/02 - baseado  no volume Budget dos itens faturados (Mar a Dez) - considerado apenas a variação do custo peça, pois os processos embora mudem, no efeito resultado continuamos pagando a mão de obra de 2 operadores.</t>
    </r>
  </si>
  <si>
    <t>P</t>
  </si>
  <si>
    <r>
      <t xml:space="preserve">Projeto de kaizen número 01 de 2026. </t>
    </r>
    <r>
      <rPr>
        <sz val="11"/>
        <color theme="1"/>
        <rFont val="Calibri"/>
        <family val="2"/>
        <scheme val="minor"/>
      </rPr>
      <t>E-mail de revalidação enviado em 10/02/2026 16h12 - Carolina Rodrigues.</t>
    </r>
  </si>
  <si>
    <t>R</t>
  </si>
  <si>
    <t>02 - Redução na quantidade de lâmpadas acessa, na produção</t>
  </si>
  <si>
    <t>\\192.168.0.20\DEPARTAMENTOS\Engenharia\0. Kaizen Diadema\6. 2026\02 Fevereiro\09 - Redução de lampadas acessas na fábrica_Eduardo Fajardo_Concluído\9 - Kaizen Redução de lampadas acessas na fábrica_Eduardo Fajardo.xlsx</t>
  </si>
  <si>
    <t xml:space="preserve">Redução no consumo de energia elétrica, por meio do desligamento de lâmpadas e redistribuição, sem afetar iluminamento </t>
  </si>
  <si>
    <t>E. Fajardo</t>
  </si>
  <si>
    <t>100 luminárias x 180W = 18KWh. 18KWh x 24h x 6dias = 2.592 x 4,2 semanas = 10.886KWh x R$1,00 = R$ 10.886,00 por mês</t>
  </si>
  <si>
    <r>
      <t xml:space="preserve">O baseline 401,7KWh para cada 1.000 peças vendidas. </t>
    </r>
    <r>
      <rPr>
        <b/>
        <sz val="11"/>
        <color theme="1"/>
        <rFont val="Calibri"/>
        <family val="2"/>
        <scheme val="minor"/>
      </rPr>
      <t>Projeto de kaizen número 09 de 2026</t>
    </r>
  </si>
  <si>
    <t>03 - Otimização de processo - Cavalo Marinho</t>
  </si>
  <si>
    <t>\\192.168.0.20\DEPARTAMENTOS\\Engenharia\0. Kaizen Diadema\6. 2026\01 Janeiro\03 - GM000463Z_GM000359AA_Robson Luz_Engenharia\3 - Eficiência_Operacional - GM000359AA_GM000463Z_REV01.xlsx</t>
  </si>
  <si>
    <t>Atualmente usa-se 8 MO e 4 prensas. A proposta é usar 2 prensas e 6MO</t>
  </si>
  <si>
    <t>R. Luz</t>
  </si>
  <si>
    <t>Spin 3k pçs/mês, 2 corridas mensais, 180pçs/hora. 1500/180 = 8,33h x 2 = 16,66 x 8 MO = 133,3h. 16,6h x 6MO = 100h. Logo, save de 33,3h / 166 = 0,2MO. Projeto kaizen 03 2026</t>
  </si>
  <si>
    <r>
      <t xml:space="preserve">Projeto concluído, tendo redução de 1MO somando este projeto com o projeto 4 (Pulmão) e projeto 19 (Facão). </t>
    </r>
    <r>
      <rPr>
        <b/>
        <sz val="11"/>
        <color theme="1"/>
        <rFont val="Calibri"/>
        <family val="2"/>
        <scheme val="minor"/>
      </rPr>
      <t>Projeto de kaizen 03 de 2026</t>
    </r>
  </si>
  <si>
    <t>04 - Otimização de processo - Pulmão</t>
  </si>
  <si>
    <t>\\192.168.0.20\DEPARTAMENTOS\Engenharia\0. Kaizen Diadema\5. 2025\11 Novembro - 5\52 - Kaizen Pulmão.pptx</t>
  </si>
  <si>
    <t xml:space="preserve">Atualmente usa-se 20 MO. A proposta é usar 18MO. </t>
  </si>
  <si>
    <t>J. Oliveira</t>
  </si>
  <si>
    <t>6k pçs/mês, 4 corridas mensais, 206pçs/hora. 6000/206 = 29,12h x 20MO = 582,5h. 29,12h x 18MO = 524h. Logo, save de 58,34h / 166 = 0,35MO</t>
  </si>
  <si>
    <r>
      <t xml:space="preserve">Projeto concluído, tendo redução de 1MO somando este projeto com o projeto 3 (Cavalo Marinho) e projeto 19 (Facão). </t>
    </r>
    <r>
      <rPr>
        <b/>
        <sz val="11"/>
        <color theme="1"/>
        <rFont val="Calibri"/>
        <family val="2"/>
        <scheme val="minor"/>
      </rPr>
      <t>Projeto de kaizen 52 de 2025</t>
    </r>
  </si>
  <si>
    <t>05 - Empilhadeira - Diadema</t>
  </si>
  <si>
    <t>\\192.168.0.20\DEPARTAMENTOS\\Engenharia\0. Kaizen Diadema\6. 2026\02 Fevereiro\17 - Redução do contrato de empilhadeiras_Eduardo Fajardo\17 - Redução de do contrato de empilhadeiras_Eduardo Fajardo.xlsx</t>
  </si>
  <si>
    <t>Redução de 1 empilhadeira. Eram 8 em operação, e serão 7</t>
  </si>
  <si>
    <r>
      <t xml:space="preserve">13/02/2026: Projeto de kaizen número 17 de 2026. </t>
    </r>
    <r>
      <rPr>
        <sz val="11"/>
        <color theme="1"/>
        <rFont val="Calibri"/>
        <family val="2"/>
        <scheme val="minor"/>
      </rPr>
      <t xml:space="preserve">E empilhaderia já foi devolvida. </t>
    </r>
  </si>
  <si>
    <t>13/02/2026: Falta validação do time de Controladoria -&gt; Considerados valores líquidos para o resultado -&gt; Resultado de Fevereiro ainda contemplou o valor de 8 empilhadeiras.</t>
  </si>
  <si>
    <t>06 - Produtividade</t>
  </si>
  <si>
    <t>\\192.168.0.20\DEPARTAMENTOS\Engenharia\0. Kaizen Diadema\6. 2026\02 Fevereiro\18 - Produtividade_Aumento da eficiência para 73%_Rua 2-3-4-8_Eduardo Fajardo\18 - Produtividade_Aumento da eficiência para 73%_Rua 2-3-4-8.xlsx</t>
  </si>
  <si>
    <t>Aumento da eficiência da rua 2, 3 e 4 \para 73,4%.</t>
  </si>
  <si>
    <r>
      <t xml:space="preserve">16/02/206: </t>
    </r>
    <r>
      <rPr>
        <b/>
        <sz val="11"/>
        <color theme="1"/>
        <rFont val="Calibri"/>
        <family val="2"/>
        <scheme val="minor"/>
      </rPr>
      <t>Projeto de kaizen número 18 de 2026</t>
    </r>
    <r>
      <rPr>
        <sz val="11"/>
        <color theme="1"/>
        <rFont val="Calibri"/>
        <family val="2"/>
        <scheme val="minor"/>
      </rPr>
      <t>. Enviado para validação da controladoria em 02/03/2026.</t>
    </r>
  </si>
  <si>
    <t xml:space="preserve"> 07 - Consumo de água</t>
  </si>
  <si>
    <t>\\192.168.0.20\DEPARTAMENTOS\Engenharia\0. Kaizen Diadema\6. 2026\03 Março\42 - Redução do Consumo de Água_Eduardo Fajardo\42 - Redução do Consumo de Água_Eduardo Fajardo_REV00.xlsx</t>
  </si>
  <si>
    <t xml:space="preserve">Instalar válvula corta ar, redução de vazão e pressão nas torneira, caça vazamentos e instalação de hidromêtro na torre Alpina. </t>
  </si>
  <si>
    <r>
      <t xml:space="preserve">O baseline 570l para cada 1.000 peças vendidas. </t>
    </r>
    <r>
      <rPr>
        <b/>
        <sz val="11"/>
        <color theme="1"/>
        <rFont val="Calibri"/>
        <family val="2"/>
        <scheme val="minor"/>
      </rPr>
      <t>Kaizen número 42 de 2026</t>
    </r>
    <r>
      <rPr>
        <sz val="11"/>
        <color theme="1"/>
        <rFont val="Calibri"/>
        <family val="2"/>
        <scheme val="minor"/>
      </rPr>
      <t>. Enviado para validação da controladoria em 02/04/2026</t>
    </r>
  </si>
  <si>
    <t>08 - Redução de peso bruto MB002446LA / MB003670LA / MB003671LA</t>
  </si>
  <si>
    <t>\\192.168.0.20\DEPARTAMENTOS\\Engenharia\0. Kaizen Diadema\6. 2026\01 Janeiro\02 - MB2446LA_MB3670LA_MB3671LA_Engenharia_Bruno Manachini_Validado Pela Controladoria\02 - KAIZEN - MB2446LA_MB3670LA_MB3671LA_Rev00_Bruno Manachini.xlsx</t>
  </si>
  <si>
    <t>Reduzir a largura da chapa de 1150mm para 1000, resultando em maior aproveitamento.</t>
  </si>
  <si>
    <t>05/02/2026: Com base no volume médio, e redução de peso bruto para cada PN, estima-se redução de 674kg/mês. Ao preço de R$5,5/kg, a redução especulada é de R$3700/mês</t>
  </si>
  <si>
    <r>
      <t>Projeto de kaizen número 02 de 2026 -</t>
    </r>
    <r>
      <rPr>
        <b/>
        <u/>
        <sz val="11"/>
        <color theme="1"/>
        <rFont val="Calibri"/>
        <family val="2"/>
        <scheme val="minor"/>
      </rPr>
      <t xml:space="preserve"> </t>
    </r>
    <r>
      <rPr>
        <b/>
        <u/>
        <sz val="11"/>
        <color rgb="FFC00000"/>
        <rFont val="Calibri"/>
        <family val="2"/>
        <scheme val="minor"/>
      </rPr>
      <t>CUSTOS &gt;&gt;</t>
    </r>
    <r>
      <rPr>
        <b/>
        <sz val="11"/>
        <color rgb="FFC00000"/>
        <rFont val="Calibri"/>
        <family val="2"/>
        <scheme val="minor"/>
      </rPr>
      <t xml:space="preserve"> </t>
    </r>
    <r>
      <rPr>
        <sz val="11"/>
        <color rgb="FFC00000"/>
        <rFont val="Calibri"/>
        <family val="2"/>
        <scheme val="minor"/>
      </rPr>
      <t>Validação em andamento</t>
    </r>
    <r>
      <rPr>
        <sz val="11"/>
        <color theme="1"/>
        <rFont val="Calibri"/>
        <family val="2"/>
        <scheme val="minor"/>
      </rPr>
      <t>, LT incorreta.. Não se compra Bobina desde 08/2025 e o preço calculado em Budget é menor do que o efetuado por Compras em Dez/26, gerando um penalti no Kaizen (será agendado um alinhamento entre as areas para definição das premissas, nesses casos)</t>
    </r>
  </si>
  <si>
    <t>09 - Taxa de Esgoto</t>
  </si>
  <si>
    <t>\\192.168.0.20\departamentos\Engenharia\0. Kaizen Diadema\6. 2026\04 Abril\51 - Taxa de Esgoto_Eduardo Fajardo)REV00\51_Taxa de Esgoto_Eduardo Fajardo_Rev00.xlsx</t>
  </si>
  <si>
    <t>Redução do pagamento da conta de água/esgoto gerado na planta devido a evaporação dos processos</t>
  </si>
  <si>
    <t>SABESP:
aguardando retorno da SABESP</t>
  </si>
  <si>
    <r>
      <t xml:space="preserve">29/04/2026: </t>
    </r>
    <r>
      <rPr>
        <b/>
        <sz val="11"/>
        <color theme="1"/>
        <rFont val="Calibri"/>
        <family val="2"/>
        <scheme val="minor"/>
      </rPr>
      <t xml:space="preserve">Projeto de kaizen númeor 51 de 2026. </t>
    </r>
    <r>
      <rPr>
        <sz val="11"/>
        <color theme="1"/>
        <rFont val="Calibri"/>
        <family val="2"/>
        <scheme val="minor"/>
      </rPr>
      <t>Enviado para validaç!ao da controladoria em 29/04/2026</t>
    </r>
  </si>
  <si>
    <t>10 - Padronização de arame de solda</t>
  </si>
  <si>
    <t>\\192.168.0.20\DEPARTAMENTOS\\Engenharia\0. Kaizen Diadema\6. 2026\01 Janeiro\06 - Padronização de Arame de Solda_Izaias Junior_Engenharia\06_Padronização Arame de Solda. rev01_Izaias Junior.xlsx</t>
  </si>
  <si>
    <t>Padronizar todos os processos de solda com arame de 1,2mm</t>
  </si>
  <si>
    <t>I. Junior</t>
  </si>
  <si>
    <t>Produção:
a mudança será feita no shutdown</t>
  </si>
  <si>
    <t>Projeto de kaizen número 06 de 2026</t>
  </si>
  <si>
    <t>11 - Resourcing de DSL para DD</t>
  </si>
  <si>
    <t>Trazer 2 ferramentas da VW1131</t>
  </si>
  <si>
    <t>Não Ok</t>
  </si>
  <si>
    <t>12 - Aproveitamento de peças Obsoletas - A9583176540</t>
  </si>
  <si>
    <t>\\192.168.0.20\DEPARTAMENTOS\Engenharia\0. Kaizen Diadema\5. 2025\12 Dezembro - 5\54 - Aproveitamento_de_peças_obsoletas.xlsx</t>
  </si>
  <si>
    <t>Transformar o PN obsoleto no PN conrrete A9583178440, por meio de corte laser 3D</t>
  </si>
  <si>
    <r>
      <t xml:space="preserve">23/01/2026: Aguardando validação da controladoria. </t>
    </r>
    <r>
      <rPr>
        <b/>
        <sz val="11"/>
        <color theme="1"/>
        <rFont val="Calibri"/>
        <family val="2"/>
        <scheme val="minor"/>
      </rPr>
      <t>Projeto de kaizen número 54 de 2025.</t>
    </r>
  </si>
  <si>
    <t>03/02/2026: todas as peças foram expedidas ao cliente. Todas as NF de movimentaçção foram anexadas como evidência na pasta do projeto. Fica pendente a validação da controladoria. -&gt; Validado - o valor total foi atualizado com base no custo médio da peça no estoque em Dez/25 quando enviada ao fornecedor.</t>
  </si>
  <si>
    <t>13 - Redução de Componente - 4065 de 6 para 4</t>
  </si>
  <si>
    <t>\\192.168.0.20\DEPARTAMENTOS\Engenharia\0. Kaizen Diadema\5. 2025\12 Dezembro - 5\53 - Redução de Componente - 4065 de 6 para 4.xlsx</t>
  </si>
  <si>
    <t xml:space="preserve">O item pedaleira da MBB atualmente contém 6 porcas, porém, o desenho solicita 4 porcas. </t>
  </si>
  <si>
    <r>
      <t xml:space="preserve">23/01/2026: Aguardando validação da controladoria. </t>
    </r>
    <r>
      <rPr>
        <b/>
        <sz val="11"/>
        <color theme="1"/>
        <rFont val="Calibri"/>
        <family val="2"/>
        <scheme val="minor"/>
      </rPr>
      <t>Projeto de kaizen número 53 de 2025.</t>
    </r>
  </si>
  <si>
    <r>
      <t xml:space="preserve">14 - REDUÇÃO DE MP </t>
    </r>
    <r>
      <rPr>
        <b/>
        <sz val="11"/>
        <color theme="1"/>
        <rFont val="Calibri"/>
        <family val="2"/>
        <scheme val="minor"/>
      </rPr>
      <t xml:space="preserve">DA000518Z (Anchieta) Código DD - </t>
    </r>
    <r>
      <rPr>
        <sz val="11"/>
        <color theme="1"/>
        <rFont val="Calibri"/>
        <family val="2"/>
        <scheme val="minor"/>
      </rPr>
      <t>VB000324Z</t>
    </r>
  </si>
  <si>
    <t>\\192.168.0.20\DEPARTAMENTOS\\Engenharia\0. Kaizen Diadema\6. 2026\01 Janeiro\04 - DA000518Z_Thiago Cardoso_Engenharia\4 - KAIZEN DA000518Z.xlsx</t>
  </si>
  <si>
    <t>Aumentar a largura da bobina de 1100 para 1250, eliminando sobra (retalho).</t>
  </si>
  <si>
    <t>T. Cardodo</t>
  </si>
  <si>
    <r>
      <t xml:space="preserve">23/01/2026: Aguardando validação da controladoria. </t>
    </r>
    <r>
      <rPr>
        <b/>
        <sz val="11"/>
        <color theme="1"/>
        <rFont val="Calibri"/>
        <family val="2"/>
        <scheme val="minor"/>
      </rPr>
      <t>Projeto de kaizen número 04 de 2026</t>
    </r>
  </si>
  <si>
    <r>
      <t>03/02/2026: A bobina deu entrada na DELGA Diadema em 22</t>
    </r>
    <r>
      <rPr>
        <sz val="11"/>
        <rFont val="Calibri"/>
        <family val="2"/>
        <scheme val="minor"/>
      </rPr>
      <t>/01/2026 NF 139598</t>
    </r>
    <r>
      <rPr>
        <sz val="11"/>
        <color theme="1"/>
        <rFont val="Calibri"/>
        <family val="2"/>
        <scheme val="minor"/>
      </rPr>
      <t>. Fica pendente a validação da controladoria.</t>
    </r>
  </si>
  <si>
    <t>15 - Kaizem - Botões BI - MANUAL</t>
  </si>
  <si>
    <t>\\192.168.0.20\DEPARTAMENTOS\\Engenharia\0. Kaizen Diadema\6. 2026\01 Janeiro\05 - Kaizem - Botões BI - MANUAL_Rafael Almeida_Ferramentaria\5 - Kaizem - Botões BI - MANUAL_Rev00.xlsx</t>
  </si>
  <si>
    <t>Reduzir custos de fabricação, utilizando recursos internos.</t>
  </si>
  <si>
    <t>S. Souza</t>
  </si>
  <si>
    <r>
      <t xml:space="preserve">23/01/2026: Aguardando validação da controladoria. </t>
    </r>
    <r>
      <rPr>
        <b/>
        <sz val="11"/>
        <color theme="1"/>
        <rFont val="Calibri"/>
        <family val="2"/>
        <scheme val="minor"/>
      </rPr>
      <t>Projeto de kaizen número 05 de 2026</t>
    </r>
  </si>
  <si>
    <t xml:space="preserve">03/02/2026: o trabalho já foi conclído. Fica pendente apenas a validação da controladoria. </t>
  </si>
  <si>
    <t>16 - Eficiência de MO na linha de Solda e Montagem</t>
  </si>
  <si>
    <t>\\192.168.0.20\DEPARTAMENTOS\Engenharia\0. Kaizen Diadema\6. 2026\02 Fevereiro\Kaizens 10_11_12_consolidados_ Redução de 2MOD.xlsx</t>
  </si>
  <si>
    <t>Foram realizados 3 kaizens na linha de solda e montagem, melhorando a eficiência de MO (redução de 2MO). Kaizens 10, 11 e 12.</t>
  </si>
  <si>
    <t>V. Moreira</t>
  </si>
  <si>
    <r>
      <t xml:space="preserve">03/02/206 - O Vitório entregou 3 kaizens que juntos reduzirão 2 MOD. </t>
    </r>
    <r>
      <rPr>
        <b/>
        <sz val="11"/>
        <color theme="1"/>
        <rFont val="Calibri"/>
        <family val="2"/>
        <scheme val="minor"/>
      </rPr>
      <t>Projetos de kaizen número 10, 11 e 12 de 2026</t>
    </r>
  </si>
  <si>
    <t xml:space="preserve">03/02/2026 - No dia 06/02/2026 foi executado a primeira redução de MOD. </t>
  </si>
  <si>
    <t>17 - MB003537LB_MB003538LB</t>
  </si>
  <si>
    <t>\\192.168.0.20\DEPARTAMENTOS\\Engenharia\0. Kaizen Diadema\6. 2026\02 Fevereiro\13 - MB003537LB_MB003538LB - Bruno Manachini_Engenharia\13 - KAIZEN - MB003537LB_MB003538LB_Rev00_Bruno Manachini.xlsx</t>
  </si>
  <si>
    <t>De 111 peças por chapa para 160</t>
  </si>
  <si>
    <r>
      <t xml:space="preserve">05/02/2026 - Kaizen número 13 de 2026, em processo de implementação. Programa de corte laser e LT SAP. </t>
    </r>
    <r>
      <rPr>
        <b/>
        <sz val="11"/>
        <color theme="1"/>
        <rFont val="Calibri"/>
        <family val="2"/>
        <scheme val="minor"/>
      </rPr>
      <t>Projeto de kaizen número 13 de 2026</t>
    </r>
  </si>
  <si>
    <r>
      <t>05/02/2026 - Aguardando validçaão da controladoria; 10/02/2026: validado pela Carolina Rodrigues em 10/02/2026 15h31 - e-mail</t>
    </r>
    <r>
      <rPr>
        <i/>
        <sz val="11"/>
        <color rgb="FFC00000"/>
        <rFont val="Calibri"/>
        <family val="2"/>
        <scheme val="minor"/>
      </rPr>
      <t xml:space="preserve"> -&gt; Calculado o ganho direto da MP, visto que os processos não mudam - baseado no volume Budget dos itens que são faturados (Março a Dezembro)</t>
    </r>
  </si>
  <si>
    <t>18 - Venda de Embalagens, ativos e sucatas</t>
  </si>
  <si>
    <t>\\192.168.0.20\DEPARTAMENTOS\\Engenharia\0. Kaizen Diadema\6. 2026\03 Março\41 - VENDA DE ATIVOS OBSOLETOS_Paulo Algodoal_Produção\41 - VENDA DE ATIVOS OBSOLETOS_REV00.xlsx</t>
  </si>
  <si>
    <t xml:space="preserve">Fazer levantamento de embalagens obsoletas, quantificar e pesar. </t>
  </si>
  <si>
    <t>P. Algodoal</t>
  </si>
  <si>
    <r>
      <t xml:space="preserve">02/04/2026: </t>
    </r>
    <r>
      <rPr>
        <b/>
        <sz val="11"/>
        <color theme="1"/>
        <rFont val="Calibri"/>
        <family val="2"/>
        <scheme val="minor"/>
      </rPr>
      <t>Projeto de kaizen número 42 de 2026.</t>
    </r>
  </si>
  <si>
    <t>19 - Kaizen Facão. DA000481Z - PRODUTIVIDADE</t>
  </si>
  <si>
    <t>\\192.168.0.20\DEPARTAMENTOS\Engenharia\0. Kaizen Diadema\6. 2026\01 Janeiro\07 - Kaizen Facão_Sebastião Gomes\7 - KAIZEN FACÃO DA000418Z_JAN 2026.xlsx</t>
  </si>
  <si>
    <t>Reduzir a quantidade de MO de 2 para 1 MO.</t>
  </si>
  <si>
    <t>S. Gomes</t>
  </si>
  <si>
    <r>
      <t xml:space="preserve">05/02/2026: Falta atualizar a LT do SAP. </t>
    </r>
    <r>
      <rPr>
        <b/>
        <sz val="11"/>
        <color theme="1"/>
        <rFont val="Calibri"/>
        <family val="2"/>
        <scheme val="minor"/>
      </rPr>
      <t>Projeto de kaizen número 07 de 2026.</t>
    </r>
  </si>
  <si>
    <t>Projeto concluído, tendo redução de 1MO somando este projeto com o projeto 3 (Cavalo Marinho) e projeto 4 (Pulmão).</t>
  </si>
  <si>
    <t>20 - Redução refugo em relação ao budget</t>
  </si>
  <si>
    <t>\\192.168.0.20\DEPARTAMENTOS\Engenharia\0. Kaizen Diadema\6. 2026\02 Fevereiro\19 - Redução de refugo em relação ao budget_Rodrigo Larrubia\19 - Redução de refugo em relação ao budget 2026.xlsx</t>
  </si>
  <si>
    <t xml:space="preserve">Para budget 2026 foi previsto R$442K (36,8k/mês). Objetivo 0,2% do faturamento, logo, R$360K. </t>
  </si>
  <si>
    <t>R. Larrubia</t>
  </si>
  <si>
    <t>05/02/2026 - O objetivo é reduzir o custo médio mensal previsto no budget, para um custo de 0,2% em relação ao faturamento. Budget prevê R$442K. Se ficarmos anaixo de 0,2% do faturamento (R$360K), o potencial de ganho é R$82K - VALIDADO Custos &gt;&gt; Projeção de ganho anual de 83.506,82  ( nessa meta o interessante é praticar sempre menos do que o Budget mensal, visto que a projeção do Budget anual já considera 0,2% do faturamento.</t>
  </si>
  <si>
    <r>
      <t xml:space="preserve">05/02/2026: e-mail do Paulo Ribeiro confirmando o R$ do budget, 05/02/2026 16h18, salvo na pasta, como evidência. </t>
    </r>
    <r>
      <rPr>
        <b/>
        <sz val="11"/>
        <color theme="1"/>
        <rFont val="Calibri"/>
        <family val="2"/>
        <scheme val="minor"/>
      </rPr>
      <t>Projeto de kaizen númrero 19 de 2026</t>
    </r>
  </si>
  <si>
    <t>21 - Kaizen_Redução de peso bruto MB003537LA_MB003538LA</t>
  </si>
  <si>
    <t>\\192.168.0.20\DEPARTAMENTOS\\Engenharia\0. Kaizen Diadema\6. 2026\02 Fevereiro\14 - MB003537LA_MB003538LA - Bruno Manachini_Engenharia\14 - KAIZEN - MB003537LA_MB003538LA_Rev00_Bruno Manachini.xlsx</t>
  </si>
  <si>
    <t>De 111 peças por chapa para 168</t>
  </si>
  <si>
    <r>
      <t>05/02/2026 - Projeto de k</t>
    </r>
    <r>
      <rPr>
        <b/>
        <sz val="11"/>
        <color theme="1"/>
        <rFont val="Calibri"/>
        <family val="2"/>
        <scheme val="minor"/>
      </rPr>
      <t>aizen número 14 de 2026</t>
    </r>
    <r>
      <rPr>
        <sz val="11"/>
        <color theme="1"/>
        <rFont val="Calibri"/>
        <family val="2"/>
        <scheme val="minor"/>
      </rPr>
      <t xml:space="preserve">, em processo de implementação. Programa de corte laser e LT SAP. </t>
    </r>
  </si>
  <si>
    <r>
      <t xml:space="preserve">05/02/2026 - Aguardando validação dae Custos -&gt; </t>
    </r>
    <r>
      <rPr>
        <i/>
        <sz val="11"/>
        <color theme="5" tint="-0.249977111117893"/>
        <rFont val="Calibri"/>
        <family val="2"/>
        <scheme val="minor"/>
      </rPr>
      <t>Calculado o ganho direto da MP, visto que os processos não mudam - baseado no volume Budget dos itens que são faturados</t>
    </r>
    <r>
      <rPr>
        <sz val="11"/>
        <color theme="1"/>
        <rFont val="Calibri"/>
        <family val="2"/>
        <scheme val="minor"/>
      </rPr>
      <t xml:space="preserve"> </t>
    </r>
    <r>
      <rPr>
        <i/>
        <sz val="11"/>
        <color theme="5" tint="-0.249977111117893"/>
        <rFont val="Calibri"/>
        <family val="2"/>
        <scheme val="minor"/>
      </rPr>
      <t>(Março a Dezembro)</t>
    </r>
  </si>
  <si>
    <t>22 - Aproveitamento de Retalho do corte laser - MB002316LA_MB003533LA_MB003673LC</t>
  </si>
  <si>
    <t>\\192.168.0.20\DEPARTAMENTOS\Engenharia\0. Kaizen Diadema\6. 2026\02 Fevereiro\15 - MB002316LA_MB003533LA_MB003673LC - Bruno Manachini_Engenharia\15 - KAIZEN - MB002316LA_MB003533LA_MB003673LC_Rev00_Bruno Manachini.xlsx</t>
  </si>
  <si>
    <t>Corta as peças MB003673LC e MB003533LA/LB no retalho da peça MB002316LA</t>
  </si>
  <si>
    <t>13/02/2026: Projeto de kaizen número 15 de 2026.</t>
  </si>
  <si>
    <t>23 - Redução do peso bruto VW000581Z / VW000582Z</t>
  </si>
  <si>
    <t>\\192.168.0.20\DEPARTAMENTOS\\Engenharia\0. Kaizen Diadema\6. 2026\02 Fevereiro\16 - VW000581Z_VW000582Z - Bruno Manachini\16 - KAIZEN - Redução do peso bruto VW000581Z  VW000582Z_Rev00_B. Manachini.xlsx</t>
  </si>
  <si>
    <t>Reduzir o blank de 840mm para 820mm (passo).</t>
  </si>
  <si>
    <t>Compras (Lucas):
Aguardando retorno da SU</t>
  </si>
  <si>
    <r>
      <t>17/02/2026:</t>
    </r>
    <r>
      <rPr>
        <b/>
        <sz val="11"/>
        <color theme="1"/>
        <rFont val="Calibri"/>
        <family val="2"/>
        <scheme val="minor"/>
      </rPr>
      <t xml:space="preserve"> </t>
    </r>
    <r>
      <rPr>
        <b/>
        <sz val="11"/>
        <rFont val="Calibri"/>
        <family val="2"/>
        <scheme val="minor"/>
      </rPr>
      <t>Projeto de kaizen número 16 de 2026</t>
    </r>
    <r>
      <rPr>
        <sz val="11"/>
        <color theme="1"/>
        <rFont val="Calibri"/>
        <family val="2"/>
        <scheme val="minor"/>
      </rPr>
      <t xml:space="preserve">. Enviado 16/02/2026 para validação da Controladoria. </t>
    </r>
  </si>
  <si>
    <t>&gt;&gt; Custos - validado, considerando volume de Março a Dezembro.</t>
  </si>
  <si>
    <t>24 - KAIZEN - Redução de peso bruto_MB002289LA_MB002290LA_Rev00_Bruno Manachini</t>
  </si>
  <si>
    <t>\\192.168.0.20\DEPARTAMENTOS\Engenharia\0. Kaizen Diadema\6. 2026\02 Fevereiro\20 - MB002289LA_MB002290LA - Bruno Manachini_Engenharia\20 - KAIZEN - Redução de peso bruto_MB002289LA_MB002290LA_Rev00_Bruno Manachini.xlsx</t>
  </si>
  <si>
    <t>Redução de 146g do peso bruto por peça (comprimento de 1540 para 2690)</t>
  </si>
  <si>
    <r>
      <t xml:space="preserve">24/02/2026: </t>
    </r>
    <r>
      <rPr>
        <b/>
        <sz val="11"/>
        <color theme="1"/>
        <rFont val="Calibri"/>
        <family val="2"/>
        <scheme val="minor"/>
      </rPr>
      <t>Projeto de kaizen número 20 de 2026.</t>
    </r>
    <r>
      <rPr>
        <sz val="11"/>
        <color theme="1"/>
        <rFont val="Calibri"/>
        <family val="2"/>
        <scheme val="minor"/>
      </rPr>
      <t xml:space="preserve"> Enviado 23/02/2026 para validação da Controladoria. --&gt; Aguardando confirmação de algumas informações  (email enviado 11/03)</t>
    </r>
  </si>
  <si>
    <t>-&gt; Aguardando confirmação de algumas informações - email enviado em 11/03.</t>
  </si>
  <si>
    <t>25 - KAIZEN - Redução de peso bruto_MB003601LA_Rev00_Bruno Manachini</t>
  </si>
  <si>
    <t>\\192.168.0.20\DEPARTAMENTOS\\Engenharia\0. Kaizen Diadema\6. 2026\02 Fevereiro\23 - MB003601LA - Bruno Manachini_Engenharia\23 - KAIZEN - Redução de peso bruto_MB003601LA_Rev00_Bruno Manachini.xlsx</t>
  </si>
  <si>
    <t>Redução de 904g do peso bruto por peça (comprimento de 2410 para 2470)</t>
  </si>
  <si>
    <r>
      <t>24/02/2026:</t>
    </r>
    <r>
      <rPr>
        <b/>
        <sz val="11"/>
        <color theme="1"/>
        <rFont val="Calibri"/>
        <family val="2"/>
        <scheme val="minor"/>
      </rPr>
      <t xml:space="preserve"> Projeto de kaizen número 23 de 2026.</t>
    </r>
    <r>
      <rPr>
        <sz val="11"/>
        <color theme="1"/>
        <rFont val="Calibri"/>
        <family val="2"/>
        <scheme val="minor"/>
      </rPr>
      <t xml:space="preserve"> Enviado 24/02/2026 para validação da Controladoria. </t>
    </r>
  </si>
  <si>
    <t>CUSTOS &gt;&gt;&gt; LT ATUALIZADA EM FEVEREIRO APENAS COM O PESO CORRETO DE 8,239KGS / PARA EFEITOS DE ANALISES, NESSES ESTUDOS DEVEMOS CONSIDERAR A LT GERADA NO BUDGET (budget congelado) / NESSE CASO, O PESO DA LT BUDGET É DE 7,552KGS (REDUÇÃO MENOR DO QUE A PROPOSTA) - volume de Mar a Dez, visto que ainda temos material antigo a ser consumido.</t>
  </si>
  <si>
    <t>26 - Redução_de_MP - DJ000059Z_DJ000060Z</t>
  </si>
  <si>
    <t>\\192.168.0.20\DEPARTAMENTOS\Engenharia\0. Kaizen Diadema\6. 2026\02 Fevereiro\24 - Redução_de_MP - DJ000059Z_DJ000060Z\24 - Redução_de_MP - DJ000059Z_DJ000060Z.xlsx</t>
  </si>
  <si>
    <t xml:space="preserve">Redução no passo de corte do blank da coluna "B" da GM (40m). </t>
  </si>
  <si>
    <r>
      <t>03/03/2026: Projeto de kaizen número 24 de 2026. Enviado em 03/03/2026 para validação da Controladoria. --&gt;</t>
    </r>
    <r>
      <rPr>
        <b/>
        <sz val="11"/>
        <color theme="1"/>
        <rFont val="Calibri"/>
        <family val="2"/>
        <scheme val="minor"/>
      </rPr>
      <t xml:space="preserve"> CUSTOS:</t>
    </r>
    <r>
      <rPr>
        <sz val="11"/>
        <color theme="1"/>
        <rFont val="Calibri"/>
        <family val="2"/>
        <scheme val="minor"/>
      </rPr>
      <t xml:space="preserve"> Redução considerada a partir do mês de Março/26 - a confirmar!</t>
    </r>
  </si>
  <si>
    <t>27 - DA000459AA - STC Volvo_</t>
  </si>
  <si>
    <t>\\192.168.0.20\DEPARTAMENTOS\\Engenharia\0. Kaizen Diadema\6. 2026\03 Março\37 - DA000459AA - STC Volvo_Sidnei Souza_Ferramentaria\37 - DA000459AA - STC Volvo_Sidnei Souza_Ferramentaria.xlsx</t>
  </si>
  <si>
    <t>Redução de 8mm no blank (0,16kg)/peça</t>
  </si>
  <si>
    <r>
      <t xml:space="preserve">17/03/2026: </t>
    </r>
    <r>
      <rPr>
        <b/>
        <sz val="11"/>
        <color theme="1"/>
        <rFont val="Calibri"/>
        <family val="2"/>
        <scheme val="minor"/>
      </rPr>
      <t>Projeto de kaizen número 37 de 2026</t>
    </r>
    <r>
      <rPr>
        <sz val="11"/>
        <color theme="1"/>
        <rFont val="Calibri"/>
        <family val="2"/>
        <scheme val="minor"/>
      </rPr>
      <t xml:space="preserve">. Enviado 17/03/2026 para validação da Controladoria. </t>
    </r>
  </si>
  <si>
    <t>28 - DA000487Z_DA000488Z - STC Scania P</t>
  </si>
  <si>
    <t>\\192.168.0.20\DEPARTAMENTOS\\Engenharia\0. Kaizen Diadema\6. 2026\03 Março\38 - DA000487AA_DA000488AA - STC Scania P_Sidnei Souza_Ferramentaria\38 - DA000487AA_DA000488AA - STC Scania P_Sidnei Souza_Ferramentaria_REV00.xlsx</t>
  </si>
  <si>
    <t>Redução de 20mm no blank (0,4kg)/peça</t>
  </si>
  <si>
    <r>
      <t xml:space="preserve">17/03/2026: </t>
    </r>
    <r>
      <rPr>
        <b/>
        <sz val="11"/>
        <color theme="1"/>
        <rFont val="Calibri"/>
        <family val="2"/>
        <scheme val="minor"/>
      </rPr>
      <t>Projeto de kaizen número 38 de 2026</t>
    </r>
    <r>
      <rPr>
        <sz val="11"/>
        <color theme="1"/>
        <rFont val="Calibri"/>
        <family val="2"/>
        <scheme val="minor"/>
      </rPr>
      <t xml:space="preserve">. Enviado 17/03/2026 para validação da Controladoria. </t>
    </r>
  </si>
  <si>
    <t>29 - DA000489Z_DA000490Z - STC Scania M_</t>
  </si>
  <si>
    <t>\\192.168.0.20\DEPARTAMENTOS\\Engenharia\0. Kaizen Diadema\6. 2026\03 Março\39 - DA000489AA_DA000490AA - STC Scania M_Sidnei Souza_Ferramentaria\39 - DA000489Z_DE000490Z - STC Scania M_Sidnei Souza_Ferramentaria_REV00.xlsx</t>
  </si>
  <si>
    <t>Redução de 20mm no blank (0,46kg)/peça</t>
  </si>
  <si>
    <r>
      <t xml:space="preserve">17/03/2026: </t>
    </r>
    <r>
      <rPr>
        <b/>
        <sz val="11"/>
        <color theme="1"/>
        <rFont val="Calibri"/>
        <family val="2"/>
        <scheme val="minor"/>
      </rPr>
      <t>Projeto de kaizen número 39 de 2026</t>
    </r>
    <r>
      <rPr>
        <sz val="11"/>
        <color theme="1"/>
        <rFont val="Calibri"/>
        <family val="2"/>
        <scheme val="minor"/>
      </rPr>
      <t xml:space="preserve">. Enviado 17/03/2026 para validação da Controladoria. </t>
    </r>
  </si>
  <si>
    <t>30 - DA000491Z_DE000492Z - STC Scania G_</t>
  </si>
  <si>
    <t>\\192.168.0.20\DEPARTAMENTOS\\Engenharia\0. Kaizen Diadema\6. 2026\03 Março\40 - DA000491AA_DA000492AA - STC Scania G_Sidnei Souza_Ferramentaria\40 - DA000491AA_DA000492AA - STC Scania G_Sidnei Souza_Ferramentaria_REV00.xlsx</t>
  </si>
  <si>
    <t>Redução de 20mm no blank (0,52kg)/peça</t>
  </si>
  <si>
    <t>Logística (Leandro)
Aguardando consumo de estoque</t>
  </si>
  <si>
    <r>
      <t xml:space="preserve">17/03/2026: </t>
    </r>
    <r>
      <rPr>
        <b/>
        <sz val="11"/>
        <color theme="1"/>
        <rFont val="Calibri"/>
        <family val="2"/>
        <scheme val="minor"/>
      </rPr>
      <t>Projeto de kaizen número 40 de 2026</t>
    </r>
    <r>
      <rPr>
        <sz val="11"/>
        <color theme="1"/>
        <rFont val="Calibri"/>
        <family val="2"/>
        <scheme val="minor"/>
      </rPr>
      <t xml:space="preserve">. Enviado 17/03/2026 para validação da Controladoria. </t>
    </r>
  </si>
  <si>
    <t>31 - Comunização da chapa CHQ0475ED12502650</t>
  </si>
  <si>
    <t>\\192.168.0.20\DEPARTAMENTOS\Engenharia\0. Kaizen Diadema\6. 2026\03 Março\25 - CHQ0475ED12502650 - Bruno Manachini_Engenharia\25 - KAIZEN - CHQ0475ED12502650_Rev00_Bruno Manachini.xlsx</t>
  </si>
  <si>
    <t>Corte da chapa de  (CHQ0475ED12501970) com L= 1250mm e C= 1970mm para Corte da chapa (CHQ0475ED12502650) com L= 1250mm e C= 2650mm.</t>
  </si>
  <si>
    <r>
      <t>04/03/2026:</t>
    </r>
    <r>
      <rPr>
        <b/>
        <sz val="11"/>
        <color theme="1"/>
        <rFont val="Calibri"/>
        <family val="2"/>
        <scheme val="minor"/>
      </rPr>
      <t xml:space="preserve"> Projeto de kaizen número 25 de 2026.</t>
    </r>
    <r>
      <rPr>
        <sz val="11"/>
        <color theme="1"/>
        <rFont val="Calibri"/>
        <family val="2"/>
        <scheme val="minor"/>
      </rPr>
      <t xml:space="preserve"> Enviado 02/03/2026 para validação da Controladoria. </t>
    </r>
  </si>
  <si>
    <t>32 - Redução de Peso Bruto do item MB003594LA</t>
  </si>
  <si>
    <t>\\Deptos\Engenharia\0. Kaizen Diadema\6. 2026\03 Março\26 - MB003594LA - Bruno Manachini_Engenharia\26 - KAIZEN - MB003594LA_Rev00_Bruno Manachini.xlsx</t>
  </si>
  <si>
    <t>De 187 peças por chapa para 196</t>
  </si>
  <si>
    <r>
      <t>04/03/2026:</t>
    </r>
    <r>
      <rPr>
        <b/>
        <sz val="11"/>
        <color theme="1"/>
        <rFont val="Calibri"/>
        <family val="2"/>
        <scheme val="minor"/>
      </rPr>
      <t xml:space="preserve"> Projeto de kaizen número 26 de 2026.</t>
    </r>
    <r>
      <rPr>
        <sz val="11"/>
        <color theme="1"/>
        <rFont val="Calibri"/>
        <family val="2"/>
        <scheme val="minor"/>
      </rPr>
      <t xml:space="preserve"> Enviado 02/03/2026 para validação da Controladoria. </t>
    </r>
  </si>
  <si>
    <t>33 - Redução de Peso Bruto do item MB003610LA</t>
  </si>
  <si>
    <t>\\192.168.0.20\DEPARTAMENTOS\\Engenharia\0. Kaizen Diadema\6. 2026\03 Março\27 - MB003610LA - Bruno Manachini_Engenharia</t>
  </si>
  <si>
    <t>De 154 peças por chapa para 207</t>
  </si>
  <si>
    <r>
      <rPr>
        <sz val="11"/>
        <color theme="1"/>
        <rFont val="Calibri"/>
        <family val="2"/>
        <scheme val="minor"/>
      </rPr>
      <t>04/03/2026:</t>
    </r>
    <r>
      <rPr>
        <b/>
        <sz val="11"/>
        <color theme="1"/>
        <rFont val="Calibri"/>
        <family val="2"/>
        <scheme val="minor"/>
      </rPr>
      <t xml:space="preserve"> Projeto de kaizen número 27 de 2026.</t>
    </r>
    <r>
      <rPr>
        <sz val="11"/>
        <color theme="1"/>
        <rFont val="Calibri"/>
        <family val="2"/>
        <scheme val="minor"/>
      </rPr>
      <t xml:space="preserve"> Enviado 02/03/2026 para validação da Controladoria. </t>
    </r>
  </si>
  <si>
    <t>34 - Redução de Peso Bruto do item MB003554LA</t>
  </si>
  <si>
    <t>\\192.168.0.20\DEPARTAMENTOS\Engenharia\0. Kaizen Diadema\6. 2026\03 Março\28 - MB003554LA - Bruno Manachini_Engenharia\28 - KAIZEN - MB003554LA_Rev00_Bruno Manachini.xlsx</t>
  </si>
  <si>
    <t>De 108 peças por chapa para 120</t>
  </si>
  <si>
    <r>
      <rPr>
        <sz val="11"/>
        <color theme="1"/>
        <rFont val="Calibri"/>
        <family val="2"/>
        <scheme val="minor"/>
      </rPr>
      <t>04/03/2026:</t>
    </r>
    <r>
      <rPr>
        <b/>
        <sz val="11"/>
        <color theme="1"/>
        <rFont val="Calibri"/>
        <family val="2"/>
        <scheme val="minor"/>
      </rPr>
      <t xml:space="preserve"> Projeto de kaizen número 28 de 2026.</t>
    </r>
    <r>
      <rPr>
        <sz val="11"/>
        <color theme="1"/>
        <rFont val="Calibri"/>
        <family val="2"/>
        <scheme val="minor"/>
      </rPr>
      <t xml:space="preserve"> Enviado 02/03/2026 para validação da Controladoria. </t>
    </r>
  </si>
  <si>
    <t>35 - Redução de Peso Bruto do item MB003597LA</t>
  </si>
  <si>
    <t>\\192.168.0.20\DEPARTAMENTOS\Engenharia\0. Kaizen Diadema\6. 2026\03 Março\29 - MB003597LA - Bruno Manachini_Engenharia\29 - KAIZEN - MB003597LA_Rev00_Bruno Manachini.xlsx</t>
  </si>
  <si>
    <t>De 63 peças por chapa para 68</t>
  </si>
  <si>
    <r>
      <rPr>
        <sz val="11"/>
        <color theme="1"/>
        <rFont val="Calibri"/>
        <family val="2"/>
        <scheme val="minor"/>
      </rPr>
      <t>04/03/2026:</t>
    </r>
    <r>
      <rPr>
        <b/>
        <sz val="11"/>
        <color theme="1"/>
        <rFont val="Calibri"/>
        <family val="2"/>
        <scheme val="minor"/>
      </rPr>
      <t xml:space="preserve"> Projeto de kaizen número 29 de 2026.</t>
    </r>
    <r>
      <rPr>
        <sz val="11"/>
        <color theme="1"/>
        <rFont val="Calibri"/>
        <family val="2"/>
        <scheme val="minor"/>
      </rPr>
      <t xml:space="preserve"> Enviado 02/03/2026 para validação da Controladoria. </t>
    </r>
  </si>
  <si>
    <t>36 - Redução de Peso Bruto do item MB003673LA</t>
  </si>
  <si>
    <t>\\192.168.0.20\DEPARTAMENTOS\Engenharia\0. Kaizen Diadema\6. 2026\03 Março\30 - MB003673LA - Bruno Manachini_Engenharia\30 - KAIZEN - MB003673LA_Rev00_Bruno Manachini.xlsx</t>
  </si>
  <si>
    <t>De 134 peças por chapa para 140</t>
  </si>
  <si>
    <r>
      <rPr>
        <sz val="11"/>
        <color theme="1"/>
        <rFont val="Calibri"/>
        <family val="2"/>
        <scheme val="minor"/>
      </rPr>
      <t>04/03/2026:</t>
    </r>
    <r>
      <rPr>
        <b/>
        <sz val="11"/>
        <color theme="1"/>
        <rFont val="Calibri"/>
        <family val="2"/>
        <scheme val="minor"/>
      </rPr>
      <t xml:space="preserve"> Projeto de kaizen número 30 de 2026.</t>
    </r>
    <r>
      <rPr>
        <sz val="11"/>
        <color theme="1"/>
        <rFont val="Calibri"/>
        <family val="2"/>
        <scheme val="minor"/>
      </rPr>
      <t xml:space="preserve"> Enviado 02/03/2026 para validação da Controladoria. </t>
    </r>
  </si>
  <si>
    <t>37 - Redução de Peso Bruto do item MB003673LD</t>
  </si>
  <si>
    <t>\\192.168.0.20\DEPARTAMENTOS\Engenharia\0. Kaizen Diadema\6. 2026\03 Março\31 - MB003673LD - Bruno Manachini_Engenharia\31 - KAIZEN - MB003673LD_Rev00_Bruno Manachini.xlsx</t>
  </si>
  <si>
    <t>De 686 peças por chapa para 992</t>
  </si>
  <si>
    <r>
      <rPr>
        <sz val="11"/>
        <color theme="1"/>
        <rFont val="Calibri"/>
        <family val="2"/>
        <scheme val="minor"/>
      </rPr>
      <t>04/03/2026:</t>
    </r>
    <r>
      <rPr>
        <b/>
        <sz val="11"/>
        <color theme="1"/>
        <rFont val="Calibri"/>
        <family val="2"/>
        <scheme val="minor"/>
      </rPr>
      <t xml:space="preserve"> Projeto de kaizen número 31 de 2026.</t>
    </r>
    <r>
      <rPr>
        <sz val="11"/>
        <color theme="1"/>
        <rFont val="Calibri"/>
        <family val="2"/>
        <scheme val="minor"/>
      </rPr>
      <t xml:space="preserve"> Enviado 02/03/2026 para validação da Controladoria. </t>
    </r>
  </si>
  <si>
    <t>38 - Redução de Peso Bruto do item SV000205LB</t>
  </si>
  <si>
    <t>\\192.168.0.20\DEPARTAMENTOS\Engenharia\0. Kaizen Diadema\6. 2026\03 Março\32 - SV000205LB - Bruno Manachini_Engenharia\32 - KAIZEN - SV000205LB_Rev00_Bruno Manachini.xlsx</t>
  </si>
  <si>
    <t>De 26 peças por chapa para 32</t>
  </si>
  <si>
    <r>
      <rPr>
        <sz val="11"/>
        <color theme="1"/>
        <rFont val="Calibri"/>
        <family val="2"/>
        <scheme val="minor"/>
      </rPr>
      <t>04/03/2026:</t>
    </r>
    <r>
      <rPr>
        <b/>
        <sz val="11"/>
        <color theme="1"/>
        <rFont val="Calibri"/>
        <family val="2"/>
        <scheme val="minor"/>
      </rPr>
      <t xml:space="preserve"> Projeto de kaizen número 32 de 2026.</t>
    </r>
    <r>
      <rPr>
        <sz val="11"/>
        <color theme="1"/>
        <rFont val="Calibri"/>
        <family val="2"/>
        <scheme val="minor"/>
      </rPr>
      <t xml:space="preserve"> Enviado 02/03/2026 para validação da Controladoria. </t>
    </r>
  </si>
  <si>
    <t>39 - Redução de Peso Bruto do item VB000323LA</t>
  </si>
  <si>
    <t>\\192.168.0.20\DEPARTAMENTOS\Engenharia\0. Kaizen Diadema\6. 2026\03 Março\33 - VB000323LA - Bruno Manachini_Engenharia\33 - KAIZEN - VB000323LA_Rev00_Bruno Manachini.xlsx</t>
  </si>
  <si>
    <t>De 101 peças por chapa para 127</t>
  </si>
  <si>
    <r>
      <rPr>
        <sz val="11"/>
        <color theme="1"/>
        <rFont val="Calibri"/>
        <family val="2"/>
        <scheme val="minor"/>
      </rPr>
      <t>04/03/2026:</t>
    </r>
    <r>
      <rPr>
        <b/>
        <sz val="11"/>
        <color theme="1"/>
        <rFont val="Calibri"/>
        <family val="2"/>
        <scheme val="minor"/>
      </rPr>
      <t xml:space="preserve"> Projeto de kaizen número 33 de 2026.</t>
    </r>
    <r>
      <rPr>
        <sz val="11"/>
        <color theme="1"/>
        <rFont val="Calibri"/>
        <family val="2"/>
        <scheme val="minor"/>
      </rPr>
      <t xml:space="preserve"> Enviado 02/03/2026 para validação da Controladoria. </t>
    </r>
  </si>
  <si>
    <t>40 - Redução de Peso Bruto do item VW001138LA</t>
  </si>
  <si>
    <t>\\192.168.0.20\DEPARTAMENTOS\Engenharia\0. Kaizen Diadema\6. 2026\03 Março\34 - VW001138LA - Bruno Manachini_Engenharia\34 - KAIZEN - VW001138LA_Rev00_Bruno Manachini.xlsx</t>
  </si>
  <si>
    <t>De 32 peças por chapa para 36</t>
  </si>
  <si>
    <r>
      <rPr>
        <sz val="11"/>
        <color theme="1"/>
        <rFont val="Calibri"/>
        <family val="2"/>
        <scheme val="minor"/>
      </rPr>
      <t>04/03/2026:</t>
    </r>
    <r>
      <rPr>
        <b/>
        <sz val="11"/>
        <color theme="1"/>
        <rFont val="Calibri"/>
        <family val="2"/>
        <scheme val="minor"/>
      </rPr>
      <t xml:space="preserve"> Projeto de kaizen número 34 de 2026.</t>
    </r>
    <r>
      <rPr>
        <sz val="11"/>
        <color theme="1"/>
        <rFont val="Calibri"/>
        <family val="2"/>
        <scheme val="minor"/>
      </rPr>
      <t xml:space="preserve"> Enviado 02/03/2026 para validação da Controladoria. </t>
    </r>
  </si>
  <si>
    <t>41 - Redução de Peso Bruto do item SV001141LA</t>
  </si>
  <si>
    <t>\\192.168.0.20\DEPARTAMENTOS\Engenharia\0. Kaizen Diadema\6. 2026\03 Março\35 - SV001141LA - Bruno Manachini_Engenharia\35 - KAIZEN - SV001141LA_Rev00_Bruno Manachini.xlsx</t>
  </si>
  <si>
    <t>De 31 peças por chapa para 34</t>
  </si>
  <si>
    <r>
      <rPr>
        <sz val="11"/>
        <color theme="1"/>
        <rFont val="Calibri"/>
        <family val="2"/>
        <scheme val="minor"/>
      </rPr>
      <t>04/03/2026:</t>
    </r>
    <r>
      <rPr>
        <b/>
        <sz val="11"/>
        <color theme="1"/>
        <rFont val="Calibri"/>
        <family val="2"/>
        <scheme val="minor"/>
      </rPr>
      <t xml:space="preserve"> Projeto de kaizen número 35 de 2026.</t>
    </r>
    <r>
      <rPr>
        <sz val="11"/>
        <color theme="1"/>
        <rFont val="Calibri"/>
        <family val="2"/>
        <scheme val="minor"/>
      </rPr>
      <t xml:space="preserve"> Enviado 02/03/2026 para validação da Controladoria. </t>
    </r>
  </si>
  <si>
    <t>42 - Aluguel de Compressor</t>
  </si>
  <si>
    <t>\\192.168.0.20\departamentos\Engenharia\0. Kaizen Diadema\6. 2026\04 Abril\44 - Redução de um compressor alugado planta Diadema 2026 _Mario Reami_REV00\44 - Redução de um compressor alugado planta Diadema 2026 _Mario Reami_REV00.xlsx</t>
  </si>
  <si>
    <t xml:space="preserve">Consertar o compressor da DELGA (60k), e eliminar o aluguel de 1 compressro (17,5K/mês). </t>
  </si>
  <si>
    <t>M. Reami</t>
  </si>
  <si>
    <r>
      <rPr>
        <sz val="11"/>
        <color theme="1"/>
        <rFont val="Calibri"/>
        <family val="2"/>
        <scheme val="minor"/>
      </rPr>
      <t>02/04/2026:</t>
    </r>
    <r>
      <rPr>
        <b/>
        <sz val="11"/>
        <color theme="1"/>
        <rFont val="Calibri"/>
        <family val="2"/>
        <scheme val="minor"/>
      </rPr>
      <t xml:space="preserve"> Projeto de kaizen número 44 de 2026.</t>
    </r>
    <r>
      <rPr>
        <sz val="11"/>
        <color theme="1"/>
        <rFont val="Calibri"/>
        <family val="2"/>
        <scheme val="minor"/>
      </rPr>
      <t xml:space="preserve"> Enviado 02/04/2026 para validação da Controladoria. </t>
    </r>
  </si>
  <si>
    <t>43 - Automação Boomerang</t>
  </si>
  <si>
    <t>\\192.168.0.20\departamentos\Engenharia\0. Kaizen Diadema\6. 2026\04 Abril\43 - Projeto de Automação Boomerang_Izaias Junior_Engenharia_REV00\43 - Projeto de Automação Boomerang_Izaias Junior_Engenharia_REV00.xlsx</t>
  </si>
  <si>
    <t>Soldar os Boomerang na célula 10 (robô), que atualmente são soldados em cabines manuais (redução de 1MOD)</t>
  </si>
  <si>
    <t>Produção: Aguardando liberação de máquina</t>
  </si>
  <si>
    <r>
      <rPr>
        <sz val="11"/>
        <color theme="1"/>
        <rFont val="Calibri"/>
        <family val="2"/>
        <scheme val="minor"/>
      </rPr>
      <t>02/04/2026:</t>
    </r>
    <r>
      <rPr>
        <b/>
        <sz val="11"/>
        <color theme="1"/>
        <rFont val="Calibri"/>
        <family val="2"/>
        <scheme val="minor"/>
      </rPr>
      <t xml:space="preserve"> Projeto de kaizen número 43 de 2026.</t>
    </r>
    <r>
      <rPr>
        <sz val="11"/>
        <color theme="1"/>
        <rFont val="Calibri"/>
        <family val="2"/>
        <scheme val="minor"/>
      </rPr>
      <t xml:space="preserve"> Enviado 02/04/2026 para validação da Controladoria. Redução de 1MOD (soldador), das cabines manuais</t>
    </r>
  </si>
  <si>
    <t>44 - Mudança de fonte Usiminas para Arcelor</t>
  </si>
  <si>
    <t>\\192.168.0.20\DEPARTAMENTOS\Engenharia\0. Kaizen Diadema\6. 2026\04 Abril\45 - Mudança de fonte de Usiminas para Arcelor - Robson Luz_Engenharia_REV_00.xlsx</t>
  </si>
  <si>
    <t>Aterar fonte de distibuição do BOQ0575EE1150 MTH (Usiminas) para BOQ0600LA1150 MTL (Arcelor) visando reduzir o preço do Kg .</t>
  </si>
  <si>
    <t>Compras (Lucas)
Aguardando retorno da Usina</t>
  </si>
  <si>
    <r>
      <rPr>
        <sz val="11"/>
        <color theme="1"/>
        <rFont val="Calibri"/>
        <family val="2"/>
        <scheme val="minor"/>
      </rPr>
      <t>06/04/2026:</t>
    </r>
    <r>
      <rPr>
        <b/>
        <sz val="11"/>
        <color theme="1"/>
        <rFont val="Calibri"/>
        <family val="2"/>
        <scheme val="minor"/>
      </rPr>
      <t xml:space="preserve"> Projeto de kaizen número 45 de 2026.</t>
    </r>
    <r>
      <rPr>
        <sz val="11"/>
        <color theme="1"/>
        <rFont val="Calibri"/>
        <family val="2"/>
        <scheme val="minor"/>
      </rPr>
      <t xml:space="preserve"> Enviado 02/04/2026 para validação da Controladoria. </t>
    </r>
  </si>
  <si>
    <t>45 - Redução de MP GM000409Z</t>
  </si>
  <si>
    <t>\\192.168.0.20\departamentos\Engenharia\0. Kaizen Diadema\6. 2026\04 Abril\46 - Redução de MP - GM000408Z_409Z_Passo_Rev00_Thiago Cardoso\46 - Redução de MP - GM000408Z_409Z_Passo_Rev00_Thiago Cardoso.xlsx</t>
  </si>
  <si>
    <t>REDUZIR PASSO DE 210 mm PARA 195 mm. REDUÇÃO DE PESO BRUTO DE 1,561 KG PARA 1,464 KG.</t>
  </si>
  <si>
    <r>
      <rPr>
        <sz val="11"/>
        <color theme="1"/>
        <rFont val="Calibri"/>
        <family val="2"/>
        <scheme val="minor"/>
      </rPr>
      <t>06/04/2026:</t>
    </r>
    <r>
      <rPr>
        <b/>
        <sz val="11"/>
        <color theme="1"/>
        <rFont val="Calibri"/>
        <family val="2"/>
        <scheme val="minor"/>
      </rPr>
      <t xml:space="preserve"> Projeto de kaizen número 46 de 2026.</t>
    </r>
    <r>
      <rPr>
        <sz val="11"/>
        <color theme="1"/>
        <rFont val="Calibri"/>
        <family val="2"/>
        <scheme val="minor"/>
      </rPr>
      <t xml:space="preserve"> Enviado 06/04/2026 para validação da Controladoria. </t>
    </r>
  </si>
  <si>
    <t>46 - AGUA DESMINERALIZADA</t>
  </si>
  <si>
    <t>\\192.168.0.20\departamentos\Engenharia\0. Kaizen Diadema\6. 2026\04 Abril\47 - KAIZEN AGUA DESMINERALIZADA 2026 Diadema 2026 _Mario REAMI\47 - KAIZEN AGUA DESMINERALIZADA 2026 Diadema 2026 _Mario REAMI.xlsx</t>
  </si>
  <si>
    <t>ELIMINAR COMPRA DE GALÕES DE ÁGUA DESMINERALIZADA E SAÍDAS COM CARRO DE FROTA</t>
  </si>
  <si>
    <r>
      <rPr>
        <sz val="11"/>
        <color theme="1"/>
        <rFont val="Calibri"/>
        <family val="2"/>
        <scheme val="minor"/>
      </rPr>
      <t>06/04/2026:</t>
    </r>
    <r>
      <rPr>
        <b/>
        <sz val="11"/>
        <color theme="1"/>
        <rFont val="Calibri"/>
        <family val="2"/>
        <scheme val="minor"/>
      </rPr>
      <t xml:space="preserve"> Projeto de kaizen número 47 de 2026.</t>
    </r>
    <r>
      <rPr>
        <sz val="11"/>
        <color theme="1"/>
        <rFont val="Calibri"/>
        <family val="2"/>
        <scheme val="minor"/>
      </rPr>
      <t xml:space="preserve"> Enviado 06/04/2026 para validação da Controladoria. </t>
    </r>
  </si>
  <si>
    <t>47 - REDUÇÃO DE MP DJ000079Z – 80Z</t>
  </si>
  <si>
    <t>\\192.168.0.20\departamentos\Engenharia\0. Kaizen Diadema\6. 2026\04 Abril\48 - Redução de MP - DJ000079Z - 80Z_Rev00_Thiago Cardoso\48 - Redução de MP - DJ000079Z - 80Z_Rev00_Thiago Cardoso.xlsx</t>
  </si>
  <si>
    <t>Redução da largura do slitter de 400mm para 366mm</t>
  </si>
  <si>
    <r>
      <t>13/03/2026:</t>
    </r>
    <r>
      <rPr>
        <b/>
        <sz val="11"/>
        <color theme="1"/>
        <rFont val="Calibri"/>
        <family val="2"/>
        <scheme val="minor"/>
      </rPr>
      <t xml:space="preserve"> Projeto de kaizen número 48 de 2026.</t>
    </r>
    <r>
      <rPr>
        <sz val="11"/>
        <color theme="1"/>
        <rFont val="Calibri"/>
        <family val="2"/>
        <scheme val="minor"/>
      </rPr>
      <t xml:space="preserve"> Enviado 08/04/2026 para validação da Controladoria. </t>
    </r>
  </si>
  <si>
    <t>48 - REDUÇÃO DE MP BOZ0150HX1000</t>
  </si>
  <si>
    <t>\\192.168.0.20\departamentos\Engenharia\0. Kaizen Diadema\6. 2026\04 Abril\49 - Redução de MP - BOZ0150HX1000_Rev00_Thiago Cardoso\49 - Redução de MP - BOZ0150HX1000_Rev00_Thiago Cardoso.xlsx</t>
  </si>
  <si>
    <t>Redução da largura do slitter de 1000mm para 950mm</t>
  </si>
  <si>
    <r>
      <t>13/03/2026:</t>
    </r>
    <r>
      <rPr>
        <b/>
        <sz val="11"/>
        <color theme="1"/>
        <rFont val="Calibri"/>
        <family val="2"/>
        <scheme val="minor"/>
      </rPr>
      <t xml:space="preserve"> Projeto de kaizen número 49 de 2026.</t>
    </r>
    <r>
      <rPr>
        <sz val="11"/>
        <color theme="1"/>
        <rFont val="Calibri"/>
        <family val="2"/>
        <scheme val="minor"/>
      </rPr>
      <t xml:space="preserve"> Enviado 08/04/2026 para validação da Controladoria. </t>
    </r>
  </si>
  <si>
    <t>49 - REDUÇÃO DE MP GM000408Z / GM000409Z</t>
  </si>
  <si>
    <t>\\192.168.0.20\departamentos\Engenharia\0. Kaizen Diadema\6. 2026\04 Abril\50 - Redução de MP - GM000408Z_409Z_Bobina_Rev00_Thiago Cardoso\50 - Redução de MP - GM000408Z_409Z_Bobina_Rev00_Thiago Cardoso.xlsx</t>
  </si>
  <si>
    <t>Redução na largura da bobina de 1250mm para 1200mm</t>
  </si>
  <si>
    <r>
      <rPr>
        <sz val="11"/>
        <color theme="1"/>
        <rFont val="Calibri"/>
        <family val="2"/>
        <scheme val="minor"/>
      </rPr>
      <t>13/04/2026:</t>
    </r>
    <r>
      <rPr>
        <b/>
        <sz val="11"/>
        <color theme="1"/>
        <rFont val="Calibri"/>
        <family val="2"/>
        <scheme val="minor"/>
      </rPr>
      <t xml:space="preserve"> Projeto de kaizen número 50 de 2026.</t>
    </r>
    <r>
      <rPr>
        <sz val="11"/>
        <color theme="1"/>
        <rFont val="Calibri"/>
        <family val="2"/>
        <scheme val="minor"/>
      </rPr>
      <t xml:space="preserve"> Enviado 08/04/2026 para validação da Controladoria. </t>
    </r>
  </si>
  <si>
    <t>50 - Suporte da lanterna MB003681</t>
  </si>
  <si>
    <t>\\192.168.0.20\departamentos\Engenharia\0. Kaizen Diadema\6. 2026\04 Abril\52 - Suporte da lanterna MB003681_Sidnei Souza_Ferramentaria\52 - Suporte da lanterna MB003681_REV00.xlsx</t>
  </si>
  <si>
    <t>Redução de 12mm na largura do blank. De 300mm para 288mm. Redução de 0,44kg por blank</t>
  </si>
  <si>
    <r>
      <rPr>
        <sz val="11"/>
        <color theme="1"/>
        <rFont val="Calibri"/>
        <family val="2"/>
        <scheme val="minor"/>
      </rPr>
      <t>13/03/2026:</t>
    </r>
    <r>
      <rPr>
        <b/>
        <sz val="11"/>
        <color theme="1"/>
        <rFont val="Calibri"/>
        <family val="2"/>
        <scheme val="minor"/>
      </rPr>
      <t xml:space="preserve"> Projeto de kaizen número 52 de 2026.</t>
    </r>
    <r>
      <rPr>
        <sz val="11"/>
        <color theme="1"/>
        <rFont val="Calibri"/>
        <family val="2"/>
        <scheme val="minor"/>
      </rPr>
      <t xml:space="preserve"> Enviado 13/04/2026 para validação da Controladoria. </t>
    </r>
  </si>
  <si>
    <t>51 - Redução de MP - GM000402Z_403Z_Passo</t>
  </si>
  <si>
    <t>\\192.168.0.20\departamentos\Engenharia\0. Kaizen Diadema\6. 2026\04 Abril\55 - Redução de MP - GM000402Z_403Z_Passo_Rev00_Thiago Cardoso\55 - Redução de MP - GM000402Z_403Z_Passo_Rev00_Thiago Cardoso.xlsx</t>
  </si>
  <si>
    <t>Redução de 15mm no passo do blank (183g/blank)</t>
  </si>
  <si>
    <r>
      <t xml:space="preserve">20/04/2026: </t>
    </r>
    <r>
      <rPr>
        <b/>
        <sz val="11"/>
        <color theme="1"/>
        <rFont val="Calibri"/>
        <family val="2"/>
        <scheme val="minor"/>
      </rPr>
      <t>Projeto de kaizen número 55 de 2026</t>
    </r>
    <r>
      <rPr>
        <sz val="11"/>
        <color theme="1"/>
        <rFont val="Calibri"/>
        <family val="2"/>
        <scheme val="minor"/>
      </rPr>
      <t>. Enviado 20/04/2026 para validação da Controladoria.</t>
    </r>
  </si>
  <si>
    <t>52 - Redução de MP - GM000458Z / GM000459Z</t>
  </si>
  <si>
    <t>\\192.168.0.20\departamentos\Engenharia\0. Kaizen Diadema\6. 2026\04 Abril\56 - Redução_de_MP - GM000458Z_GM000459Z_Bruno Manachini\56 - Redução_de_MP - GM000458Z_GM000459Z.xlsx</t>
  </si>
  <si>
    <t xml:space="preserve">Reduzir 20mm no passo do blank, de 190 para 180 (5mm/peça). </t>
  </si>
  <si>
    <r>
      <t xml:space="preserve">22/04/2026: </t>
    </r>
    <r>
      <rPr>
        <b/>
        <sz val="11"/>
        <color theme="1"/>
        <rFont val="Calibri"/>
        <family val="2"/>
        <scheme val="minor"/>
      </rPr>
      <t>Projeto de kaizen número 56 de 2026</t>
    </r>
    <r>
      <rPr>
        <sz val="11"/>
        <color theme="1"/>
        <rFont val="Calibri"/>
        <family val="2"/>
        <scheme val="minor"/>
      </rPr>
      <t>. Enviado 22/04/2026 para validação da Controladoria.</t>
    </r>
  </si>
  <si>
    <t xml:space="preserve">53 - Redução no custo de aluguel de cilindros. </t>
  </si>
  <si>
    <t>\\192.168.0.20\departamentos\Engenharia\0. Kaizen Diadema\6. 2026\04 Abril\54 - Redução com aluguel de cilindros_Eduardo Fajardo\54 - Redução com aluguel de cilindros_Eduardo Fajardo_REV00.xlsx</t>
  </si>
  <si>
    <t xml:space="preserve">Devolver 15 cilindros de alta pressão, para o fornecedor MESSER. </t>
  </si>
  <si>
    <r>
      <rPr>
        <sz val="11"/>
        <color theme="1"/>
        <rFont val="Calibri"/>
        <family val="2"/>
        <scheme val="minor"/>
      </rPr>
      <t>11/05/2026:</t>
    </r>
    <r>
      <rPr>
        <b/>
        <sz val="11"/>
        <color theme="1"/>
        <rFont val="Calibri"/>
        <family val="2"/>
        <scheme val="minor"/>
      </rPr>
      <t xml:space="preserve"> Projeto de kaizen número 54 de 2026. </t>
    </r>
    <r>
      <rPr>
        <sz val="11"/>
        <color theme="1"/>
        <rFont val="Calibri"/>
        <family val="2"/>
        <scheme val="minor"/>
      </rPr>
      <t>Aguardando informações sobre o valor de aluguel de cilindros.</t>
    </r>
    <r>
      <rPr>
        <b/>
        <sz val="11"/>
        <color theme="1"/>
        <rFont val="Calibri"/>
        <family val="2"/>
        <scheme val="minor"/>
      </rPr>
      <t xml:space="preserve"> Enviado 11/05/2026 para validação da Controladoria</t>
    </r>
  </si>
  <si>
    <t>54 - Redução de MP - VW000585Z_586Z (20mm no passo)</t>
  </si>
  <si>
    <t>\\192.168.0.20\departamentos\Engenharia\0. Kaizen Diadema\6. 2026\04 Abril\57 - Redução_de_MP - VW000585Z_586Z_Amauri Mantuan\57 - Redução_de_MP - VW000585Z_586Z_Amauri Mantuan_REV00.xlsx</t>
  </si>
  <si>
    <t xml:space="preserve">Reduzir 20mm no passo do blank, de 900 para 880 (10mm/peça). </t>
  </si>
  <si>
    <t>A. Mantuan</t>
  </si>
  <si>
    <t>Engenharia (Izaias):
Cadastro e plano de corte</t>
  </si>
  <si>
    <r>
      <rPr>
        <sz val="11"/>
        <color theme="1"/>
        <rFont val="Calibri"/>
        <family val="2"/>
        <scheme val="minor"/>
      </rPr>
      <t>11/05/2026:</t>
    </r>
    <r>
      <rPr>
        <b/>
        <sz val="11"/>
        <color theme="1"/>
        <rFont val="Calibri"/>
        <family val="2"/>
        <scheme val="minor"/>
      </rPr>
      <t xml:space="preserve"> Projeto de kaizen número 57 de 2026. </t>
    </r>
    <r>
      <rPr>
        <sz val="11"/>
        <color theme="1"/>
        <rFont val="Calibri"/>
        <family val="2"/>
        <scheme val="minor"/>
      </rPr>
      <t>Enviado 24/04/2026 para validação da Controladoria</t>
    </r>
  </si>
  <si>
    <t>55 -  Redução de MP - GM000378Z / GM000379Z</t>
  </si>
  <si>
    <t>\\192.168.0.20\departamentos\Engenharia\0. Kaizen Diadema\6. 2026\05 Maio\58 - Redução_de_MP - GM000378Z_379Z_Amauri Mantuan\58 - Redução_de_MP - GM000378Z_GM000379Z.xlsx</t>
  </si>
  <si>
    <t xml:space="preserve">Reduzir 20mm no passo do blank, de 240 para 220 (10mm/peça). </t>
  </si>
  <si>
    <r>
      <rPr>
        <sz val="11"/>
        <color theme="1"/>
        <rFont val="Calibri"/>
        <family val="2"/>
        <scheme val="minor"/>
      </rPr>
      <t>11/05/2026:</t>
    </r>
    <r>
      <rPr>
        <b/>
        <sz val="11"/>
        <color theme="1"/>
        <rFont val="Calibri"/>
        <family val="2"/>
        <scheme val="minor"/>
      </rPr>
      <t xml:space="preserve"> Projeto de kaizen número 58 de 2026. </t>
    </r>
  </si>
  <si>
    <t>56 -Redução de Peso Bruto do item SV001141LA / SV001142LA</t>
  </si>
  <si>
    <t>\\192.168.0.20\departamentos\Engenharia\0. Kaizen Diadema\6. 2026\05 Maio\59 - Redução_de_MP - SV001141LA_1142LA - Bruno Manachini_Engenharia\59 - KAIZEN - SV001141LA_SV001142LA_Rev00_Bruno Manachini.xlsx</t>
  </si>
  <si>
    <t xml:space="preserve">Reduzir 30mm no comprimento da chapa (usado na laser, para 2 PN). </t>
  </si>
  <si>
    <r>
      <rPr>
        <sz val="11"/>
        <color theme="1"/>
        <rFont val="Calibri"/>
        <family val="2"/>
        <scheme val="minor"/>
      </rPr>
      <t xml:space="preserve">04/06/2026: </t>
    </r>
    <r>
      <rPr>
        <b/>
        <sz val="11"/>
        <color theme="1"/>
        <rFont val="Calibri"/>
        <family val="2"/>
        <scheme val="minor"/>
      </rPr>
      <t>Projeto de kaizen número 59 de 2026</t>
    </r>
  </si>
  <si>
    <t>57 - AlmaCAM_Redução de Peso</t>
  </si>
  <si>
    <t>\\192.168.0.20\departamentos\Engenharia\0. Kaizen Diadema\6. 2026\05 Maio\60 - Redução_do_Peso_Bruto_AlmaCAM - Bruno Manachini_Engenharia\60 - KAIZEN - AlmaCAM_Redução de Peso_Rev00_Bruno Manachini.xlsx</t>
  </si>
  <si>
    <t>Aumento da quantidade de peças de por chapa.</t>
  </si>
  <si>
    <r>
      <rPr>
        <sz val="11"/>
        <color theme="1"/>
        <rFont val="Calibri"/>
        <family val="2"/>
        <scheme val="minor"/>
      </rPr>
      <t>04/06/2026</t>
    </r>
    <r>
      <rPr>
        <b/>
        <sz val="11"/>
        <color theme="1"/>
        <rFont val="Calibri"/>
        <family val="2"/>
        <scheme val="minor"/>
      </rPr>
      <t xml:space="preserve">: Projeto de kaizen número 60 de 2026. </t>
    </r>
    <r>
      <rPr>
        <sz val="11"/>
        <color theme="1"/>
        <rFont val="Calibri"/>
        <family val="2"/>
        <scheme val="minor"/>
      </rPr>
      <t>Enviado 29/05/2026 para validação de custos</t>
    </r>
  </si>
  <si>
    <t>3. Adesão SPD</t>
  </si>
  <si>
    <t>Fase</t>
  </si>
  <si>
    <t>4. Análide De Margem</t>
  </si>
  <si>
    <t>Produtividade e Controle​</t>
  </si>
  <si>
    <t>(#01) – Reunião Fast Response​</t>
  </si>
  <si>
    <t>1​</t>
  </si>
  <si>
    <t>Item</t>
  </si>
  <si>
    <t>Mapeados</t>
  </si>
  <si>
    <t>Comparados</t>
  </si>
  <si>
    <t>Ajustados</t>
  </si>
  <si>
    <t>Nome do item</t>
  </si>
  <si>
    <t>Unid. Transf.</t>
  </si>
  <si>
    <t>Cod. Transf</t>
  </si>
  <si>
    <t>Documentos e Registro ​</t>
  </si>
  <si>
    <t>(#20) – Form. 532-Relátorio de produção​</t>
  </si>
  <si>
    <t>VW000574Z</t>
  </si>
  <si>
    <t>LONGARINA DIR</t>
  </si>
  <si>
    <t>N/A</t>
  </si>
  <si>
    <t>Análise dos Dados ​</t>
  </si>
  <si>
    <t>(#08) – SQDCM​</t>
  </si>
  <si>
    <t>VW000573Z</t>
  </si>
  <si>
    <t>LONGARINA ESQ</t>
  </si>
  <si>
    <t>Manutenção do Processo ​</t>
  </si>
  <si>
    <t>(#11) – Acompanhamento de OEE​</t>
  </si>
  <si>
    <t>2​</t>
  </si>
  <si>
    <t>VW000815Z</t>
  </si>
  <si>
    <t>CONJUNTO PAINEL FRONTAL 5U1805431C</t>
  </si>
  <si>
    <t>(#13) – Acompanhamento de SETUP​</t>
  </si>
  <si>
    <t>VW000630Z</t>
  </si>
  <si>
    <t>CONJ REF ALOJ LANT TRAS 5U7809485A</t>
  </si>
  <si>
    <t>(#34) - Projetos Estratégicos​</t>
  </si>
  <si>
    <t>VW000631Z</t>
  </si>
  <si>
    <t>CONJ REF ALOJ LANT TRAS 5U7809486A</t>
  </si>
  <si>
    <t>VW000745Z</t>
  </si>
  <si>
    <t>FECHAMENTO LONGARINA TRASEIRA LE</t>
  </si>
  <si>
    <t>DD000510Z</t>
  </si>
  <si>
    <t>VW000746Z</t>
  </si>
  <si>
    <t>FECHAMENTO LONGARINA TRASEIRA LD</t>
  </si>
  <si>
    <t>DD000511Z</t>
  </si>
  <si>
    <t>VW000887Z</t>
  </si>
  <si>
    <t>CONJ. REFORÇO DA DOBRADIÇA INF DIAN LE</t>
  </si>
  <si>
    <t>VW000582Z</t>
  </si>
  <si>
    <t>FECHAMENTO LONG TRAS DIR</t>
  </si>
  <si>
    <t>VW000581Z</t>
  </si>
  <si>
    <t>FECHAMENTO LONG TRAS ESQ</t>
  </si>
  <si>
    <t>VW000895Z</t>
  </si>
  <si>
    <t>CONJ. REFORÇO DO PERFIL 6EA.827.209</t>
  </si>
  <si>
    <t>VW000896Z</t>
  </si>
  <si>
    <t>CONJ. REFORÇO DO PERFIL 6EA.827.210</t>
  </si>
  <si>
    <t>VW000583Z</t>
  </si>
  <si>
    <t>CONJ SUPORTE FIXACAO DO EIXO ESQ</t>
  </si>
  <si>
    <t>VW000584Z</t>
  </si>
  <si>
    <t>CONJ SUPORTE FIXACAO DO EIXO DIR</t>
  </si>
  <si>
    <t>GM000359Z</t>
  </si>
  <si>
    <t>PANEL ASM-BODY H/PLR INR LWR-LH</t>
  </si>
  <si>
    <t>VW000590Z</t>
  </si>
  <si>
    <t>REFORCO LONGARINA DIR</t>
  </si>
  <si>
    <t>VW000589Z</t>
  </si>
  <si>
    <t>REFORCO LONGARINA ESQ</t>
  </si>
  <si>
    <t>GM000408Z</t>
  </si>
  <si>
    <t>REINF RR S/D LWR HGE LH - 26223905</t>
  </si>
  <si>
    <t>Recebe apenas MP de SL</t>
  </si>
  <si>
    <t>VW000578Z</t>
  </si>
  <si>
    <t>PRATO DA MOLA SUPERIOR 5U7803457</t>
  </si>
  <si>
    <t>GM000409Z</t>
  </si>
  <si>
    <t>REINF RR S/D LWR HGE RH - 26223906</t>
  </si>
  <si>
    <t>VW000888Z</t>
  </si>
  <si>
    <t>CONJ. REFORÇO DA DOBRADIÇA INF DIAN LD</t>
  </si>
  <si>
    <t>DJ000056Z / 229Z / 090Z  (GM510Z)</t>
  </si>
  <si>
    <t>LONGARINA TETO CARROC VEICULO AUTOMOVEL</t>
  </si>
  <si>
    <t>Transferido (JARINU)</t>
  </si>
  <si>
    <t>DJ000055Z / 228Z / 089Z  (GM509Z)</t>
  </si>
  <si>
    <r>
      <t xml:space="preserve">DJ000059Z / </t>
    </r>
    <r>
      <rPr>
        <sz val="11"/>
        <color rgb="FF0000FF"/>
        <rFont val="Calibri"/>
        <family val="2"/>
        <scheme val="minor"/>
      </rPr>
      <t>087Z</t>
    </r>
    <r>
      <rPr>
        <sz val="11"/>
        <color rgb="FFC00000"/>
        <rFont val="Calibri"/>
        <family val="2"/>
        <scheme val="minor"/>
      </rPr>
      <t xml:space="preserve"> (GM430Z)</t>
    </r>
  </si>
  <si>
    <t>PAINEL COLUNA CARROC VEICULO AUTOMOV ESQ</t>
  </si>
  <si>
    <r>
      <t xml:space="preserve">DJ000060Z / </t>
    </r>
    <r>
      <rPr>
        <sz val="11"/>
        <color rgb="FF0000FF"/>
        <rFont val="Calibri"/>
        <family val="2"/>
        <scheme val="minor"/>
      </rPr>
      <t>088Z</t>
    </r>
    <r>
      <rPr>
        <sz val="11"/>
        <color rgb="FFC00000"/>
        <rFont val="Calibri"/>
        <family val="2"/>
        <scheme val="minor"/>
      </rPr>
      <t xml:space="preserve"> (GM431Z)</t>
    </r>
  </si>
  <si>
    <t>PAINEL COLUNA CARROC VEICULO AUTOMOV DIR</t>
  </si>
  <si>
    <t>DJ000076Z / 078Z (VW939Z)</t>
  </si>
  <si>
    <t>CONJ. LÂMPADA TRASEIRA LD</t>
  </si>
  <si>
    <t>DJ000075Z / 077Z (VW938Z)</t>
  </si>
  <si>
    <t>CONJ. LÂMPADA TRASEIRA LE</t>
  </si>
  <si>
    <t>DA000459AA/ DA000459Z (VB000459Z)</t>
  </si>
  <si>
    <t>CONJ. SUPORTE DO TANQUE VOLVO - 22739212</t>
  </si>
  <si>
    <t>Transferido (Anchieta)</t>
  </si>
  <si>
    <t>DA000489Z (SV000203Z)</t>
  </si>
  <si>
    <t>CONJUNTO SUPORTE DO TANQUE 2601225</t>
  </si>
  <si>
    <t>MB000074AX (MB000074Z)</t>
  </si>
  <si>
    <t>TRAVESSA - A3843127217</t>
  </si>
  <si>
    <t>DA000492Z (SV000201Z)</t>
  </si>
  <si>
    <t>CONJUNTO SUPORTE DO TANQUE 2897838</t>
  </si>
  <si>
    <t>DA000261Z (MB003558Z)</t>
  </si>
  <si>
    <t>CJ ESTRIBO ESQ - A9796607001</t>
  </si>
  <si>
    <t>DA000262Z (MB003559Z)</t>
  </si>
  <si>
    <t>CJ ESTRIBO DIR - A9796607101</t>
  </si>
  <si>
    <t>Resumo SPD</t>
  </si>
  <si>
    <t>Fases</t>
  </si>
  <si>
    <t>Pontos</t>
  </si>
  <si>
    <t>Pontos  OK</t>
  </si>
  <si>
    <t>Pontos  NOK</t>
  </si>
  <si>
    <t>% OK</t>
  </si>
  <si>
    <t>Aud. Pontos  OK</t>
  </si>
  <si>
    <t>Aud.Pontos  NOK</t>
  </si>
  <si>
    <t>Aud. % OK</t>
  </si>
  <si>
    <t>Datas de conclusão</t>
  </si>
  <si>
    <t>MATRIZ SPD</t>
  </si>
  <si>
    <t>Bussines</t>
  </si>
  <si>
    <t>Código do Produto</t>
  </si>
  <si>
    <t>Descrição Produto</t>
  </si>
  <si>
    <t>Descrição Cliente</t>
  </si>
  <si>
    <t>Avaliado ?</t>
  </si>
  <si>
    <t xml:space="preserve">Plano ação </t>
  </si>
  <si>
    <t>LEVES</t>
  </si>
  <si>
    <t>VOLKSWAGEN</t>
  </si>
  <si>
    <t>VW000586Z</t>
  </si>
  <si>
    <t>FECHAMENTO LONGARINA DIR</t>
  </si>
  <si>
    <t>VW000585Z</t>
  </si>
  <si>
    <t>FECHAMENTO LONGARINA ESQ</t>
  </si>
  <si>
    <t>VW000929Z</t>
  </si>
  <si>
    <t>ALOJAMENTO MOLA TRASEIRA LD 5U7501448B</t>
  </si>
  <si>
    <t>VW000928Z</t>
  </si>
  <si>
    <t>ALOJAMENTO MOLA TRASEIRA LE 5U7501447B</t>
  </si>
  <si>
    <t>GM</t>
  </si>
  <si>
    <t>GM000402Z</t>
  </si>
  <si>
    <t>REINF FRT S/D HGE (DR SI) LH - 26223887</t>
  </si>
  <si>
    <t>GM000403Z</t>
  </si>
  <si>
    <t>REINF FRT S/D HGE (DR SI) RH - 26223888</t>
  </si>
  <si>
    <t>VW000919Z</t>
  </si>
  <si>
    <t>REFORÇO FECHAMENTO PORTA 2G4.831.457A</t>
  </si>
  <si>
    <t>VW000920Z</t>
  </si>
  <si>
    <t>REFORÇO FECHAMENTO PORTA 2G4.831.458.A</t>
  </si>
  <si>
    <t>VW001049Z</t>
  </si>
  <si>
    <t>REFORÇO FECHAMENTO PORTA 2G4.833.458.A</t>
  </si>
  <si>
    <t>VW001048Z</t>
  </si>
  <si>
    <t>REFORÇO FECHAMENTO PORTA 2G4.833.457.A</t>
  </si>
  <si>
    <t>GM000432Z</t>
  </si>
  <si>
    <t>PANEL -BK BODY PLR INR -LH (JBUC)</t>
  </si>
  <si>
    <t>GM000378Z</t>
  </si>
  <si>
    <t>REINFORCEMENT-FRT S/D OTR PNL BELT LH</t>
  </si>
  <si>
    <t>GM000433Z</t>
  </si>
  <si>
    <t>PANEL -BK BODY PLR INR - RH (JBUC)</t>
  </si>
  <si>
    <t>VW000587Z</t>
  </si>
  <si>
    <t>CHAPA DIVISORIA ESQ</t>
  </si>
  <si>
    <t>PESADOS</t>
  </si>
  <si>
    <t>VW001141Z</t>
  </si>
  <si>
    <t>SUPORTE DEFLETOR - 23G121239</t>
  </si>
  <si>
    <t>MAN</t>
  </si>
  <si>
    <t>VW000970Z</t>
  </si>
  <si>
    <t>SUPORTE DE VEDAÇÃO</t>
  </si>
  <si>
    <t>VW001243Z</t>
  </si>
  <si>
    <t>REF. DA DOBRADIÇA INFERIOR 2GY.831.563</t>
  </si>
  <si>
    <t>VW001244Z</t>
  </si>
  <si>
    <t>REF. DA DOBRADIÇA INFERIOR 2GY.831.564</t>
  </si>
  <si>
    <t>VW000971Z</t>
  </si>
  <si>
    <t>VW000972Z</t>
  </si>
  <si>
    <t>PEÇA DE CONEXÃO</t>
  </si>
  <si>
    <t>GM000423Z</t>
  </si>
  <si>
    <t>REINFORCEMENT-HOOD - 26258409</t>
  </si>
  <si>
    <t>VW000973Z</t>
  </si>
  <si>
    <t>VW000832Z</t>
  </si>
  <si>
    <t>SUPORTE 5U0971858A ZINCADO</t>
  </si>
  <si>
    <t>VW000863Z</t>
  </si>
  <si>
    <t>GANCHO DE BLOQUEIO 5U0.881.270 - ZINCADO</t>
  </si>
  <si>
    <t>VW000336Z</t>
  </si>
  <si>
    <t>SUPORTE DO PARA-CHOQUE</t>
  </si>
  <si>
    <t>MB003554Z</t>
  </si>
  <si>
    <t>ZB CONSOLE - A9795200433</t>
  </si>
  <si>
    <t>MERCEDES</t>
  </si>
  <si>
    <t>VW001039Z</t>
  </si>
  <si>
    <t>ASSY LOCK SUPPORT 6EC.805.567</t>
  </si>
  <si>
    <t>PL000002Z</t>
  </si>
  <si>
    <t>REFORCO MET LE 7199823(2V3.831.311)</t>
  </si>
  <si>
    <t>PLASCAR</t>
  </si>
  <si>
    <t>MB003555Z</t>
  </si>
  <si>
    <t>CJ SUPORTE - A9796200014</t>
  </si>
  <si>
    <t>VW001208Z</t>
  </si>
  <si>
    <t>REFORÇO DE COLISÃO - 5U7.809.230</t>
  </si>
  <si>
    <t>VW001207Z</t>
  </si>
  <si>
    <t>REFORÇO DE COLISÃO - 5U7.809.229</t>
  </si>
  <si>
    <t>VW000853Z</t>
  </si>
  <si>
    <t>BUCHA 5Z0.201.693 ZINCADO</t>
  </si>
  <si>
    <t>VW000507Z</t>
  </si>
  <si>
    <t>SUPORTE FIXACAO PARALAMA ESQ. 5U0821163</t>
  </si>
  <si>
    <t>MB002317Z</t>
  </si>
  <si>
    <t>LAMINA LIMPADOR - A9738840474 5900</t>
  </si>
  <si>
    <t>MB003602Z</t>
  </si>
  <si>
    <t>SUPORTE DIR - A9583178540</t>
  </si>
  <si>
    <t>MB003601Z</t>
  </si>
  <si>
    <t>SUPORTE ESQ - A9583178440</t>
  </si>
  <si>
    <t>RN000013Z</t>
  </si>
  <si>
    <t>CARTER DE OLEO 111106159R PINTADO</t>
  </si>
  <si>
    <t>RENAULT</t>
  </si>
  <si>
    <t>GM000459Z</t>
  </si>
  <si>
    <t>REINF FRT S/D OTR PNL BELT RH - 26356934</t>
  </si>
  <si>
    <t>GM000458Z</t>
  </si>
  <si>
    <t>REINF FRT S/D OTR PNL BELT LH - 26356933</t>
  </si>
  <si>
    <t>VW000985Z</t>
  </si>
  <si>
    <t>PAINEL TRANSVERSAL</t>
  </si>
  <si>
    <t>GM000379Z</t>
  </si>
  <si>
    <t>REINFORCEMENT-FRT S/D OTR PNL BELT RH</t>
  </si>
  <si>
    <t>VW000588Z</t>
  </si>
  <si>
    <t>CHAPA DIVISORIA DIR</t>
  </si>
  <si>
    <t>GM000396Z</t>
  </si>
  <si>
    <t>REINFORCEMENT-RR S/D OTR PNL LH</t>
  </si>
  <si>
    <t>GM000397Z</t>
  </si>
  <si>
    <t>REINFORCEMENT-RR S/D OTR PNL RH</t>
  </si>
  <si>
    <t>MB003597Z</t>
  </si>
  <si>
    <t>SUPORTE - A9583178640</t>
  </si>
  <si>
    <t>GM000413Z</t>
  </si>
  <si>
    <t>REINF ASM-R/CMPT LID HGE RH - 26281808</t>
  </si>
  <si>
    <t>GM000412Z</t>
  </si>
  <si>
    <t>REINF ASM-R/CMPT LID HGE LH - 26281807</t>
  </si>
  <si>
    <t>MB003674Z</t>
  </si>
  <si>
    <t>CJ SOLDADO - CROSSMEMBER A3823124325</t>
  </si>
  <si>
    <t>GM000404Z</t>
  </si>
  <si>
    <t>REINF FRT S/D LWR HGE LH - 26223891</t>
  </si>
  <si>
    <t>VW001047Z</t>
  </si>
  <si>
    <t>REINFORCEMENT LOCK 6EC.823.198</t>
  </si>
  <si>
    <t>VW001147Z</t>
  </si>
  <si>
    <t>SUPORTE DO DEFLETOR 23H253319H</t>
  </si>
  <si>
    <t>VW000636Z</t>
  </si>
  <si>
    <t>SUPORTE DO RADIADOR - 5U0.805.594.C</t>
  </si>
  <si>
    <t>VW001146Z</t>
  </si>
  <si>
    <t>SUPORTE DO DEFLETOR 23H253319G</t>
  </si>
  <si>
    <t>VW001155Z</t>
  </si>
  <si>
    <t>SUPORTE - 23H121239</t>
  </si>
  <si>
    <t>PL000003Z</t>
  </si>
  <si>
    <t>REFORCO MET LD 7199822(2V3.831.312)</t>
  </si>
  <si>
    <t>MB000332Z</t>
  </si>
  <si>
    <t>SUPORTE - A6343121840 ( DF552Z )</t>
  </si>
  <si>
    <t>VW000506Z</t>
  </si>
  <si>
    <t>PAINEL TRANSV.</t>
  </si>
  <si>
    <t>MB003610Z</t>
  </si>
  <si>
    <t>SUPORTE - A9584291269</t>
  </si>
  <si>
    <t>MB003652Z</t>
  </si>
  <si>
    <t>CHAPA RETENTORA DE OLEO - A3853560082</t>
  </si>
  <si>
    <t>PU000008Z</t>
  </si>
  <si>
    <t>BRACKET SUPPORT - 16.89.033.507.082</t>
  </si>
  <si>
    <t>PUREM AUTOMOTIVE</t>
  </si>
  <si>
    <t>VW000974Z</t>
  </si>
  <si>
    <t>2G5827399 - SUPORTE ESQ.</t>
  </si>
  <si>
    <t>VW000975Z</t>
  </si>
  <si>
    <t>2G5827400 - SUPORTE DIR.</t>
  </si>
  <si>
    <t>PU000009Z</t>
  </si>
  <si>
    <t>STRAP MODULE - 1689033507083 (ACABADADO)</t>
  </si>
  <si>
    <t>MB003612Z</t>
  </si>
  <si>
    <t>TRILHO INFERIOR - A9586930020</t>
  </si>
  <si>
    <t>VW000407Z</t>
  </si>
  <si>
    <t>SUPORTE ANTI RUIDO LD - 2R2899388</t>
  </si>
  <si>
    <t>VW000182Z</t>
  </si>
  <si>
    <t>TIRANTE MANCAL DO CARDAN 2W0521347</t>
  </si>
  <si>
    <t>VW001143Z</t>
  </si>
  <si>
    <t>SUPORTE DEFLETOR - 23L121239</t>
  </si>
  <si>
    <t>VW000571Z</t>
  </si>
  <si>
    <t>SUPORTE SENSOR ABS DIR 5U7971504</t>
  </si>
  <si>
    <t>MB003556Z</t>
  </si>
  <si>
    <t>CJ REF PAREDE DIVIS ESQ - A9796200116</t>
  </si>
  <si>
    <t>MB003557Z</t>
  </si>
  <si>
    <t>CJ REF PAREDE DIVIS DIR - A9796200216</t>
  </si>
  <si>
    <t>VW000219Z</t>
  </si>
  <si>
    <t>REFORCO FIXACAO DO PARALAMA 2VC821115</t>
  </si>
  <si>
    <t>VW001138Z</t>
  </si>
  <si>
    <t>SUPORTE - 23H.145.813.E</t>
  </si>
  <si>
    <t>SERVIÇOS</t>
  </si>
  <si>
    <t>SY000051Z</t>
  </si>
  <si>
    <t>CHAPA PROTETORA ESQ / DIR - A3074210020</t>
  </si>
  <si>
    <t>SUSPENSYS</t>
  </si>
  <si>
    <t>GM000198Z</t>
  </si>
  <si>
    <t>REINFORCEMENT-FRT S/D INR PNL(AT O/S RR</t>
  </si>
  <si>
    <t>VW000509Z</t>
  </si>
  <si>
    <t>SUPORTE FIXACAO PARA LAMA DIR. 5U0821164</t>
  </si>
  <si>
    <t>GM000199Z</t>
  </si>
  <si>
    <t>REINFORCEMENT-FRT S/D INR PNL (AT O/S RR</t>
  </si>
  <si>
    <t>MB003697Z</t>
  </si>
  <si>
    <t>CROSSMEMBER A3823124425</t>
  </si>
  <si>
    <t>PU000002Z</t>
  </si>
  <si>
    <t>PINO USINADO - 16.89.033.507.091</t>
  </si>
  <si>
    <t>MB003532Z</t>
  </si>
  <si>
    <t>CJ SUPORTE - A9405000531</t>
  </si>
  <si>
    <t>VW000171Z</t>
  </si>
  <si>
    <t>CONJ. SUPORTE TUBO - 2S0607621</t>
  </si>
  <si>
    <t>PU000007Z</t>
  </si>
  <si>
    <t>BRACKET SUPPORT - 16.89.033.507.038</t>
  </si>
  <si>
    <t>MB000296Z</t>
  </si>
  <si>
    <t>CINTA - A9794110082 ( RET/PINT )</t>
  </si>
  <si>
    <t>VW001276Z</t>
  </si>
  <si>
    <t>0INGE REINFORCEMENT - 2FC.823.189</t>
  </si>
  <si>
    <t>VW001277Z</t>
  </si>
  <si>
    <t>HINGE REINFORCEMENT - 2FC.823.190</t>
  </si>
  <si>
    <t>VW001281Z</t>
  </si>
  <si>
    <t>SUPPORT PART 2FC.823.198</t>
  </si>
  <si>
    <t>VW001284Z</t>
  </si>
  <si>
    <t>0INGE REINFORCEMENT - 2FC.833.563</t>
  </si>
  <si>
    <t>VW001285Z</t>
  </si>
  <si>
    <t>HINGE REINFORCEMENT - 2FC.833.564</t>
  </si>
  <si>
    <t>VW001283Z</t>
  </si>
  <si>
    <t>LOCK REINFORCEMENT - 2FC.823.178</t>
  </si>
  <si>
    <t>VW001282Z</t>
  </si>
  <si>
    <t>LOCK REINFORCEMENT - 2FC.823.177</t>
  </si>
  <si>
    <t>VW001280Z</t>
  </si>
  <si>
    <t>DEFORMATION ELEMENT 2FC.809.471</t>
  </si>
  <si>
    <t>Comunicação 
assertiva</t>
  </si>
  <si>
    <t>(#01) - Reunião Fast Response</t>
  </si>
  <si>
    <t>NOK</t>
  </si>
  <si>
    <t>(#02) - Reunião diaria de produção</t>
  </si>
  <si>
    <t>(#03) - Reunião diaria de passagem de turno</t>
  </si>
  <si>
    <t>(#04) - Reunião mensal de gestão da produção</t>
  </si>
  <si>
    <t>(#05) - Reunião diaria de produto não conforme</t>
  </si>
  <si>
    <t>Gestão à vista</t>
  </si>
  <si>
    <t>(#06) - Form.682 Quadro hora/hora</t>
  </si>
  <si>
    <t>(#07) - PLR</t>
  </si>
  <si>
    <t>(#08) - SQDCM</t>
  </si>
  <si>
    <t>(#09) - Form.121 Indicadores de SGI</t>
  </si>
  <si>
    <t>(#10) - Quadro de Aviso Padronizado</t>
  </si>
  <si>
    <t>Gerenciamento e Metódos</t>
  </si>
  <si>
    <t>(#11) - Acompanhamento de OEE</t>
  </si>
  <si>
    <t>(#12) - Acompanhamento de SCRAP</t>
  </si>
  <si>
    <t>(#13) - Acompanhamento de SETUP</t>
  </si>
  <si>
    <t>(#14) - Form. 104 - Indicadores e Ata de Analise Critica</t>
  </si>
  <si>
    <t xml:space="preserve">(#15) - Form.370 - Fast Response Itens Críticos </t>
  </si>
  <si>
    <t>(#16) - Form. 015 – Lista de Presença Resposta Rápida</t>
  </si>
  <si>
    <t>(#17) - Form. 506 Open Issues List</t>
  </si>
  <si>
    <t xml:space="preserve">Documentos de Processos </t>
  </si>
  <si>
    <t>(#18) - Ordem de produção</t>
  </si>
  <si>
    <t>(#19) - Form 075 registro de inspeção</t>
  </si>
  <si>
    <t>(#20) - Form 532-Relátorio de produção</t>
  </si>
  <si>
    <t>(#21) - Form 085 identificação do processo-etiqueta azul</t>
  </si>
  <si>
    <t>(#22) - Form 441-Identificação do produto aprovado</t>
  </si>
  <si>
    <t>(#23) - Form 032-Identificação de produto suspeito</t>
  </si>
  <si>
    <t>(#24) - Form 149-Identificação de amostra de produto (try-out)</t>
  </si>
  <si>
    <t>(#25) - Form 093 - Etiqueta "Solicitação de ensaio"</t>
  </si>
  <si>
    <t>(#26) - Etiqueta de beneficiamento</t>
  </si>
  <si>
    <t>(#27) - Etiqueta de RASTREABILIDADE DO PRODUTO/COMPONENTE</t>
  </si>
  <si>
    <t xml:space="preserve">(#28) - Form. 87 - PLANO DE CONTROLE </t>
  </si>
  <si>
    <t>(#29) - Form. 87 - PLANO DE CONTROLE DE CARACTERÍSTICAS ESPECIAIS (RIP "S")</t>
  </si>
  <si>
    <t>(#30) - Form. 647 - INSTRUÇÃO DE TRABALHO</t>
  </si>
  <si>
    <t>(#31) - Form.513 EPS - ESPECIFICAÇÃO DOS PROCESSOS DE SOLDA</t>
  </si>
  <si>
    <t>(#32) - Acompanhamento de Eficiencia de mão de obra</t>
  </si>
  <si>
    <t>(#33) - Plano Mestre de Produtividade</t>
  </si>
  <si>
    <t>(#34) - Projetos Estratégicos: OEE, SCRAP, SMED, Eficiência MOD</t>
  </si>
  <si>
    <t>(#35) - Programa 5S</t>
  </si>
  <si>
    <t>(#36) - Matriz de versatilidade</t>
  </si>
  <si>
    <t>(#37) - Form 080-Registro de Parametros de Processo.xlsx</t>
  </si>
  <si>
    <t>(#38) - Form 048-Retrabalho/Reparo</t>
  </si>
  <si>
    <t>(#39) - Form. 410 – CHECK LIST DE SETUP E FIM DE PRODUÇÃO – ESTAMPARIA</t>
  </si>
  <si>
    <t>(#40) - Form. 411 – CHECK LIST DE SETUP E FIM DE PRODUÇÃO – SOLDA</t>
  </si>
  <si>
    <t>(#41) - FORM 224 – CHECK LIST DE SETUP E FIM DE PRODUÇÃO – OUTROS PROCESSOS</t>
  </si>
  <si>
    <t>(#42) - IT 8.7.1.7 – 033 PLANO DE REAÇÃO</t>
  </si>
  <si>
    <t>(#43) - Programa FIFO</t>
  </si>
  <si>
    <t>(#44) - Alocação de mão de obra</t>
  </si>
  <si>
    <t>(#45) - Form. 477 – REGISTRO DE ALARMES E ESCALONAMENTO</t>
  </si>
  <si>
    <r>
      <t xml:space="preserve">(#46) - Form. 148 – IDENTIFICAÇÃO DE </t>
    </r>
    <r>
      <rPr>
        <sz val="10"/>
        <color rgb="FFFF0000"/>
        <rFont val="Calibri"/>
        <family val="2"/>
        <scheme val="minor"/>
      </rPr>
      <t>RETALHOS</t>
    </r>
    <r>
      <rPr>
        <sz val="10"/>
        <color theme="1"/>
        <rFont val="Calibri"/>
        <family val="2"/>
        <scheme val="minor"/>
      </rPr>
      <t xml:space="preserve"> (MP)</t>
    </r>
  </si>
  <si>
    <t>(#47) - Form. 030 –  CHECK LIST TPM E PLANO DE MANUTENÇÃO (TPM)</t>
  </si>
  <si>
    <t>DASHBOARD EXECUTIVO - UNIDADE JARINU</t>
  </si>
  <si>
    <t>Valor Previsto</t>
  </si>
  <si>
    <t>Kaizen</t>
  </si>
  <si>
    <t>;</t>
  </si>
  <si>
    <t>CONFORME PLANEJADO</t>
  </si>
  <si>
    <t>Maior Melhor</t>
  </si>
  <si>
    <t>Menor Melhor</t>
  </si>
  <si>
    <t>Try Out</t>
  </si>
  <si>
    <t>OEE</t>
  </si>
  <si>
    <t>75%%</t>
  </si>
  <si>
    <t>Manutenção Mecanica</t>
  </si>
  <si>
    <t>Eficiência de MO</t>
  </si>
  <si>
    <t>Turn Over</t>
  </si>
  <si>
    <t>75,0%%</t>
  </si>
  <si>
    <t>Performance</t>
  </si>
  <si>
    <t>Disponibilidade</t>
  </si>
  <si>
    <t>72\%%</t>
  </si>
  <si>
    <t>CSR54009</t>
  </si>
  <si>
    <t>R$ 84,356</t>
  </si>
  <si>
    <t>0.80%</t>
  </si>
  <si>
    <t>Hora Extra</t>
  </si>
  <si>
    <t>1,44%%</t>
  </si>
  <si>
    <t>Falha na porca da ciser</t>
  </si>
  <si>
    <t>Corte na mão</t>
  </si>
  <si>
    <t>Utilização de form irregular</t>
  </si>
  <si>
    <t>55.3%</t>
  </si>
  <si>
    <t>??</t>
  </si>
  <si>
    <t>TIPO 
Redução de custos / Kaizen / Você resolve</t>
  </si>
  <si>
    <t>PREVISTO (R$)</t>
  </si>
  <si>
    <t>VALIDADOR
OK / NOK</t>
  </si>
  <si>
    <t>Redução de custo</t>
  </si>
  <si>
    <t>01 - Desenvolver célula de solda para soldar porcas</t>
  </si>
  <si>
    <t>\\192.168.5.20\Departamentos\TI\Projetos\Master 2026\01 - Desenvolver célula de solda para soldar porcas\01 - Desenvolver célula de solda para soldar porcas.xlsx</t>
  </si>
  <si>
    <t>Confeccionar uma célula de solda para manufaturar conjuntos e sub conjuntos  de elementos roscados substituindo as estacionarias</t>
  </si>
  <si>
    <t>Jonathan</t>
  </si>
  <si>
    <t>Orçamentos</t>
  </si>
  <si>
    <t> </t>
  </si>
  <si>
    <t>02 - Aumentar a produtividade da estamparia atraves da implementação lote econômico e multiplos de MTP</t>
  </si>
  <si>
    <t>\\192.168.5.20\Departamentos\TI\Projetos\Master 2026\02 - Aumentar a produtividade da estamparia atraves da implementação lote econômico e multiplos de MTP\A3 Aumento de Produtividade por Implementação de Lote Econômico e Padronização de Embalagens.xlsx</t>
  </si>
  <si>
    <t>Padronização do processo de fabricação. Matéria Prima e Embalagens para possibilitar o controle de estoque/recebimento e produção de acordo com a POC diminuindo a quantidade de set up</t>
  </si>
  <si>
    <t>Willian</t>
  </si>
  <si>
    <t>Logistica</t>
  </si>
  <si>
    <t>03 - Redução de consumo de MP dos blanks com a técnica de corte Wave</t>
  </si>
  <si>
    <t>\\192.168.5.20\Departamentos\TI\Projetos\Master 2026\03 - Redução de consumo de MP dos blanks com a técnica de corte Wave\Planta Melhoria Blank Wave - Gestão de Projetos.xlsx</t>
  </si>
  <si>
    <t>Inserir cortes wave nos blanks retangulares que são utilizados na prensa Isgec</t>
  </si>
  <si>
    <t>Felipe</t>
  </si>
  <si>
    <t xml:space="preserve">Engenharia Unidade (orçamento) </t>
  </si>
  <si>
    <t>04 - Redução da largura dos slitters</t>
  </si>
  <si>
    <t>\\192.168.5.20\Departamentos\TI\Projetos\Master 2026\04 - Redução da largura dos slitters\04 - Redução da largura dos slitters.xlsx</t>
  </si>
  <si>
    <t>Redução das larguras dos slitters (137/138 e 567/568 MQB)</t>
  </si>
  <si>
    <t>Tersio</t>
  </si>
  <si>
    <t>Compras
(VITOR)
Em definição com usina</t>
  </si>
  <si>
    <t xml:space="preserve">não informado </t>
  </si>
  <si>
    <t>Formalizado ou não ? Quais são os itens corretos?</t>
  </si>
  <si>
    <t xml:space="preserve">05 - Aplicar borda aparadas nas bobinas </t>
  </si>
  <si>
    <t>\\192.168.5.20\Departamentos\TI\Projetos\Master 2026\05- Aplicar borda aparada nas bobinas\05 - Aplicação de bordas aparadas.xlsx</t>
  </si>
  <si>
    <t>Implementar processo de bordas aparadas nas bobinas mãe para 7 itens. (2 itens inviabilizado) Restam 5 Itens</t>
  </si>
  <si>
    <t>Em definição com usina</t>
  </si>
  <si>
    <t>06 - Redução consumo MTP aplicando tolerância mínima</t>
  </si>
  <si>
    <t>\\192.168.5.20\Departamentos\TI\Projetos\Master 2026\06 - Redução consumo MTP aplicando tolerância mínima\06 - Projeto Jarinu.xlsx</t>
  </si>
  <si>
    <t>Implementar mean to-low em 14 itens (Curva A)</t>
  </si>
  <si>
    <t>Usina</t>
  </si>
  <si>
    <t>Validação para 12 meses  - porém a planilha considera os meses correntes de 2026 no saldo.</t>
  </si>
  <si>
    <t>Alguns itens foram desconsiderados, pois o peso cadastrado não confere com o sinalizado no estudo, o que gera um penalti e não um ganho no Kaizen apresentado. Por isso valor validado - menor (Lembrando que o volume ainda será revisado, pois temos que trabalhar com o Budget 2026 - solicitado códigos finais ao Felipe)</t>
  </si>
  <si>
    <t>07 - Balanceamento de carga máquina entre a prensa Gutmnan / Minster</t>
  </si>
  <si>
    <t>\\192.168.5.20\Departamentos\TI\Projetos\Master 2026\07 - Balanceamento de carga máquina entre a prensa Gutmnan e Minster\07 - Balanceamento de carga máquina entre a prensa Gutmnan e Minster.xlsx</t>
  </si>
  <si>
    <t>Adaptação do ferramental para transferi-lo para a prensa mister que possui maior cadência (5 ferramentas)</t>
  </si>
  <si>
    <t>Concluido</t>
  </si>
  <si>
    <t>08 - Individualização de zonas de segurança da máquina Baltec</t>
  </si>
  <si>
    <t>\\192.168.5.20\Departamentos\TI\Projetos\Master 2026\08 - Individualização de zonas de segurança da máquina Baltec\Planta Jarinu- Gestão de Projetos - Individualização de zonas de segurança.xlsx</t>
  </si>
  <si>
    <t>Indivisualizar zona de segurança da baltec para permitir a produção dos 2 processos simultaneamente. Cravar / Rebitar</t>
  </si>
  <si>
    <t>INVIAVEL</t>
  </si>
  <si>
    <t>09 - Aumento de performance dos itens estampados na prensa Minster</t>
  </si>
  <si>
    <t>Ainda sem A3</t>
  </si>
  <si>
    <t>Aumentar a cadencia dos itens estampados na prensa Minster</t>
  </si>
  <si>
    <t>Engenharia unidade</t>
  </si>
  <si>
    <t>10 - Aumento de performance dos itens estampados na prensa Isgec</t>
  </si>
  <si>
    <t>Aumentar a cadencia dos itens estampados na prensa Isgec 2500tn</t>
  </si>
  <si>
    <t>11 - Aumento de performance dos itens estampados nas prensas Gutmmans</t>
  </si>
  <si>
    <t>Aumentar a cadencia dos itens estampados nas prensas Gutmmans</t>
  </si>
  <si>
    <t>12 - Aumento do OEE do equipamento ISGEC</t>
  </si>
  <si>
    <t>\\192.168.5.20\Departamentos\TI\Projetos\Master 2026\12 - Aumento do OEE do equipamento ISGEC\OEE MUNDIAL ISGEC - Gestão de Projetos.xlsx</t>
  </si>
  <si>
    <t xml:space="preserve">Aumento da performance, disponibilidade e melhoria da qualidade na prensa Isgec </t>
  </si>
  <si>
    <t>Wagner</t>
  </si>
  <si>
    <t>Produção Unidade</t>
  </si>
  <si>
    <t>13 - Redução de consumo no passo do blank dos itens VW000954Z/955Z</t>
  </si>
  <si>
    <t>\\192.168.5.20\Departamentos\TI\Projetos\Master 2026\13 - Redução de consumo no passo do blank dos itens VW000954Z 955Z\13 - Projeto jarinu.XLS</t>
  </si>
  <si>
    <t>Resuzir em 5mm o passo dos blank das peças VW000954Z/955Z</t>
  </si>
  <si>
    <t>Ajustado por Custos o ganho previsto, com inicio em Março/26 -  visto que estamos no final de Fevereiro e as listas ainda não foram atualizadas no sistema - Necessário revisar quantidade de estoque antes de iniciar as mudanças - Cadastro no SAP contempla 5,51kgs (maior do que o sinalizado pela planta) e revisitado para 5,37kgs</t>
  </si>
  <si>
    <t>A previsão de ganho sinalizado no A3 é de 17.328,60 e não 15k como na planilha.</t>
  </si>
  <si>
    <t>14 - Redução de consumo no passo do blank dos itens VW000950AA/951AA</t>
  </si>
  <si>
    <t>\\192.168.5.20\Departamentos\TI\Projetos\Master 2026\14 - Redução de consumo no passo do blank dos itens VW000950AA 951AA\14 - Redução de consumo no passo  VW000950AA 951AA.xlsx</t>
  </si>
  <si>
    <t>Reduzir em 5mm o passo dos blank das peças VW000950AA/951AA</t>
  </si>
  <si>
    <t>Custos&gt;&gt; KAIZEN DESCONSIDERADO - Devolvido para planta, pois o cadastro no SAP (que deve ser considerado) já é menor do que o ganho proposto</t>
  </si>
  <si>
    <t>15 - Redução de consumo no slitter dos itens VW000950AA/951AA</t>
  </si>
  <si>
    <t>\\192.168.5.20\Departamentos\TI\Projetos\Master 2026\15 - Redução de consumo no slitter dos itens VW000950AA 951AA\15 - Projeto Jarinu.xlsx</t>
  </si>
  <si>
    <t>Reduzir em 20mm o slitter das peças VW000950AA/951AA</t>
  </si>
  <si>
    <t>Validação de Março a Dezembro - considerando as duas peças 950Z e 951Z - volume Budget. --&gt; A memoria de calculo formalizada no email não é a desse item, para validação utilizei os arquivos salvos no LINK DA PLANILHA.</t>
  </si>
  <si>
    <t>19 - Redução da largura da bobina mãe do Curvão</t>
  </si>
  <si>
    <t>\\192.168.5.20\Departamentos\TI\Projetos\Master 2026\19 - Redução da largura da bobina mãe do Curvão\19 - Redução da largura da bobina mãe do Curvão.xlsx</t>
  </si>
  <si>
    <t>Aplicar redução de 5mm na largura da bobina mãe do Curvão MQB</t>
  </si>
  <si>
    <t>20 - Troca do modelo disco Flap</t>
  </si>
  <si>
    <t>\\192.168.5.20\Departamentos\TI\Projetos\Master 2026\20 - Redução do custos na aquisição de FLAP\20 - Redução do custos na aquisição de FLAP.xlsx</t>
  </si>
  <si>
    <t>Trocar modelo de disco Flap ultilizado atualmente no retrabalho</t>
  </si>
  <si>
    <t>21 - Redução de MOD CSR61014</t>
  </si>
  <si>
    <t>\\192.168.5.20\Departamentos\TI\Projetos\Master 2026\21 - Melhoria no fluxo do processo para redução de MOD\21 - Melhoria no fluxo do processo para redução de MOD.xlsx</t>
  </si>
  <si>
    <t>Eliminar atividades aciclicas reduzindo gargalos do processo para reduzir a quantidade de MOD do equipamento CSR61014 (CUV 1)</t>
  </si>
  <si>
    <t>Conforme reunião entre Elio / Emerson / Sandro e Sergio - esses Kaizens serão desconsiderados.</t>
  </si>
  <si>
    <t>22 - Redução de MOD CSR61015</t>
  </si>
  <si>
    <t>\\192.168.5.20\Departamentos\TI\Projetos\Master 2026\22 - Melhoria no fluxo de processo para redução de MOD\22 - Melhoria no fluxo de processo para redução de MOD.xlsx</t>
  </si>
  <si>
    <t>Eliminar atividades aciclicas reduzindo gargalos do processo para reduzir a quantidade de MOD do equipamento CSR61015 (Pestaninha)</t>
  </si>
  <si>
    <t>23 - Redução do consumo de MTP VW000938AB (- 3 mm no passo)</t>
  </si>
  <si>
    <t>\\192.168.5.20\Departamentos\TI\Projetos\Master 2026\23 - Piloto MTP VW000938AB (- 3 mm no passo)\23 - Piloto MTP VW000938AB (- 3 mm no passo).xlsx</t>
  </si>
  <si>
    <t>Redução de consumo de MTP em -3,0mm no passo</t>
  </si>
  <si>
    <t>Formalizado via email Felipe</t>
  </si>
  <si>
    <t>24 - Redução de consumo de MTP China 1 porca (-10 mm)</t>
  </si>
  <si>
    <t>\\192.168.5.20\Departamentos\TI\Projetos\Master 2026\24 - Redução de consumo de MTP dos  Redução China 1 porca (-10 mm Slitter)\24 - Redução de consumo de MTP dos  Redução China 1 por.xlsx</t>
  </si>
  <si>
    <t>Realizar redução de consumo de MTP da dimensão do blank -10,00mm</t>
  </si>
  <si>
    <t>Validação de Março a Dezembro - considerando as duas peças 1222Z e 1223Z - volume Budget.</t>
  </si>
  <si>
    <t>25 - Redução de consumo de MTP China 2 porca (-10 mm)</t>
  </si>
  <si>
    <t>\\192.168.5.20\Departamentos\TI\Projetos\Master 2026\25 - Redução de consumo de MTP dos  Redução China 2 porca (-10 mm Slitter)\25 - Redução de consumo de MTP dos  Redução China 2.xlsx</t>
  </si>
  <si>
    <t>Validação de Maio a Dezembro - considerando as duas peças 1233Z e 1234Z - volume Budget.</t>
  </si>
  <si>
    <t>26 - Redução de gastos com HE</t>
  </si>
  <si>
    <t>\\192.168.5.20\Departamentos\TI\Projetos\Master 2026\26 - Redução de gastos com HE\26 - Redução de gastos com HE.xlsx</t>
  </si>
  <si>
    <t>Ampliação da célula de solda do Curvão</t>
  </si>
  <si>
    <t>Sandro</t>
  </si>
  <si>
    <t>27 - Redução consumo MTP aplicando tolerância mínima curva B</t>
  </si>
  <si>
    <t>\\192.168.5.20\Departamentos\TI\Projetos\Master 2026\27 - Mean to-low Curva B\27 - Mean to low curva B.xlsx</t>
  </si>
  <si>
    <t>Implementar mean to-low em 24 itens (Curva B)</t>
  </si>
  <si>
    <t>28 -  Redução consumo MTP aplicando tolerância mínima curva C</t>
  </si>
  <si>
    <t>\\192.168.5.20\Departamentos\TI\Projetos\Master 2026\28 - Mean to-low Curva C\28 - Mean to low curva C.xlsx</t>
  </si>
  <si>
    <t>Implementar mean to-low em 24 itens (Curva C)</t>
  </si>
  <si>
    <t>29 - Redução do consumo MTP no passo do Blank VW000942AB / 943AB -5MM</t>
  </si>
  <si>
    <t>\\192.168.5.20\Departamentos\TI\Projetos\Master 2026\29 - Redução de consumo de MTP no passo do Blank do item VW000942AB943AB (Passo -5 )\29 - Projeto Jarinu.xlsx</t>
  </si>
  <si>
    <t xml:space="preserve">Reduzir em 5mm o passo dos blank das peças VW000942AB / 943AB </t>
  </si>
  <si>
    <t>Ganho de Mar a Dez - considerado para as duas peças - Volume de 119.342 - anual</t>
  </si>
  <si>
    <t>30 - Redução de Refugo</t>
  </si>
  <si>
    <t>\\192.168.5.20\Departamentos\TI\Projetos\Master 2026\30 - Redução de Refugo\Kaizen XXX- poposta redução de custos com ensaios destrutivos..xlsx</t>
  </si>
  <si>
    <t>Redução de ensaios destrutivos inerentes ao processo ( ensaios de compressão )</t>
  </si>
  <si>
    <t>Andreia</t>
  </si>
  <si>
    <t>31 - Redução impressora Backup</t>
  </si>
  <si>
    <t>\\192.168.5.20\Departamentos\TI\Projetos\Master 2026\30 - Redução de impressora Backup\30 - Projeto Jarinu.xlsx</t>
  </si>
  <si>
    <t xml:space="preserve">Devolução impressora Backup simpress ZD 220 </t>
  </si>
  <si>
    <t xml:space="preserve">João </t>
  </si>
  <si>
    <t>32 - Empilhadeiras Elétricas</t>
  </si>
  <si>
    <t>\\192.168.5.20\Departamentos\TI\Projetos\Master 2026\32 - Emplihadeiras Elétricas\Planta Jarinu - A3 Resumo de Projetos (Empilhadeira).xlsx</t>
  </si>
  <si>
    <t>Substituição de empilhadeiras a gás para eletricas.</t>
  </si>
  <si>
    <t>Luis</t>
  </si>
  <si>
    <t>30/082026</t>
  </si>
  <si>
    <t>33- Rollout impressora Administrativo</t>
  </si>
  <si>
    <t>"R:\Departamentos\TI\Projetos\Master 2026\33 - Rollout Impressora Administrativo\33 - Projeto Jarinu.xlsx"</t>
  </si>
  <si>
    <t>Substituir a impressora atual do administrativo por uma mais atual com valor menor.</t>
  </si>
  <si>
    <t>Simpress</t>
  </si>
  <si>
    <t>34 - Iluminação em LED</t>
  </si>
  <si>
    <t>\\192.168.5.20\Departamentos\TI\Projetos\Master 2026\34 - Iluminação Led\Planta Jarinu - A3 Resumo de Projetos (Lampadas de Led).xlsx</t>
  </si>
  <si>
    <t>Troca das 228 lâmpadas de vapor metálico por lâmpadas de led com menor consumo de energia elétrica</t>
  </si>
  <si>
    <t>Manutenção unidade</t>
  </si>
  <si>
    <t>35 - Redução do consumo MTP no passo do Blank VW000942AA -15MM</t>
  </si>
  <si>
    <t>Aguardando A3</t>
  </si>
  <si>
    <t>36 - Venda Robos</t>
  </si>
  <si>
    <t>"\\192.168.5.20\Departamentos\TI\Projetos\Master 2026\36 - Venda Robos\35 - Venda Robos.xlsx"</t>
  </si>
  <si>
    <t>Venda de robos obsoletos do processo</t>
  </si>
  <si>
    <t xml:space="preserve">38 - Venda de sucata </t>
  </si>
  <si>
    <t>Venda de ativos obsoletos</t>
  </si>
  <si>
    <t>39 - Venda de sucata de cobre</t>
  </si>
  <si>
    <t>Venda de aparas e cavacos e eletrodos inutilizados.</t>
  </si>
  <si>
    <t xml:space="preserve">Compras </t>
  </si>
  <si>
    <t>40 - Redução de disperdicio bobina.</t>
  </si>
  <si>
    <t>Redução do disperdicio de bobina no inicio de setup.</t>
  </si>
  <si>
    <t>41 - Redução de largura bobinas.</t>
  </si>
  <si>
    <t>Redução de largura bobinas.</t>
  </si>
  <si>
    <t>42 - "cachorrão para set up"</t>
  </si>
  <si>
    <t>Análide De Margem</t>
  </si>
  <si>
    <t xml:space="preserve">VW001214Z </t>
  </si>
  <si>
    <t>CONJ. TRASEIRO NOVO C/ PINT</t>
  </si>
  <si>
    <t>Sul atende Jarinu / Anchieta pinta e retorna Jarinu</t>
  </si>
  <si>
    <t>DJ000306Z / VW001214Z</t>
  </si>
  <si>
    <t>GM000510Z</t>
  </si>
  <si>
    <t>Diadema atende para Jarinu</t>
  </si>
  <si>
    <t xml:space="preserve">DJ000056Z / 229Z / 090Z </t>
  </si>
  <si>
    <t>GM000509Z</t>
  </si>
  <si>
    <t xml:space="preserve">DJ000055Z / 228Z / 089Z </t>
  </si>
  <si>
    <t>GM000430Z</t>
  </si>
  <si>
    <t>DJ000059Z / 087Z</t>
  </si>
  <si>
    <t>GM000431Z</t>
  </si>
  <si>
    <t>DJ000060Z / 088Z</t>
  </si>
  <si>
    <t>VW000939Z</t>
  </si>
  <si>
    <t>DJ000076Z / 078Z</t>
  </si>
  <si>
    <t>VW000938Z</t>
  </si>
  <si>
    <t>DJ000075Z / 077Z</t>
  </si>
  <si>
    <t>VW000943Z</t>
  </si>
  <si>
    <t>CONJ. TRASEIRO LD (OBS&gt; devolvido a planta para validação do preenchimento)</t>
  </si>
  <si>
    <t>VW000947Z</t>
  </si>
  <si>
    <t>CONJ. REFORÇO FECHAMENTO (OBS&gt; devolvido a planta para validação do preenchimento)</t>
  </si>
  <si>
    <t>VW000954Z</t>
  </si>
  <si>
    <t>REFORÇO DA DOBRADIÇA LE (OBS&gt; devolvido a planta para validação do preenchimento)</t>
  </si>
  <si>
    <t>Plano de ação SPD</t>
  </si>
  <si>
    <t>Controles VA</t>
  </si>
  <si>
    <t>VW001242Z</t>
  </si>
  <si>
    <t>CONJ. PAINEL LAT. INT.SUP-DIR MODIF.NOVO</t>
  </si>
  <si>
    <t>VW001241Z</t>
  </si>
  <si>
    <t>CONJ. PAINEL LAT. INT.SUP-ESQ MODIF.NOVO</t>
  </si>
  <si>
    <t>VW000886Z</t>
  </si>
  <si>
    <t>CONJ. REF. DA DOBRADIÇA SUP DIANT - DIR</t>
  </si>
  <si>
    <t>VW001217Z</t>
  </si>
  <si>
    <t>CONJ. FECHAMENTO - 2GY.813.301</t>
  </si>
  <si>
    <t>VW000885Z</t>
  </si>
  <si>
    <t>CONJ. REF. DA DOBRADIÇA SUP DIANT - ESQ</t>
  </si>
  <si>
    <t>VW000892Z</t>
  </si>
  <si>
    <t>CONJ. REF. DA DOBRADIÇA SUP TRAS - DIR</t>
  </si>
  <si>
    <t>VW001214Z</t>
  </si>
  <si>
    <t>VW001247Z</t>
  </si>
  <si>
    <t>CONJ. FECHAMENTO 2G5.813.301.A</t>
  </si>
  <si>
    <t>VW000984Z</t>
  </si>
  <si>
    <t>CONJ. SUPORTE MONTAGEM DO RETRATOR - DIR</t>
  </si>
  <si>
    <t>VW000983Z</t>
  </si>
  <si>
    <t>CONJ. SUPORTE MONTAGEM DO RETRATOR - ESQ</t>
  </si>
  <si>
    <t>VW000942Z</t>
  </si>
  <si>
    <t>CONJ. TRASEIRO LE</t>
  </si>
  <si>
    <t>CONJ. REFORÇO FECHAMENTO</t>
  </si>
  <si>
    <t>VW001234Z</t>
  </si>
  <si>
    <t>CONJ. REF. DA DOBRADIÇA SUP. 2GY.833.562</t>
  </si>
  <si>
    <t>VW000893Z</t>
  </si>
  <si>
    <t>CONJ. REF. DA DOBRADIÇA INF TRAS - ESQ</t>
  </si>
  <si>
    <t>VW001233Z</t>
  </si>
  <si>
    <t>CONJ. REF. DA DOBRADIÇA. 2GY.833.561</t>
  </si>
  <si>
    <t>VW000949Z</t>
  </si>
  <si>
    <t>CONJ. PERFIL REFORÇO LD</t>
  </si>
  <si>
    <t>VW000955Z</t>
  </si>
  <si>
    <t>REFORÇO DA DOBRADIÇA LD</t>
  </si>
  <si>
    <t>REFORÇO DA DOBRADIÇA LE</t>
  </si>
  <si>
    <t>VW001223Z</t>
  </si>
  <si>
    <t>CONJ. REF. DA DOBRADIÇA. 2GY.831.562</t>
  </si>
  <si>
    <t>VW001222Z</t>
  </si>
  <si>
    <t>CONJ. REF. DA DOBRADIÇA. 2GY.831.561</t>
  </si>
  <si>
    <t>VW000937Z</t>
  </si>
  <si>
    <t>CONJ. CALHA POSTERIOR DIR.</t>
  </si>
  <si>
    <t>VW000936Z</t>
  </si>
  <si>
    <t>CONJ. CALHA POSTERIOR ESQ.</t>
  </si>
  <si>
    <t>VW000951Z</t>
  </si>
  <si>
    <t>CONJ. REF. DA DOBRADIÇA LD</t>
  </si>
  <si>
    <t>GM000422Z</t>
  </si>
  <si>
    <t>REINF ASM-HOOD PRIM LAT STKR - 26258408</t>
  </si>
  <si>
    <t>VW000941Z</t>
  </si>
  <si>
    <t>CONJ. RETRATOR LD</t>
  </si>
  <si>
    <t>VW000940Z</t>
  </si>
  <si>
    <t>CONJ. RETRATOR LE</t>
  </si>
  <si>
    <t>GM000416Z</t>
  </si>
  <si>
    <t>REFORÇO DO CAPO TRACKER</t>
  </si>
  <si>
    <t>GM EXPORT</t>
  </si>
  <si>
    <t>VW001225Z</t>
  </si>
  <si>
    <t>CONJ. REFORÇO FECHAMENTO. 2GY.823.177</t>
  </si>
  <si>
    <t>GM000425Z</t>
  </si>
  <si>
    <t>REINF ASM-HOOD HGE RH - 26223756</t>
  </si>
  <si>
    <t>GM000424Z</t>
  </si>
  <si>
    <t>REINF ASM-HOOD HGE LH - 26223755</t>
  </si>
  <si>
    <t>VW000944Z</t>
  </si>
  <si>
    <t>CONJ. PEÇA DE LIGAÇÃO</t>
  </si>
  <si>
    <t>VW000884Z</t>
  </si>
  <si>
    <t>CONJ. REFORÇO DA TRAVA TAMPA - DIREITO</t>
  </si>
  <si>
    <t>GM000420Z</t>
  </si>
  <si>
    <t>REAR LEFT BRACKET - 26223274</t>
  </si>
  <si>
    <t>GM000421Z</t>
  </si>
  <si>
    <t>REAR RIGHT BRACKET - 26223275</t>
  </si>
  <si>
    <t>VW001231Z</t>
  </si>
  <si>
    <t>CONJ SUPORTE DO PARACHOQUE - 2GY.821.135</t>
  </si>
  <si>
    <t>VW001232Z</t>
  </si>
  <si>
    <t>CONJ SUPORTE DO PARACHOQUE - 2GY.821.136</t>
  </si>
  <si>
    <t>VW000945Z</t>
  </si>
  <si>
    <t>GM000406Z</t>
  </si>
  <si>
    <t>REINF RR S/D HGE RH-CHN - 26223901</t>
  </si>
  <si>
    <t>GM000407Z</t>
  </si>
  <si>
    <t>REINF RR S/D HGE LH-CHN - 26223902</t>
  </si>
  <si>
    <t>VW000963Z</t>
  </si>
  <si>
    <t>CONJ SUPORTE DO PARACHOQUE - ESQ</t>
  </si>
  <si>
    <t>VW000964Z</t>
  </si>
  <si>
    <t>CONJ SUPORTE DO PARACHOQUE - DIR</t>
  </si>
  <si>
    <t>GM000419Z</t>
  </si>
  <si>
    <t>REF DOBRAD CAPO CARRCA VEIC AUTOMOV DIR</t>
  </si>
  <si>
    <t>VW001041Z</t>
  </si>
  <si>
    <t>VW001046Z</t>
  </si>
  <si>
    <t>VW001043Z</t>
  </si>
  <si>
    <t>VW001044Z</t>
  </si>
  <si>
    <t>GM000383Z</t>
  </si>
  <si>
    <t>REF FRONT DOBRA PORT CARROC VEIC AUT DIR</t>
  </si>
  <si>
    <t>GM000382Z</t>
  </si>
  <si>
    <t>REF FRONT DOBRA PORT CARROC VEIC AUT ESQ</t>
  </si>
  <si>
    <t>VW001224Z</t>
  </si>
  <si>
    <t>CONJ. ELEMENT DE DEFORMAÇÃO. 2GY.809.471</t>
  </si>
  <si>
    <t>VW001035Z</t>
  </si>
  <si>
    <t>SUPORTE CANISTER</t>
  </si>
  <si>
    <t>GESTAMP</t>
  </si>
  <si>
    <t>GM000415Z</t>
  </si>
  <si>
    <t>REINF ASM-R/CMPT LID LAT - 26281806</t>
  </si>
  <si>
    <t>GM000387Z</t>
  </si>
  <si>
    <t>REF TRASE DOBRA PORT CARROC VEIC AUT DIR</t>
  </si>
  <si>
    <t>VW001230Z</t>
  </si>
  <si>
    <t>HALTER LD. 2GY.817.370</t>
  </si>
  <si>
    <t>VW001229Z</t>
  </si>
  <si>
    <t>HALTER LE. 2GY.817.369</t>
  </si>
  <si>
    <t>VW001037Z</t>
  </si>
  <si>
    <t>VW001302Z</t>
  </si>
  <si>
    <t>CONJ SUPORTE DO PARALAMA DIANTEIRO - ESQ</t>
  </si>
  <si>
    <t>VW001303Z</t>
  </si>
  <si>
    <t>CONJ SUPORTE DO PARALAMA DIANTEIRO - DIR</t>
  </si>
  <si>
    <t>TO000034Z</t>
  </si>
  <si>
    <t>CARTER DE OLEO - 121010D040 - REPOSICAO</t>
  </si>
  <si>
    <t>TOYOTA</t>
  </si>
  <si>
    <t>VW000924Z</t>
  </si>
  <si>
    <t>CJ SUP DO PAR DIANT DIR</t>
  </si>
  <si>
    <t>VW000774Z</t>
  </si>
  <si>
    <t>TRAVESSA PAINEL POSTERIOR(1SB813309-ROH)</t>
  </si>
  <si>
    <t>VW001289Z</t>
  </si>
  <si>
    <t>ISOFIX PART - 2QB.813.545.A</t>
  </si>
  <si>
    <t>VW001022Z</t>
  </si>
  <si>
    <t>CJ SUP PARACHOQUE DIR - P&amp;A</t>
  </si>
  <si>
    <t>VW001290Z</t>
  </si>
  <si>
    <t>UPPER SIDE PAINEL - 2FC.809.421</t>
  </si>
  <si>
    <t>VW001288Z</t>
  </si>
  <si>
    <t>HOOK REINFORCEMENT - 2FC.803.945</t>
  </si>
  <si>
    <t>VW001293Z</t>
  </si>
  <si>
    <t>UPPER SIDE PAINEL - 2FC.809.422.A</t>
  </si>
  <si>
    <t>VW001292Z</t>
  </si>
  <si>
    <t>UPPER SIDE PAINEL - 2FC.809.421.A</t>
  </si>
  <si>
    <t>VW001246Z</t>
  </si>
  <si>
    <t>VW001245Z</t>
  </si>
  <si>
    <t>VW000891Z</t>
  </si>
  <si>
    <t>CONJ. REF. DA DOBRADIÇA SUP TRAS - ESQ</t>
  </si>
  <si>
    <t>VW000817Z</t>
  </si>
  <si>
    <t>SUPORTE DO RADIADOR</t>
  </si>
  <si>
    <t>CONJ. TRASEIRO LD</t>
  </si>
  <si>
    <t>VW000878Z</t>
  </si>
  <si>
    <t>REFORÇO</t>
  </si>
  <si>
    <t>VW000812Z</t>
  </si>
  <si>
    <t>TRAVESSA DIANT. DO TETO</t>
  </si>
  <si>
    <t>VW000894Z</t>
  </si>
  <si>
    <t>CONJ. REF. DA DOBRADIÇA INF TRAS - DIR</t>
  </si>
  <si>
    <t>VW000948Z</t>
  </si>
  <si>
    <t>CONJ. PERFIL REFORÇO LE</t>
  </si>
  <si>
    <t>VW000871Z</t>
  </si>
  <si>
    <t>REFORÇO DA SOLEIRA TRASEIRA - ESQUERDA</t>
  </si>
  <si>
    <t>VW000872Z</t>
  </si>
  <si>
    <t>REFORÇO DA SOLEIRA TRASEIRA - DIREITA</t>
  </si>
  <si>
    <t>VW000950Z</t>
  </si>
  <si>
    <t>CONJ. REF. DA DOBRADIÇA LE</t>
  </si>
  <si>
    <t>VW000962Z</t>
  </si>
  <si>
    <t>VW001125Z</t>
  </si>
  <si>
    <t>CONJ. REFORÇO DA DOBRADIÇA TAMPA - DIR</t>
  </si>
  <si>
    <t>VW001124Z</t>
  </si>
  <si>
    <t>CONJ. REFORÇO DA DOBRADIÇA TAMPA - ESQ</t>
  </si>
  <si>
    <t>VW000880Z</t>
  </si>
  <si>
    <t>VW000879Z</t>
  </si>
  <si>
    <t>GM000414Z</t>
  </si>
  <si>
    <t>SUPORTE ESTRUTURA DE PORTA COM PINTURA</t>
  </si>
  <si>
    <t>VW000870Z</t>
  </si>
  <si>
    <t>SUPORTE ACUSTICO</t>
  </si>
  <si>
    <t>VW001219Z</t>
  </si>
  <si>
    <t>REFORÇO DA DOBRADIÇA LD. 2GY.823.190</t>
  </si>
  <si>
    <t>VW001218Z</t>
  </si>
  <si>
    <t>REFORÇO DA DOBRADIÇA LE. 2GY.823.189</t>
  </si>
  <si>
    <t>GM000462Z</t>
  </si>
  <si>
    <t>VW000883Z</t>
  </si>
  <si>
    <t>CONJ. REFORÇO DA TRAVA TAMPA - ESQUERDO</t>
  </si>
  <si>
    <t>GM000337Z</t>
  </si>
  <si>
    <t>BAR ASM-F/END UPR TIE PA</t>
  </si>
  <si>
    <t>GM000460Z</t>
  </si>
  <si>
    <t>REINF ASM-RR S/D PNL BELT LH - 26356939</t>
  </si>
  <si>
    <t>GM000461Z</t>
  </si>
  <si>
    <t>REINF ASM-RR S/D PNL BELT RH - 26356940</t>
  </si>
  <si>
    <t>GM000417Z</t>
  </si>
  <si>
    <t>REF PAINEL CAPO CARROC VEICULO AUTOMOVEL</t>
  </si>
  <si>
    <t>VW000978Z</t>
  </si>
  <si>
    <t>CONJ. SUP. DO PARALAMA TRAS. - ESQ MODIF</t>
  </si>
  <si>
    <t>VW000979Z</t>
  </si>
  <si>
    <t>CONJ. SUP. DO PARALAMA TRAS. - DIR MODIF</t>
  </si>
  <si>
    <t>VW000960Z</t>
  </si>
  <si>
    <t>VW000961Z</t>
  </si>
  <si>
    <t>VW000953Z</t>
  </si>
  <si>
    <t>PEÇA DIVISÓRIA LD</t>
  </si>
  <si>
    <t>VW000952Z</t>
  </si>
  <si>
    <t>PEÇA DIVISÓRIA LE</t>
  </si>
  <si>
    <t>GM000418Z</t>
  </si>
  <si>
    <t>REF DOBRAD CAPO CARRCA VEIC AUTOMOV ESQ</t>
  </si>
  <si>
    <t>VW001042Z</t>
  </si>
  <si>
    <t>VW000957Z</t>
  </si>
  <si>
    <t>SUP. TRILHO TETO FRENTE LD</t>
  </si>
  <si>
    <t>GM000385Z</t>
  </si>
  <si>
    <t>GM000384Z</t>
  </si>
  <si>
    <t>GM000310Z</t>
  </si>
  <si>
    <t>BAR ASM - F/END UPR TIE</t>
  </si>
  <si>
    <t>GM000386Z</t>
  </si>
  <si>
    <t>REF TRASE DOBRA PORT CARROC VEIC AUT ESQ</t>
  </si>
  <si>
    <t>GM000389Z</t>
  </si>
  <si>
    <t>REF TRASE DOBRA PORT CARROC VEIC AUTOMOV</t>
  </si>
  <si>
    <t>GM000388Z</t>
  </si>
  <si>
    <t>VW001228Z</t>
  </si>
  <si>
    <t>SUPORTE. 2GY.813.227</t>
  </si>
  <si>
    <t>GM000398Z</t>
  </si>
  <si>
    <t>REINF.FRT S/D INR PNL LAT LH - 26244431</t>
  </si>
  <si>
    <t>GM000399Z</t>
  </si>
  <si>
    <t>REINF.FRT S/D INR PNL LAT RH - 26244432</t>
  </si>
  <si>
    <t>GM000307Z</t>
  </si>
  <si>
    <t>REINF ASM-HOOD PRIM LAT STKR 52123677</t>
  </si>
  <si>
    <t>VW001221Z</t>
  </si>
  <si>
    <t>Schliessteil  LD. 2GY.810.222</t>
  </si>
  <si>
    <t>VW001220Z</t>
  </si>
  <si>
    <t>Schliessteil  LE. 2GY.810.221</t>
  </si>
  <si>
    <t>VW001227Z</t>
  </si>
  <si>
    <t>CONJ. SUP. DO PARALAMA TRAS. 2GY.810.380</t>
  </si>
  <si>
    <t>VW000927Z</t>
  </si>
  <si>
    <t>CONJ. TRASEIRO CUV C/ PINT</t>
  </si>
  <si>
    <t>VW001045Z</t>
  </si>
  <si>
    <t>CONJ. ELEMENTO DE DEFORMAÇÃO TRASEIRA</t>
  </si>
  <si>
    <t>GM000426Z</t>
  </si>
  <si>
    <t>SUPORTE RR LATERAL ESQUERDO</t>
  </si>
  <si>
    <t>GM000427Z</t>
  </si>
  <si>
    <t>SUPORTE RR LATERAL DIREITO</t>
  </si>
  <si>
    <t>GM000306Z</t>
  </si>
  <si>
    <t>REINF.-HOOD ADJ FRT BPR - RH</t>
  </si>
  <si>
    <t>GM000394Z</t>
  </si>
  <si>
    <t>REF FRON TRAV PAI PORT CAR VEIC AUT ESQ</t>
  </si>
  <si>
    <t>GM000395Z</t>
  </si>
  <si>
    <t>REF FRON TRAV PAI PORT CAR VEIC AUT DIR</t>
  </si>
  <si>
    <t>GM000305Z</t>
  </si>
  <si>
    <t>REINF.-HOOD ADJ FRT BPR - LH</t>
  </si>
  <si>
    <t>GM000290Z</t>
  </si>
  <si>
    <t>REINFORCEMENT ASM-RR S/D INR PNL BELT-RH</t>
  </si>
  <si>
    <t>GS000001Z</t>
  </si>
  <si>
    <t>GANCHO DE TRAVAMENTO 1S0885309</t>
  </si>
  <si>
    <t>VW001262Z</t>
  </si>
  <si>
    <t>CONJ. FECHAMENTO 2G5.813.301.A ROH</t>
  </si>
  <si>
    <t>VW001300Z</t>
  </si>
  <si>
    <t>CROSSMEMBER REAR - 2QB.803.833</t>
  </si>
  <si>
    <t>VW001291Z</t>
  </si>
  <si>
    <t>UPPER SIDE PAINEL - 2FC.809.422</t>
  </si>
  <si>
    <t>VW001021Z</t>
  </si>
  <si>
    <t>CJ SUP PARACHOQUE ESQ - P&amp;A</t>
  </si>
  <si>
    <t>VW001287Z</t>
  </si>
  <si>
    <t>CONNECT PART - 2QB.802.508</t>
  </si>
  <si>
    <t>VW001286Z</t>
  </si>
  <si>
    <t>CONNECT PART - 2QB.802.507</t>
  </si>
  <si>
    <t>VW001298Z</t>
  </si>
  <si>
    <t>TAIL LAMP MOUNTING LH+RH 2FC.813.319</t>
  </si>
  <si>
    <t>VW001299Z</t>
  </si>
  <si>
    <t>TAIL LAMP MOUNTING LH+RH 2FC.813.320</t>
  </si>
  <si>
    <t>VW001199Z</t>
  </si>
  <si>
    <t>CONJ SUP. DO PARA - ESQ 6EC.821.135 ROH</t>
  </si>
  <si>
    <t>VW001297Z</t>
  </si>
  <si>
    <t>CONJ SUP.DO PARACH - 2GY.821.136 - ROH</t>
  </si>
  <si>
    <t>GM000450Z</t>
  </si>
  <si>
    <t>REPOSICAO PANEL ASM C/PLR INR LH C/ PINT</t>
  </si>
  <si>
    <t>VW001296Z</t>
  </si>
  <si>
    <t>CONJ SUP. DO PARACH. - 2GY.821.135 - ROH</t>
  </si>
  <si>
    <t>VW001034Z</t>
  </si>
  <si>
    <t>TRAVESSA DIANT. DO TETO (5U0817123AROH)</t>
  </si>
  <si>
    <t>VW001256Z</t>
  </si>
  <si>
    <t>SUPORTE CANISTER (5U7201809ROH)</t>
  </si>
  <si>
    <t>VW001020Z</t>
  </si>
  <si>
    <t>REF CANAL DE VED LD - P&amp;A</t>
  </si>
  <si>
    <t>VW001294Z</t>
  </si>
  <si>
    <t>CONJ. PAINEL LAT. 6EA.809.421.D - ROH</t>
  </si>
  <si>
    <t>TO000032Z</t>
  </si>
  <si>
    <t>EXTEN FR SIDE MEMBER RH 5711302130 - REP</t>
  </si>
  <si>
    <t>VW001271Z</t>
  </si>
  <si>
    <t>SUPORTE 2GY.813.227 - ROH</t>
  </si>
  <si>
    <t>(#46) - Form. 148 – IDENTIFICAÇÃO DE RETALHOS (MP)</t>
  </si>
  <si>
    <t>DASHBOARD EXECUTIVO - UNIDADE FERRAZ</t>
  </si>
  <si>
    <t>Extra DRE (Até o momento) (Prev.)</t>
  </si>
  <si>
    <t>Com quem Está</t>
  </si>
  <si>
    <t>Gleidson</t>
  </si>
  <si>
    <t>Carrier Over</t>
  </si>
  <si>
    <t>Custos - Validar / Compras Fechar o Pedido</t>
  </si>
  <si>
    <t>Aguardando</t>
  </si>
  <si>
    <t>Em andamento</t>
  </si>
  <si>
    <t>Retirar</t>
  </si>
  <si>
    <t xml:space="preserve">Custos </t>
  </si>
  <si>
    <t>Elio/Emerson</t>
  </si>
  <si>
    <t>Anderson</t>
  </si>
  <si>
    <t>Evangelista</t>
  </si>
  <si>
    <t xml:space="preserve">Elio </t>
  </si>
  <si>
    <t xml:space="preserve">% </t>
  </si>
  <si>
    <t>materiais</t>
  </si>
  <si>
    <t>máquina</t>
  </si>
  <si>
    <t>mão de obra</t>
  </si>
  <si>
    <t xml:space="preserve">Parte de apoio </t>
  </si>
  <si>
    <t>Retorno previsto em:</t>
  </si>
  <si>
    <t>01 - Clientes com baixa margem de contribuição.</t>
  </si>
  <si>
    <t>\\dfsrvfile01\Departamentos\Engenharia\02. Engenharia de Processo\02 - Projetos\05 - Projetos estratégicos\01 - Clientes com baixa margem de contribuição\PROJETO - CLIENTES COM BAIXA MARGEM DE CONTRIBUIÇÃO.xlsx</t>
  </si>
  <si>
    <t>Redução de itens com baixa margem de contribuição.</t>
  </si>
  <si>
    <t>Alexandre / Gleidson</t>
  </si>
  <si>
    <t xml:space="preserve">Alinhamento entre time de custos e engenharia para validação da memória de cálculo
Gleidson e Emerson </t>
  </si>
  <si>
    <t xml:space="preserve">02 - Eficiência dos planos de corte </t>
  </si>
  <si>
    <t>\\dfsrvfile01\Departamentos\Engenharia\02. Engenharia de Processo\02 - Projetos\05 - Projetos estratégicos\02 - Eficiência dos planos de corte\KAIZEN_A3_MB000291GU_JEANSOLA.xlsx</t>
  </si>
  <si>
    <t>Eficiência no nesting dos processos de laser e plasma.</t>
  </si>
  <si>
    <t>Projeto validado e em execução</t>
  </si>
  <si>
    <t xml:space="preserve">03 - Consumo de desmoldante </t>
  </si>
  <si>
    <t>\\dfsrvfile01\Departamentos\Engenharia\02. Engenharia de Processo\02 - Projetos\05 - Projetos estratégicos\03 - Consumo de desmoldante\KAIZEN 36 - A3_RÉGUA COM BICO PULVERIZADOR - DESMOLDANTE - 2000T</t>
  </si>
  <si>
    <t xml:space="preserve">Redução do consumo de desmoldante (diluição, pulverização, eliminação de vazamentos e ajustes nos parâmetros de produção) </t>
  </si>
  <si>
    <t xml:space="preserve">Monitorar consumo e atualizar indicadores
Emerson Santos  </t>
  </si>
  <si>
    <t xml:space="preserve">04 - Redução dos retrabalhos </t>
  </si>
  <si>
    <t>\\dfsrvfile01\Departamentos\Engenharia\02. Engenharia de Processo\02 - Projetos\05 - Projetos estratégicos\04 - Redução dos retrabalhos\Planta Ferraz - Projeto Redução Lixamentos de Retrabalhos.xlsx</t>
  </si>
  <si>
    <t>Eliminação  e/ou redução dos retrabalhos que utilizam processo de lixamento</t>
  </si>
  <si>
    <t>Sergio Carvalho</t>
  </si>
  <si>
    <t>Elaborar A3 para validação do time de custos 
Gleidson Cunha</t>
  </si>
  <si>
    <t xml:space="preserve">05 - Nitrogênio da máquina laser </t>
  </si>
  <si>
    <t>\\dfsrvfile01\Departamentos\Engenharia\02. Engenharia de Processo\02 - Projetos\05 - Projetos estratégicos\05 - Nitrogênio da máquina laser\KAIZEN XX - A3_NITROGENIO LASER</t>
  </si>
  <si>
    <t>Implementação de corte com nitrogênio na laser</t>
  </si>
  <si>
    <t xml:space="preserve">
Aguardando cronograma Messer 
Vitor Lima</t>
  </si>
  <si>
    <t xml:space="preserve">06 - Reaproveitamento de lixas </t>
  </si>
  <si>
    <t>\\dfsrvfile01\Departamentos\Engenharia\02. Engenharia de Processo\02 - Projetos\05 - Projetos estratégicos\06 - Reaproveitamento de lixas\Planta Ferraz - Projeto de Redução de Custos - Lixas -  2026.xlsx</t>
  </si>
  <si>
    <t>Criação de fluxo para reaproveitamento das lixas entre as operações da fábrica</t>
  </si>
  <si>
    <t>Breno/Jonathas</t>
  </si>
  <si>
    <t xml:space="preserve">07 - Consumo de gás </t>
  </si>
  <si>
    <t>\\dfsrvfile01\Departamentos\Engenharia\02. Engenharia de Processo\02 - Projetos\05 - Projetos estratégicos\07 - Consumo de gás\Redução de custos - Consumo de gás.xlsx</t>
  </si>
  <si>
    <t>Melhoria na vedação do forno e eficiência dos queimadores visando redução do consumo de gás.</t>
  </si>
  <si>
    <t>Job</t>
  </si>
  <si>
    <t>09 - Critério para descarte de consumíveis</t>
  </si>
  <si>
    <t>\\dfsrvfile01\Departamentos\Engenharia\02. Engenharia de Processo\02 - Projetos\05 - Projetos estratégicos\09 - Critério para descarte de consumíveis\Redução de custos - Critério para descarte de consumíveis.xlsx</t>
  </si>
  <si>
    <t xml:space="preserve">Definição de critérios para auxiliar na distinção dos itens que deverão ser retrabalhados e quais deverão ser descartados, envolvendo eletrodos e tocha de solda, consumíveis do plasma, entre  outros.  </t>
  </si>
  <si>
    <t>Compra da ponta para mensurar desgaste dos eletrodos 
Gleidson Cunha</t>
  </si>
  <si>
    <t xml:space="preserve">10 - Consumo de energia elétrica: vazamentos de ar </t>
  </si>
  <si>
    <t>\\dfsrvfile01\Departamentos\Engenharia\02. Engenharia de Processo\02 - Projetos\05 - Projetos estratégicos\10 - Consumo de energia elétrica, vazamentos de ar\Redução de custos - Consumo de energia, vazemento de ar.xlsx</t>
  </si>
  <si>
    <t>Eliminação dos vazamentos de ar nos processos de produção, visando redução do consumo  de  energia elétrica</t>
  </si>
  <si>
    <t>12 - Sistema hidráulico 3500T</t>
  </si>
  <si>
    <t>\\dfsrvfile01\Departamentos\Engenharia\02. Engenharia de Processo\02 - Projetos\05 - Projetos estratégicos\12 - Sistema hidráulico 3500T\KAIZEN XX - A3_SISTEMA HIDRÁULICO_3500.xlsx</t>
  </si>
  <si>
    <t xml:space="preserve">Troca da tubução hidráulica da prensa 3500T visando reduzir os gastos com óleo (vazamento) </t>
  </si>
  <si>
    <t>Finalização da instalação das mangueiras
Job Fialho</t>
  </si>
  <si>
    <t xml:space="preserve">13 - Transferência Hasenclaver para o plasma </t>
  </si>
  <si>
    <t>\\dfsrvfile01\Departamentos\Engenharia\02. Engenharia de Processo\02 - Projetos\05 - Projetos estratégicos\13 - Transferência Hasenclaver para o plasma\KAIZEN XX - A3_TRANSFERÊNCIA_HASENCLAVER_PLASMA.xlsx</t>
  </si>
  <si>
    <t>Alteração processo de corte de blank das Tampas de prensa para plasma</t>
  </si>
  <si>
    <t>Negociação comercial para compra de MP
Vitor Lima</t>
  </si>
  <si>
    <t>14 - Consumo de EPI's</t>
  </si>
  <si>
    <t>\\dfsrvfile01\Departamentos\Engenharia\02. Engenharia de Processo\02 - Projetos\05 - Projetos estratégicos\14 - Consumo de EPI's\Planta Ferraz - Projeto de Redução de Custos - EPIS -  2026 rev 01.xlsx</t>
  </si>
  <si>
    <t>Redução do consumo de EPIs</t>
  </si>
  <si>
    <t>Christian</t>
  </si>
  <si>
    <t>15 - Enclausuramento do jato granalha</t>
  </si>
  <si>
    <t>\\dfsrvfile01\Departamentos\Engenharia\02. Engenharia de Processo\02 - Projetos\05 - Projetos estratégicos\15 - Enclausuramento do jato granalha\Redução de custos - Enclausuramento Jatos 1.xlsx</t>
  </si>
  <si>
    <t>Melhoria da vedação e  enclausuramento do jato granalha</t>
  </si>
  <si>
    <t xml:space="preserve">17 - Consumo de água </t>
  </si>
  <si>
    <t>\\dfsrvfile01\Departamentos\Engenharia\02. Engenharia de Processo\02 - Projetos\05 - Projetos estratégicos\17 - Consumo de água\KAIZEN 01 - A3_REDUÇÃO CONSUMO DE ÁGUA REVISÃO 01.xlsx</t>
  </si>
  <si>
    <t>Redução do consumo de agua</t>
  </si>
  <si>
    <t>20 - Limpador de grelha</t>
  </si>
  <si>
    <t>\\dfsrvfile01\Departamentos\Engenharia\02. Engenharia de Processo\02 - Projetos\05 - Projetos estratégicos\20 - Limpador de grelha\KAIZEN XX - A3_LIMPADOR DE GRELHA.xlsx</t>
  </si>
  <si>
    <t>Limpeza de grelhas laser</t>
  </si>
  <si>
    <t xml:space="preserve">22 - Tablet - Dobradeira </t>
  </si>
  <si>
    <t>https://delgadiadema.sharepoint.com/sites/GestoEstratgica/Documentos%20Compartilhados/Controle%20Master/Evid%C3%AAncias%20Grupo%20Delga%202026/Evid%C3%AAncias%20Delga%20Ferraz/22%20-%20Tablet%20-%20Dobradeira/KAIZEN_A3%20-%20TABLET%20-%20PROJETO%2022.xlsx?web=1</t>
  </si>
  <si>
    <t>Substituir o PCP e IT impresso pelo tablet no processo da dobradeira</t>
  </si>
  <si>
    <t xml:space="preserve">Igor Santos </t>
  </si>
  <si>
    <t xml:space="preserve">23 - Devolução das máquinas de solda alugadas </t>
  </si>
  <si>
    <t xml:space="preserve">Finalizar contrato de aluguel das máquinas de solda e realizar aquisição dos equipamentos </t>
  </si>
  <si>
    <t>Gleidson Cunha</t>
  </si>
  <si>
    <t xml:space="preserve">24 - Aquisição do equipamento de ultrassom </t>
  </si>
  <si>
    <t>https://delgadiadema.sharepoint.com/sites/GestoEstratgica/Documentos%20Compartilhados/Controle%20Master/Evid%C3%AAncias%20Grupo%20Delga%202026/Evid%C3%AAncias%20Delga%20Ferraz/24%20-%20Aquisi%C3%A7%C3%A3o%20do%20equipamento%20de%20ultrassom/A3_Projeto_Aquisi%C3%A7%C3%A3o%20do%20equipamento%20de%20ultrassom.xlsx?web=1</t>
  </si>
  <si>
    <t>Alexandre Evangelista</t>
  </si>
  <si>
    <t xml:space="preserve">25 - Redução de scrap </t>
  </si>
  <si>
    <t xml:space="preserve">Projetos visando redução do scrap da planta de Ferraz </t>
  </si>
  <si>
    <t>Breno Lamac</t>
  </si>
  <si>
    <t>26 - Redução da MO do processo do Crossmember Scania</t>
  </si>
  <si>
    <t>https://delgadiadema.sharepoint.com/sites/GestoEstratgica/Documentos%20Compartilhados/Controle%20Master/Evid%C3%AAncias%20Grupo%20Delga%202026/Evid%C3%AAncias%20Delga%20Ferraz/26%20-%20Redu%C3%A7%C3%A3o%20da%20MO%20do%20processo%20do%20Crossmember%20Scania/KAIZEN%2026%20-%202026%20-%20FERRAZ%20-%20Redu%C3%A7%C3%A3o%20da%20MO%20do%20processo%20CM%20Scania.xlsx?web=1</t>
  </si>
  <si>
    <t xml:space="preserve">Projeto para redução da MOD da fábrica de Chassis. Custo de compra do componente final é menor que o custo de aquisição </t>
  </si>
  <si>
    <t xml:space="preserve">Análise pelo time de custos 
Emerson Santos </t>
  </si>
  <si>
    <t>27 - Transferência do processo Volvo da tampa de fogão - Metalsa</t>
  </si>
  <si>
    <t>https://delgadiadema.sharepoint.com/sites/GestoEstratgica/Documentos%20Compartilhados/Controle%20Master/Evid%C3%AAncias%20Grupo%20Delga%202026/Evid%C3%AAncias%20Delga%20Ferraz/27%20-%20Transfer%C3%AAncia%20do%20processo%20Volvo%20da%20tampa%20de%20fog%C3%A3o%20-%20Metalsa/KAIZEN%2027%20-%202026%20-%20FERRAZ%20-%20Transfer%C3%AAncia%20do%20processo%20Volvo.xlsx?web=1</t>
  </si>
  <si>
    <t xml:space="preserve">Projeto para redução da MOD. Considerado </t>
  </si>
  <si>
    <t xml:space="preserve">28 - Manutenção de lixadeiras </t>
  </si>
  <si>
    <t>https://delgadiadema.sharepoint.com/sites/GestoEstratgica/Documentos%20Compartilhados/Controle%20Master/Evid%C3%AAncias%20Grupo%20Delga%202026/Evid%C3%AAncias%20Delga%20Ferraz/28%20-%20Manuten%C3%A7%C3%A3o%20de%20Lixadeiras/A3_Projeto%20Manuten%C3%A7%C3%A3o%20de%20Lixadeiras.xlsx?web=1</t>
  </si>
  <si>
    <t xml:space="preserve">Aquisição de novas lixadeiras visando a redução de custo com manutenção </t>
  </si>
  <si>
    <t xml:space="preserve">Job Fialho </t>
  </si>
  <si>
    <t xml:space="preserve">29 - Aproveitamento de ponta de bobina - MP </t>
  </si>
  <si>
    <t xml:space="preserve">Definição de critérios para aproveitamento de material proveniente de ponta de bobina </t>
  </si>
  <si>
    <t xml:space="preserve">Jean Sola </t>
  </si>
  <si>
    <t>https://delgadiadema.sharepoint.com/sites/GestoEstratgica/Documentos%20Compartilhados/Controle%20Master/Evid%C3%AAncias%20Grupo%20Delga%202026/Evid%C3%AAncias%20Delga%20Ferraz/30%20-%20Redu%C3%A7%C3%A3o%20de%20hora%20extra/A3%20Projeto_Redu%C3%A7%C3%A3o%20de%20hora%20extra.xlsx?web=1</t>
  </si>
  <si>
    <t xml:space="preserve">31 - Redução da nota de débitos de clientes </t>
  </si>
  <si>
    <t>https://delgadiadema.sharepoint.com/sites/GestoEstratgica/Documentos%20Compartilhados/Controle%20Master/Evid%C3%AAncias%20Grupo%20Delga%202026/Evid%C3%AAncias%20Delga%20Ferraz/31%20-%20Redu%C3%A7%C3%A3o%20da%20nota%20de%20d%C3%A9bitos%20de%20clientes/A3%20Projeto%20Redu%C3%A7%C3%A3o%20da%20nota%20de%20d%C3%A9bitos%20de%20clientes.xlsx?web=1</t>
  </si>
  <si>
    <t xml:space="preserve">Alexandre Evangelista </t>
  </si>
  <si>
    <t>32 - Aumento de 2% da eficiência de M.O.D</t>
  </si>
  <si>
    <t xml:space="preserve">Breno e Jonathas </t>
  </si>
  <si>
    <t xml:space="preserve">33 - Venda de sucata </t>
  </si>
  <si>
    <t xml:space="preserve">Alexandre Mesquita </t>
  </si>
  <si>
    <t>34 - Redução dos gastos de manutenção com monitoramento do Tractian</t>
  </si>
  <si>
    <t>SV000236Z</t>
  </si>
  <si>
    <t>RESERVATORIO DE AR 29,2L - 2773708</t>
  </si>
  <si>
    <t>AM000038Z</t>
  </si>
  <si>
    <t>TAMPA DA CARCACA 110127</t>
  </si>
  <si>
    <t>SV000650Z</t>
  </si>
  <si>
    <t>CONJ. TRAVESSA SUSP DE AR - 2078672</t>
  </si>
  <si>
    <t>SV000649Z</t>
  </si>
  <si>
    <t>CONJ. TRAVESSA SUSP DE AR - 2078671</t>
  </si>
  <si>
    <t>SV000648Z</t>
  </si>
  <si>
    <t>CONJ. TRAVESSA SUSP DE AR - 2078670</t>
  </si>
  <si>
    <t>SV000647Z</t>
  </si>
  <si>
    <t>CONJ. TRAVESSA SUSP DE AR - 2078669</t>
  </si>
  <si>
    <t>DN000172Z</t>
  </si>
  <si>
    <t>TAMPA HL6 - 10046422 (10048003)</t>
  </si>
  <si>
    <t>SV000238Z</t>
  </si>
  <si>
    <t>RESERVATORIO DE AR 15L - 2773713</t>
  </si>
  <si>
    <t>VW001130Z</t>
  </si>
  <si>
    <t>CONJ PLACA TRASEIRA GAS BOX - 23P253175A</t>
  </si>
  <si>
    <t>VW001129Z</t>
  </si>
  <si>
    <t>CONJ PLACA FRONTAL GAS BOX - 23P253175</t>
  </si>
  <si>
    <t>VB000216AA/ VB000215AB/ VB000215AC</t>
  </si>
  <si>
    <t>TRAVESSA - 20832047</t>
  </si>
  <si>
    <t>Transferidos Anchieta</t>
  </si>
  <si>
    <t>MB000306AX</t>
  </si>
  <si>
    <t>CONJ. SUPORTE DA BATERIA - A9795400014</t>
  </si>
  <si>
    <t>VB000221AA/ VB000221AB</t>
  </si>
  <si>
    <t>TRAVESSA - 21119317</t>
  </si>
  <si>
    <t>MB000451AX</t>
  </si>
  <si>
    <t>CONJ. BATENTE DO EIXO - A3843120061</t>
  </si>
  <si>
    <t>ME000028AA</t>
  </si>
  <si>
    <t>TRAVESSA - 21825534</t>
  </si>
  <si>
    <t>VW001131DAZA/ VW001131SBZA</t>
  </si>
  <si>
    <t>CONJUNTO PLACA - 23P253175E</t>
  </si>
  <si>
    <t xml:space="preserve">Plano de Ação </t>
  </si>
  <si>
    <t>AM000064Z</t>
  </si>
  <si>
    <t>MEIA CARCACA 4121X3066 (16MM)</t>
  </si>
  <si>
    <t>MERITOR</t>
  </si>
  <si>
    <t>SV000118Z</t>
  </si>
  <si>
    <t>CONJUNTO CARCACA (BANJO PART) 2443371</t>
  </si>
  <si>
    <t>SCANIA</t>
  </si>
  <si>
    <t>SV000115Z</t>
  </si>
  <si>
    <t>CONJUNTO CARCACA (BANJO PART) 2443347</t>
  </si>
  <si>
    <t>DN000182Z</t>
  </si>
  <si>
    <t>TAMPA HL4 - 10001658</t>
  </si>
  <si>
    <t>DANA</t>
  </si>
  <si>
    <t>SV000117Z</t>
  </si>
  <si>
    <t>CONJUNTO CARCACA (BANJO PART) 2443370</t>
  </si>
  <si>
    <t>SV000162Z</t>
  </si>
  <si>
    <t>CONJUNTO CARCACA (BANJO PART) 2765027</t>
  </si>
  <si>
    <t>SV000164Z</t>
  </si>
  <si>
    <t>CONJUNTO CARCACA (BANJO PART) 2765029</t>
  </si>
  <si>
    <t>SV000085Z</t>
  </si>
  <si>
    <t>ANEL DE REFORCO 1462809</t>
  </si>
  <si>
    <t>SV000160Z</t>
  </si>
  <si>
    <t>PROTECTIVE PLATE REAR - 1894196</t>
  </si>
  <si>
    <t>MB002288Z</t>
  </si>
  <si>
    <t>CONJUNTO SUPORTE - A9795000327</t>
  </si>
  <si>
    <t>MB002301Z</t>
  </si>
  <si>
    <t>SUPORTE INF. - A9583176240</t>
  </si>
  <si>
    <t>AM000039Z</t>
  </si>
  <si>
    <t>TAMPA DA CARCACA 110372</t>
  </si>
  <si>
    <t>SV000658Z</t>
  </si>
  <si>
    <t>CONJUNTO SUPORTE - 1926715</t>
  </si>
  <si>
    <t>MB002219Z</t>
  </si>
  <si>
    <t>CONJ SUP BARRA TRANSV - A3843200278</t>
  </si>
  <si>
    <t>SV000195Z</t>
  </si>
  <si>
    <t>CONJUNTO CARCACA (BANJO PART) 2838158</t>
  </si>
  <si>
    <t>AM000031Z</t>
  </si>
  <si>
    <t>TAMPA DA CARCACA 110188</t>
  </si>
  <si>
    <t>MW000056Z</t>
  </si>
  <si>
    <t>CARTER DE OLEO - 961001150016</t>
  </si>
  <si>
    <t>INTERNATIONAL</t>
  </si>
  <si>
    <t>VW001140Z</t>
  </si>
  <si>
    <t>SUPORTE PARTIDA REMOTA - 23G971003C</t>
  </si>
  <si>
    <t>VW001145Z</t>
  </si>
  <si>
    <t>SUPORTE - 23G607363</t>
  </si>
  <si>
    <t>VW001093Z</t>
  </si>
  <si>
    <t>SUPORTE ADMISSAO DE AR - 23H145813C</t>
  </si>
  <si>
    <t>MW000250Z</t>
  </si>
  <si>
    <t>CARTER DE OLEO - 941001150035</t>
  </si>
  <si>
    <t>MB002306Z</t>
  </si>
  <si>
    <t>PLACA DE FIXACAO - A9798810411</t>
  </si>
  <si>
    <t>MB002423Z</t>
  </si>
  <si>
    <t>SUPORTE - A9624294068 7416</t>
  </si>
  <si>
    <t>MW000058Z</t>
  </si>
  <si>
    <t>CARTER DE OLEO - 961001150056</t>
  </si>
  <si>
    <t>CB000060Z</t>
  </si>
  <si>
    <t>STRAP MODULE - A066E592</t>
  </si>
  <si>
    <t>CUMMINS</t>
  </si>
  <si>
    <t>VW001127Z</t>
  </si>
  <si>
    <t>DEFLETOR TUBO SECUNDARIO - 23H253037B</t>
  </si>
  <si>
    <t>VW001097Z</t>
  </si>
  <si>
    <t>SUPORTE PI - 23P803543A</t>
  </si>
  <si>
    <t>MW000258Z</t>
  </si>
  <si>
    <t>TAMPA FRONTAL - 961007800154</t>
  </si>
  <si>
    <t>MB002265Z</t>
  </si>
  <si>
    <t>SUPORTE - A3823280940</t>
  </si>
  <si>
    <t>MW000248Z</t>
  </si>
  <si>
    <t>CARTER DE OLEO - 961001150015</t>
  </si>
  <si>
    <t>MI000012Z</t>
  </si>
  <si>
    <t>TAMPA DA CAIXA DISTRIBUICAO - 70240254</t>
  </si>
  <si>
    <t>MB001604Z</t>
  </si>
  <si>
    <t>CHAPA - A3256120511</t>
  </si>
  <si>
    <t>DN000179Z</t>
  </si>
  <si>
    <t>MEIA CARCACA HL4 - 10001348</t>
  </si>
  <si>
    <t>DN000174Z</t>
  </si>
  <si>
    <t>MEIA CARCACA HL6 - 10046419</t>
  </si>
  <si>
    <t>AM000062Z</t>
  </si>
  <si>
    <t>MEIA CARCACA 551061</t>
  </si>
  <si>
    <t>SV001333Z</t>
  </si>
  <si>
    <t>CONJUNTO CARCACA (BANJO PART) 3082816</t>
  </si>
  <si>
    <t>SV000120Z</t>
  </si>
  <si>
    <t>CONJUNTO CARCACA (BANJO PART) 2443373</t>
  </si>
  <si>
    <t>SV000119Z</t>
  </si>
  <si>
    <t>CONJUNTO CARCACA (BANJO PART) 2443372</t>
  </si>
  <si>
    <t>CB000058Z</t>
  </si>
  <si>
    <t>CARTER DE OLEO - 5566764</t>
  </si>
  <si>
    <t>CUMMINS EXPORT</t>
  </si>
  <si>
    <t>AM000100Z</t>
  </si>
  <si>
    <t>MEIA CARCACA 4121-Y-3795</t>
  </si>
  <si>
    <t>AM000099Z</t>
  </si>
  <si>
    <t>TAMPA DA CARCACA 3224-G-1385</t>
  </si>
  <si>
    <t>SV000161Z</t>
  </si>
  <si>
    <t>PROTECTION PLATE - 1931904</t>
  </si>
  <si>
    <t>VW001148Z</t>
  </si>
  <si>
    <t>CONJUNTO SUPORTE COCKPIT - 23F803549A</t>
  </si>
  <si>
    <t>VW001100Z</t>
  </si>
  <si>
    <t>SUPORTE RESSERVATÓRIO - 23H422849</t>
  </si>
  <si>
    <t>MB002286Z</t>
  </si>
  <si>
    <t>CONJ SUP DA MOLA DIANT DIR - A9793200470</t>
  </si>
  <si>
    <t>MB002307Z</t>
  </si>
  <si>
    <t>PLACA /LAGERPLATTE - A9798810511</t>
  </si>
  <si>
    <t>AM000032Z</t>
  </si>
  <si>
    <t>TAMPA DA CARCACA 110273</t>
  </si>
  <si>
    <t>CB000005Z</t>
  </si>
  <si>
    <t>PLACA - 3970102</t>
  </si>
  <si>
    <t>AM000098Z</t>
  </si>
  <si>
    <t>TAMPA DA CARCACA 3224-P-1264</t>
  </si>
  <si>
    <t>MB002282Z</t>
  </si>
  <si>
    <t>SUPORTE - A3826117129</t>
  </si>
  <si>
    <t>MW000065Z</t>
  </si>
  <si>
    <t>CARTER DE OLEO - 941001150026</t>
  </si>
  <si>
    <t>AM000034Z</t>
  </si>
  <si>
    <t>TAMPA DA CARCACA 3224P1238</t>
  </si>
  <si>
    <t>MB000338Z</t>
  </si>
  <si>
    <t>CONJ. SUPORTE - A6343105109</t>
  </si>
  <si>
    <t>VW001109Z</t>
  </si>
  <si>
    <t>SUPORTE UNIDADE COMANDO - 23K607891F</t>
  </si>
  <si>
    <t>MB002204Z</t>
  </si>
  <si>
    <t>REFORÇO ESQUERDO - A3823273095</t>
  </si>
  <si>
    <t>MB003668Z</t>
  </si>
  <si>
    <t>CONJ TRILHO DE MONTAGEM - A3825400118</t>
  </si>
  <si>
    <t>MB001156Z</t>
  </si>
  <si>
    <t>REFORCO - A3823110160</t>
  </si>
  <si>
    <t>KB000003Z</t>
  </si>
  <si>
    <t>CAIXA DO PEDAL - 1801349</t>
  </si>
  <si>
    <t>KONGSBERG</t>
  </si>
  <si>
    <t>MB000390Z</t>
  </si>
  <si>
    <t>SUPORTE - A6346120124</t>
  </si>
  <si>
    <t>VERDE E AMARELO</t>
  </si>
  <si>
    <t>NH000038Z</t>
  </si>
  <si>
    <t>ANEL - 51425577</t>
  </si>
  <si>
    <t>CNH</t>
  </si>
  <si>
    <t>KB000001Z</t>
  </si>
  <si>
    <t>SUPORTE - 1782311</t>
  </si>
  <si>
    <t>MB000481Z</t>
  </si>
  <si>
    <t>REFORCO COL. CENTRAL SUP. - A9406410216</t>
  </si>
  <si>
    <t>VW001056Z</t>
  </si>
  <si>
    <t>ESTRUTURA LATERAL 23M809595</t>
  </si>
  <si>
    <t>SV000579Z</t>
  </si>
  <si>
    <t>CAIXA DO PEDAL DO BREQUE- 1801349</t>
  </si>
  <si>
    <t>DASHBOARD EXECUTIVO - COMITE AÇO</t>
  </si>
  <si>
    <t>META DA ÁREA</t>
  </si>
  <si>
    <t xml:space="preserve">RETORNO ESPECULADO </t>
  </si>
  <si>
    <t>📊 SAVING VALIDADO POR PILAR</t>
  </si>
  <si>
    <t>% Total</t>
  </si>
  <si>
    <t>Barra</t>
  </si>
  <si>
    <t>Indicador</t>
  </si>
  <si>
    <t>POTENCIAL (R$)</t>
  </si>
  <si>
    <t>MESES</t>
  </si>
  <si>
    <t>SAVING ACUM Estimado por mês</t>
  </si>
  <si>
    <t>TOP 5 – DIADEMA</t>
  </si>
  <si>
    <t xml:space="preserve">Pos </t>
  </si>
  <si>
    <t xml:space="preserve">Valor Potencial </t>
  </si>
  <si>
    <t xml:space="preserve">Projeto </t>
  </si>
  <si>
    <t xml:space="preserve">Descrição </t>
  </si>
  <si>
    <t>TOP 5 – Ferraz</t>
  </si>
  <si>
    <t>TOP 5 – Ferraz São Leopoldo</t>
  </si>
  <si>
    <t>TOP 5 –  Jarinu</t>
  </si>
  <si>
    <t>TOP 5 –  Anchieta</t>
  </si>
  <si>
    <t>DASHBOARD EXECUTIVO - DIRETORIA FINANCEIRA</t>
  </si>
  <si>
    <t xml:space="preserve">Unidade Beneficiada </t>
  </si>
  <si>
    <t>DASHBOARD EXECUTIVO - Head Qualidade &amp; Dir. Industrial JARINU</t>
  </si>
  <si>
    <t>\192.168.0.20\Departamentos\</t>
  </si>
  <si>
    <t>\192.168.2.20\Departamentos\</t>
  </si>
  <si>
    <t>\192.168.3.20\Departamentos\</t>
  </si>
  <si>
    <t>\192.168.5.20\Departamentos\</t>
  </si>
  <si>
    <t>r:\</t>
  </si>
  <si>
    <t>\192.168.6.20\Departamentos\</t>
  </si>
  <si>
    <t>custos</t>
  </si>
  <si>
    <t>Engenharia corp</t>
  </si>
  <si>
    <t>Paulo Ribeiro</t>
  </si>
  <si>
    <t>55:15</t>
  </si>
  <si>
    <t>% Departamento Suporte</t>
  </si>
  <si>
    <t>Valora p/ Unidade</t>
  </si>
  <si>
    <t>\\192.168.0.20\Departamentos\Engenharia\0. Kaizen Diadema\6. 2026\01 Janeiro\01 - DA000489AB -Bruno Manachini_Engenharia_Validado 160K\01 - KAIZEN - DA000489AB_Rev00_Bruno Manachini.xlsx</t>
  </si>
  <si>
    <t>B. Manachini / J. Oliveira</t>
  </si>
  <si>
    <t xml:space="preserve">02 - Eficiência uso de eletricidade </t>
  </si>
  <si>
    <t>\\192.168.0.20\DEPARTAMENTOS\Engenharia\0. Kaizen Diadema\6. 2026\02 Fevereiro\09 - Redução de lampadas acessas na fábrica_Eduardo Fajardo\9 - Kaizen Redução de lampadas acessas na fábrica_Eduardo Fajardo.xlsx</t>
  </si>
  <si>
    <t xml:space="preserve">Eficiência iluminamento Interno / Remoção de luminarias defeituosas e redistribuição sem afetar iluminamento </t>
  </si>
  <si>
    <t>\\192.168.5.20\Departamentos\TI\Projetos\Master 2026\03 - Redução de consumo de MP dos blanks com a técnica de corte Wave\Planta Melhoria Blank Wave - Gestão de Projetos REV01.xlsx</t>
  </si>
  <si>
    <t>\\192.168.0.20\DEPARTAMENTOS\Engenharia\0. Kaizen Diadema\6. 2026\02 Fevereiro\17 - Redução do contrato de empilhadeiras_Eduardo Fajardo\17 - Redução de do contrato de empilhadeiras_Eduardo Fajardo.xlsx</t>
  </si>
  <si>
    <t>13/02/2026: Falta validação do time de Controladoria -&gt; Considerados valores líquidos para o resultado.</t>
  </si>
  <si>
    <t>Aumento da eficiência da rua 2, 3, 4 e 8 para 73,4%.</t>
  </si>
  <si>
    <r>
      <t xml:space="preserve">16/02/206: </t>
    </r>
    <r>
      <rPr>
        <b/>
        <sz val="11"/>
        <color theme="1"/>
        <rFont val="Calibri"/>
        <family val="2"/>
        <scheme val="minor"/>
      </rPr>
      <t>Projeto de kaizen número 18 de 2026</t>
    </r>
  </si>
  <si>
    <t>O baseline 570l para cada 1.000 peças vendidas.</t>
  </si>
  <si>
    <t>\\192.168.0.20\departamentos\Engenharia\0. Kaizen Diadema\6. 2026\01 Janeiro\02 - MB2446LA_MB3670LA_MB3671LA_Engenharia_Bruno Manachini\02 - KAIZEN - MB2446LA_MB3670LA_MB3671LA_Rev00_Bruno Manachini.xlsx</t>
  </si>
  <si>
    <t>Projeto de kaizen número 02 de 2026</t>
  </si>
  <si>
    <t>Trazer 2 ferramentas da VW970Z/971Z</t>
  </si>
  <si>
    <r>
      <t xml:space="preserve">14 - REDUÇÃO DE MP </t>
    </r>
    <r>
      <rPr>
        <b/>
        <sz val="11"/>
        <color theme="1"/>
        <rFont val="Calibri"/>
        <family val="2"/>
        <scheme val="minor"/>
      </rPr>
      <t xml:space="preserve">DA000518Z (Anchieta) Código DD - </t>
    </r>
  </si>
  <si>
    <t>\\192.168.0.20\DEPARTAMENTOS\Engenharia\0. Kaizen Diadema\6. 2026\01 Janeiro\04 - DA000518Z_Thiago Cardoso_Engenharia\4 - KAIZEN DA000518Z.xlsx</t>
  </si>
  <si>
    <t>Aumentar a largura da bobina de 1100 para 1250, eliminando sobra (retalho)</t>
  </si>
  <si>
    <t>\\192.168.0.20\DEPARTAMENTOS\Engenharia\0. Kaizen Diadema\6. 2026\01 Janeiro\05 - Kaizem - Botões BI - MANUAL_Rafael Almeida_Ferramentaria\5 - Kaizem - Botões BI - MANUAL_Rev00.xlsx</t>
  </si>
  <si>
    <t>17 -MB003537LB_MB003538LB</t>
  </si>
  <si>
    <t>\\192.168.0.20\DEPARTAMENTOS\Engenharia\0. Kaizen Diadema\6. 2026\02 Fevereiro\13 - MB003537LB_MB003538LB - Bruno Manachini_Engenharia\13 - KAIZEN - MB003537LB_MB003538LB_Rev00_Bruno Manachini.xlsx</t>
  </si>
  <si>
    <t>18 - Venda de Embalagens</t>
  </si>
  <si>
    <t>R:\Deptos\Engenharia\0. Kaizen Diadema\6. 2026\02 Fevereiro\19 - Redução de refugo em relação ao budget_Rodrigo Larrubia\19 - Redução de refugo em relação ao budget 2026.xlsx</t>
  </si>
  <si>
    <t>05/02/2026 - O objetivo é reduzir o custo médio mensal previsto no budget, para um custo de 0,2% em relação ao faturamento. Budget prevê R$442K. Se ficarmos anaixo de 0,2% do faturamento (R$360K), o potencial de ganho é R$82K</t>
  </si>
  <si>
    <t>\\192.168.0.20\DEPARTAMENTOS\Engenharia\0. Kaizen Diadema\6. 2026\02 Fevereiro\14 - MB003537LA_MB003538LA - Bruno Manachini_Engenharia_Validado\14 - KAIZEN - MB003537LA_MB003538LA_Rev00_Bruno Manachini.xlsx</t>
  </si>
  <si>
    <r>
      <t xml:space="preserve">13/02/2026: </t>
    </r>
    <r>
      <rPr>
        <b/>
        <sz val="11"/>
        <color theme="1"/>
        <rFont val="Calibri"/>
        <family val="2"/>
        <scheme val="minor"/>
      </rPr>
      <t>Projeto de kaizen número 15 de 2026.</t>
    </r>
  </si>
  <si>
    <t>R:\Deptos\Engenharia\0. Kaizen Diadema\6. 2026\02 Fevereiro\16 - VW000581Z_VW000582Z - Amauri Mantuan\16 - KAIZEN - Redução do peso bruto VW000581Z  VW000582Z_Rev00_B. Manachini.xlsx</t>
  </si>
  <si>
    <r>
      <t>17/02/2026:</t>
    </r>
    <r>
      <rPr>
        <b/>
        <sz val="11"/>
        <color theme="1"/>
        <rFont val="Calibri"/>
        <family val="2"/>
        <scheme val="minor"/>
      </rPr>
      <t xml:space="preserve"> </t>
    </r>
    <r>
      <rPr>
        <b/>
        <sz val="11"/>
        <rFont val="Calibri"/>
        <family val="2"/>
        <scheme val="minor"/>
      </rPr>
      <t>Projeto de kaizen número 16 de 2026</t>
    </r>
    <r>
      <rPr>
        <sz val="11"/>
        <color theme="1"/>
        <rFont val="Calibri"/>
        <family val="2"/>
        <scheme val="minor"/>
      </rPr>
      <t xml:space="preserve">. Enviado 16/02/2026 para validação da controladoria. </t>
    </r>
  </si>
  <si>
    <t>Reunião Fast Response</t>
  </si>
  <si>
    <t>Reunião diaria de produção</t>
  </si>
  <si>
    <t>Reunião diaria de passagem de turno</t>
  </si>
  <si>
    <t>Reunião mensal de gestão da produção</t>
  </si>
  <si>
    <t>Reunião diaria de produto não conforme</t>
  </si>
  <si>
    <t>Form.682 Quadro hora/hora</t>
  </si>
  <si>
    <t>PLR</t>
  </si>
  <si>
    <t>Esta peça está na DSL</t>
  </si>
  <si>
    <t>SQDCM</t>
  </si>
  <si>
    <t>Form.121 Indicadores de SGI</t>
  </si>
  <si>
    <t>Quadro de Aviso Padronizado</t>
  </si>
  <si>
    <t>Acompanhamento de OEE</t>
  </si>
  <si>
    <t>Acompanhamento de SCRAP</t>
  </si>
  <si>
    <t>Acompanhamento de SETUP</t>
  </si>
  <si>
    <t>Form. 104 - Indicadores e Ata de Analise Critica</t>
  </si>
  <si>
    <t xml:space="preserve">Form.370 - Fast Response Itens Críticos </t>
  </si>
  <si>
    <t>Form. 015 – Lista de Presença Resposta Rápida</t>
  </si>
  <si>
    <t>Form. 506 Open Issues List</t>
  </si>
  <si>
    <t>Ordem de produção</t>
  </si>
  <si>
    <t>Form 075 registro de inspeção</t>
  </si>
  <si>
    <t>Form 532-Relátorio de produção</t>
  </si>
  <si>
    <t>Form 085 identificação do processo-etiqueta azul</t>
  </si>
  <si>
    <t>Form 441-Identificação do produto aprovado</t>
  </si>
  <si>
    <t>Form 032-Identificação de produto suspeito</t>
  </si>
  <si>
    <t>Form 149-Identificação de amostra de produto (try-out)</t>
  </si>
  <si>
    <t>Form 093 - Etiqueta "Solicitação de ensaio"</t>
  </si>
  <si>
    <t>Etiqueta de beneficiamento</t>
  </si>
  <si>
    <t>Etiqueta de RASTREABILIDADE DO PRODUTO/COMPONENTE</t>
  </si>
  <si>
    <t xml:space="preserve">Form. 87 - PLANO DE CONTROLE </t>
  </si>
  <si>
    <t>Form. 87 - PLANO DE CONTROLE DE CARACTERÍSTICAS ESPECIAIS (RIP "S")</t>
  </si>
  <si>
    <t>Form. 647 - INSTRUÇÃO DE TRABALHO</t>
  </si>
  <si>
    <t>Form.513 EPS - ESPECIFICAÇÃO DOS PROCESSOS DE SOLDA</t>
  </si>
  <si>
    <t>Acompanhamento de Eficiencia de mão de obra</t>
  </si>
  <si>
    <t>Plano Mestre de Produtividade</t>
  </si>
  <si>
    <t>Projetos Estratégicos: OEE, SCRAP, SMED, Eficiência MOD</t>
  </si>
  <si>
    <t>Programa 5S</t>
  </si>
  <si>
    <t>Matriz de versatilidade</t>
  </si>
  <si>
    <t>Form 080-Registro de Parametros de Processo.xlsx</t>
  </si>
  <si>
    <t>Form 048-Retrabalho/Reparo</t>
  </si>
  <si>
    <t>Form. 410 – CHECK LIST DE SETUP E FIM DE PRODUÇÃO – ESTAMPARIA</t>
  </si>
  <si>
    <t>Form. 411 – CHECK LIST DE SETUP E FIM DE PRODUÇÃO – SOLDA</t>
  </si>
  <si>
    <t>FORM 224 – CHECK LIST DE SETUP E FIM DE PRODUÇÃO – OUTROS PROCESSOS</t>
  </si>
  <si>
    <t>IT 8.7.1.7 – 033 PLANO DE REAÇÃO</t>
  </si>
  <si>
    <t>Programa FIFO</t>
  </si>
  <si>
    <t>Alocação de mão de obra</t>
  </si>
  <si>
    <t>Form. 477 – REGISTRO DE ALARMES E ESCALONAMENTO</t>
  </si>
  <si>
    <t>Form. 148 – IDENTIFICAÇÃO DE RETALHOS</t>
  </si>
  <si>
    <t>Form. 030 –  CHECK LIST TPM E PLANO DE MANUTENÇÃO (TPM)</t>
  </si>
  <si>
    <t>KPI (Indicador de Performance)</t>
  </si>
  <si>
    <t>Como Medir</t>
  </si>
  <si>
    <t>Margem de Contribuição (VA)</t>
  </si>
  <si>
    <t>(Receita Líquida - Custos Variáveis) / Receita Líquida</t>
  </si>
  <si>
    <t>Valor (R$) do Scrap / Custo Total da Produção</t>
  </si>
  <si>
    <t>OEE (Overall Equipment Effectiveness)</t>
  </si>
  <si>
    <t>Disponibilidade x Performance x Qualidade</t>
  </si>
  <si>
    <t>Eficiência de Mão de Obra (Eficiência de MO)</t>
  </si>
  <si>
    <t>Horas Padrão / Horas Apontadas</t>
  </si>
  <si>
    <t>MTTR (Tempo Médio para Reparo)</t>
  </si>
  <si>
    <t>Horas</t>
  </si>
  <si>
    <t>Tempo Total de Reparo / Número de falhas</t>
  </si>
  <si>
    <t>MTBF(Tempo Médio entre Falhas)</t>
  </si>
  <si>
    <t>Tempo Total Operando / Número de falhas</t>
  </si>
  <si>
    <t>PPM (Partes por Milhão)</t>
  </si>
  <si>
    <t>PPM</t>
  </si>
  <si>
    <t>(Nº de Peças Defeituosas / Total de Peças Produzidas) x 1.000.000</t>
  </si>
  <si>
    <t>Custo da Não Qualidade (CONC)</t>
  </si>
  <si>
    <t>Refugo	+ Horas extras + Fretes extras + Notas de Debito (Contabilizado) / Receita líquida (Sucata + Transferência + Produto)</t>
  </si>
  <si>
    <t>Taxa de Frequência de Acidentes (TFA)</t>
  </si>
  <si>
    <t>Taxa</t>
  </si>
  <si>
    <t>(Nº de Acidentes com Afastamento x 1.000.000) / HHT</t>
  </si>
  <si>
    <t>% Conformidade do Processo vs. POC</t>
  </si>
  <si>
    <t>Auditorias de processo comparando o consumo real vs. POC</t>
  </si>
  <si>
    <t>Auditoria semanal do preenchimento de formulários e reuniões.</t>
  </si>
  <si>
    <t>DASHBOARD EXECUTIVO - UNIDADE SÃO LEOPOLDO</t>
  </si>
  <si>
    <t>49.0%</t>
  </si>
  <si>
    <t xml:space="preserve">valor </t>
  </si>
  <si>
    <t>Alta no Scrap durante Setup</t>
  </si>
  <si>
    <t>Produtos da solda NC</t>
  </si>
  <si>
    <t>aguardando fechamento</t>
  </si>
  <si>
    <t>Setup Ferramenta VW</t>
  </si>
  <si>
    <t>Melhorias no braço do robo</t>
  </si>
  <si>
    <t>Manutenção da Empilhadeira durante setup</t>
  </si>
  <si>
    <t>turnover</t>
  </si>
  <si>
    <t>absenteimos</t>
  </si>
  <si>
    <t>Produção hora/hora maior que o programado</t>
  </si>
  <si>
    <t>n/a</t>
  </si>
  <si>
    <t xml:space="preserve">Abesenteísmo </t>
  </si>
  <si>
    <t>manutenção máquina Laser</t>
  </si>
  <si>
    <t>Troca do focal da laser</t>
  </si>
  <si>
    <t>Manutenção Schuler 5</t>
  </si>
  <si>
    <t>aguardando indicador</t>
  </si>
  <si>
    <t>Manuteção Schuler 5</t>
  </si>
  <si>
    <t>Entrega de peças atrasadas</t>
  </si>
  <si>
    <t>Demanda urgente</t>
  </si>
  <si>
    <t>banco de peças  e faturamento</t>
  </si>
  <si>
    <t>inventário</t>
  </si>
  <si>
    <t>hora extra - atendimento à demanda</t>
  </si>
  <si>
    <t>Hora extra - atendimento à demada</t>
  </si>
  <si>
    <t>aguardando Paulo</t>
  </si>
  <si>
    <t>dimensional fora do especificado</t>
  </si>
  <si>
    <t>furo deslocado</t>
  </si>
  <si>
    <t>indicadores e atas</t>
  </si>
  <si>
    <t>apontamento e preenchimento</t>
  </si>
  <si>
    <t>ajuste master</t>
  </si>
  <si>
    <t>Quebra de punção ferramentas master</t>
  </si>
  <si>
    <t>ajuste vw 506z</t>
  </si>
  <si>
    <t>troca de punção e afiação</t>
  </si>
  <si>
    <t>Transferência</t>
  </si>
  <si>
    <t>01 - Redução de Refugo</t>
  </si>
  <si>
    <t>\\192.168.3.20\Departamentos\Engenharia\Planejamento Estratégico\A3_01-Refugo.xlsx</t>
  </si>
  <si>
    <t>Análise dos processos dos principais itens com falha em produção e clientes a fim de reduzir as perdas.</t>
  </si>
  <si>
    <t>Roselise Aguiar</t>
  </si>
  <si>
    <t>Validação considerando valores e % do REFUGO no Budget 2026</t>
  </si>
  <si>
    <t xml:space="preserve">02 -  REDUÇÃO DE PESO BRUTO DD000506Z
</t>
  </si>
  <si>
    <t>\\192.168.3.20\Departamentos\Engenharia\Planejamento Estratégico\A3_02 - Redução de matéria-prima DD000506Z.xlsx</t>
  </si>
  <si>
    <t>Realizar estudo para otimização do blank dos itens automotivos transferidos</t>
  </si>
  <si>
    <t>Alex Monteiro</t>
  </si>
  <si>
    <t xml:space="preserve">Compras (Lucas Jesus)
Retorno da Usiminas 
 </t>
  </si>
  <si>
    <t>03- Comunização de Materiais</t>
  </si>
  <si>
    <t>\\192.168.3.20\Departamentos\Engenharia\Planejamento Estratégico\A3_03- Comunização de Materiais.xlsx</t>
  </si>
  <si>
    <t xml:space="preserve">Comunizar a espessura e qualidade de MP das chapas </t>
  </si>
  <si>
    <t>Denison Moraes.</t>
  </si>
  <si>
    <t>PPCP São Leopoldo (Eduardo L. ) Finalizando análise de comunização.</t>
  </si>
  <si>
    <t>Estudo de comunização realizado. Avaliar potencial comercial.</t>
  </si>
  <si>
    <t>04 -  REDUÇÃO DE PESO BRUTO DD000502/503Z</t>
  </si>
  <si>
    <t>\\192.168.3.20\Departamentos\Engenharia\Planejamento Estratégico\A3_08 - Redução de matéria-prima DD000502-DD000503Z.xlsx</t>
  </si>
  <si>
    <t>05 - Acabamento capo CN13</t>
  </si>
  <si>
    <t>\\192.168.3.20\Departamentos\Engenharia\Planejamento Estratégico\A3_09-ACABAMENTO CAPO CNH.xlsx</t>
  </si>
  <si>
    <t>Reduzir tempo de operação de acabamento do capo CN13 e CN 14 e comunizar mão-de-obra entre eles</t>
  </si>
  <si>
    <t>06- Troca do fornecedor de tubo do Capo CNH CN-13</t>
  </si>
  <si>
    <t>\\192.168.3.20\Departamentos\Engenharia\Planejamento Estratégico\A3 REDUÇÃO DE CUSTO DO TUBO COMPRADO DO CAPÔ.xlsx</t>
  </si>
  <si>
    <t>Desenvolver nova fonte de fornecimento com custo menor</t>
  </si>
  <si>
    <t>Victor Luchinni</t>
  </si>
  <si>
    <t>Compras Delga SL (Victor L.), Retorno/Aprovação do Cliente para substituíção dos tubos.</t>
  </si>
  <si>
    <t>07- Reestruturação</t>
  </si>
  <si>
    <t>\\192.168.3.20\Departamentos\Engenharia\Planejamento Estratégico\A3_11 - Término turno da noite.xlsx</t>
  </si>
  <si>
    <t>Reestruturação da folha de pagamento</t>
  </si>
  <si>
    <t>Sidnei R.  Fraga</t>
  </si>
  <si>
    <t>08 - REDUÇÃO DE CUSTO LOCAÇÃO DE PTA (12METROS)</t>
  </si>
  <si>
    <t>\\192.168.3.20\Departamentos\Engenharia\Planejamento Estratégico\A3_12-REDUÇÃO DE CUSTO DE LOCAÇÃO DE PTA 12 METROS (002).xlsx</t>
  </si>
  <si>
    <t>Trocar o fornecedor de locação da plataforma PTA</t>
  </si>
  <si>
    <t>Diogo Iaronka</t>
  </si>
  <si>
    <t>09- Substituíção de Empilhadeiras GPL.</t>
  </si>
  <si>
    <t>\\192.168.3.20\Departamentos\Engenharia\Planejamento Estratégico\A3_14-Troca de empilhaderia GLP por elétrica.xlsx</t>
  </si>
  <si>
    <t>Substituição das empilhadeiras por equipamentos menores ou elétricos.</t>
  </si>
  <si>
    <t xml:space="preserve">Eduardo Luhring </t>
  </si>
  <si>
    <t xml:space="preserve"> Elenice (Compras). Negociar a troca das máquinas e refazer contrato de locação.</t>
  </si>
  <si>
    <t>Pendente por falta de informações.</t>
  </si>
  <si>
    <t xml:space="preserve">10 -  REDUÇÃO DE PESO BRUTO DD000504/505Z
</t>
  </si>
  <si>
    <t>\\192.168.3.20\Departamentos\Engenharia\Planejamento Estratégico\A3_15 - Redução de matéria-prima DD000504-DD000505.xlsx</t>
  </si>
  <si>
    <t>Realizar estudo para otimização do blank dos itens automotivos transferidos.</t>
  </si>
  <si>
    <t>11- REDUZIR A QUANTIDADE DE MÁQUINAS DE SOLDA MIG/MAG LOCADAS</t>
  </si>
  <si>
    <t>\\192.168.3.20\Departamentos\Engenharia\Planejamento Estratégico\A3 REDUÇÃO DE CUSTO DE LOCAÇÃO DE MÁQUINA SOLDA MIG.xlsx</t>
  </si>
  <si>
    <t>Reduzir os custos de locação de 02 máquina e solda MIG/MAG.</t>
  </si>
  <si>
    <t>12-Adicionar serviços de portaria e limpeza em um único prestador terceirizado com serviços gerais.</t>
  </si>
  <si>
    <t>\\192.168.3.20\Departamentos\Engenharia\Planejamento Estratégico\A3_01- serviços terceiros.xlsx</t>
  </si>
  <si>
    <t>Agregar os serviço prestado por terceiros de portaria e limpeza em um único fornecedor, incluindo um posto de serviço gerais por 4 h diárias de segunda a sexta feira</t>
  </si>
  <si>
    <t>Paula Scherer</t>
  </si>
  <si>
    <t>13- Redução do custo mensal de empilhadeira locada (LOCAPEX).</t>
  </si>
  <si>
    <t>\\192.168.3.20\Departamentos\Engenharia\Planejamento Estratégico\A3_REDUZIR NÚMEROS DE EMPILHADEIRAS LOCADA.xlsx</t>
  </si>
  <si>
    <t xml:space="preserve"> Redução de empilhadeira locada.</t>
  </si>
  <si>
    <t>14- Redução de gastos com energia elétrica.</t>
  </si>
  <si>
    <t>\\192.168.3.20\Departamentos\Engenharia\Planejamento Estratégico\A3_16 - Redução de energia elétrica.xlsx</t>
  </si>
  <si>
    <t>Reduzir o consumo de energia elétrica da fábrica e áreas de apoio.</t>
  </si>
  <si>
    <t xml:space="preserve">15-  REDUÇÃO DE PESO BRUTO DD000507z
</t>
  </si>
  <si>
    <t>\\192.168.3.20\Departamentos\Engenharia\Planejamento Estratégico\A3_18 - Redução de matéria-prima DD000507z.xlsx</t>
  </si>
  <si>
    <t xml:space="preserve">Compras (Lucas Jesus)
Retorno da Usiminas em 
 </t>
  </si>
  <si>
    <t>22- Eliminar custo com usinagem externa CN 00016/17</t>
  </si>
  <si>
    <t>\\192.168.3.20\Departamentos\Engenharia\Planejamento Estratégico\A3_22- Eliminar custo com usinagem externa CN 00016-17.xlsx</t>
  </si>
  <si>
    <t>Ajustar furação  na laser  para eliminar usinar após conformação na  prensa.</t>
  </si>
  <si>
    <t>Luis Nardes</t>
  </si>
  <si>
    <t>26-Aumento de produtividade na LINHA SCHULER</t>
  </si>
  <si>
    <t>\\192.168.3.20\Departamentos\Engenharia\Planejamento Estratégico\A3_26 - Aumento de produtividade linha schuler.xlsx</t>
  </si>
  <si>
    <t xml:space="preserve">Ajuste de avanço e recuo dos braços mecânico de retirada de peças da linha SCHULER. </t>
  </si>
  <si>
    <t>Diogo Iaronka (manutenção) Ajuste dos braços mecânicos.</t>
  </si>
  <si>
    <t>27-Redução no tempo de setup na Linha Schuler.</t>
  </si>
  <si>
    <t>\\192.168.3.20\Departamentos\Engenharia\Planejamento Estratégico\A3_27 -  Redução de tempo de Setup linha Schuler.xlsx</t>
  </si>
  <si>
    <t>Reduzir o tempo de setup, utilizando os grampos hidraúlicos.</t>
  </si>
  <si>
    <t>Victor L.          (Compras Delga SL) Finalizar o corter plasma externo das bases inferiores e superiores.</t>
  </si>
  <si>
    <r>
      <t xml:space="preserve">Mapeados  </t>
    </r>
    <r>
      <rPr>
        <b/>
        <sz val="12"/>
        <color rgb="FFFF0000"/>
        <rFont val="Calibri"/>
        <family val="2"/>
      </rPr>
      <t>xx/xx/2026</t>
    </r>
  </si>
  <si>
    <t>Data</t>
  </si>
  <si>
    <t>CN000013Z</t>
  </si>
  <si>
    <t>91740291 - HOOD,PTD,FIXED</t>
  </si>
  <si>
    <t>AG000163Z</t>
  </si>
  <si>
    <t>8747240A Back Support Welded</t>
  </si>
  <si>
    <t>MA000001Z</t>
  </si>
  <si>
    <t>3211FM138 - ARANHA DE FREIO</t>
  </si>
  <si>
    <t>CN000009Z</t>
  </si>
  <si>
    <t>91739671 - SUPPORT, HYD TANK, WA</t>
  </si>
  <si>
    <t>CN000010Z</t>
  </si>
  <si>
    <t>92200448 - SCREEN WA, MID GRILLE</t>
  </si>
  <si>
    <t>MA000007Z</t>
  </si>
  <si>
    <t>100000599660 - BACKING PLATE</t>
  </si>
  <si>
    <t>MA000002Z</t>
  </si>
  <si>
    <t>100000146115 - ARANHA DE FREIO</t>
  </si>
  <si>
    <t>AG000017Z</t>
  </si>
  <si>
    <t>86698000 - PROTECAO DIANTEIRA</t>
  </si>
  <si>
    <t>CN000012Z</t>
  </si>
  <si>
    <t>CN000011Z</t>
  </si>
  <si>
    <t>92200454 - SCREEN DKGRA, GRILLE LH</t>
  </si>
  <si>
    <t>DD000510Z (VW745Z)</t>
  </si>
  <si>
    <t>Sul atende para Diadema</t>
  </si>
  <si>
    <t>TRANSFERÊNCIA</t>
  </si>
  <si>
    <t>DD000511Z (VW746Z)</t>
  </si>
  <si>
    <t>DJ000306Z  (VW1214Z)</t>
  </si>
  <si>
    <t>Sul atende para Jarinu</t>
  </si>
  <si>
    <t>AG000053Z</t>
  </si>
  <si>
    <t>ACW182251B - CJ MONT SUP BARRA DE TRACAO</t>
  </si>
  <si>
    <t>AGCO</t>
  </si>
  <si>
    <t>AG000051Z</t>
  </si>
  <si>
    <t>87303820 - SUP DO COXIM DIANT DIR</t>
  </si>
  <si>
    <t>CN000078Z</t>
  </si>
  <si>
    <t>91802211  SUPPORT ASSY DRAWBAR CAT.3</t>
  </si>
  <si>
    <t>AG000211Z</t>
  </si>
  <si>
    <t>ACX367074A Sup da válvula</t>
  </si>
  <si>
    <t>AG000181Z</t>
  </si>
  <si>
    <t>ACX4083150 ANGLE SHIELD, TOP</t>
  </si>
  <si>
    <t>AG000109Z</t>
  </si>
  <si>
    <t>ACW389570A - RADIO SUPPORT</t>
  </si>
  <si>
    <t>CN000022Z</t>
  </si>
  <si>
    <t>91844850 - SUPPORT WA</t>
  </si>
  <si>
    <t>AG000047Z</t>
  </si>
  <si>
    <t>ACW7069870 - SUPORTE TRASEIRO</t>
  </si>
  <si>
    <t>AG000021Z</t>
  </si>
  <si>
    <t>71444676 - HANGER</t>
  </si>
  <si>
    <t>AG000098Z</t>
  </si>
  <si>
    <t>ACW9094730 - SUPORTE DO RESPIRO</t>
  </si>
  <si>
    <t>CN000014Z</t>
  </si>
  <si>
    <t>91735123 - HOOD,WA,FIXED</t>
  </si>
  <si>
    <t>AG000151Z</t>
  </si>
  <si>
    <t>87465600 - FRONT FLAT</t>
  </si>
  <si>
    <t>92200460 - SCREEN DKGRA, GRILLE RH</t>
  </si>
  <si>
    <t>AG000016Z</t>
  </si>
  <si>
    <t>86884560 - PARACHOQUE DIANTEIRO</t>
  </si>
  <si>
    <t>CN000004Z</t>
  </si>
  <si>
    <t>FEEDER WA, PLATE, HVOF</t>
  </si>
  <si>
    <t>AG000019Z</t>
  </si>
  <si>
    <t>4352758M2 - 7 PILARS CAB</t>
  </si>
  <si>
    <t>AG000014Z</t>
  </si>
  <si>
    <t>ACX2878480 - ALAVANCA DA EMBREAGEM SOLD</t>
  </si>
  <si>
    <t>AG0000177Z</t>
  </si>
  <si>
    <t>ACW1892520 - PLATAFORMA DO MOTOR WA</t>
  </si>
  <si>
    <t>AG000020Z</t>
  </si>
  <si>
    <t>87286110 - SUPORTE CONTR REMOTO SM12</t>
  </si>
  <si>
    <t>AG000175Z</t>
  </si>
  <si>
    <t>4387929M3-Sapata esquerda</t>
  </si>
  <si>
    <t>AG000025Z</t>
  </si>
  <si>
    <t>87103310 - ALAVANCA POSICAO SOLDADA</t>
  </si>
  <si>
    <t>AG000142Z</t>
  </si>
  <si>
    <t>71433753 - CANTONEIRA LD  INFERIOR</t>
  </si>
  <si>
    <t>AG000034Z</t>
  </si>
  <si>
    <t>87273710 - ALAVANCA DO CREEPER MONTADA</t>
  </si>
  <si>
    <t>AG000161Z</t>
  </si>
  <si>
    <t>4353305M2 - Suporte Traseiro LE</t>
  </si>
  <si>
    <t>AG000173Z</t>
  </si>
  <si>
    <t>ACW7055510 - BLOQUEIO DE BATERIA 80A</t>
  </si>
  <si>
    <t>AG000143Z</t>
  </si>
  <si>
    <t>71460288 - CANTONEIRA LE  INFERIOR</t>
  </si>
  <si>
    <t>AG000125Z</t>
  </si>
  <si>
    <t>4378834M1 - RENFORT DROIT TRAVERSE ARRIE</t>
  </si>
  <si>
    <t>AG000108Z</t>
  </si>
  <si>
    <t>ACW2469860 - SHIELD</t>
  </si>
  <si>
    <t>CN000027Z</t>
  </si>
  <si>
    <t>MOUN UPPER 92092306</t>
  </si>
  <si>
    <t>AG000168Z</t>
  </si>
  <si>
    <t>87639000 - BENDED SUPPORT</t>
  </si>
  <si>
    <t>AG000050Z</t>
  </si>
  <si>
    <t>86988300 - ALAVANCA PEDAL SOLDADA</t>
  </si>
  <si>
    <t>AG000022Z</t>
  </si>
  <si>
    <t>71450084 - SUPPORT WA-HINGE</t>
  </si>
  <si>
    <t>CN000015Z</t>
  </si>
  <si>
    <t>91739026 - RING WA</t>
  </si>
  <si>
    <t>AG000203Z</t>
  </si>
  <si>
    <t>TRAVESSA INF GARFO RODADO HT 20031002</t>
  </si>
  <si>
    <t>AG000026Z</t>
  </si>
  <si>
    <t>4353538M1 - LH FRONT REINF</t>
  </si>
  <si>
    <t>AG000150Z</t>
  </si>
  <si>
    <t>6316171M1 - LINK</t>
  </si>
  <si>
    <t>AG000189Z</t>
  </si>
  <si>
    <t>700114031 - STEP</t>
  </si>
  <si>
    <t>AG000126Z</t>
  </si>
  <si>
    <t>71438645 - ROCK SHAFT EA</t>
  </si>
  <si>
    <t>AG000092Z</t>
  </si>
  <si>
    <t>ACX3999130 - BRACKET SOCKET TRAILER</t>
  </si>
  <si>
    <t>AG000027Z</t>
  </si>
  <si>
    <t>4352741M1 - RH FRONT REINF</t>
  </si>
  <si>
    <t>AG000115Z</t>
  </si>
  <si>
    <t>ACW0813650 - CANTONEIRA SUP. LD</t>
  </si>
  <si>
    <t>AG000204Z</t>
  </si>
  <si>
    <t>TRAVESSA SUP GARFO RODADO HT 20031003</t>
  </si>
  <si>
    <t>AG000198Z</t>
  </si>
  <si>
    <t>ACX437462A - PANEL-SIDE, REAR, RH</t>
  </si>
  <si>
    <t>AG000197Z</t>
  </si>
  <si>
    <t>ACX437460A - PANEL-SIDE, REAR, LH</t>
  </si>
  <si>
    <t>AG000138Z</t>
  </si>
  <si>
    <t>ACW1825340 - LISTA</t>
  </si>
  <si>
    <t>AG000094Z</t>
  </si>
  <si>
    <t>ACW9099090 - PROTEÇÃO ESQUERDA</t>
  </si>
  <si>
    <t>AG000169Z</t>
  </si>
  <si>
    <t>ACW2787230 PROT HARNESS PLATE</t>
  </si>
  <si>
    <t>AG000038Z</t>
  </si>
  <si>
    <t>36437300 - OLHAL</t>
  </si>
  <si>
    <t>AG000131Z</t>
  </si>
  <si>
    <t>36558800 - PEDAL</t>
  </si>
  <si>
    <t>AG000041Z</t>
  </si>
  <si>
    <t>ACW1553350 - ESTRIA DE PROTECAO</t>
  </si>
  <si>
    <t>AG000104Z</t>
  </si>
  <si>
    <t>4352751M1 - REFORÇO DA COLUNA TRASEIRO</t>
  </si>
  <si>
    <t>AG000030Z</t>
  </si>
  <si>
    <t>ACW1555320 - FIXER</t>
  </si>
  <si>
    <t>AG000128Z</t>
  </si>
  <si>
    <t>4352750M1 - Reforço da coluna traseiro</t>
  </si>
  <si>
    <t>CN000017Z</t>
  </si>
  <si>
    <t>47470962 - ANGLE</t>
  </si>
  <si>
    <t>AG000112Z</t>
  </si>
  <si>
    <t>836747849 - SUP. P/ TUBO RADIADOR OLEO</t>
  </si>
  <si>
    <t>AG000140Z</t>
  </si>
  <si>
    <t>4354569M1 - Pilrs Cab Rmt Mirror Bck</t>
  </si>
  <si>
    <t>AG000152Z</t>
  </si>
  <si>
    <t>4384848M1 - SUPORTE AÇO FIXAÇÃO CABINE</t>
  </si>
  <si>
    <t>AG0000178Z</t>
  </si>
  <si>
    <t>4383944M1 - 6 Pilars Cab Left Roof</t>
  </si>
  <si>
    <t>AG000039Z</t>
  </si>
  <si>
    <t>86593410 - CHAPA</t>
  </si>
  <si>
    <t>AG000129Z</t>
  </si>
  <si>
    <t>4287874M1 - Suporte fixação parabrisa</t>
  </si>
  <si>
    <t>CN000067Z</t>
  </si>
  <si>
    <t>44943045 - PLATE - C-BAR TRANSPORT RH</t>
  </si>
  <si>
    <t>CN000031Z</t>
  </si>
  <si>
    <t>CONSOLE WA</t>
  </si>
  <si>
    <t>AG000037Z</t>
  </si>
  <si>
    <t>4381192M2 - CLAMP BRACKET</t>
  </si>
  <si>
    <t>CN000071Z</t>
  </si>
  <si>
    <t>LID WA - 84200095</t>
  </si>
  <si>
    <t>CN000062Z</t>
  </si>
  <si>
    <t>44942997 - PLATE CUTTERBAR CENTER LH</t>
  </si>
  <si>
    <t>CN000064Z</t>
  </si>
  <si>
    <t>44942617 - PLATE - CUTTERBAR - WIDE CF</t>
  </si>
  <si>
    <t>CN000061Z</t>
  </si>
  <si>
    <t>44942769 - PLATE-C'BAR LH</t>
  </si>
  <si>
    <t>CN000053Z</t>
  </si>
  <si>
    <t>44943871 - SHIELD-5BAT RH REEL-TAIL END</t>
  </si>
  <si>
    <t>CN000030Z</t>
  </si>
  <si>
    <t>ARM WA - 92.034.169</t>
  </si>
  <si>
    <t>CN000076Z</t>
  </si>
  <si>
    <t>SHIELD - 44945637</t>
  </si>
  <si>
    <t>CN000058Z</t>
  </si>
  <si>
    <t>44943802 - SUPPORT - WELDT CAM END</t>
  </si>
  <si>
    <t>CN000070Z</t>
  </si>
  <si>
    <t>840698871 - Combines AST40</t>
  </si>
  <si>
    <t>CN000057Z</t>
  </si>
  <si>
    <t>44943804 - SUPPORT - WELDT TAIL END</t>
  </si>
  <si>
    <t>CN000069Z</t>
  </si>
  <si>
    <t>PANEL PTD, ACCESS - 92692916</t>
  </si>
  <si>
    <t>DASHBOARD EXECUTIVO - UNIDADE ANCHIETA</t>
  </si>
  <si>
    <t xml:space="preserve">Transferência recebida acima do previsto com impacto negativo.
</t>
  </si>
  <si>
    <t>Maior peso de materiais especialmente pelas transferencias recebidas</t>
  </si>
  <si>
    <t>Transferência recebida acima do previsto</t>
  </si>
  <si>
    <t>Transferências acima do previsto</t>
  </si>
  <si>
    <t>Amassado</t>
  </si>
  <si>
    <t>Amassado / Montagem errada</t>
  </si>
  <si>
    <t xml:space="preserve"> Excesso retrabalho</t>
  </si>
  <si>
    <t>Teste de pintura / Ensaio Metrologia</t>
  </si>
  <si>
    <t>Baixa disponibilidade</t>
  </si>
  <si>
    <t xml:space="preserve">Baixa disponibilidade </t>
  </si>
  <si>
    <t>Setup Forçado</t>
  </si>
  <si>
    <t>Setup Forçado + Quedas de energia</t>
  </si>
  <si>
    <t>Setup forçado/Indisponibilidade empilhadeiras</t>
  </si>
  <si>
    <t>Baixo volume de peças</t>
  </si>
  <si>
    <t>Atraso na entrega de peças (Fornecedores)</t>
  </si>
  <si>
    <t>Falta de peças / Setup´s Forçados</t>
  </si>
  <si>
    <t>Setup Forcado</t>
  </si>
  <si>
    <t>Scrap peças amassadas</t>
  </si>
  <si>
    <t>Scrap</t>
  </si>
  <si>
    <t xml:space="preserve">Scrap </t>
  </si>
  <si>
    <t>Scrap teste de pintura</t>
  </si>
  <si>
    <t>Deslocamento M.O</t>
  </si>
  <si>
    <t>Quedas de energia</t>
  </si>
  <si>
    <t>Deslocamento m.o</t>
  </si>
  <si>
    <t>falhas mecânicas</t>
  </si>
  <si>
    <t>falhas elétricas</t>
  </si>
  <si>
    <t>Comunicação da falha</t>
  </si>
  <si>
    <t>Demanda Urgente/ Fechamento da Folha</t>
  </si>
  <si>
    <t>Demanda Urgente</t>
  </si>
  <si>
    <t>Fechamento de Mês</t>
  </si>
  <si>
    <t>Divergência estoque</t>
  </si>
  <si>
    <t>Divergência estoque fisico/sistemico</t>
  </si>
  <si>
    <t>Divergência estoque/ apontamento</t>
  </si>
  <si>
    <t>Divergência estoque fisico/sistema</t>
  </si>
  <si>
    <t>Falha Pintura</t>
  </si>
  <si>
    <t>Falha na inspeção</t>
  </si>
  <si>
    <t xml:space="preserve">Cinta SCANIA </t>
  </si>
  <si>
    <t>Devoluções para fornecedor</t>
  </si>
  <si>
    <t>Devoluções/Retrabalho</t>
  </si>
  <si>
    <t>Devoluções fornecedor</t>
  </si>
  <si>
    <t>Fornecedores</t>
  </si>
  <si>
    <t>Scania</t>
  </si>
  <si>
    <t>Falha Fornecedor</t>
  </si>
  <si>
    <t>Sem acidentes</t>
  </si>
  <si>
    <t>Acidentes grau leve</t>
  </si>
  <si>
    <t>2 acidentes grau leve</t>
  </si>
  <si>
    <t>Incio cromoanalise</t>
  </si>
  <si>
    <t>Cromoanálise em andamento</t>
  </si>
  <si>
    <t>Cromoanálise finalizada</t>
  </si>
  <si>
    <t>Aderência Fases 2 e 3</t>
  </si>
  <si>
    <t>Baixa aderência</t>
  </si>
  <si>
    <t>Aderência baixa na fase 1</t>
  </si>
  <si>
    <t>Baixa aderencia nos pilares fase 01</t>
  </si>
  <si>
    <t>Baixa aderência nos pilares da fase 01</t>
  </si>
  <si>
    <t>Relatório de Produção - Form.532</t>
  </si>
  <si>
    <t>Liçencas/Serviço segurança</t>
  </si>
  <si>
    <t>Liçencas/Serviço segurança/Energia elétrica</t>
  </si>
  <si>
    <t>Liçencas/Serviço segurança/Frete vendas/ Frete interplantas</t>
  </si>
  <si>
    <t>Liçancas/Energia Elétrica</t>
  </si>
  <si>
    <t>Água/Energia Elétrica</t>
  </si>
  <si>
    <t>Avanço %</t>
  </si>
  <si>
    <t>Obs:</t>
  </si>
  <si>
    <t>01 - VENDA DE ATIVOS</t>
  </si>
  <si>
    <t>\\DASRVFILE\Departamentos\ENGENHARIA\1.1 Projetos de redução custo\01 - VENDA DE ATIVOS\A3 Projeto 01 - VENDA DE ATIVOS.xlsx</t>
  </si>
  <si>
    <t>Avaliar oportunidade de venda dos ativos parados na planta</t>
  </si>
  <si>
    <t>Werner</t>
  </si>
  <si>
    <t xml:space="preserve">Compras
(Prospectando compradores) </t>
  </si>
  <si>
    <t>02 - TANQUE DE DECAPAGEM</t>
  </si>
  <si>
    <t>\\DASRVFILE\Departamentos\ENGENHARIA\1.1 Projetos de redução custo\02 - TANQUE DE DECAPAGEM\A3 Projeto 02 - TANQUE DE DECAPAGEM.xlsx</t>
  </si>
  <si>
    <t>Reduzir o gasto com limpeza de gancheira</t>
  </si>
  <si>
    <t>Rafaela</t>
  </si>
  <si>
    <t>03 - PRODUTOS QUÍMICOS KTL</t>
  </si>
  <si>
    <t>\\DASRVFILE\Departamentos\ENGENHARIA\1.1 Projetos de redução custo\03 - PRODUTOS QUÍMICOS KTL\A3 Projeto 03 - PRODUTOS QUÍMICOS KTL.xlsx</t>
  </si>
  <si>
    <t>Reduzir o consumo de produtos químicos utilizado no processo KTL</t>
  </si>
  <si>
    <t>04 - GÁS</t>
  </si>
  <si>
    <t>\\DASRVFILE\Departamentos\ENGENHARIA\1.1 Projetos de redução custo\06 - CONSUMO DE TINTA PÓ\A3 Projeto 06 - CONSUMO DE TINTA PÓ.xlsx</t>
  </si>
  <si>
    <t>Reduzir o consumo de gás</t>
  </si>
  <si>
    <t xml:space="preserve">Fabiano  </t>
  </si>
  <si>
    <t>05 - REDUÇÃO DE FRETE</t>
  </si>
  <si>
    <t>\\DASRVFILE\Departamentos\ENGENHARIA\1.1 Projetos de redução custo\05 - REDUÇÃO DE FRETE\A3 Projeto 05 - REDUÇÃO DE FRETE.xlsx</t>
  </si>
  <si>
    <t>Reduzir o gasto com frete</t>
  </si>
  <si>
    <t>Umberto</t>
  </si>
  <si>
    <t>Cancelado como projeto de redução de custo - valor de saving entrará no indicador de extra DRE</t>
  </si>
  <si>
    <t>06 - CONSUMO DE TINTA PÓ</t>
  </si>
  <si>
    <t>Reduzir o consumo de tinta pó</t>
  </si>
  <si>
    <t>Rafaela/Vinicius</t>
  </si>
  <si>
    <t>Engenharia Anchieta – Memoria de calculo proposta recusada, em desenvolvimento de uma nova memória de cálculo</t>
  </si>
  <si>
    <t>07 - CONSUMO DE EPI e SERVIÇOS</t>
  </si>
  <si>
    <t>R:\Departamentos\ENGENHARIA\1.1 Projetos de redução custo\07 - CONSUMO DE EPI e SERVIÇOS\A3 Projeto 07 - CONSUMO DE EPI e SERVIÇOS_Feveiro2026.xlsx</t>
  </si>
  <si>
    <t>Reduzir o consumo de EPI</t>
  </si>
  <si>
    <t>Raphael</t>
  </si>
  <si>
    <t>z</t>
  </si>
  <si>
    <t>08- ÁGUA</t>
  </si>
  <si>
    <t>R:\Departamentos\ENGENHARIA\1.1 Projetos de redução custo\08 - ÁGUA\08. ÁGUA - MELHORAR A EFICIÊNCIA DO CONSUMO DE ÀGUA.xlsx</t>
  </si>
  <si>
    <t>Reduzir o consumo de água</t>
  </si>
  <si>
    <t>Fabiano / Rafael</t>
  </si>
  <si>
    <t>09 - ENERGIA ELÉTRICA</t>
  </si>
  <si>
    <t>R:\Departamentos\ENGENHARIA\1.1 Projetos de redução custo</t>
  </si>
  <si>
    <t xml:space="preserve">Reduzir o consumo de energia elétrica </t>
  </si>
  <si>
    <t>10 - CONSUMO PERNA DE MOÇA</t>
  </si>
  <si>
    <t>R:\Departamentos\ENGENHARIA\1.1 Projetos de redução custo\10 - CONSUMO PERNA DE MOÇA\A3 - 10. CONSUMO PERNA DE MOÇA.xlsx</t>
  </si>
  <si>
    <t>Reduzir o consumo de produto utilizado no processo da perna de moça</t>
  </si>
  <si>
    <t>Ronaldo</t>
  </si>
  <si>
    <t>11 - WORKSHOP LIXAMENTO DD / DF</t>
  </si>
  <si>
    <t>\\DASRVFILE\Departamentos\ENGENHARIA\1.1 Projetos de redução custo\11 - WORKSHOP LIXAMENTO DD  DF\A3 Projeto 11 - WORKSHOP LIXAMENTO DD  DF.xlsx</t>
  </si>
  <si>
    <t>Reduzir operação e consumo de insumo na operação de lixamento.</t>
  </si>
  <si>
    <t>Workshop realizado, impacto de ganho nas outras unidades Delga</t>
  </si>
  <si>
    <t>12 - VENDA DE DESCARTÁVEIS</t>
  </si>
  <si>
    <t>R:\Departamentos\ENGENHARIA\1.1 Projetos de redução custo\12 - VENDA DE DESCARTÁVEIS\A3 Projeto 12 - VENDA DE DESCARTÁVEIS.xlsx</t>
  </si>
  <si>
    <t>Janeiro</t>
  </si>
  <si>
    <t>Dezembro</t>
  </si>
  <si>
    <t>13 - CONSUMO DE MATERIAIS DA ETE</t>
  </si>
  <si>
    <t>R:\Departamentos\ENGENHARIA\1.1 Projetos de redução custo\13 - CONSUMO DE MATERIAIS DA ETE\A3 Projeto 13 - CONSUMO DE MATERIAIS DA ETE.xlsx</t>
  </si>
  <si>
    <t>Reduzir o consumo dos materiais da ETE</t>
  </si>
  <si>
    <t>Engenharia/Quimicos Anchieta - prospectando fornecedores com menor custo e mesma qualidade</t>
  </si>
  <si>
    <t>14 - REDUÇÃO DE CUSTO COM O PRODUTO KLUTHE</t>
  </si>
  <si>
    <t>R:\Departamentos\ENGENHARIA\1.1 Projetos de redução custo\14 - Produto Químico Decapagem\Redução de Custo - Produto Químico Decapagem.xlsx</t>
  </si>
  <si>
    <t>Reduzir o custo de produto químico na decapagem</t>
  </si>
  <si>
    <t>abril</t>
  </si>
  <si>
    <t>15 - LAYOUT DO POKA YOKE DAS TRAVESSAS DA MERCEDES</t>
  </si>
  <si>
    <t>R:\Departamentos\ENGENHARIA\1.1 Projetos de redução custo\15 - Alteração de Layout\Alteração de Layout do Poka Yoke das Travessas Mercedes.xlsx</t>
  </si>
  <si>
    <t>Melhoria no layout de Poka Yoke das travessas Mercedes</t>
  </si>
  <si>
    <t>maio</t>
  </si>
  <si>
    <t>16 - TROCA DA FROTA DE EMPILHADEIRAS</t>
  </si>
  <si>
    <t>R:\Departamentos\ENGENHARIA\1.1 Projetos de redução custo\16 - Empilhadeira Elétrica\A3 Empilhadeira Eletrica.xlsx</t>
  </si>
  <si>
    <t>Substituir empilhadeiras movidas a gás por elétricas</t>
  </si>
  <si>
    <t>Análise De Margem</t>
  </si>
  <si>
    <t>VB000459Z</t>
  </si>
  <si>
    <t>DA000459AA/ DA000459Z</t>
  </si>
  <si>
    <t>SV000203Z</t>
  </si>
  <si>
    <t>DA000489Z</t>
  </si>
  <si>
    <t>MB000074Z</t>
  </si>
  <si>
    <t>MB000074AX</t>
  </si>
  <si>
    <t>ME000022Z</t>
  </si>
  <si>
    <t>MB000306Z</t>
  </si>
  <si>
    <t>ME000023Z</t>
  </si>
  <si>
    <t>MB000451Z</t>
  </si>
  <si>
    <t>SV000201Z</t>
  </si>
  <si>
    <t>DA000492Z</t>
  </si>
  <si>
    <t>ME000028Z</t>
  </si>
  <si>
    <t>VW001131Z</t>
  </si>
  <si>
    <t>MB003558Z</t>
  </si>
  <si>
    <t>DA000261Z</t>
  </si>
  <si>
    <t>MB003559Z</t>
  </si>
  <si>
    <t>DA000262Z</t>
  </si>
  <si>
    <t>VW001214AA / VW001214Z</t>
  </si>
  <si>
    <t>Anchieta atende Jarinu</t>
  </si>
  <si>
    <t>Anchieta recebe o AA de Jarinu, pinta e retorna a jarinu p/ FAT. Como Z</t>
  </si>
  <si>
    <t>VOLVO</t>
  </si>
  <si>
    <t>SV001571Z</t>
  </si>
  <si>
    <t>FRONT MODULE MONTADO</t>
  </si>
  <si>
    <t>MB000140Z</t>
  </si>
  <si>
    <t>TRAVESSA APOIO - A3843127061</t>
  </si>
  <si>
    <t>SV001531Z</t>
  </si>
  <si>
    <t>MB002039Z</t>
  </si>
  <si>
    <t>CONJ JUMELO - A9793200370</t>
  </si>
  <si>
    <t>SV001142Z</t>
  </si>
  <si>
    <t>BRACKET TAG AXLE - 1847583 C/PINT</t>
  </si>
  <si>
    <t>SV001568Z</t>
  </si>
  <si>
    <t>MB000073Z</t>
  </si>
  <si>
    <t>TRAVESSA - A3843127017</t>
  </si>
  <si>
    <t>METALSA</t>
  </si>
  <si>
    <t>SV001283Z</t>
  </si>
  <si>
    <t>CINTA C/PINTURA - CONJ. 3119466</t>
  </si>
  <si>
    <t>SV001582Z</t>
  </si>
  <si>
    <t>SV001285Z</t>
  </si>
  <si>
    <t>CINTA C/PINTURA - CONJ. 3119478</t>
  </si>
  <si>
    <t>MB000072Z</t>
  </si>
  <si>
    <t>TRAVESSA - A3863127523</t>
  </si>
  <si>
    <t>SV001548Z</t>
  </si>
  <si>
    <t>SV000448Z</t>
  </si>
  <si>
    <t>CONJUNTO MUDGUARD 2773100 PINT PO</t>
  </si>
  <si>
    <t>SV001580Z</t>
  </si>
  <si>
    <t>SV000227Z</t>
  </si>
  <si>
    <t>CROSSMEMBER ASSY RH 2656626</t>
  </si>
  <si>
    <t>SV001541Z</t>
  </si>
  <si>
    <t>SV001588Z</t>
  </si>
  <si>
    <t>SV001141Z</t>
  </si>
  <si>
    <t>BRACKET COMP AIR TRANK - 2210992 C/PINT</t>
  </si>
  <si>
    <t>MB002276Z</t>
  </si>
  <si>
    <t>CAVALETE - A9793200770</t>
  </si>
  <si>
    <t>SV001558Z</t>
  </si>
  <si>
    <t>SV001282Z</t>
  </si>
  <si>
    <t>CINTA S/PINTURA - CONJ. 3117151</t>
  </si>
  <si>
    <t>MB000002Z</t>
  </si>
  <si>
    <t>CONJUNTO JUMELO - A9743200037</t>
  </si>
  <si>
    <t>VB000345Z</t>
  </si>
  <si>
    <t>CAB SUSPENSION REAR - 24530273</t>
  </si>
  <si>
    <t>MB003673Z</t>
  </si>
  <si>
    <t>ZB BRACKET - CONJ. SOLDADO - A3845204841</t>
  </si>
  <si>
    <t>SV001535Z</t>
  </si>
  <si>
    <t>MB002296Z</t>
  </si>
  <si>
    <t>ZB PLATE A9585201982</t>
  </si>
  <si>
    <t>VB000222Z</t>
  </si>
  <si>
    <t>TRAVESSA - 21917412</t>
  </si>
  <si>
    <t>MB003544Z</t>
  </si>
  <si>
    <t>ZB SUPORTE ESQ DA PORTA - A9587200814</t>
  </si>
  <si>
    <t>SV001575Z</t>
  </si>
  <si>
    <t>MB002446Z</t>
  </si>
  <si>
    <t>CONJUNTO BRACKET A9585409940</t>
  </si>
  <si>
    <t>MB002405Z</t>
  </si>
  <si>
    <t>CONJUNTO CONSOLE FRT A9584900634</t>
  </si>
  <si>
    <t>MB003680Z</t>
  </si>
  <si>
    <t>CONJUNTO PEDAL EMBREAGEM - A9792900916</t>
  </si>
  <si>
    <t>SV001603Z</t>
  </si>
  <si>
    <t>VB000346Z</t>
  </si>
  <si>
    <t>ARM ARTICULATION - 20578884</t>
  </si>
  <si>
    <t>MB003669Z</t>
  </si>
  <si>
    <t>CONJ SUPORTE DE MONTAGEM - A6343105667</t>
  </si>
  <si>
    <t>MB002407Z</t>
  </si>
  <si>
    <t>CONJUNTO CONSOLE RR A9584900834</t>
  </si>
  <si>
    <t>MB002316Z</t>
  </si>
  <si>
    <t>SUP TRAS CABINA (ACO) - A9583104058</t>
  </si>
  <si>
    <t>MB003695Z</t>
  </si>
  <si>
    <t>ZB CONSOLE - A9794900634</t>
  </si>
  <si>
    <t>VW001117Z</t>
  </si>
  <si>
    <t>SUPORTE DIANTEIRO CONJUNTO - 23P803549A</t>
  </si>
  <si>
    <t>SV000204Z</t>
  </si>
  <si>
    <t>CONJUNTO SUPORTE DO TANQUE 2760083</t>
  </si>
  <si>
    <t>SV001574Z</t>
  </si>
  <si>
    <t>MB003694Z</t>
  </si>
  <si>
    <t>ZB CONSOLE - A9794900534</t>
  </si>
  <si>
    <t>MB003587Z</t>
  </si>
  <si>
    <t>CHAPA DE REFORCO - A6953127160</t>
  </si>
  <si>
    <t>SV001549Z</t>
  </si>
  <si>
    <t>SV000202Z</t>
  </si>
  <si>
    <t>CONJUNTO SUPORTE DO TANQUE 2760082</t>
  </si>
  <si>
    <t>SV001566Z</t>
  </si>
  <si>
    <t>SV000210Z</t>
  </si>
  <si>
    <t>CONJUNTO DE FEIXE 2800256</t>
  </si>
  <si>
    <t>VW001137Z</t>
  </si>
  <si>
    <t>SUPORTE TRASEIRO - 23F801147E</t>
  </si>
  <si>
    <t>MB003653Z</t>
  </si>
  <si>
    <t>CHAPA RETENTORA DE OLEO - A3853560282</t>
  </si>
  <si>
    <t>MB002404Z</t>
  </si>
  <si>
    <t>CONJUNTO CONSOLE RR A9794900334</t>
  </si>
  <si>
    <t>MB003629Z</t>
  </si>
  <si>
    <t>REF / ADAPTADOR - A9604751526  7416</t>
  </si>
  <si>
    <t>SV001666Z</t>
  </si>
  <si>
    <t>SV001529Z</t>
  </si>
  <si>
    <t>MB003551Z</t>
  </si>
  <si>
    <t>CJ PEDAL DA COLUNA(TRAVA) - A9794600175</t>
  </si>
  <si>
    <t>MB002406Z</t>
  </si>
  <si>
    <t>CONJUNTO CONSOLE RR A9584900734</t>
  </si>
  <si>
    <t>SV001591Z</t>
  </si>
  <si>
    <t>MB003538Z</t>
  </si>
  <si>
    <t>CJ. CONSOLE SUP DIR - A9583102458</t>
  </si>
  <si>
    <t>MB003537Z</t>
  </si>
  <si>
    <t>CJ. CONSOLE SUP ESQ - A9583102358</t>
  </si>
  <si>
    <t>MB003696Z</t>
  </si>
  <si>
    <t>ZB STEP PLATTE A9585200531</t>
  </si>
  <si>
    <t>SV001134Z</t>
  </si>
  <si>
    <t>ATTACHMENT PLATE ASSY - 2897648</t>
  </si>
  <si>
    <t>SV001612Z</t>
  </si>
  <si>
    <t>VW001156Z</t>
  </si>
  <si>
    <t>SUPORTE EGP - 23L253319</t>
  </si>
  <si>
    <t>SV001654Z</t>
  </si>
  <si>
    <t>SV001577Z</t>
  </si>
  <si>
    <t>SV001655Z</t>
  </si>
  <si>
    <t>MB003671Z</t>
  </si>
  <si>
    <t>CONJUTO SUPORTE - A9585400773</t>
  </si>
  <si>
    <t>SV001584Z</t>
  </si>
  <si>
    <t>SV001677Z</t>
  </si>
  <si>
    <t>SV001678Z</t>
  </si>
  <si>
    <t>MB002183Z</t>
  </si>
  <si>
    <t>PERNA DE MOÇA - A6343205934</t>
  </si>
  <si>
    <t>MB000412Z</t>
  </si>
  <si>
    <t>CONJ. SUPORTE - A6343203734</t>
  </si>
  <si>
    <t>SV000450Z</t>
  </si>
  <si>
    <t>MUDGUARD BRACKET ASSY - 2773101</t>
  </si>
  <si>
    <t>SV001625Z</t>
  </si>
  <si>
    <t>MB003681Z</t>
  </si>
  <si>
    <t>SUPORTE - A9585440038</t>
  </si>
  <si>
    <t>SV000451Z</t>
  </si>
  <si>
    <t>MUDGUARD BRACKET ASSY - 2773103</t>
  </si>
  <si>
    <t>SV001209Z</t>
  </si>
  <si>
    <t>CONJUNTO CINTA - 3110126</t>
  </si>
  <si>
    <t>SV000207Z</t>
  </si>
  <si>
    <t>DRIVER STAND 3021487</t>
  </si>
  <si>
    <t>SV001627Z</t>
  </si>
  <si>
    <t>ME000481Z</t>
  </si>
  <si>
    <t>REINF. LOWER FLANGE - 21450240</t>
  </si>
  <si>
    <t>SV001628Z</t>
  </si>
  <si>
    <t>VB000324Z</t>
  </si>
  <si>
    <t>REAR PLATE - 22943013</t>
  </si>
  <si>
    <t>MB003676Z</t>
  </si>
  <si>
    <t>CJ PEDAL DO FREIO CPL - A9792900718</t>
  </si>
  <si>
    <t>VB000344Z</t>
  </si>
  <si>
    <t>CAB SUSPENSION REAR - 24530277</t>
  </si>
  <si>
    <t>SV001443Z</t>
  </si>
  <si>
    <t>MB002295Z</t>
  </si>
  <si>
    <t>PLATE 2 HOLES - A9585230124</t>
  </si>
  <si>
    <t>MB003533Z</t>
  </si>
  <si>
    <t>CJ BRACO FIX TRANS COMPL - A9583100029</t>
  </si>
  <si>
    <t>SV001284Z</t>
  </si>
  <si>
    <t>CINTA S/PINTURA - CONJ. 3117152</t>
  </si>
  <si>
    <t>MB003545Z</t>
  </si>
  <si>
    <t>ZB SUPORTE DIR DA PORTA - A9587200914</t>
  </si>
  <si>
    <t>SV000212Z</t>
  </si>
  <si>
    <t>BEAM ASSY 2799911</t>
  </si>
  <si>
    <t>SV001583Z</t>
  </si>
  <si>
    <t>MB000294Z</t>
  </si>
  <si>
    <t>SUPORTE DO AMORTECED. DIR. - A9793230424</t>
  </si>
  <si>
    <t>SV000226Z</t>
  </si>
  <si>
    <t>MEMBRO LATERAL ASSY 2673754</t>
  </si>
  <si>
    <t>MB002285Z</t>
  </si>
  <si>
    <t>CONJ. TRAVESSA - A9793100832</t>
  </si>
  <si>
    <t>MB003585Z</t>
  </si>
  <si>
    <t>CONSOLE TANQUE COMBUST - A3844757303</t>
  </si>
  <si>
    <t>MB003670Z</t>
  </si>
  <si>
    <t>CONJUTO SUPORTE - A9585400373</t>
  </si>
  <si>
    <t>MB002401Z</t>
  </si>
  <si>
    <t>BRACKET ADAPTER A9604708283 7416</t>
  </si>
  <si>
    <t>MB002289Z</t>
  </si>
  <si>
    <t>REFORÇO ESQUERDO - A9583172028</t>
  </si>
  <si>
    <t>MB002290Z</t>
  </si>
  <si>
    <t>REFORÇO DIREITO - A9583172128</t>
  </si>
  <si>
    <t>MB003672Z</t>
  </si>
  <si>
    <t>CJ CAVALETE DO PEDAL - A9792901919</t>
  </si>
  <si>
    <t>SV001630Z</t>
  </si>
  <si>
    <t>SV001626Z</t>
  </si>
  <si>
    <t>ME000019Z</t>
  </si>
  <si>
    <t>TRAVESSA - 20831742</t>
  </si>
  <si>
    <t>SV001581Z</t>
  </si>
  <si>
    <t>SV001540Z</t>
  </si>
  <si>
    <t>MB003590Z</t>
  </si>
  <si>
    <t>COBERTURA DO ASSOALHO - A9406830508</t>
  </si>
  <si>
    <t>VW001154Z</t>
  </si>
  <si>
    <t>SUPORTE DIANTEIRO - 23F803549</t>
  </si>
  <si>
    <t>MB003591Z</t>
  </si>
  <si>
    <t>COBERTURA DO ASSOALHO - A9406830608</t>
  </si>
  <si>
    <t>MB003588Z</t>
  </si>
  <si>
    <t>CHAPA DE REFORCO - A6953127360</t>
  </si>
  <si>
    <t>SV001576Z</t>
  </si>
  <si>
    <t>VB000323Z</t>
  </si>
  <si>
    <t>BRACKET - 21695675</t>
  </si>
  <si>
    <t>MB002450Z</t>
  </si>
  <si>
    <t>CONJUNTO DO SUPORTE - A3846100236</t>
  </si>
  <si>
    <t>VB000322Z</t>
  </si>
  <si>
    <t>BRACKET - 21577317</t>
  </si>
  <si>
    <t>SV001624Z</t>
  </si>
  <si>
    <t>MB002451Z</t>
  </si>
  <si>
    <t>TRAVESSA A9603105946</t>
  </si>
  <si>
    <t>MB003536Z</t>
  </si>
  <si>
    <t>CJ CONSOLE SUP - A9583102258</t>
  </si>
  <si>
    <t>SV001633Z</t>
  </si>
  <si>
    <t>VB000169Z</t>
  </si>
  <si>
    <t>SUPORTE - 21028764</t>
  </si>
  <si>
    <t>SV001539Z</t>
  </si>
  <si>
    <t>SV001632Z</t>
  </si>
  <si>
    <t>SV001586Z</t>
  </si>
  <si>
    <t>SV001609Z</t>
  </si>
  <si>
    <t>SV001661Z</t>
  </si>
  <si>
    <t>MB002452Z</t>
  </si>
  <si>
    <t>CONJUNTO SUPORTE A9585203445 7416</t>
  </si>
  <si>
    <t>SV000205Z</t>
  </si>
  <si>
    <t>CONJUNTO SUPORTE DO TANQUE 2601216</t>
  </si>
  <si>
    <t>MB003631Z</t>
  </si>
  <si>
    <t>CALCO - A9604756420 7416</t>
  </si>
  <si>
    <t>MB002437Z</t>
  </si>
  <si>
    <t>ZB CONSOLE RR - A9614900134</t>
  </si>
  <si>
    <t>ME000021Z</t>
  </si>
  <si>
    <t>TRAVESSA - 20832045</t>
  </si>
  <si>
    <t>MB002313Z</t>
  </si>
  <si>
    <t>UPORTE TANQUE - A9584294969</t>
  </si>
  <si>
    <t>SV001604Z</t>
  </si>
  <si>
    <t>MB000413Z</t>
  </si>
  <si>
    <t>CONJ. SUPORTE BOLSA DE AR - A6343203834</t>
  </si>
  <si>
    <t>SV001587Z</t>
  </si>
  <si>
    <t>SV001579Z</t>
  </si>
  <si>
    <t>VB000280Z</t>
  </si>
  <si>
    <t>CONJ SUPORTE - 22196008</t>
  </si>
  <si>
    <t>SV001629Z</t>
  </si>
  <si>
    <t>SV001589Z</t>
  </si>
  <si>
    <t>VB000342Z</t>
  </si>
  <si>
    <t>CONJ. SUPORTE DO TANQUE DE AR - 24441067</t>
  </si>
  <si>
    <t>VW001116Z</t>
  </si>
  <si>
    <t>SUPORTE DIANTEIRO CONJUNTO - 23P803549C</t>
  </si>
  <si>
    <t>SV001631Z</t>
  </si>
  <si>
    <t>SV001647Z</t>
  </si>
  <si>
    <t>SV001608Z</t>
  </si>
  <si>
    <t>SV001553Z</t>
  </si>
  <si>
    <t>SV001616Z</t>
  </si>
  <si>
    <t>SV001585Z</t>
  </si>
  <si>
    <t>SV000211Z</t>
  </si>
  <si>
    <t>FEIXE 2800255</t>
  </si>
  <si>
    <t>MB003573Z</t>
  </si>
  <si>
    <t>ZB CANTO IMPACTO DIR- A9588807970 5900</t>
  </si>
  <si>
    <t>SV000214Z</t>
  </si>
  <si>
    <t>TRASPORT BEAM 2581611</t>
  </si>
  <si>
    <t>VB000241Z</t>
  </si>
  <si>
    <t>SUPORTE - 21774354</t>
  </si>
  <si>
    <t>VB000313Z</t>
  </si>
  <si>
    <t>PLACA - 21009946</t>
  </si>
  <si>
    <t>MB003571Z</t>
  </si>
  <si>
    <t>PARACHOQ CENT INF C/SP - A95888012045900</t>
  </si>
  <si>
    <t>SV001639Z</t>
  </si>
  <si>
    <t>SV001617Z</t>
  </si>
  <si>
    <t>VB000289Z</t>
  </si>
  <si>
    <t>TRAVESSA - 22166460</t>
  </si>
  <si>
    <t>MB003675Z</t>
  </si>
  <si>
    <t>CONJ ESTRUTURA DO SUPORTE A6345000728</t>
  </si>
  <si>
    <t>MB000423Z</t>
  </si>
  <si>
    <t>CONJ. CHAPA DEFLETORA - A3825003335</t>
  </si>
  <si>
    <t>VB000226Z</t>
  </si>
  <si>
    <t>PLACA - 21947042</t>
  </si>
  <si>
    <t>DASHBOARD EXECUTIVO - COMPRAS</t>
  </si>
  <si>
    <t>Retorno Previsto até hoje</t>
  </si>
  <si>
    <t xml:space="preserve">📋 Unidades Beneficiadas </t>
  </si>
  <si>
    <t xml:space="preserve">Diadema </t>
  </si>
  <si>
    <t>Multi Unidades</t>
  </si>
  <si>
    <t xml:space="preserve">  </t>
  </si>
  <si>
    <t xml:space="preserve"> IDEIAS DE KAIZENS E PROJETOS DE REDUÇÃO DE CUSTOS</t>
  </si>
  <si>
    <t>JE0425</t>
  </si>
  <si>
    <t>Negociação Produtos Pré tratamento</t>
  </si>
  <si>
    <t>\\DDSRVFILE\departamentos\Compras\GESTAO DEPARTAMENTO SUPRIMENTOS\27-PROJETOS\JE0425\JE0425 - Produtos Pré Tratamento.xlsx</t>
  </si>
  <si>
    <t>JEAN</t>
  </si>
  <si>
    <t>DN0825</t>
  </si>
  <si>
    <t>Redução de custo Porca 73189 da curva A</t>
  </si>
  <si>
    <t>\\DDSRVFILE\departamentos\Compras\GESTAO DEPARTAMENTO SUPRIMENTOS\27-PROJETOS\DN0825\DN825 - PORCA 73189.xlsx</t>
  </si>
  <si>
    <t>DIOGO</t>
  </si>
  <si>
    <t>DN0625</t>
  </si>
  <si>
    <t>Unificação itens de Distribuição Fixadores.</t>
  </si>
  <si>
    <t>\\DDSRVFILE\departamentos\Compras\GESTAO DEPARTAMENTO SUPRIMENTOS\27-PROJETOS\DN0625\DN625 - RESOURCING ITENS PARA WURTH.xlsx</t>
  </si>
  <si>
    <t>JE0325</t>
  </si>
  <si>
    <t>Redução de custo Abrasivos Curva A Ferraz</t>
  </si>
  <si>
    <t>\\DDSRVFILE\departamentos\Compras\GESTAO DEPARTAMENTO SUPRIMENTOS\27-PROJETOS\JE0325\JE0325 - Abrasivos Curva A Ferraz.xlsx</t>
  </si>
  <si>
    <t>EF0126</t>
  </si>
  <si>
    <t>Substituição Plano Médico - São Leopoldo</t>
  </si>
  <si>
    <t>\\DDSRVFILE\departamentos\Compras\GESTAO DEPARTAMENTO SUPRIMENTOS\27-PROJETOS\EF0126\EF0126_Substituição Plano Médico -DSL.xlsx</t>
  </si>
  <si>
    <t>ELENICE</t>
  </si>
  <si>
    <t>EF0226</t>
  </si>
  <si>
    <t>Mão de Obra Terceirizada</t>
  </si>
  <si>
    <t>\\DDSRVFILE\departamentos\Compras\GESTAO DEPARTAMENTO SUPRIMENTOS\27-PROJETOS\EF0226\EF00226_ MO.xlsx</t>
  </si>
  <si>
    <t>EF0326</t>
  </si>
  <si>
    <t>Recuperação de valores - Energia Elétrica</t>
  </si>
  <si>
    <t>\\DDSRVFILE\departamentos\Compras\GESTAO DEPARTAMENTO SUPRIMENTOS\27-PROJETOS\EF0326\EF0326_Energia eletrica.xlsx</t>
  </si>
  <si>
    <t>EF0426</t>
  </si>
  <si>
    <t>Recuperação de valores - Água</t>
  </si>
  <si>
    <t>\\DDSRVFILE\departamentos\Compras\GESTAO DEPARTAMENTO SUPRIMENTOS\27-PROJETOS\EF0426\Projetos_EF0426_ Agua recuperação de valores.xlsx</t>
  </si>
  <si>
    <t>DN1125</t>
  </si>
  <si>
    <t>Resourcing Pino Esférico GM Lipos p/ Maxdel</t>
  </si>
  <si>
    <t>\\DDSRVFILE\departamentos\Compras\GESTAO DEPARTAMENTO SUPRIMENTOS\27-PROJETOS\DN1125\DN1125 - Resourcing Pino Esférico GM.xlsx</t>
  </si>
  <si>
    <t>DN1525</t>
  </si>
  <si>
    <t>Resourcing Maletas Man (Mercante para Cartec)</t>
  </si>
  <si>
    <t>\\DDSRVFILE\departamentos\Compras\GESTAO DEPARTAMENTO SUPRIMENTOS\27-PROJETOS\DN1525\DN1525 - Resourcing Tubos Mercante para Cartec.xlsx</t>
  </si>
  <si>
    <t>JE0825</t>
  </si>
  <si>
    <t>Troca de fonte do arame de solda de Belgo para Gerdau</t>
  </si>
  <si>
    <t>\\DDSRVFILE\departamentos\Compras\GESTAO DEPARTAMENTO SUPRIMENTOS\27-PROJETOS\JE0825\JE0825 - Arame de Solda.xlsx</t>
  </si>
  <si>
    <t>JE0126</t>
  </si>
  <si>
    <t>Testes e troca do fornecedor de insumos de usinagem</t>
  </si>
  <si>
    <t>\\DDSRVFILE\departamentos\Compras\GESTAO DEPARTAMENTO SUPRIMENTOS\27-PROJETOS\JE0126\JE0126 - Troca fornecedor usinagem.xlsx</t>
  </si>
  <si>
    <t>ES0126</t>
  </si>
  <si>
    <t>Mudança de Modalidade Gerador Anchieta</t>
  </si>
  <si>
    <t>\\DDSRVFILE\departamentos\Compras\GESTAO DEPARTAMENTO SUPRIMENTOS\27-PROJETOS\ES0126\ES0126 - LOCAÇÃO GERADOR.xlsx</t>
  </si>
  <si>
    <t>ERALDO</t>
  </si>
  <si>
    <t>EF0526</t>
  </si>
  <si>
    <t>Modalidade Tarifária</t>
  </si>
  <si>
    <t>\\DDSRVFILE\departamentos\Compras\GESTAO DEPARTAMENTO SUPRIMENTOS\27-PROJETOS\EF0526\Projetos_EF0526_ Mod Tarifária.xlsx</t>
  </si>
  <si>
    <t>VH1325</t>
  </si>
  <si>
    <t>Viabilizar Material Alternativo de Menor Custo para Utilização na Carcaça da Scania</t>
  </si>
  <si>
    <t>\\DDSRVFILE\departamentos\Compras\GESTAO DEPARTAMENTO SUPRIMENTOS\27-PROJETOS\VH1325\VH1325-Viabilizar material alternativo Carcaça Scania.xlsx</t>
  </si>
  <si>
    <t>VITOR</t>
  </si>
  <si>
    <t>VH0125</t>
  </si>
  <si>
    <t>Viabilizar itens Usiminas via Gonvarri-Full Service</t>
  </si>
  <si>
    <t>\\DDSRVFILE\departamentos\Compras\GESTAO DEPARTAMENTO SUPRIMENTOS\27-PROJETOS\VH0125\VH0125-Gonvarri itens Usiminas.xlsx</t>
  </si>
  <si>
    <t>AG0125</t>
  </si>
  <si>
    <t>Estudo de viabilidade compressores</t>
  </si>
  <si>
    <t>\\DDSRVFILE\departamentos\Compras\GESTAO DEPARTAMENTO SUPRIMENTOS\27-PROJETOS\AG0125\AG0125-Compressores.xlsx</t>
  </si>
  <si>
    <t>ALINE</t>
  </si>
  <si>
    <t>AG0225</t>
  </si>
  <si>
    <t>Estudo de viabilidade lixadeiras</t>
  </si>
  <si>
    <t>\\DDSRVFILE\departamentos\Compras\GESTAO DEPARTAMENTO SUPRIMENTOS\27-PROJETOS\AG0225\AG0225-Lixadeiras.xlsx</t>
  </si>
  <si>
    <t>LJ0225</t>
  </si>
  <si>
    <t>Projeto DANA - Mudança de CH para BQ</t>
  </si>
  <si>
    <t>\\DDSRVFILE\departamentos\Compras\GESTAO DEPARTAMENTO SUPRIMENTOS\27-PROJETOS\LJ0225\LJ0225 - Projeto DANA - mudança de CH para BQ.xlsx</t>
  </si>
  <si>
    <t>LUCAS</t>
  </si>
  <si>
    <t>DN0526</t>
  </si>
  <si>
    <t>Negociação Boellhoff
85290 - PORCA QUADRADA SOLDA PROJEÇÃO - M5</t>
  </si>
  <si>
    <t>R:\Deptos\Compras\GESTAO DEPARTAMENTO SUPRIMENTOS\27-PROJETOS\DN0526\DN0526 - NEGOCIAÇÃO 85290 (BOELLHOFF).xlsx</t>
  </si>
  <si>
    <t>JE0125</t>
  </si>
  <si>
    <t>Troca de fonte fita zebrada e etiqueta litografada</t>
  </si>
  <si>
    <t>\\DDSRVFILE\departamentos\Compras\GESTAO DEPARTAMENTO SUPRIMENTOS\27-PROJETOS\JE0125\JE0125-Fita Zebrada e Etiqueta Litografada.xlsx</t>
  </si>
  <si>
    <t>JE0625</t>
  </si>
  <si>
    <t>Unificação óleos utilizados nas plantas</t>
  </si>
  <si>
    <t>\\DDSRVFILE\departamentos\Compras\GESTAO DEPARTAMENTO SUPRIMENTOS\27-PROJETOS\JE0625\JE0625 - Unificação óleos de processo.xlsx</t>
  </si>
  <si>
    <t>JE0725</t>
  </si>
  <si>
    <t>BID carimbos industriais</t>
  </si>
  <si>
    <t>\\DDSRVFILE\departamentos\Compras\GESTAO DEPARTAMENTO SUPRIMENTOS\27-PROJETOS\JE0725\JE0725 - PR Carimbos.xlsx</t>
  </si>
  <si>
    <t/>
  </si>
  <si>
    <t>JE1125</t>
  </si>
  <si>
    <t>BID complementar punções Jarinu</t>
  </si>
  <si>
    <t>\\DDSRVFILE\departamentos\Compras\GESTAO DEPARTAMENTO SUPRIMENTOS\27-PROJETOS\JE1125\JE1125 - Punções Jarinu.xlsx</t>
  </si>
  <si>
    <t>JE1225</t>
  </si>
  <si>
    <t>BID tampões pintura Anchieta</t>
  </si>
  <si>
    <t>\\DDSRVFILE\departamentos\Compras\GESTAO DEPARTAMENTO SUPRIMENTOS\27-PROJETOS\JE1225\JE1225 - BID Tampões Pintura Anchieta.xlsx</t>
  </si>
  <si>
    <t>JE0226</t>
  </si>
  <si>
    <t>BID consumíveis laser</t>
  </si>
  <si>
    <t>\\DDSRVFILE\departamentos\Compras\GESTAO DEPARTAMENTO SUPRIMENTOS\27-PROJETOS\JE0226\JE0226 - BID Consumíveis Laser.xlsx</t>
  </si>
  <si>
    <t>JE0326</t>
  </si>
  <si>
    <t>Troca fornecedor decapagem gancheiras Ferraz</t>
  </si>
  <si>
    <t>\\DDSRVFILE\departamentos\Compras\GESTAO DEPARTAMENTO SUPRIMENTOS\27-PROJETOS\JE0326\JE0326 - Troca fornecedor decapagem gancheiras.xlsx</t>
  </si>
  <si>
    <t>LJ0126</t>
  </si>
  <si>
    <t>Redução MP Viga Banana</t>
  </si>
  <si>
    <t>\\DDSRVFILE\Rede_Geral\Deptos\Compras\GESTAO DEPARTAMENTO SUPRIMENTOS\27-PROJETOS\LJ0126\LJ0126 - Negociação item Viga Banana.xlsx</t>
  </si>
  <si>
    <t>DN0425</t>
  </si>
  <si>
    <t>Resourcing Hasmman para Metalac</t>
  </si>
  <si>
    <t>\\DDSRVFILE\Rede_Geral\Deptos\Compras\GESTAO DEPARTAMENTO SUPRIMENTOS\27-PROJETOS\DN0425\DN425 - PARAF 48002 (HASSMANN PARA METALAC).xlsx</t>
  </si>
  <si>
    <t>CR0125</t>
  </si>
  <si>
    <t>Negociação de preços materiais carcaça Dana</t>
  </si>
  <si>
    <t>\\DDSRVFILE\Rede_Geral\Deptos\Compras\GESTAO DEPARTAMENTO SUPRIMENTOS\27-PROJETOS\CR0125\CR0125-Renegociação CG - DANA.xlsx</t>
  </si>
  <si>
    <t>JE0726</t>
  </si>
  <si>
    <t>BID Corporativo Punções</t>
  </si>
  <si>
    <t>\\DDSRVFILE01\Departamentos\Compras\GESTAO DEPARTAMENTO SUPRIMENTOS\27-PROJETOS\JE0726\JE0726 - BID Corporativo Punções.xlsx</t>
  </si>
  <si>
    <t>VH0226</t>
  </si>
  <si>
    <t>Estratégia comercial com as Usinas</t>
  </si>
  <si>
    <t>\\DDSRVFILE\Rede_Geral\Deptos\Compras\GESTAO DEPARTAMENTO SUPRIMENTOS\27-PROJETOS\VH0226\VH0226-Estratégia Comercial Usinas.xlsx</t>
  </si>
  <si>
    <t>DN0426</t>
  </si>
  <si>
    <t>Negociação Porca Bollhoff 15341 Saga</t>
  </si>
  <si>
    <t>\\DDSRVFILE\Rede_Geral\Deptos\Compras\GESTAO DEPARTAMENTO SUPRIMENTOS\27-PROJETOS\DN0426\DN0426 - NEGOCIAÇÃO PORCA 15341.xlsx</t>
  </si>
  <si>
    <t>LJ0226</t>
  </si>
  <si>
    <t>Projeto DANA - Fornecimento MTL</t>
  </si>
  <si>
    <t>R:\Deptos\Compras\GESTAO DEPARTAMENTO SUPRIMENTOS\27-PROJETOS\LJ0226\LJ0226 - PROJETO DANA - FORNECIMENTO MTL.xlsx</t>
  </si>
  <si>
    <t>EF0626</t>
  </si>
  <si>
    <t>Destinação Borra Plasma Ferraz</t>
  </si>
  <si>
    <t>R:\Deptos\Compras\GESTAO DEPARTAMENTO SUPRIMENTOS\27-PROJETOS\EF0626\Projetos_EF0626_ Borra Plasma Ferraz.xlsx</t>
  </si>
  <si>
    <t>TS0126</t>
  </si>
  <si>
    <t>Ex Tarifário Transfer Norda</t>
  </si>
  <si>
    <t>R:\Deptos\Compras\GESTAO DEPARTAMENTO SUPRIMENTOS\27-PROJETOS\TS0126\TS0126-Ex-tarifário - Transfer.xlsx</t>
  </si>
  <si>
    <t>THIAGO</t>
  </si>
  <si>
    <t>LJ0726</t>
  </si>
  <si>
    <t>Redução Itens Mercedes</t>
  </si>
  <si>
    <t>R:\Deptos\Compras\GESTAO DEPARTAMENTO SUPRIMENTOS\27-PROJETOS\LJ0726\LJ0127 - USIMINAS - REDUÇÃO DE ITENS MBB.xlsx</t>
  </si>
  <si>
    <t>DN0726</t>
  </si>
  <si>
    <t>Negociação TCC00690/691</t>
  </si>
  <si>
    <t>\\DDSRVFILE01\Departamentos\Compras\GESTAO DEPARTAMENTO SUPRIMENTOS\27-PROJETOS\DN0726\DN0726 -Negociação TCC00690-691.xlsx</t>
  </si>
  <si>
    <t>TS0226</t>
  </si>
  <si>
    <t>Locação de Compressores</t>
  </si>
  <si>
    <t>\\DDSRVFILE01\Departamentos\Compras\GESTAO DEPARTAMENTO SUPRIMENTOS\27-PROJETOS\TS0226\TS0226-Compressores.xlsx</t>
  </si>
  <si>
    <t>DN0226</t>
  </si>
  <si>
    <t>Negociação Mercante (Laser)</t>
  </si>
  <si>
    <t>R:\Deptos\Compras\GESTAO DEPARTAMENTO SUPRIMENTOS\27-PROJETOS\DN0226\DN0226 - Negociação Mercante (Corte a Laser).xlsx</t>
  </si>
  <si>
    <t>JE0526</t>
  </si>
  <si>
    <t>BID Fita Alta Temp 3M + Anti-Slip 3M</t>
  </si>
  <si>
    <t>R:\Deptos\Compras\GESTAO DEPARTAMENTO SUPRIMENTOS\27-PROJETOS\JE0526\JE0526 - BID Fita Alta Temp 3M + Anti-Slip 3M.xlsx</t>
  </si>
  <si>
    <t>JE0626</t>
  </si>
  <si>
    <t>BID Poliuretano Expansivo</t>
  </si>
  <si>
    <t>R:\Deptos\Compras\GESTAO DEPARTAMENTO SUPRIMENTOS\27-PROJETOS\JE0626\JE0626 - BID Poliuretano Expansivo.xlsx</t>
  </si>
  <si>
    <t>DN0826</t>
  </si>
  <si>
    <t>Nacionalização RIBE - 
Item 75640 (Pino Rebite M6 x 16)</t>
  </si>
  <si>
    <t>R:\Deptos\Compras\GESTAO DEPARTAMENTO SUPRIMENTOS\27-PROJETOS\DN0826\DN0826 - NACIONALIZAÇÃO RIBE - 75640 (PINO REBITE M6 X 16).xlsx</t>
  </si>
  <si>
    <t>TS0326</t>
  </si>
  <si>
    <t>Venda de Equipamentos</t>
  </si>
  <si>
    <t>R:\Deptos\Compras\GESTAO DEPARTAMENTO SUPRIMENTOS\27-PROJETOS\TS0326\TS0326-Venda Máquinas.xlsx</t>
  </si>
  <si>
    <t>TS0426</t>
  </si>
  <si>
    <t>ULTRASOM</t>
  </si>
  <si>
    <t>R:\Deptos\Compras\GESTAO DEPARTAMENTO SUPRIMENTOS\27-PROJETOS\TS0426\TS0426- Ultrasom.xlsx</t>
  </si>
  <si>
    <t>LJ0426</t>
  </si>
  <si>
    <t>MIGRAÇÃO ITENS USIMINAS PARA ARCELOR</t>
  </si>
  <si>
    <t>R:\Deptos\Compras\GESTAO DEPARTAMENTO SUPRIMENTOS\27-PROJETOS\LJ0426\Migração de itens Usiminas para Arcelor.xlsx</t>
  </si>
  <si>
    <t>LJ0826</t>
  </si>
  <si>
    <t>MIGRAÇÃO ITENS CSN PARA ARCELOR MITTAL</t>
  </si>
  <si>
    <t>\\DDSRVFILE01\Rede_Geral\Deptos\Compras\GESTAO DEPARTAMENTO SUPRIMENTOS\27-PROJETOS\LJ0826\LJ0826 MIGRAÇÃO DE ITENS CSN E USIMINAS PARA ARCELOR MITTAL- .xlsx</t>
  </si>
  <si>
    <t>LJ0926</t>
  </si>
  <si>
    <t>Negociação de itens Usiminas (SAR55 / scania / Mercedes / demais itens e reajuste frete)</t>
  </si>
  <si>
    <t>R:\Deptos\Compras\GESTAO DEPARTAMENTO SUPRIMENTOS\27-PROJETOS\LJ0926\LJ0926.xlsx</t>
  </si>
  <si>
    <t>DASHBOARD EXECUTIVO - VENDAS</t>
  </si>
  <si>
    <t>Meta Executiva</t>
  </si>
  <si>
    <t>RETORNO PREVISTO (Meta Executiva)</t>
  </si>
  <si>
    <t>PREVISTO 2026 (Meta Executiva)</t>
  </si>
  <si>
    <t>💰 RETORNO VALIDADO (Meta Executivo)</t>
  </si>
  <si>
    <t>💰 RETORNO REAL (Meta Executivo)</t>
  </si>
  <si>
    <t xml:space="preserve">Meta Executiva </t>
  </si>
  <si>
    <t>Realinhamentos e Negociações</t>
  </si>
  <si>
    <t>Negociações que permitam acrescentar R$ 10M ao faturamento</t>
  </si>
  <si>
    <t>Marcos Possari</t>
  </si>
  <si>
    <t>Materia Prima - Desenvolvimento</t>
  </si>
  <si>
    <t xml:space="preserve">Validação de Materia Prima de Compra na China para o Projeto SAGA </t>
  </si>
  <si>
    <t>Ivan Polidoro</t>
  </si>
  <si>
    <t xml:space="preserve">Negócios Ganhos refletem receita futura </t>
  </si>
  <si>
    <t>Redução de 16mm no Passo de corte de Blank entre as peças.</t>
  </si>
  <si>
    <t xml:space="preserve">Ivan Polidoro / Sidnei </t>
  </si>
  <si>
    <t>Ivan Polidoro / Sidnei</t>
  </si>
  <si>
    <t>Blank ZigZag - Carcaças de Ferraz</t>
  </si>
  <si>
    <t>Elisson / Polidoro</t>
  </si>
  <si>
    <t>impactos 2026 e 2027</t>
  </si>
  <si>
    <t>Marcelo Carlos/Ivan/Sidnei/Izaias</t>
  </si>
  <si>
    <t>proj2 - Boca de fogão Volvo</t>
  </si>
  <si>
    <t>Desmagnetizador</t>
  </si>
  <si>
    <t>DASHBOARD EXECUTIVO - CORPORATIVO</t>
  </si>
  <si>
    <t>São leopolso</t>
  </si>
  <si>
    <t>Gestão de EPI's</t>
  </si>
  <si>
    <t>Ferramenta de controles de entrega de EP's</t>
  </si>
  <si>
    <t>https://delgadiadema.sharepoint.com/:x:/s/Projetos2026-TI/IQC_yV9ikrW9TK6-2jhg5oGSAW9esT-rsBeRvfDaLXrUzm8?e=UjrdcT</t>
  </si>
  <si>
    <t>Cristian/Moises</t>
  </si>
  <si>
    <t>Redução de custo com caçambas – SAMERON</t>
  </si>
  <si>
    <t>Delga RPA</t>
  </si>
  <si>
    <t>Iniciativas de RPA dentro do Grupo Delga</t>
  </si>
  <si>
    <t>Mario Sergio</t>
  </si>
  <si>
    <t>Cameras WIFi</t>
  </si>
  <si>
    <t xml:space="preserve">Redução de cabeamento utilizando câmeras wifi </t>
  </si>
  <si>
    <t>Geral</t>
  </si>
  <si>
    <t>G.Auditado</t>
  </si>
  <si>
    <t>Fase 01</t>
  </si>
  <si>
    <t>Fase 02</t>
  </si>
  <si>
    <t>Fase 03</t>
  </si>
  <si>
    <t>S.Leopoldo</t>
  </si>
  <si>
    <t>PARÂMETROS E METAS</t>
  </si>
  <si>
    <t>METAS POR UNIDADE</t>
  </si>
  <si>
    <t>ADM</t>
  </si>
  <si>
    <t xml:space="preserve">Diretoria Financeira </t>
  </si>
  <si>
    <t>Definir..</t>
  </si>
  <si>
    <t>Compras:</t>
  </si>
  <si>
    <t>Vendas:</t>
  </si>
  <si>
    <t>META TOTAL:</t>
  </si>
  <si>
    <t>Metas 2026</t>
  </si>
  <si>
    <t>Metas 2027</t>
  </si>
  <si>
    <t xml:space="preserve">Validado </t>
  </si>
  <si>
    <t>a</t>
  </si>
  <si>
    <t>M@ster</t>
  </si>
  <si>
    <t>Raking Unidades</t>
  </si>
  <si>
    <t>Até Agora</t>
  </si>
  <si>
    <t>Projeto</t>
  </si>
  <si>
    <t>status</t>
  </si>
  <si>
    <t>Status  de Custos</t>
  </si>
  <si>
    <t>1º retorno previsto</t>
  </si>
  <si>
    <t>Previsto 2026</t>
  </si>
  <si>
    <t xml:space="preserve">Responsavel </t>
  </si>
  <si>
    <t>Data de Termino</t>
  </si>
  <si>
    <t>Previsto até o momento</t>
  </si>
  <si>
    <t>META DO GRUPO</t>
  </si>
  <si>
    <t>Real +  Fora do DRE (Não mensuravies)</t>
  </si>
  <si>
    <t>possibilidade de listar e fazer BI</t>
  </si>
  <si>
    <t>Adicionar Responsavie e prazo de conclusão do projeto e possibilidade de antecipação. (sim ou não)</t>
  </si>
  <si>
    <t>Nº</t>
  </si>
  <si>
    <t>Retorno Real até o momento</t>
  </si>
  <si>
    <t>SL</t>
  </si>
  <si>
    <t>projeto</t>
  </si>
  <si>
    <t>Retorno previsto</t>
  </si>
  <si>
    <t>Controle de Indicadores</t>
  </si>
  <si>
    <t xml:space="preserve">Mantido </t>
  </si>
  <si>
    <t>Sergio (Nova ordem)</t>
  </si>
  <si>
    <t>antes</t>
  </si>
  <si>
    <t>MAURICIO (Nova ordem)</t>
  </si>
  <si>
    <t>Nova ordem</t>
  </si>
  <si>
    <t>Categoria</t>
  </si>
  <si>
    <t>Segurança Meio ambiente</t>
  </si>
  <si>
    <t>Ti</t>
  </si>
  <si>
    <t>RH</t>
  </si>
  <si>
    <t>(#02) - Ordem de produção</t>
  </si>
  <si>
    <t>(#03) - Matriz de versatilidade</t>
  </si>
  <si>
    <t>(#04) - IT 8.7.1.7 – 033 PLANO DE REAÇÃO</t>
  </si>
  <si>
    <t xml:space="preserve">(#05) - Form. 87 - PLANO DE CONTROLE </t>
  </si>
  <si>
    <t>(#06) - Form. 647 - INSTRUÇÃO DE TRABALHO</t>
  </si>
  <si>
    <t>Grupo Delga</t>
  </si>
  <si>
    <t>(#07) - Form.682 Quadro hora/hora</t>
  </si>
  <si>
    <t>Peso %</t>
  </si>
  <si>
    <t xml:space="preserve">(#0X) - #30+#22+#27+#26 = Identificação de material aprovado </t>
  </si>
  <si>
    <t xml:space="preserve">(#08) - Identificação de material aprovado </t>
  </si>
  <si>
    <t>(#09) - Form 032-Identificação de produto suspeito</t>
  </si>
  <si>
    <t>(#10) - Form 075 registro de inspeção</t>
  </si>
  <si>
    <t>(#11) - SQDCM</t>
  </si>
  <si>
    <r>
      <t xml:space="preserve">Maior Melhor </t>
    </r>
    <r>
      <rPr>
        <b/>
        <sz val="10"/>
        <color rgb="FF0000FF"/>
        <rFont val="Calibri"/>
        <family val="2"/>
        <scheme val="minor"/>
      </rPr>
      <t>↑</t>
    </r>
  </si>
  <si>
    <t>https://delgadiadema.sharepoint.com/:x:/s/GestoEstratgica/IQALc3XmeozVSodxrf0kaN80AbUCn8p0IKI-SuK0o4aXp0Y?e=EwFyID</t>
  </si>
  <si>
    <t>Implementar e utilizar o sistema de monitoramento preditivo Tractian para identificar antecipadamente falhas em equipamentos críticos da planta, através da análise contínua de vibração, temperatura e aceleração, reduzindo custos de manutenção corretiva, paradas não programadas e substituição de componentes.</t>
  </si>
  <si>
    <t>30 - Redução de hora extra - Manutenção</t>
  </si>
  <si>
    <t xml:space="preserve">Mudança do regime de trabalho da M.O.I (manutenção) para redução da hora extra - Turno diferenciando pelo time da manutenção (quarta a domingo) </t>
  </si>
  <si>
    <t xml:space="preserve">35 - Redução de hora exta </t>
  </si>
  <si>
    <t>Validação do contrato</t>
  </si>
  <si>
    <t>https://delgadiadema.sharepoint.com/:x:/s/GestoEstratgica/IQAdZAOjwJ4VRbJoKCb6lkSbAV2qI9DcvflybNV7wpxl4hk?e=Xth4Kc</t>
  </si>
  <si>
    <t>Aumento da eficiência de MOD de 71% para 73%: redução de 7 pessoas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</si>
</sst>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8" formatCode="&quot;R$&quot;\ #,##0.00;[Red]\-&quot;R$&quot;\ #,##0.00"/>
    <numFmt numFmtId="42" formatCode="_-&quot;R$&quot;\ * #,##0_-;\-&quot;R$&quot;\ * #,##0_-;_-&quot;R$&quot;\ * &quot;-&quot;_-;_-@_-"/>
    <numFmt numFmtId="44" formatCode="_-&quot;R$&quot;\ * #,##0.00_-;\-&quot;R$&quot;\ * #,##0.00_-;_-&quot;R$&quot;\ * &quot;-&quot;??_-;_-@_-"/>
    <numFmt numFmtId="43" formatCode="_-* #,##0.00_-;\-* #,##0.00_-;_-* &quot;-&quot;??_-;_-@_-"/>
    <numFmt numFmtId="164" formatCode="\R\$\ #,##0"/>
    <numFmt numFmtId="165" formatCode="0.0%"/>
    <numFmt numFmtId="166" formatCode="_-&quot;R$&quot;\ * #,##0_-;\-&quot;R$&quot;\ * #,##0_-;_-&quot;R$&quot;\ * &quot;-&quot;??_-;_-@_-"/>
    <numFmt numFmtId="167" formatCode="[$-F400]h:mm:ss\ AM/PM"/>
    <numFmt numFmtId="168" formatCode="_-&quot;R$&quot;\ * #,##0.000_-;\-&quot;R$&quot;\ * #,##0.000_-;_-&quot;R$&quot;\ * &quot;-&quot;??_-;_-@_-"/>
    <numFmt numFmtId="169" formatCode="[h]:mm:ss;@"/>
    <numFmt numFmtId="170" formatCode="_-[$R$-416]\ * #,##0.00_-;\-[$R$-416]\ * #,##0.00_-;_-[$R$-416]\ * &quot;-&quot;??_-;_-@_-"/>
    <numFmt numFmtId="171" formatCode="mmmm\,\ yyyy;@"/>
    <numFmt numFmtId="172" formatCode="mmmm"/>
    <numFmt numFmtId="173" formatCode="_(&quot;R$ &quot;* #,##0.00_);_(&quot;R$ &quot;* \(#,##0.00\);_(&quot;R$ &quot;* &quot;-&quot;??_);_(@_)"/>
    <numFmt numFmtId="174" formatCode="&quot;R$&quot;\ #,##0.00"/>
    <numFmt numFmtId="175" formatCode="_-&quot;R$&quot;\ * #,##0.0000_-;\-&quot;R$&quot;\ * #,##0.0000_-;_-&quot;R$&quot;\ * &quot;-&quot;??_-;_-@_-"/>
    <numFmt numFmtId="176" formatCode="_(&quot;R$ &quot;* #,##0_);_(&quot;R$ &quot;* \(#,##0\);_(&quot;R$ &quot;* &quot;-&quot;??_);_(@_)"/>
    <numFmt numFmtId="177" formatCode="_-&quot;R$&quot;\ * #,##0.0_-;\-&quot;R$&quot;\ * #,##0.0_-;_-&quot;R$&quot;\ * &quot;-&quot;??_-;_-@_-"/>
  </numFmts>
  <fonts count="182" x14ac:knownFonts="1">
    <font>
      <sz val="11"/>
      <color theme="1"/>
      <name val="Calibri"/>
      <family val="2"/>
      <scheme val="minor"/>
    </font>
    <font>
      <sz val="11"/>
      <color theme="1"/>
      <name val="Calibri"/>
      <family val="2"/>
      <scheme val="minor"/>
    </font>
    <font>
      <b/>
      <sz val="20"/>
      <color rgb="FF000099"/>
      <name val="Calibri"/>
      <family val="2"/>
    </font>
    <font>
      <b/>
      <sz val="14"/>
      <color rgb="FFFFFFFF"/>
      <name val="Calibri"/>
      <family val="2"/>
    </font>
    <font>
      <b/>
      <sz val="10"/>
      <name val="Calibri"/>
      <family val="2"/>
    </font>
    <font>
      <b/>
      <sz val="16"/>
      <color rgb="FF000099"/>
      <name val="Calibri"/>
      <family val="2"/>
    </font>
    <font>
      <b/>
      <sz val="12"/>
      <color rgb="FFFFFFFF"/>
      <name val="Calibri"/>
      <family val="2"/>
    </font>
    <font>
      <b/>
      <sz val="11"/>
      <name val="Calibri"/>
      <family val="2"/>
    </font>
    <font>
      <b/>
      <sz val="9"/>
      <name val="Calibri"/>
      <family val="2"/>
    </font>
    <font>
      <b/>
      <sz val="14"/>
      <name val="Calibri"/>
      <family val="2"/>
    </font>
    <font>
      <sz val="11"/>
      <color theme="1"/>
      <name val="Calibri"/>
      <family val="2"/>
      <scheme val="minor"/>
    </font>
    <font>
      <b/>
      <sz val="11"/>
      <color theme="0"/>
      <name val="Calibri"/>
      <family val="2"/>
      <scheme val="minor"/>
    </font>
    <font>
      <sz val="8"/>
      <name val="Calibri"/>
      <family val="2"/>
      <scheme val="minor"/>
    </font>
    <font>
      <b/>
      <sz val="12"/>
      <color rgb="FFFFFFFF"/>
      <name val="Calibri"/>
      <family val="2"/>
      <scheme val="minor"/>
    </font>
    <font>
      <sz val="11"/>
      <color rgb="FF000000"/>
      <name val="Calibri"/>
      <family val="2"/>
      <scheme val="minor"/>
    </font>
    <font>
      <sz val="10"/>
      <color theme="1"/>
      <name val="Calibri"/>
      <family val="2"/>
      <scheme val="minor"/>
    </font>
    <font>
      <b/>
      <sz val="11"/>
      <color theme="1"/>
      <name val="Calibri"/>
      <family val="2"/>
      <scheme val="minor"/>
    </font>
    <font>
      <b/>
      <sz val="10"/>
      <color rgb="FF404040"/>
      <name val="Calibri"/>
      <family val="2"/>
    </font>
    <font>
      <b/>
      <sz val="10"/>
      <color rgb="FFFFFFFF"/>
      <name val="Calibri"/>
      <family val="2"/>
    </font>
    <font>
      <b/>
      <sz val="26"/>
      <color rgb="FF1F4E79"/>
      <name val="Calibri"/>
      <family val="2"/>
    </font>
    <font>
      <b/>
      <sz val="26"/>
      <color rgb="FFFFC000"/>
      <name val="Calibri"/>
      <family val="2"/>
    </font>
    <font>
      <b/>
      <sz val="26"/>
      <color rgb="FF2E75B6"/>
      <name val="Calibri"/>
      <family val="2"/>
    </font>
    <font>
      <sz val="11"/>
      <color rgb="FF2E75B6"/>
      <name val="Calibri"/>
      <family val="2"/>
    </font>
    <font>
      <b/>
      <sz val="11"/>
      <color rgb="FF00B050"/>
      <name val="Calibri"/>
      <family val="2"/>
    </font>
    <font>
      <b/>
      <sz val="14"/>
      <color rgb="FFFFC000"/>
      <name val="Calibri"/>
      <family val="2"/>
    </font>
    <font>
      <b/>
      <sz val="26"/>
      <color rgb="FF00B050"/>
      <name val="Calibri"/>
      <family val="2"/>
    </font>
    <font>
      <b/>
      <sz val="28"/>
      <color rgb="FF00B050"/>
      <name val="Calibri"/>
      <family val="2"/>
    </font>
    <font>
      <b/>
      <sz val="11"/>
      <color rgb="FFFFFFFF"/>
      <name val="Calibri"/>
      <family val="2"/>
    </font>
    <font>
      <b/>
      <sz val="24"/>
      <color rgb="FFFFFFFF"/>
      <name val="Calibri"/>
      <family val="2"/>
    </font>
    <font>
      <b/>
      <sz val="26"/>
      <color theme="3" tint="0.39997558519241921"/>
      <name val="Calibri"/>
      <family val="2"/>
    </font>
    <font>
      <b/>
      <sz val="10"/>
      <color theme="0"/>
      <name val="Calibri"/>
      <family val="2"/>
    </font>
    <font>
      <u/>
      <sz val="11"/>
      <color theme="10"/>
      <name val="Calibri"/>
      <family val="2"/>
      <scheme val="minor"/>
    </font>
    <font>
      <b/>
      <sz val="16"/>
      <color rgb="FFFFFFFF"/>
      <name val="Calibri"/>
      <family val="2"/>
    </font>
    <font>
      <sz val="9"/>
      <color theme="1"/>
      <name val="Calibri"/>
      <family val="2"/>
      <scheme val="minor"/>
    </font>
    <font>
      <sz val="12"/>
      <color theme="1"/>
      <name val="Calibri"/>
      <family val="2"/>
      <scheme val="minor"/>
    </font>
    <font>
      <b/>
      <sz val="24"/>
      <color theme="3" tint="0.39997558519241921"/>
      <name val="Calibri"/>
      <family val="2"/>
      <scheme val="minor"/>
    </font>
    <font>
      <b/>
      <sz val="12"/>
      <color theme="3" tint="-0.249977111117893"/>
      <name val="Calibri"/>
      <family val="2"/>
      <scheme val="minor"/>
    </font>
    <font>
      <b/>
      <sz val="11"/>
      <color theme="0"/>
      <name val="Calibri"/>
      <family val="2"/>
    </font>
    <font>
      <b/>
      <sz val="10"/>
      <color rgb="FF002060"/>
      <name val="Calibri"/>
      <family val="2"/>
    </font>
    <font>
      <b/>
      <sz val="10"/>
      <color theme="1" tint="4.9989318521683403E-2"/>
      <name val="Calibri"/>
      <family val="2"/>
    </font>
    <font>
      <b/>
      <sz val="11"/>
      <color theme="1" tint="4.9989318521683403E-2"/>
      <name val="Calibri"/>
      <family val="2"/>
    </font>
    <font>
      <b/>
      <sz val="12"/>
      <color rgb="FF002060"/>
      <name val="Calibri"/>
      <family val="2"/>
    </font>
    <font>
      <b/>
      <sz val="12"/>
      <color theme="1" tint="4.9989318521683403E-2"/>
      <name val="Calibri"/>
      <family val="2"/>
    </font>
    <font>
      <b/>
      <sz val="48"/>
      <color rgb="FFFFFFFF"/>
      <name val="Calibri"/>
      <family val="2"/>
    </font>
    <font>
      <sz val="48"/>
      <color theme="1"/>
      <name val="Calibri"/>
      <family val="2"/>
      <scheme val="minor"/>
    </font>
    <font>
      <b/>
      <sz val="28"/>
      <color rgb="FF1F4E79"/>
      <name val="Calibri"/>
      <family val="2"/>
    </font>
    <font>
      <sz val="11"/>
      <color theme="0"/>
      <name val="Calibri"/>
      <family val="2"/>
      <scheme val="minor"/>
    </font>
    <font>
      <u/>
      <sz val="11"/>
      <color theme="0"/>
      <name val="Calibri"/>
      <family val="2"/>
      <scheme val="minor"/>
    </font>
    <font>
      <sz val="20"/>
      <color theme="1"/>
      <name val="Calibri"/>
      <family val="2"/>
      <scheme val="minor"/>
    </font>
    <font>
      <b/>
      <sz val="12"/>
      <color theme="1"/>
      <name val="Calibri"/>
      <family val="2"/>
      <scheme val="minor"/>
    </font>
    <font>
      <b/>
      <sz val="16"/>
      <color rgb="FF000099"/>
      <name val="Calibri"/>
      <family val="2"/>
      <scheme val="minor"/>
    </font>
    <font>
      <sz val="11"/>
      <color rgb="FFFF0000"/>
      <name val="Calibri"/>
      <family val="2"/>
      <scheme val="minor"/>
    </font>
    <font>
      <b/>
      <sz val="11"/>
      <color rgb="FF00B050"/>
      <name val="Calibri"/>
      <family val="2"/>
      <scheme val="minor"/>
    </font>
    <font>
      <u/>
      <sz val="11"/>
      <color theme="1"/>
      <name val="Calibri"/>
      <family val="2"/>
      <scheme val="minor"/>
    </font>
    <font>
      <b/>
      <sz val="8"/>
      <color theme="1" tint="4.9989318521683403E-2"/>
      <name val="Calibri"/>
      <family val="2"/>
    </font>
    <font>
      <sz val="11"/>
      <color rgb="FF00B050"/>
      <name val="Calibri"/>
      <family val="2"/>
      <scheme val="minor"/>
    </font>
    <font>
      <b/>
      <sz val="9"/>
      <color indexed="81"/>
      <name val="Segoe UI"/>
      <family val="2"/>
    </font>
    <font>
      <sz val="9"/>
      <color indexed="81"/>
      <name val="Segoe UI"/>
      <family val="2"/>
    </font>
    <font>
      <sz val="11"/>
      <name val="Calibri"/>
      <family val="2"/>
      <scheme val="minor"/>
    </font>
    <font>
      <i/>
      <sz val="11"/>
      <color theme="5" tint="-0.249977111117893"/>
      <name val="Calibri"/>
      <family val="2"/>
      <scheme val="minor"/>
    </font>
    <font>
      <i/>
      <sz val="11"/>
      <color rgb="FFC00000"/>
      <name val="Calibri"/>
      <family val="2"/>
      <scheme val="minor"/>
    </font>
    <font>
      <b/>
      <sz val="12"/>
      <name val="Calibri"/>
      <family val="2"/>
    </font>
    <font>
      <sz val="11"/>
      <color rgb="FF002060"/>
      <name val="Calibri"/>
      <family val="2"/>
      <scheme val="minor"/>
    </font>
    <font>
      <sz val="12"/>
      <color rgb="FF002060"/>
      <name val="Calibri"/>
      <family val="2"/>
      <scheme val="minor"/>
    </font>
    <font>
      <b/>
      <sz val="12"/>
      <color rgb="FF002060"/>
      <name val="Calibri"/>
      <family val="2"/>
      <scheme val="minor"/>
    </font>
    <font>
      <b/>
      <sz val="14"/>
      <color theme="1"/>
      <name val="Calibri"/>
      <family val="2"/>
      <scheme val="minor"/>
    </font>
    <font>
      <sz val="10"/>
      <color rgb="FF002060"/>
      <name val="Calibri"/>
      <family val="2"/>
      <scheme val="minor"/>
    </font>
    <font>
      <b/>
      <sz val="11"/>
      <name val="Calibri"/>
      <family val="2"/>
      <scheme val="minor"/>
    </font>
    <font>
      <b/>
      <sz val="11"/>
      <color theme="3"/>
      <name val="Calibri"/>
      <family val="2"/>
      <scheme val="minor"/>
    </font>
    <font>
      <b/>
      <sz val="11"/>
      <color rgb="FFFF0000"/>
      <name val="Calibri"/>
      <family val="2"/>
      <scheme val="minor"/>
    </font>
    <font>
      <sz val="11"/>
      <color theme="3"/>
      <name val="Calibri"/>
      <family val="2"/>
      <scheme val="minor"/>
    </font>
    <font>
      <sz val="10"/>
      <color indexed="81"/>
      <name val="Segoe UI"/>
      <family val="2"/>
    </font>
    <font>
      <sz val="14"/>
      <color theme="1"/>
      <name val="Calibri"/>
      <family val="2"/>
      <scheme val="minor"/>
    </font>
    <font>
      <b/>
      <sz val="14"/>
      <color rgb="FF00B050"/>
      <name val="Calibri"/>
      <family val="2"/>
    </font>
    <font>
      <b/>
      <sz val="14"/>
      <color rgb="FF404040"/>
      <name val="Calibri"/>
      <family val="2"/>
    </font>
    <font>
      <b/>
      <u/>
      <sz val="11"/>
      <color theme="1"/>
      <name val="Calibri"/>
      <family val="2"/>
      <scheme val="minor"/>
    </font>
    <font>
      <b/>
      <u/>
      <sz val="11"/>
      <color rgb="FFC00000"/>
      <name val="Calibri"/>
      <family val="2"/>
      <scheme val="minor"/>
    </font>
    <font>
      <b/>
      <sz val="11"/>
      <color rgb="FFC00000"/>
      <name val="Calibri"/>
      <family val="2"/>
      <scheme val="minor"/>
    </font>
    <font>
      <sz val="11"/>
      <color rgb="FFC00000"/>
      <name val="Calibri"/>
      <family val="2"/>
      <scheme val="minor"/>
    </font>
    <font>
      <b/>
      <sz val="26"/>
      <color theme="9" tint="0.39997558519241921"/>
      <name val="Calibri"/>
      <family val="2"/>
    </font>
    <font>
      <sz val="11"/>
      <name val="Calibri"/>
      <family val="2"/>
    </font>
    <font>
      <b/>
      <sz val="11"/>
      <color rgb="FF0000FF"/>
      <name val="Calibri"/>
      <family val="2"/>
      <scheme val="minor"/>
    </font>
    <font>
      <u/>
      <sz val="8"/>
      <color rgb="FF0000FF"/>
      <name val="Calibri"/>
      <family val="2"/>
      <scheme val="minor"/>
    </font>
    <font>
      <b/>
      <sz val="10"/>
      <color rgb="FF002060"/>
      <name val="Calibri"/>
      <family val="2"/>
      <scheme val="minor"/>
    </font>
    <font>
      <b/>
      <sz val="10"/>
      <color rgb="FF000099"/>
      <name val="Calibri"/>
      <family val="2"/>
    </font>
    <font>
      <b/>
      <sz val="12"/>
      <color rgb="FF000099"/>
      <name val="Calibri"/>
      <family val="2"/>
    </font>
    <font>
      <b/>
      <sz val="11"/>
      <color rgb="FF002060"/>
      <name val="Calibri"/>
      <family val="2"/>
      <scheme val="minor"/>
    </font>
    <font>
      <sz val="10"/>
      <name val="Calibri"/>
      <family val="2"/>
    </font>
    <font>
      <u/>
      <sz val="11"/>
      <color rgb="FFFF0000"/>
      <name val="Calibri"/>
      <family val="2"/>
      <scheme val="minor"/>
    </font>
    <font>
      <b/>
      <sz val="12"/>
      <color theme="0"/>
      <name val="Calibri"/>
      <family val="2"/>
      <scheme val="minor"/>
    </font>
    <font>
      <sz val="11"/>
      <color rgb="FF000000"/>
      <name val="Aptos Narrow"/>
      <family val="2"/>
    </font>
    <font>
      <u/>
      <sz val="11"/>
      <name val="Calibri"/>
      <family val="2"/>
      <scheme val="minor"/>
    </font>
    <font>
      <sz val="9"/>
      <color theme="1"/>
      <name val="Segoe UI"/>
      <family val="2"/>
    </font>
    <font>
      <sz val="10"/>
      <color rgb="FFFF0000"/>
      <name val="Calibri"/>
      <family val="2"/>
      <scheme val="minor"/>
    </font>
    <font>
      <b/>
      <sz val="11"/>
      <color theme="9" tint="-0.249977111117893"/>
      <name val="Calibri"/>
      <family val="2"/>
      <scheme val="minor"/>
    </font>
    <font>
      <strike/>
      <sz val="11"/>
      <color theme="9" tint="0.39997558519241921"/>
      <name val="Calibri"/>
      <family val="2"/>
      <scheme val="minor"/>
    </font>
    <font>
      <sz val="11.5"/>
      <color theme="1"/>
      <name val="Calibri"/>
      <family val="2"/>
      <scheme val="minor"/>
    </font>
    <font>
      <u/>
      <sz val="10"/>
      <color theme="10"/>
      <name val="Arial"/>
      <family val="2"/>
    </font>
    <font>
      <sz val="10"/>
      <name val="Arial"/>
      <family val="2"/>
    </font>
    <font>
      <sz val="10"/>
      <color theme="1"/>
      <name val="Arial"/>
      <family val="2"/>
    </font>
    <font>
      <sz val="10"/>
      <name val="Arial Narrow"/>
      <family val="2"/>
    </font>
    <font>
      <sz val="11"/>
      <color indexed="8"/>
      <name val="Calibri"/>
      <family val="2"/>
    </font>
    <font>
      <b/>
      <sz val="11"/>
      <color rgb="FF92D050"/>
      <name val="Calibri"/>
      <family val="2"/>
      <scheme val="minor"/>
    </font>
    <font>
      <b/>
      <sz val="10"/>
      <color rgb="FFFF0000"/>
      <name val="Calibri"/>
      <family val="2"/>
      <scheme val="minor"/>
    </font>
    <font>
      <sz val="10"/>
      <color rgb="FF00B050"/>
      <name val="Calibri"/>
      <family val="2"/>
      <scheme val="minor"/>
    </font>
    <font>
      <sz val="10"/>
      <color theme="9" tint="-0.249977111117893"/>
      <name val="Calibri"/>
      <family val="2"/>
      <scheme val="minor"/>
    </font>
    <font>
      <i/>
      <sz val="10"/>
      <color theme="7"/>
      <name val="Calibri"/>
      <family val="2"/>
      <scheme val="minor"/>
    </font>
    <font>
      <b/>
      <i/>
      <sz val="10"/>
      <color theme="7"/>
      <name val="Calibri"/>
      <family val="2"/>
      <scheme val="minor"/>
    </font>
    <font>
      <b/>
      <sz val="10"/>
      <color theme="9"/>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1"/>
      <color theme="9"/>
      <name val="Calibri"/>
      <family val="2"/>
      <scheme val="minor"/>
    </font>
    <font>
      <strike/>
      <sz val="11"/>
      <color theme="1"/>
      <name val="Calibri"/>
      <family val="2"/>
      <scheme val="minor"/>
    </font>
    <font>
      <b/>
      <i/>
      <sz val="11"/>
      <color theme="1"/>
      <name val="Calibri"/>
      <family val="2"/>
      <scheme val="minor"/>
    </font>
    <font>
      <b/>
      <sz val="12"/>
      <color rgb="FF00B050"/>
      <name val="Calibri"/>
      <family val="2"/>
    </font>
    <font>
      <sz val="11"/>
      <color rgb="FF000000"/>
      <name val="Calibri"/>
      <family val="2"/>
    </font>
    <font>
      <u/>
      <sz val="11"/>
      <color rgb="FF0000FF"/>
      <name val="Calibri"/>
      <family val="2"/>
      <scheme val="minor"/>
    </font>
    <font>
      <sz val="12"/>
      <color rgb="FFFF0000"/>
      <name val="Calibri"/>
      <family val="2"/>
      <scheme val="minor"/>
    </font>
    <font>
      <b/>
      <sz val="20"/>
      <color rgb="FFFFFFFF"/>
      <name val="Calibri"/>
      <family val="2"/>
    </font>
    <font>
      <b/>
      <sz val="20"/>
      <color theme="1"/>
      <name val="Calibri"/>
      <family val="2"/>
      <scheme val="minor"/>
    </font>
    <font>
      <b/>
      <sz val="9"/>
      <color indexed="81"/>
      <name val="Tahoma"/>
      <family val="2"/>
    </font>
    <font>
      <sz val="9"/>
      <color indexed="81"/>
      <name val="Tahoma"/>
      <family val="2"/>
    </font>
    <font>
      <b/>
      <sz val="10"/>
      <color rgb="FF00B050"/>
      <name val="Calibri"/>
      <family val="2"/>
    </font>
    <font>
      <b/>
      <sz val="12"/>
      <color rgb="FF00B050"/>
      <name val="Calibri"/>
      <family val="2"/>
      <scheme val="minor"/>
    </font>
    <font>
      <sz val="12"/>
      <color rgb="FFFFFFFF"/>
      <name val="Calibri"/>
      <family val="2"/>
    </font>
    <font>
      <b/>
      <sz val="10"/>
      <color rgb="FF00B050"/>
      <name val="Aptos Narrow"/>
      <family val="2"/>
    </font>
    <font>
      <b/>
      <sz val="11"/>
      <color theme="5" tint="-0.249977111117893"/>
      <name val="Calibri"/>
      <family val="2"/>
      <scheme val="minor"/>
    </font>
    <font>
      <sz val="11"/>
      <color theme="5" tint="-0.249977111117893"/>
      <name val="Calibri"/>
      <family val="2"/>
      <scheme val="minor"/>
    </font>
    <font>
      <sz val="11"/>
      <color rgb="FFCCECFF"/>
      <name val="Calibri"/>
      <family val="2"/>
      <scheme val="minor"/>
    </font>
    <font>
      <u/>
      <sz val="8"/>
      <color theme="10"/>
      <name val="Calibri"/>
      <family val="2"/>
      <scheme val="minor"/>
    </font>
    <font>
      <b/>
      <u/>
      <sz val="11"/>
      <color rgb="FF009900"/>
      <name val="Calibri"/>
      <family val="2"/>
      <scheme val="minor"/>
    </font>
    <font>
      <b/>
      <sz val="11"/>
      <color rgb="FF009900"/>
      <name val="Calibri"/>
      <family val="2"/>
      <scheme val="minor"/>
    </font>
    <font>
      <b/>
      <u val="singleAccounting"/>
      <sz val="11"/>
      <color rgb="FF009900"/>
      <name val="Calibri"/>
      <family val="2"/>
      <scheme val="minor"/>
    </font>
    <font>
      <b/>
      <sz val="72"/>
      <color rgb="FF2E75B6"/>
      <name val="Calibri"/>
      <family val="2"/>
    </font>
    <font>
      <b/>
      <sz val="11"/>
      <color theme="6" tint="-0.249977111117893"/>
      <name val="Calibri"/>
      <family val="2"/>
    </font>
    <font>
      <b/>
      <sz val="22"/>
      <color theme="6" tint="-0.249977111117893"/>
      <name val="Calibri"/>
      <family val="2"/>
    </font>
    <font>
      <b/>
      <sz val="28"/>
      <color theme="6" tint="-0.249977111117893"/>
      <name val="Calibri"/>
      <family val="2"/>
    </font>
    <font>
      <b/>
      <sz val="28"/>
      <color rgb="FFFFC000"/>
      <name val="Calibri"/>
      <family val="2"/>
    </font>
    <font>
      <b/>
      <sz val="28"/>
      <color theme="9" tint="0.39997558519241921"/>
      <name val="Calibri"/>
      <family val="2"/>
    </font>
    <font>
      <b/>
      <sz val="28"/>
      <color theme="3" tint="0.39997558519241921"/>
      <name val="Calibri"/>
      <family val="2"/>
    </font>
    <font>
      <b/>
      <sz val="9"/>
      <color rgb="FFFF0000"/>
      <name val="Calibri"/>
      <family val="2"/>
    </font>
    <font>
      <b/>
      <strike/>
      <sz val="11"/>
      <color rgb="FF00B050"/>
      <name val="Calibri"/>
      <family val="2"/>
      <scheme val="minor"/>
    </font>
    <font>
      <b/>
      <u/>
      <sz val="11"/>
      <color rgb="FFFF0000"/>
      <name val="Calibri"/>
      <family val="2"/>
      <scheme val="minor"/>
    </font>
    <font>
      <b/>
      <strike/>
      <sz val="11"/>
      <color theme="1"/>
      <name val="Calibri"/>
      <family val="2"/>
      <scheme val="minor"/>
    </font>
    <font>
      <sz val="11"/>
      <color rgb="FF009900"/>
      <name val="Calibri"/>
      <family val="2"/>
      <scheme val="minor"/>
    </font>
    <font>
      <sz val="11"/>
      <color theme="1"/>
      <name val="Calibri"/>
      <family val="2"/>
    </font>
    <font>
      <strike/>
      <u/>
      <sz val="11"/>
      <color theme="1"/>
      <name val="Calibri"/>
      <family val="2"/>
      <scheme val="minor"/>
    </font>
    <font>
      <b/>
      <strike/>
      <sz val="11"/>
      <color rgb="FF009900"/>
      <name val="Calibri"/>
      <family val="2"/>
      <scheme val="minor"/>
    </font>
    <font>
      <sz val="11"/>
      <color theme="9" tint="-0.249977111117893"/>
      <name val="Calibri"/>
      <family val="2"/>
      <scheme val="minor"/>
    </font>
    <font>
      <u/>
      <sz val="11"/>
      <color theme="9" tint="-0.249977111117893"/>
      <name val="Calibri"/>
      <family val="2"/>
      <scheme val="minor"/>
    </font>
    <font>
      <b/>
      <sz val="28"/>
      <color theme="3" tint="0.59999389629810485"/>
      <name val="Calibri"/>
      <family val="2"/>
    </font>
    <font>
      <b/>
      <sz val="12"/>
      <color rgb="FFFF0000"/>
      <name val="Calibri"/>
      <family val="2"/>
    </font>
    <font>
      <sz val="11"/>
      <color rgb="FF0000FF"/>
      <name val="Calibri"/>
      <family val="2"/>
      <scheme val="minor"/>
    </font>
    <font>
      <b/>
      <u/>
      <sz val="11"/>
      <color rgb="FF00B050"/>
      <name val="Calibri"/>
      <family val="2"/>
      <scheme val="minor"/>
    </font>
    <font>
      <sz val="11"/>
      <color rgb="FFFFFF00"/>
      <name val="Calibri"/>
      <family val="2"/>
      <scheme val="minor"/>
    </font>
    <font>
      <sz val="8"/>
      <color rgb="FF000000"/>
      <name val="Segoe UI"/>
      <family val="2"/>
    </font>
    <font>
      <b/>
      <sz val="10"/>
      <color rgb="FF404040"/>
      <name val="Calibri"/>
      <family val="2"/>
      <scheme val="minor"/>
    </font>
    <font>
      <b/>
      <sz val="10"/>
      <color rgb="FFFFFFFF"/>
      <name val="Calibri"/>
      <family val="2"/>
      <scheme val="minor"/>
    </font>
    <font>
      <b/>
      <sz val="10"/>
      <name val="Calibri"/>
      <family val="2"/>
      <scheme val="minor"/>
    </font>
    <font>
      <sz val="10"/>
      <name val="Calibri"/>
      <family val="2"/>
      <scheme val="minor"/>
    </font>
    <font>
      <b/>
      <sz val="10"/>
      <color rgb="FF0000FF"/>
      <name val="Calibri"/>
      <family val="2"/>
      <scheme val="minor"/>
    </font>
    <font>
      <u/>
      <sz val="10"/>
      <color theme="1"/>
      <name val="Calibri"/>
      <family val="2"/>
      <scheme val="minor"/>
    </font>
    <font>
      <b/>
      <sz val="10"/>
      <color theme="6" tint="-0.249977111117893"/>
      <name val="Calibri"/>
      <family val="2"/>
      <scheme val="minor"/>
    </font>
    <font>
      <b/>
      <sz val="10"/>
      <color rgb="FF000099"/>
      <name val="Calibri"/>
      <family val="2"/>
      <scheme val="minor"/>
    </font>
    <font>
      <b/>
      <sz val="10"/>
      <color rgb="FF1F4E79"/>
      <name val="Calibri"/>
      <family val="2"/>
      <scheme val="minor"/>
    </font>
    <font>
      <b/>
      <sz val="10"/>
      <color rgb="FFFFC000"/>
      <name val="Calibri"/>
      <family val="2"/>
      <scheme val="minor"/>
    </font>
    <font>
      <b/>
      <sz val="10"/>
      <color theme="3" tint="0.59999389629810485"/>
      <name val="Calibri"/>
      <family val="2"/>
      <scheme val="minor"/>
    </font>
    <font>
      <b/>
      <sz val="10"/>
      <color theme="9" tint="0.39997558519241921"/>
      <name val="Calibri"/>
      <family val="2"/>
      <scheme val="minor"/>
    </font>
    <font>
      <b/>
      <sz val="10"/>
      <color theme="3" tint="0.39997558519241921"/>
      <name val="Calibri"/>
      <family val="2"/>
      <scheme val="minor"/>
    </font>
    <font>
      <b/>
      <sz val="10"/>
      <color rgb="FF00B050"/>
      <name val="Calibri"/>
      <family val="2"/>
      <scheme val="minor"/>
    </font>
    <font>
      <b/>
      <sz val="10"/>
      <color rgb="FF2E75B6"/>
      <name val="Calibri"/>
      <family val="2"/>
      <scheme val="minor"/>
    </font>
    <font>
      <b/>
      <sz val="10"/>
      <color theme="1"/>
      <name val="Calibri"/>
      <family val="2"/>
      <scheme val="minor"/>
    </font>
    <font>
      <b/>
      <u/>
      <sz val="10"/>
      <name val="Calibri"/>
      <family val="2"/>
      <scheme val="minor"/>
    </font>
    <font>
      <u/>
      <sz val="10"/>
      <color rgb="FFFF0000"/>
      <name val="Calibri"/>
      <family val="2"/>
      <scheme val="minor"/>
    </font>
    <font>
      <u/>
      <sz val="10"/>
      <color theme="10"/>
      <name val="Calibri"/>
      <family val="2"/>
      <scheme val="minor"/>
    </font>
    <font>
      <b/>
      <u/>
      <sz val="10"/>
      <color rgb="FFFF0000"/>
      <name val="Calibri"/>
      <family val="2"/>
      <scheme val="minor"/>
    </font>
    <font>
      <b/>
      <sz val="10"/>
      <color rgb="FFC00000"/>
      <name val="Calibri"/>
      <family val="2"/>
      <scheme val="minor"/>
    </font>
    <font>
      <sz val="10"/>
      <color theme="10"/>
      <name val="Calibri"/>
      <family val="2"/>
      <scheme val="minor"/>
    </font>
    <font>
      <sz val="10"/>
      <color rgb="FFFFFFFF"/>
      <name val="Calibri"/>
      <family val="2"/>
      <scheme val="minor"/>
    </font>
    <font>
      <b/>
      <u/>
      <sz val="10"/>
      <color rgb="FFFFFFFF"/>
      <name val="Calibri"/>
      <family val="2"/>
      <scheme val="minor"/>
    </font>
    <font>
      <b/>
      <u val="singleAccounting"/>
      <sz val="11"/>
      <color rgb="FF002060"/>
      <name val="Calibri"/>
      <family val="2"/>
      <scheme val="minor"/>
    </font>
  </fonts>
  <fills count="78">
    <fill>
      <patternFill patternType="none"/>
    </fill>
    <fill>
      <patternFill patternType="gray125"/>
    </fill>
    <fill>
      <patternFill patternType="solid">
        <fgColor rgb="FF000099"/>
        <bgColor rgb="FF000099"/>
      </patternFill>
    </fill>
    <fill>
      <patternFill patternType="solid">
        <fgColor rgb="FFCCD7FF"/>
        <bgColor rgb="FFCCD7FF"/>
      </patternFill>
    </fill>
    <fill>
      <patternFill patternType="solid">
        <fgColor rgb="FF00994C"/>
        <bgColor rgb="FF00994C"/>
      </patternFill>
    </fill>
    <fill>
      <patternFill patternType="solid">
        <fgColor rgb="FFDC3545"/>
        <bgColor rgb="FFDC3545"/>
      </patternFill>
    </fill>
    <fill>
      <patternFill patternType="solid">
        <fgColor theme="3" tint="0.79998168889431442"/>
        <bgColor indexed="64"/>
      </patternFill>
    </fill>
    <fill>
      <patternFill patternType="solid">
        <fgColor theme="3" tint="0.79998168889431442"/>
        <bgColor rgb="FFCCD7FF"/>
      </patternFill>
    </fill>
    <fill>
      <patternFill patternType="solid">
        <fgColor theme="0" tint="-4.9989318521683403E-2"/>
        <bgColor indexed="64"/>
      </patternFill>
    </fill>
    <fill>
      <patternFill patternType="solid">
        <fgColor rgb="FF000099"/>
        <bgColor indexed="64"/>
      </patternFill>
    </fill>
    <fill>
      <patternFill patternType="solid">
        <fgColor theme="0"/>
        <bgColor indexed="64"/>
      </patternFill>
    </fill>
    <fill>
      <patternFill patternType="solid">
        <fgColor theme="4" tint="0.79998168889431442"/>
        <bgColor indexed="64"/>
      </patternFill>
    </fill>
    <fill>
      <patternFill patternType="solid">
        <fgColor rgb="FF1F4E79"/>
        <bgColor rgb="FF1F4E79"/>
      </patternFill>
    </fill>
    <fill>
      <patternFill patternType="solid">
        <fgColor rgb="FF2E75B6"/>
        <bgColor rgb="FF2E75B6"/>
      </patternFill>
    </fill>
    <fill>
      <patternFill patternType="solid">
        <fgColor rgb="FFF2F2F2"/>
        <bgColor rgb="FFF2F2F2"/>
      </patternFill>
    </fill>
    <fill>
      <patternFill patternType="solid">
        <fgColor rgb="FFFFEB9C"/>
        <bgColor rgb="FFFFEB9C"/>
      </patternFill>
    </fill>
    <fill>
      <patternFill patternType="solid">
        <fgColor rgb="FF00B050"/>
        <bgColor rgb="FF00B050"/>
      </patternFill>
    </fill>
    <fill>
      <patternFill patternType="solid">
        <fgColor theme="8" tint="0.79998168889431442"/>
        <bgColor indexed="64"/>
      </patternFill>
    </fill>
    <fill>
      <patternFill patternType="solid">
        <fgColor rgb="FFFFFF99"/>
        <bgColor indexed="64"/>
      </patternFill>
    </fill>
    <fill>
      <patternFill patternType="solid">
        <fgColor rgb="FFFFCC99"/>
        <bgColor indexed="64"/>
      </patternFill>
    </fill>
    <fill>
      <patternFill patternType="solid">
        <fgColor theme="3" tint="0.39997558519241921"/>
        <bgColor rgb="FF00B050"/>
      </patternFill>
    </fill>
    <fill>
      <patternFill patternType="solid">
        <fgColor theme="4" tint="0.79998168889431442"/>
        <bgColor rgb="FFF2F2F2"/>
      </patternFill>
    </fill>
    <fill>
      <patternFill patternType="solid">
        <fgColor theme="0"/>
        <bgColor rgb="FFF2F2F2"/>
      </patternFill>
    </fill>
    <fill>
      <patternFill patternType="solid">
        <fgColor theme="3" tint="0.39997558519241921"/>
        <bgColor indexed="64"/>
      </patternFill>
    </fill>
    <fill>
      <patternFill patternType="solid">
        <fgColor theme="0"/>
        <bgColor rgb="FF1F4E79"/>
      </patternFill>
    </fill>
    <fill>
      <patternFill patternType="solid">
        <fgColor rgb="FF000099"/>
        <bgColor rgb="FF1F4E79"/>
      </patternFill>
    </fill>
    <fill>
      <patternFill patternType="solid">
        <fgColor rgb="FF000099"/>
        <bgColor rgb="FFF2F2F2"/>
      </patternFill>
    </fill>
    <fill>
      <patternFill patternType="solid">
        <fgColor theme="3" tint="0.59999389629810485"/>
        <bgColor rgb="FFF2F2F2"/>
      </patternFill>
    </fill>
    <fill>
      <patternFill patternType="solid">
        <fgColor theme="4" tint="0.79998168889431442"/>
        <bgColor theme="4" tint="0.79998168889431442"/>
      </patternFill>
    </fill>
    <fill>
      <patternFill patternType="solid">
        <fgColor theme="9" tint="0.79998168889431442"/>
        <bgColor rgb="FFCCD7FF"/>
      </patternFill>
    </fill>
    <fill>
      <patternFill patternType="solid">
        <fgColor theme="4" tint="0.79998168889431442"/>
        <bgColor rgb="FF00B050"/>
      </patternFill>
    </fill>
    <fill>
      <patternFill patternType="solid">
        <fgColor theme="2"/>
        <bgColor rgb="FF00B050"/>
      </patternFill>
    </fill>
    <fill>
      <patternFill patternType="solid">
        <fgColor theme="2"/>
        <bgColor rgb="FFF2F2F2"/>
      </patternFill>
    </fill>
    <fill>
      <patternFill patternType="solid">
        <fgColor theme="4" tint="0.59999389629810485"/>
        <bgColor rgb="FF00B050"/>
      </patternFill>
    </fill>
    <fill>
      <patternFill patternType="solid">
        <fgColor theme="4" tint="0.59999389629810485"/>
        <bgColor rgb="FFF2F2F2"/>
      </patternFill>
    </fill>
    <fill>
      <patternFill patternType="solid">
        <fgColor theme="3" tint="0.59999389629810485"/>
        <bgColor rgb="FF00B050"/>
      </patternFill>
    </fill>
    <fill>
      <patternFill patternType="solid">
        <fgColor theme="0"/>
        <bgColor rgb="FF000099"/>
      </patternFill>
    </fill>
    <fill>
      <patternFill patternType="solid">
        <fgColor rgb="FFFFFFFF"/>
        <bgColor rgb="FF000000"/>
      </patternFill>
    </fill>
    <fill>
      <patternFill patternType="solid">
        <fgColor rgb="FFCCD7FF"/>
        <bgColor indexed="64"/>
      </patternFill>
    </fill>
    <fill>
      <patternFill patternType="solid">
        <fgColor theme="6" tint="0.79998168889431442"/>
        <bgColor rgb="FFFFEB9C"/>
      </patternFill>
    </fill>
    <fill>
      <patternFill patternType="solid">
        <fgColor theme="6" tint="0.79998168889431442"/>
        <bgColor indexed="64"/>
      </patternFill>
    </fill>
    <fill>
      <patternFill patternType="solid">
        <fgColor rgb="FFC5D9F1"/>
        <bgColor rgb="FF000000"/>
      </patternFill>
    </fill>
    <fill>
      <patternFill patternType="solid">
        <fgColor rgb="FFFFFF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3" tint="0.39997558519241921"/>
        <bgColor rgb="FF000099"/>
      </patternFill>
    </fill>
    <fill>
      <patternFill patternType="solid">
        <fgColor theme="9" tint="0.59999389629810485"/>
        <bgColor rgb="FFFFEB9C"/>
      </patternFill>
    </fill>
    <fill>
      <patternFill patternType="gray0625">
        <fgColor theme="4"/>
        <bgColor rgb="FF1F4E79"/>
      </patternFill>
    </fill>
    <fill>
      <patternFill patternType="gray0625">
        <fgColor theme="4"/>
        <bgColor rgb="FFF2F2F2"/>
      </patternFill>
    </fill>
    <fill>
      <patternFill patternType="gray0625">
        <fgColor theme="4"/>
        <bgColor theme="8" tint="0.79998168889431442"/>
      </patternFill>
    </fill>
    <fill>
      <patternFill patternType="gray0625">
        <fgColor theme="4"/>
        <bgColor rgb="FFFFFF99"/>
      </patternFill>
    </fill>
    <fill>
      <patternFill patternType="gray0625">
        <fgColor theme="4"/>
        <bgColor rgb="FFFFCC99"/>
      </patternFill>
    </fill>
    <fill>
      <patternFill patternType="gray0625">
        <fgColor theme="4"/>
      </patternFill>
    </fill>
    <fill>
      <patternFill patternType="solid">
        <fgColor theme="9" tint="0.79998168889431442"/>
        <bgColor indexed="64"/>
      </patternFill>
    </fill>
    <fill>
      <patternFill patternType="solid">
        <fgColor rgb="FFFF0000"/>
        <bgColor indexed="64"/>
      </patternFill>
    </fill>
    <fill>
      <patternFill patternType="solid">
        <fgColor rgb="FFFF0000"/>
        <bgColor rgb="FF000000"/>
      </patternFill>
    </fill>
    <fill>
      <patternFill patternType="solid">
        <fgColor theme="4"/>
        <bgColor indexed="64"/>
      </patternFill>
    </fill>
    <fill>
      <patternFill patternType="solid">
        <fgColor theme="3"/>
        <bgColor indexed="64"/>
      </patternFill>
    </fill>
    <fill>
      <patternFill patternType="solid">
        <fgColor theme="2" tint="-9.9978637043366805E-2"/>
        <bgColor indexed="64"/>
      </patternFill>
    </fill>
    <fill>
      <patternFill patternType="solid">
        <fgColor rgb="FFF2F2F2"/>
        <bgColor rgb="FF000000"/>
      </patternFill>
    </fill>
    <fill>
      <patternFill patternType="solid">
        <fgColor theme="9"/>
        <bgColor indexed="64"/>
      </patternFill>
    </fill>
    <fill>
      <patternFill patternType="solid">
        <fgColor rgb="FF00B050"/>
        <bgColor rgb="FFF2F2F2"/>
      </patternFill>
    </fill>
    <fill>
      <patternFill patternType="solid">
        <fgColor rgb="FFFF99FF"/>
        <bgColor indexed="64"/>
      </patternFill>
    </fill>
    <fill>
      <patternFill patternType="solid">
        <fgColor rgb="FFDCE6F1"/>
        <bgColor rgb="FFDCE6F1"/>
      </patternFill>
    </fill>
    <fill>
      <patternFill patternType="solid">
        <fgColor theme="6" tint="0.79998168889431442"/>
        <bgColor rgb="FF00B050"/>
      </patternFill>
    </fill>
    <fill>
      <patternFill patternType="solid">
        <fgColor theme="1"/>
        <bgColor indexed="64"/>
      </patternFill>
    </fill>
    <fill>
      <patternFill patternType="solid">
        <fgColor rgb="FFCCECFF"/>
        <bgColor indexed="64"/>
      </patternFill>
    </fill>
    <fill>
      <patternFill patternType="solid">
        <fgColor theme="3" tint="0.79998168889431442"/>
        <bgColor rgb="FFFFEB9C"/>
      </patternFill>
    </fill>
    <fill>
      <patternFill patternType="solid">
        <fgColor theme="1" tint="4.9989318521683403E-2"/>
        <bgColor indexed="64"/>
      </patternFill>
    </fill>
    <fill>
      <patternFill patternType="solid">
        <fgColor theme="5" tint="0.59999389629810485"/>
        <bgColor indexed="64"/>
      </patternFill>
    </fill>
    <fill>
      <patternFill patternType="solid">
        <fgColor rgb="FFFFC000"/>
        <bgColor indexed="64"/>
      </patternFill>
    </fill>
    <fill>
      <patternFill patternType="solid">
        <fgColor rgb="FF00FF00"/>
        <bgColor indexed="64"/>
      </patternFill>
    </fill>
    <fill>
      <patternFill patternType="solid">
        <fgColor rgb="FFCC99FF"/>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rgb="FFB482DA"/>
        <bgColor indexed="64"/>
      </patternFill>
    </fill>
  </fills>
  <borders count="14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theme="3" tint="0.39994506668294322"/>
      </top>
      <bottom style="thin">
        <color theme="3" tint="0.39994506668294322"/>
      </bottom>
      <diagonal/>
    </border>
    <border>
      <left style="thin">
        <color theme="3" tint="0.59996337778862885"/>
      </left>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right/>
      <top style="thin">
        <color theme="3" tint="0.59996337778862885"/>
      </top>
      <bottom style="thin">
        <color theme="3" tint="0.59996337778862885"/>
      </bottom>
      <diagonal/>
    </border>
    <border>
      <left/>
      <right/>
      <top/>
      <bottom style="thin">
        <color theme="3" tint="0.59996337778862885"/>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right/>
      <top/>
      <bottom style="thin">
        <color theme="3" tint="0.39994506668294322"/>
      </bottom>
      <diagonal/>
    </border>
    <border>
      <left style="thin">
        <color theme="3" tint="0.39994506668294322"/>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style="thin">
        <color theme="3" tint="0.39991454817346722"/>
      </left>
      <right/>
      <top/>
      <bottom/>
      <diagonal/>
    </border>
    <border>
      <left style="thick">
        <color theme="3" tint="0.39994506668294322"/>
      </left>
      <right/>
      <top/>
      <bottom/>
      <diagonal/>
    </border>
    <border>
      <left/>
      <right style="thick">
        <color theme="3" tint="0.39994506668294322"/>
      </right>
      <top/>
      <bottom/>
      <diagonal/>
    </border>
    <border>
      <left/>
      <right/>
      <top style="thick">
        <color theme="3" tint="0.39991454817346722"/>
      </top>
      <bottom/>
      <diagonal/>
    </border>
    <border>
      <left/>
      <right/>
      <top/>
      <bottom style="thick">
        <color theme="3" tint="0.39991454817346722"/>
      </bottom>
      <diagonal/>
    </border>
    <border>
      <left style="thin">
        <color theme="3" tint="0.39988402966399123"/>
      </left>
      <right style="thin">
        <color theme="3" tint="0.39988402966399123"/>
      </right>
      <top style="thin">
        <color theme="3" tint="0.39988402966399123"/>
      </top>
      <bottom style="thin">
        <color theme="3" tint="0.39988402966399123"/>
      </bottom>
      <diagonal/>
    </border>
    <border>
      <left style="thin">
        <color theme="3" tint="0.39994506668294322"/>
      </left>
      <right/>
      <top/>
      <bottom/>
      <diagonal/>
    </border>
    <border>
      <left style="thin">
        <color theme="3" tint="0.39985351115451523"/>
      </left>
      <right style="thin">
        <color theme="3" tint="0.39985351115451523"/>
      </right>
      <top style="thin">
        <color theme="3" tint="0.39985351115451523"/>
      </top>
      <bottom/>
      <diagonal/>
    </border>
    <border>
      <left style="thin">
        <color theme="3" tint="0.39985351115451523"/>
      </left>
      <right style="thin">
        <color theme="3" tint="0.39985351115451523"/>
      </right>
      <top/>
      <bottom style="thin">
        <color theme="3" tint="0.39985351115451523"/>
      </bottom>
      <diagonal/>
    </border>
    <border>
      <left style="thin">
        <color theme="3" tint="0.39985351115451523"/>
      </left>
      <right/>
      <top style="thin">
        <color theme="3" tint="0.39985351115451523"/>
      </top>
      <bottom style="thin">
        <color theme="3" tint="0.39985351115451523"/>
      </bottom>
      <diagonal/>
    </border>
    <border>
      <left/>
      <right/>
      <top style="thin">
        <color theme="3" tint="0.39985351115451523"/>
      </top>
      <bottom style="thin">
        <color theme="3" tint="0.39985351115451523"/>
      </bottom>
      <diagonal/>
    </border>
    <border>
      <left/>
      <right style="thin">
        <color theme="3" tint="0.39985351115451523"/>
      </right>
      <top style="thin">
        <color theme="3" tint="0.39985351115451523"/>
      </top>
      <bottom style="thin">
        <color theme="3" tint="0.39985351115451523"/>
      </bottom>
      <diagonal/>
    </border>
    <border>
      <left/>
      <right style="thin">
        <color theme="3" tint="0.39985351115451523"/>
      </right>
      <top/>
      <bottom/>
      <diagonal/>
    </border>
    <border>
      <left style="thick">
        <color theme="3" tint="0.39991454817346722"/>
      </left>
      <right/>
      <top style="thick">
        <color theme="3" tint="0.39991454817346722"/>
      </top>
      <bottom/>
      <diagonal/>
    </border>
    <border>
      <left/>
      <right style="thick">
        <color theme="3" tint="0.39991454817346722"/>
      </right>
      <top style="thick">
        <color theme="3" tint="0.39991454817346722"/>
      </top>
      <bottom/>
      <diagonal/>
    </border>
    <border>
      <left style="thick">
        <color theme="3" tint="0.39991454817346722"/>
      </left>
      <right/>
      <top/>
      <bottom style="thick">
        <color theme="3" tint="0.39991454817346722"/>
      </bottom>
      <diagonal/>
    </border>
    <border>
      <left/>
      <right style="thick">
        <color theme="3" tint="0.39991454817346722"/>
      </right>
      <top/>
      <bottom style="thick">
        <color theme="3" tint="0.39991454817346722"/>
      </bottom>
      <diagonal/>
    </border>
    <border>
      <left style="thin">
        <color auto="1"/>
      </left>
      <right style="thin">
        <color auto="1"/>
      </right>
      <top style="thin">
        <color theme="4" tint="0.39997558519241921"/>
      </top>
      <bottom style="thin">
        <color auto="1"/>
      </bottom>
      <diagonal/>
    </border>
    <border>
      <left style="thin">
        <color theme="3" tint="0.39985351115451523"/>
      </left>
      <right style="thin">
        <color theme="3" tint="0.39985351115451523"/>
      </right>
      <top/>
      <bottom/>
      <diagonal/>
    </border>
    <border>
      <left style="thin">
        <color theme="3" tint="0.39994506668294322"/>
      </left>
      <right/>
      <top/>
      <bottom style="thin">
        <color theme="3" tint="0.39994506668294322"/>
      </bottom>
      <diagonal/>
    </border>
    <border>
      <left/>
      <right/>
      <top/>
      <bottom style="thin">
        <color theme="3" tint="0.39985351115451523"/>
      </bottom>
      <diagonal/>
    </border>
    <border>
      <left style="thick">
        <color theme="3" tint="0.39994506668294322"/>
      </left>
      <right/>
      <top style="thick">
        <color theme="3" tint="0.39994506668294322"/>
      </top>
      <bottom/>
      <diagonal/>
    </border>
    <border>
      <left/>
      <right/>
      <top style="thick">
        <color theme="3" tint="0.39994506668294322"/>
      </top>
      <bottom/>
      <diagonal/>
    </border>
    <border>
      <left/>
      <right style="thick">
        <color theme="3" tint="0.39994506668294322"/>
      </right>
      <top style="thick">
        <color theme="3" tint="0.39994506668294322"/>
      </top>
      <bottom/>
      <diagonal/>
    </border>
    <border>
      <left/>
      <right style="thin">
        <color theme="3" tint="0.59996337778862885"/>
      </right>
      <top style="thin">
        <color theme="3" tint="0.59996337778862885"/>
      </top>
      <bottom style="thin">
        <color theme="3" tint="0.59996337778862885"/>
      </bottom>
      <diagonal/>
    </border>
    <border>
      <left style="thin">
        <color theme="3" tint="0.39991454817346722"/>
      </left>
      <right style="thin">
        <color theme="3" tint="0.39991454817346722"/>
      </right>
      <top style="thin">
        <color theme="3" tint="0.39991454817346722"/>
      </top>
      <bottom style="thin">
        <color theme="3" tint="0.39991454817346722"/>
      </bottom>
      <diagonal/>
    </border>
    <border>
      <left style="thin">
        <color theme="3" tint="0.39991454817346722"/>
      </left>
      <right/>
      <top style="thin">
        <color theme="3" tint="0.39991454817346722"/>
      </top>
      <bottom style="thin">
        <color theme="3" tint="0.39991454817346722"/>
      </bottom>
      <diagonal/>
    </border>
    <border>
      <left style="thin">
        <color auto="1"/>
      </left>
      <right/>
      <top/>
      <bottom style="thin">
        <color auto="1"/>
      </bottom>
      <diagonal/>
    </border>
    <border>
      <left style="thin">
        <color auto="1"/>
      </left>
      <right/>
      <top style="thin">
        <color auto="1"/>
      </top>
      <bottom style="thin">
        <color indexed="64"/>
      </bottom>
      <diagonal/>
    </border>
    <border>
      <left style="thin">
        <color auto="1"/>
      </left>
      <right/>
      <top style="thin">
        <color theme="4" tint="0.39997558519241921"/>
      </top>
      <bottom style="thin">
        <color auto="1"/>
      </bottom>
      <diagonal/>
    </border>
    <border>
      <left style="thin">
        <color theme="3" tint="0.39985351115451523"/>
      </left>
      <right/>
      <top/>
      <bottom/>
      <diagonal/>
    </border>
    <border>
      <left style="thin">
        <color theme="3" tint="0.39985351115451523"/>
      </left>
      <right/>
      <top style="thin">
        <color theme="3" tint="0.39985351115451523"/>
      </top>
      <bottom/>
      <diagonal/>
    </border>
    <border>
      <left/>
      <right style="thin">
        <color theme="3" tint="0.39985351115451523"/>
      </right>
      <top style="thin">
        <color theme="3" tint="0.39985351115451523"/>
      </top>
      <bottom/>
      <diagonal/>
    </border>
    <border>
      <left style="thin">
        <color theme="3" tint="0.39988402966399123"/>
      </left>
      <right style="thin">
        <color theme="3" tint="0.39988402966399123"/>
      </right>
      <top style="thin">
        <color theme="3" tint="0.39988402966399123"/>
      </top>
      <bottom/>
      <diagonal/>
    </border>
    <border>
      <left/>
      <right style="thin">
        <color theme="3" tint="0.39988402966399123"/>
      </right>
      <top style="thin">
        <color theme="3" tint="0.39988402966399123"/>
      </top>
      <bottom style="thin">
        <color theme="3" tint="0.39988402966399123"/>
      </bottom>
      <diagonal/>
    </border>
    <border>
      <left style="thin">
        <color theme="3" tint="0.39991454817346722"/>
      </left>
      <right/>
      <top style="thin">
        <color theme="3" tint="0.39991454817346722"/>
      </top>
      <bottom style="thin">
        <color theme="3" tint="0.39994506668294322"/>
      </bottom>
      <diagonal/>
    </border>
    <border>
      <left/>
      <right/>
      <top style="thin">
        <color theme="3" tint="0.39991454817346722"/>
      </top>
      <bottom style="thin">
        <color theme="3" tint="0.39994506668294322"/>
      </bottom>
      <diagonal/>
    </border>
    <border>
      <left style="thin">
        <color theme="3" tint="0.39988402966399123"/>
      </left>
      <right/>
      <top style="thin">
        <color theme="3" tint="0.39988402966399123"/>
      </top>
      <bottom style="thin">
        <color theme="3" tint="0.39988402966399123"/>
      </bottom>
      <diagonal/>
    </border>
    <border>
      <left style="thin">
        <color theme="3" tint="0.39994506668294322"/>
      </left>
      <right style="thin">
        <color theme="3" tint="0.39994506668294322"/>
      </right>
      <top/>
      <bottom style="thin">
        <color theme="3" tint="0.39994506668294322"/>
      </bottom>
      <diagonal/>
    </border>
    <border>
      <left style="thin">
        <color theme="3" tint="0.39994506668294322"/>
      </left>
      <right/>
      <top style="thin">
        <color theme="3" tint="0.39994506668294322"/>
      </top>
      <bottom/>
      <diagonal/>
    </border>
    <border>
      <left/>
      <right style="thin">
        <color theme="3" tint="0.39994506668294322"/>
      </right>
      <top style="thin">
        <color theme="3" tint="0.39994506668294322"/>
      </top>
      <bottom/>
      <diagonal/>
    </border>
    <border>
      <left/>
      <right style="thin">
        <color theme="3" tint="0.39994506668294322"/>
      </right>
      <top/>
      <bottom/>
      <diagonal/>
    </border>
    <border>
      <left/>
      <right style="thin">
        <color theme="3" tint="0.39994506668294322"/>
      </right>
      <top/>
      <bottom style="thin">
        <color theme="3" tint="0.39994506668294322"/>
      </bottom>
      <diagonal/>
    </border>
    <border>
      <left/>
      <right style="thin">
        <color theme="3" tint="0.39991454817346722"/>
      </right>
      <top style="thin">
        <color theme="3" tint="0.39994506668294322"/>
      </top>
      <bottom/>
      <diagonal/>
    </border>
    <border>
      <left/>
      <right style="thin">
        <color theme="3" tint="0.39991454817346722"/>
      </right>
      <top/>
      <bottom/>
      <diagonal/>
    </border>
    <border>
      <left/>
      <right style="thin">
        <color theme="3" tint="0.39991454817346722"/>
      </right>
      <top/>
      <bottom style="thin">
        <color theme="3" tint="0.39994506668294322"/>
      </bottom>
      <diagonal/>
    </border>
    <border>
      <left style="thin">
        <color theme="3" tint="0.39991454817346722"/>
      </left>
      <right/>
      <top style="thin">
        <color theme="3" tint="0.39991454817346722"/>
      </top>
      <bottom/>
      <diagonal/>
    </border>
    <border>
      <left/>
      <right style="thin">
        <color theme="3" tint="0.39991454817346722"/>
      </right>
      <top style="thin">
        <color theme="3" tint="0.39991454817346722"/>
      </top>
      <bottom/>
      <diagonal/>
    </border>
    <border>
      <left style="thin">
        <color theme="3" tint="0.39991454817346722"/>
      </left>
      <right/>
      <top/>
      <bottom style="thin">
        <color theme="3" tint="0.39991454817346722"/>
      </bottom>
      <diagonal/>
    </border>
    <border>
      <left/>
      <right style="thin">
        <color theme="3" tint="0.39991454817346722"/>
      </right>
      <top/>
      <bottom style="thin">
        <color theme="3" tint="0.39991454817346722"/>
      </bottom>
      <diagonal/>
    </border>
    <border>
      <left/>
      <right/>
      <top style="thin">
        <color theme="3" tint="0.39991454817346722"/>
      </top>
      <bottom/>
      <diagonal/>
    </border>
    <border>
      <left/>
      <right/>
      <top/>
      <bottom style="thin">
        <color theme="3" tint="0.39991454817346722"/>
      </bottom>
      <diagonal/>
    </border>
    <border>
      <left style="thin">
        <color theme="3" tint="0.39988402966399123"/>
      </left>
      <right/>
      <top/>
      <bottom style="thin">
        <color theme="3" tint="0.39988402966399123"/>
      </bottom>
      <diagonal/>
    </border>
    <border>
      <left/>
      <right style="thin">
        <color theme="3" tint="0.39988402966399123"/>
      </right>
      <top/>
      <bottom style="thin">
        <color theme="3" tint="0.39988402966399123"/>
      </bottom>
      <diagonal/>
    </border>
    <border>
      <left style="thin">
        <color theme="3" tint="0.39988402966399123"/>
      </left>
      <right style="thin">
        <color theme="3" tint="0.39988402966399123"/>
      </right>
      <top/>
      <bottom style="thin">
        <color theme="3" tint="0.39988402966399123"/>
      </bottom>
      <diagonal/>
    </border>
    <border>
      <left/>
      <right/>
      <top style="thin">
        <color theme="3" tint="0.39988402966399123"/>
      </top>
      <bottom style="thin">
        <color theme="3" tint="0.39988402966399123"/>
      </bottom>
      <diagonal/>
    </border>
    <border>
      <left style="thin">
        <color theme="3" tint="0.59996337778862885"/>
      </left>
      <right/>
      <top/>
      <bottom/>
      <diagonal/>
    </border>
    <border>
      <left style="thin">
        <color rgb="FF8DB4E2"/>
      </left>
      <right style="thin">
        <color rgb="FF8DB4E2"/>
      </right>
      <top style="thin">
        <color rgb="FF8DB4E2"/>
      </top>
      <bottom style="thin">
        <color rgb="FF8DB4E2"/>
      </bottom>
      <diagonal/>
    </border>
    <border>
      <left style="thin">
        <color rgb="FF8DB4E2"/>
      </left>
      <right style="thin">
        <color rgb="FF8DB4E2"/>
      </right>
      <top/>
      <bottom style="thin">
        <color rgb="FF8DB4E2"/>
      </bottom>
      <diagonal/>
    </border>
    <border>
      <left/>
      <right/>
      <top style="thin">
        <color auto="1"/>
      </top>
      <bottom/>
      <diagonal/>
    </border>
    <border>
      <left style="thin">
        <color theme="3" tint="0.39973143711661124"/>
      </left>
      <right/>
      <top style="thin">
        <color theme="3" tint="0.39973143711661124"/>
      </top>
      <bottom style="thin">
        <color theme="3" tint="0.39973143711661124"/>
      </bottom>
      <diagonal/>
    </border>
    <border>
      <left/>
      <right/>
      <top style="thin">
        <color theme="3" tint="0.39973143711661124"/>
      </top>
      <bottom style="thin">
        <color theme="3" tint="0.39973143711661124"/>
      </bottom>
      <diagonal/>
    </border>
    <border>
      <left/>
      <right style="thin">
        <color theme="3" tint="0.39973143711661124"/>
      </right>
      <top style="thin">
        <color theme="3" tint="0.39973143711661124"/>
      </top>
      <bottom style="thin">
        <color theme="3" tint="0.39973143711661124"/>
      </bottom>
      <diagonal/>
    </border>
    <border>
      <left/>
      <right/>
      <top style="thin">
        <color theme="3" tint="0.39991454817346722"/>
      </top>
      <bottom style="thin">
        <color theme="3" tint="0.39991454817346722"/>
      </bottom>
      <diagonal/>
    </border>
    <border>
      <left style="thin">
        <color theme="3" tint="0.39994506668294322"/>
      </left>
      <right style="thin">
        <color theme="3" tint="0.39994506668294322"/>
      </right>
      <top/>
      <bottom/>
      <diagonal/>
    </border>
    <border>
      <left style="thin">
        <color theme="3" tint="0.39973143711661124"/>
      </left>
      <right/>
      <top/>
      <bottom/>
      <diagonal/>
    </border>
    <border>
      <left style="thin">
        <color theme="3" tint="0.39991454817346722"/>
      </left>
      <right/>
      <top style="thin">
        <color theme="3" tint="0.39994506668294322"/>
      </top>
      <bottom style="thin">
        <color theme="3" tint="0.39991454817346722"/>
      </bottom>
      <diagonal/>
    </border>
    <border>
      <left/>
      <right style="thin">
        <color theme="3" tint="0.39988402966399123"/>
      </right>
      <top style="thin">
        <color theme="3" tint="0.39994506668294322"/>
      </top>
      <bottom style="thin">
        <color theme="3" tint="0.39991454817346722"/>
      </bottom>
      <diagonal/>
    </border>
    <border>
      <left style="thin">
        <color theme="3" tint="0.39994506668294322"/>
      </left>
      <right/>
      <top style="thin">
        <color theme="3" tint="0.39973143711661124"/>
      </top>
      <bottom style="thin">
        <color theme="3" tint="0.39994506668294322"/>
      </bottom>
      <diagonal/>
    </border>
    <border>
      <left/>
      <right/>
      <top style="thin">
        <color theme="3" tint="0.39973143711661124"/>
      </top>
      <bottom style="thin">
        <color theme="3" tint="0.39994506668294322"/>
      </bottom>
      <diagonal/>
    </border>
    <border>
      <left/>
      <right style="thin">
        <color theme="3" tint="0.39994506668294322"/>
      </right>
      <top style="thin">
        <color theme="3" tint="0.39973143711661124"/>
      </top>
      <bottom style="thin">
        <color theme="3" tint="0.39994506668294322"/>
      </bottom>
      <diagonal/>
    </border>
    <border>
      <left style="double">
        <color theme="3" tint="0.39991454817346722"/>
      </left>
      <right/>
      <top/>
      <bottom style="thin">
        <color theme="3" tint="0.39994506668294322"/>
      </bottom>
      <diagonal/>
    </border>
    <border>
      <left style="double">
        <color theme="3" tint="0.39991454817346722"/>
      </left>
      <right style="thin">
        <color theme="3" tint="0.39994506668294322"/>
      </right>
      <top style="thin">
        <color theme="3" tint="0.39994506668294322"/>
      </top>
      <bottom style="thin">
        <color theme="3" tint="0.39994506668294322"/>
      </bottom>
      <diagonal/>
    </border>
    <border>
      <left style="double">
        <color theme="3" tint="0.59996337778862885"/>
      </left>
      <right/>
      <top/>
      <bottom/>
      <diagonal/>
    </border>
    <border>
      <left style="double">
        <color theme="3" tint="0.59996337778862885"/>
      </left>
      <right style="thin">
        <color theme="3" tint="0.39985351115451523"/>
      </right>
      <top style="thin">
        <color theme="3" tint="0.39985351115451523"/>
      </top>
      <bottom/>
      <diagonal/>
    </border>
    <border>
      <left style="double">
        <color theme="3" tint="0.59996337778862885"/>
      </left>
      <right style="thin">
        <color theme="3" tint="0.39985351115451523"/>
      </right>
      <top/>
      <bottom style="thin">
        <color theme="3" tint="0.39985351115451523"/>
      </bottom>
      <diagonal/>
    </border>
    <border>
      <left style="thin">
        <color auto="1"/>
      </left>
      <right/>
      <top style="thin">
        <color auto="1"/>
      </top>
      <bottom/>
      <diagonal/>
    </border>
    <border>
      <left style="thin">
        <color rgb="FF8DB4E2"/>
      </left>
      <right style="thin">
        <color rgb="FF8DB4E2"/>
      </right>
      <top style="thin">
        <color rgb="FF8DB4E2"/>
      </top>
      <bottom/>
      <diagonal/>
    </border>
    <border>
      <left style="thin">
        <color auto="1"/>
      </left>
      <right style="thin">
        <color auto="1"/>
      </right>
      <top/>
      <bottom/>
      <diagonal/>
    </border>
    <border>
      <left style="double">
        <color theme="3" tint="0.59996337778862885"/>
      </left>
      <right/>
      <top/>
      <bottom style="thin">
        <color theme="3" tint="0.39985351115451523"/>
      </bottom>
      <diagonal/>
    </border>
    <border>
      <left style="double">
        <color theme="3" tint="0.59996337778862885"/>
      </left>
      <right style="double">
        <color theme="3" tint="0.59996337778862885"/>
      </right>
      <top style="thin">
        <color theme="3" tint="0.39985351115451523"/>
      </top>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right style="thin">
        <color theme="3" tint="0.39988402966399123"/>
      </right>
      <top style="thin">
        <color theme="3" tint="0.39988402966399123"/>
      </top>
      <bottom/>
      <diagonal/>
    </border>
    <border>
      <left style="thin">
        <color rgb="FF0000FF"/>
      </left>
      <right/>
      <top style="thin">
        <color rgb="FF0000FF"/>
      </top>
      <bottom/>
      <diagonal/>
    </border>
    <border>
      <left/>
      <right/>
      <top style="thin">
        <color rgb="FF0000FF"/>
      </top>
      <bottom/>
      <diagonal/>
    </border>
    <border>
      <left/>
      <right style="thin">
        <color rgb="FF0000FF"/>
      </right>
      <top style="thin">
        <color rgb="FF0000FF"/>
      </top>
      <bottom/>
      <diagonal/>
    </border>
    <border>
      <left style="thin">
        <color rgb="FF0000FF"/>
      </left>
      <right/>
      <top/>
      <bottom/>
      <diagonal/>
    </border>
    <border>
      <left/>
      <right style="thin">
        <color rgb="FF0000FF"/>
      </right>
      <top/>
      <bottom/>
      <diagonal/>
    </border>
    <border>
      <left style="thin">
        <color rgb="FF0000FF"/>
      </left>
      <right/>
      <top/>
      <bottom style="thin">
        <color rgb="FF0000FF"/>
      </bottom>
      <diagonal/>
    </border>
    <border>
      <left/>
      <right/>
      <top/>
      <bottom style="thin">
        <color rgb="FF0000FF"/>
      </bottom>
      <diagonal/>
    </border>
    <border>
      <left/>
      <right style="thin">
        <color rgb="FF0000FF"/>
      </right>
      <top/>
      <bottom style="thin">
        <color rgb="FF0000FF"/>
      </bottom>
      <diagonal/>
    </border>
    <border>
      <left/>
      <right/>
      <top style="thin">
        <color theme="3" tint="0.39994506668294322"/>
      </top>
      <bottom/>
      <diagonal/>
    </border>
    <border>
      <left style="double">
        <color theme="3" tint="0.59996337778862885"/>
      </left>
      <right/>
      <top style="thin">
        <color theme="3" tint="0.39994506668294322"/>
      </top>
      <bottom style="thin">
        <color theme="3" tint="0.39985351115451523"/>
      </bottom>
      <diagonal/>
    </border>
    <border>
      <left/>
      <right/>
      <top style="thin">
        <color theme="3" tint="0.39994506668294322"/>
      </top>
      <bottom style="thin">
        <color theme="3" tint="0.39985351115451523"/>
      </bottom>
      <diagonal/>
    </border>
    <border>
      <left/>
      <right style="double">
        <color theme="3" tint="0.59996337778862885"/>
      </right>
      <top style="thin">
        <color theme="3" tint="0.39994506668294322"/>
      </top>
      <bottom style="thin">
        <color theme="3" tint="0.39994506668294322"/>
      </bottom>
      <diagonal/>
    </border>
    <border>
      <left style="thin">
        <color theme="3" tint="0.39985351115451523"/>
      </left>
      <right/>
      <top/>
      <bottom style="thin">
        <color theme="3" tint="0.39985351115451523"/>
      </bottom>
      <diagonal/>
    </border>
    <border>
      <left style="thin">
        <color theme="3" tint="0.39991454817346722"/>
      </left>
      <right style="thin">
        <color theme="3" tint="0.39991454817346722"/>
      </right>
      <top style="thin">
        <color theme="3" tint="0.39991454817346722"/>
      </top>
      <bottom/>
      <diagonal/>
    </border>
    <border>
      <left style="double">
        <color theme="3" tint="0.59996337778862885"/>
      </left>
      <right style="double">
        <color theme="3" tint="0.59996337778862885"/>
      </right>
      <top/>
      <bottom style="thin">
        <color theme="3" tint="0.39985351115451523"/>
      </bottom>
      <diagonal/>
    </border>
    <border>
      <left style="thin">
        <color theme="3" tint="0.39988402966399123"/>
      </left>
      <right style="thin">
        <color theme="3" tint="0.39988402966399123"/>
      </right>
      <top/>
      <bottom/>
      <diagonal/>
    </border>
    <border>
      <left style="double">
        <color theme="3" tint="0.59996337778862885"/>
      </left>
      <right/>
      <top style="thin">
        <color theme="3" tint="0.39985351115451523"/>
      </top>
      <bottom/>
      <diagonal/>
    </border>
    <border>
      <left style="thin">
        <color theme="3" tint="0.39991454817346722"/>
      </left>
      <right style="thin">
        <color theme="3" tint="0.39991454817346722"/>
      </right>
      <top style="thin">
        <color theme="3" tint="0.39991454817346722"/>
      </top>
      <bottom style="thin">
        <color theme="3" tint="0.39994506668294322"/>
      </bottom>
      <diagonal/>
    </border>
    <border>
      <left style="thin">
        <color theme="3" tint="0.39991454817346722"/>
      </left>
      <right style="thin">
        <color theme="3" tint="0.39991454817346722"/>
      </right>
      <top style="thin">
        <color theme="3" tint="0.39994506668294322"/>
      </top>
      <bottom/>
      <diagonal/>
    </border>
    <border>
      <left style="thin">
        <color theme="3" tint="0.39991454817346722"/>
      </left>
      <right style="thin">
        <color theme="3" tint="0.39991454817346722"/>
      </right>
      <top/>
      <bottom/>
      <diagonal/>
    </border>
    <border>
      <left style="thin">
        <color theme="3" tint="0.39991454817346722"/>
      </left>
      <right style="thin">
        <color theme="3" tint="0.39991454817346722"/>
      </right>
      <top/>
      <bottom style="thin">
        <color theme="3" tint="0.39991454817346722"/>
      </bottom>
      <diagonal/>
    </border>
    <border>
      <left style="thin">
        <color theme="3" tint="0.39985351115451523"/>
      </left>
      <right style="thin">
        <color theme="3" tint="0.39991454817346722"/>
      </right>
      <top style="thin">
        <color theme="3" tint="0.39985351115451523"/>
      </top>
      <bottom/>
      <diagonal/>
    </border>
    <border>
      <left style="thin">
        <color theme="3" tint="0.39985351115451523"/>
      </left>
      <right style="thin">
        <color theme="3" tint="0.39991454817346722"/>
      </right>
      <top/>
      <bottom style="thin">
        <color theme="3" tint="0.39985351115451523"/>
      </bottom>
      <diagonal/>
    </border>
    <border>
      <left style="double">
        <color theme="3" tint="0.59996337778862885"/>
      </left>
      <right style="thin">
        <color theme="3" tint="0.39985351115451523"/>
      </right>
      <top/>
      <bottom/>
      <diagonal/>
    </border>
    <border>
      <left style="double">
        <color theme="3" tint="0.59996337778862885"/>
      </left>
      <right style="double">
        <color theme="3" tint="0.59996337778862885"/>
      </right>
      <top/>
      <bottom style="thin">
        <color theme="3" tint="0.59996337778862885"/>
      </bottom>
      <diagonal/>
    </border>
    <border>
      <left style="double">
        <color theme="3" tint="0.59996337778862885"/>
      </left>
      <right/>
      <top/>
      <bottom style="thin">
        <color theme="3" tint="0.59996337778862885"/>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auto="1"/>
      </top>
      <bottom/>
      <diagonal/>
    </border>
    <border>
      <left style="thin">
        <color rgb="FF000000"/>
      </left>
      <right style="thin">
        <color rgb="FF000000"/>
      </right>
      <top style="thin">
        <color auto="1"/>
      </top>
      <bottom/>
      <diagonal/>
    </border>
    <border>
      <left/>
      <right style="thin">
        <color rgb="FF000000"/>
      </right>
      <top style="thin">
        <color auto="1"/>
      </top>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style="thin">
        <color auto="1"/>
      </left>
      <right style="thin">
        <color rgb="FF000000"/>
      </right>
      <top style="thin">
        <color rgb="FF000000"/>
      </top>
      <bottom/>
      <diagonal/>
    </border>
    <border>
      <left style="thin">
        <color rgb="FF000000"/>
      </left>
      <right style="thin">
        <color auto="1"/>
      </right>
      <top style="thin">
        <color auto="1"/>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auto="1"/>
      </right>
      <top/>
      <bottom style="thin">
        <color rgb="FF000000"/>
      </bottom>
      <diagonal/>
    </border>
    <border>
      <left style="thin">
        <color auto="1"/>
      </left>
      <right style="thin">
        <color rgb="FF000000"/>
      </right>
      <top/>
      <bottom style="thin">
        <color rgb="FF000000"/>
      </bottom>
      <diagonal/>
    </border>
    <border>
      <left style="thin">
        <color auto="1"/>
      </left>
      <right/>
      <top style="thin">
        <color rgb="FF000000"/>
      </top>
      <bottom/>
      <diagonal/>
    </border>
    <border>
      <left style="thin">
        <color auto="1"/>
      </left>
      <right/>
      <top style="thin">
        <color auto="1"/>
      </top>
      <bottom style="thin">
        <color rgb="FF000000"/>
      </bottom>
      <diagonal/>
    </border>
    <border>
      <left/>
      <right style="thin">
        <color auto="1"/>
      </right>
      <top style="thin">
        <color rgb="FF000000"/>
      </top>
      <bottom/>
      <diagonal/>
    </border>
    <border>
      <left/>
      <right style="thin">
        <color auto="1"/>
      </right>
      <top style="thin">
        <color auto="1"/>
      </top>
      <bottom style="thin">
        <color rgb="FF000000"/>
      </bottom>
      <diagonal/>
    </border>
    <border>
      <left style="thin">
        <color rgb="FF000000"/>
      </left>
      <right/>
      <top/>
      <bottom style="thin">
        <color rgb="FF000000"/>
      </bottom>
      <diagonal/>
    </border>
    <border>
      <left style="thin">
        <color auto="1"/>
      </left>
      <right style="thin">
        <color rgb="FF000000"/>
      </right>
      <top style="thin">
        <color auto="1"/>
      </top>
      <bottom style="thin">
        <color rgb="FF000000"/>
      </bottom>
      <diagonal/>
    </border>
  </borders>
  <cellStyleXfs count="25">
    <xf numFmtId="0" fontId="0" fillId="0" borderId="0"/>
    <xf numFmtId="44" fontId="10" fillId="0" borderId="0" applyFont="0" applyFill="0" applyBorder="0" applyAlignment="0" applyProtection="0"/>
    <xf numFmtId="9" fontId="10" fillId="0" borderId="0" applyFon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97" fillId="0" borderId="0" applyNumberFormat="0" applyFill="0" applyBorder="0" applyAlignment="0" applyProtection="0"/>
    <xf numFmtId="44" fontId="10" fillId="0" borderId="0" applyFont="0" applyFill="0" applyBorder="0" applyAlignment="0" applyProtection="0"/>
    <xf numFmtId="173" fontId="98" fillId="0" borderId="0" applyFont="0" applyFill="0" applyBorder="0" applyAlignment="0" applyProtection="0"/>
    <xf numFmtId="0" fontId="98" fillId="0" borderId="0"/>
    <xf numFmtId="0" fontId="98" fillId="0" borderId="0"/>
    <xf numFmtId="0" fontId="10" fillId="0" borderId="0"/>
    <xf numFmtId="0" fontId="98" fillId="0" borderId="0"/>
    <xf numFmtId="0" fontId="10" fillId="0" borderId="0"/>
    <xf numFmtId="0" fontId="98" fillId="0" borderId="0"/>
    <xf numFmtId="0" fontId="99" fillId="0" borderId="0"/>
    <xf numFmtId="9" fontId="100" fillId="0" borderId="0" applyFont="0" applyFill="0" applyBorder="0" applyAlignment="0" applyProtection="0"/>
    <xf numFmtId="9" fontId="101" fillId="0" borderId="0" applyFont="0" applyFill="0" applyBorder="0" applyAlignment="0" applyProtection="0"/>
    <xf numFmtId="9" fontId="10" fillId="0" borderId="0" applyFont="0" applyFill="0" applyBorder="0" applyAlignment="0" applyProtection="0"/>
    <xf numFmtId="9" fontId="98" fillId="0" borderId="0" applyFont="0" applyFill="0" applyBorder="0" applyAlignment="0" applyProtection="0"/>
    <xf numFmtId="43" fontId="101" fillId="0" borderId="0" applyFont="0" applyFill="0" applyBorder="0" applyAlignment="0" applyProtection="0"/>
    <xf numFmtId="43" fontId="98"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cellStyleXfs>
  <cellXfs count="2510">
    <xf numFmtId="0" fontId="0" fillId="0" borderId="0" xfId="0"/>
    <xf numFmtId="0" fontId="4" fillId="3" borderId="1" xfId="0" applyFont="1" applyFill="1" applyBorder="1"/>
    <xf numFmtId="0" fontId="0" fillId="0" borderId="1" xfId="0" applyBorder="1"/>
    <xf numFmtId="9" fontId="0" fillId="0" borderId="1" xfId="0" applyNumberFormat="1" applyBorder="1"/>
    <xf numFmtId="0" fontId="7" fillId="0" borderId="1" xfId="0" applyFont="1" applyBorder="1"/>
    <xf numFmtId="0" fontId="8" fillId="3" borderId="1" xfId="0" applyFont="1" applyFill="1" applyBorder="1"/>
    <xf numFmtId="164" fontId="0" fillId="0" borderId="0" xfId="0" applyNumberFormat="1"/>
    <xf numFmtId="0" fontId="8" fillId="3" borderId="1" xfId="0" applyFont="1" applyFill="1" applyBorder="1" applyAlignment="1">
      <alignment horizontal="center" vertical="center" wrapText="1"/>
    </xf>
    <xf numFmtId="0" fontId="5" fillId="0" borderId="0" xfId="0" applyFont="1"/>
    <xf numFmtId="0" fontId="7" fillId="0" borderId="0" xfId="0" applyFont="1"/>
    <xf numFmtId="164" fontId="9" fillId="0" borderId="0" xfId="0" applyNumberFormat="1" applyFont="1"/>
    <xf numFmtId="44" fontId="0" fillId="0" borderId="1" xfId="1" applyFont="1" applyBorder="1"/>
    <xf numFmtId="44" fontId="7" fillId="0" borderId="1" xfId="1" applyFont="1" applyBorder="1"/>
    <xf numFmtId="0" fontId="13" fillId="2" borderId="1" xfId="0" applyFont="1" applyFill="1" applyBorder="1" applyAlignment="1">
      <alignment horizontal="center" vertical="center" wrapText="1"/>
    </xf>
    <xf numFmtId="0" fontId="14" fillId="0" borderId="1" xfId="0" applyFont="1" applyBorder="1" applyAlignment="1">
      <alignment horizontal="left" vertical="center" wrapText="1"/>
    </xf>
    <xf numFmtId="0" fontId="17" fillId="14" borderId="15" xfId="0" applyFont="1" applyFill="1" applyBorder="1" applyAlignment="1">
      <alignment horizontal="center"/>
    </xf>
    <xf numFmtId="0" fontId="0" fillId="0" borderId="15" xfId="0" applyBorder="1"/>
    <xf numFmtId="0" fontId="0" fillId="0" borderId="15" xfId="0" applyBorder="1" applyAlignment="1">
      <alignment horizontal="center"/>
    </xf>
    <xf numFmtId="164" fontId="0" fillId="0" borderId="15" xfId="0" applyNumberFormat="1" applyBorder="1"/>
    <xf numFmtId="9" fontId="22" fillId="10" borderId="15" xfId="0" applyNumberFormat="1" applyFont="1" applyFill="1" applyBorder="1"/>
    <xf numFmtId="0" fontId="0" fillId="10" borderId="0" xfId="0" applyFill="1"/>
    <xf numFmtId="0" fontId="0" fillId="17" borderId="15" xfId="0" applyFill="1" applyBorder="1"/>
    <xf numFmtId="0" fontId="0" fillId="18" borderId="15" xfId="0" applyFill="1" applyBorder="1"/>
    <xf numFmtId="0" fontId="0" fillId="19" borderId="15" xfId="0" applyFill="1" applyBorder="1"/>
    <xf numFmtId="0" fontId="16" fillId="17" borderId="15" xfId="0" applyFont="1" applyFill="1" applyBorder="1" applyAlignment="1">
      <alignment horizontal="center" vertical="center"/>
    </xf>
    <xf numFmtId="0" fontId="16" fillId="18" borderId="15" xfId="0" applyFont="1" applyFill="1" applyBorder="1" applyAlignment="1">
      <alignment horizontal="center" vertical="center"/>
    </xf>
    <xf numFmtId="0" fontId="16" fillId="19" borderId="15" xfId="0" applyFont="1" applyFill="1" applyBorder="1" applyAlignment="1">
      <alignment horizontal="center" vertical="center"/>
    </xf>
    <xf numFmtId="0" fontId="0" fillId="10" borderId="22" xfId="0" applyFill="1" applyBorder="1"/>
    <xf numFmtId="0" fontId="24" fillId="10" borderId="22" xfId="0" applyFont="1" applyFill="1" applyBorder="1" applyAlignment="1">
      <alignment horizontal="center"/>
    </xf>
    <xf numFmtId="0" fontId="0" fillId="10" borderId="0" xfId="0" applyFill="1" applyAlignment="1">
      <alignment horizontal="center" vertical="center"/>
    </xf>
    <xf numFmtId="164" fontId="23" fillId="10" borderId="15" xfId="0" applyNumberFormat="1" applyFont="1" applyFill="1" applyBorder="1"/>
    <xf numFmtId="9" fontId="0" fillId="10" borderId="0" xfId="2" applyFont="1" applyFill="1"/>
    <xf numFmtId="165" fontId="0" fillId="10" borderId="0" xfId="2" applyNumberFormat="1" applyFont="1" applyFill="1"/>
    <xf numFmtId="0" fontId="16" fillId="10" borderId="22" xfId="0" applyFont="1" applyFill="1" applyBorder="1"/>
    <xf numFmtId="0" fontId="34" fillId="10" borderId="22" xfId="0" applyFont="1" applyFill="1" applyBorder="1" applyAlignment="1">
      <alignment horizontal="center" vertical="center" wrapText="1"/>
    </xf>
    <xf numFmtId="165" fontId="35" fillId="10" borderId="22" xfId="0" applyNumberFormat="1" applyFont="1" applyFill="1" applyBorder="1" applyAlignment="1">
      <alignment horizontal="center" vertical="center"/>
    </xf>
    <xf numFmtId="0" fontId="0" fillId="10" borderId="21" xfId="0" applyFill="1" applyBorder="1"/>
    <xf numFmtId="0" fontId="16" fillId="10" borderId="21" xfId="0" applyFont="1" applyFill="1" applyBorder="1"/>
    <xf numFmtId="0" fontId="34" fillId="10" borderId="21" xfId="0" applyFont="1" applyFill="1" applyBorder="1" applyAlignment="1">
      <alignment horizontal="center" vertical="center" wrapText="1"/>
    </xf>
    <xf numFmtId="165" fontId="35" fillId="10" borderId="21" xfId="0" applyNumberFormat="1" applyFont="1" applyFill="1" applyBorder="1" applyAlignment="1">
      <alignment horizontal="center" vertical="center"/>
    </xf>
    <xf numFmtId="0" fontId="24" fillId="10" borderId="21" xfId="0" applyFont="1" applyFill="1" applyBorder="1" applyAlignment="1">
      <alignment horizontal="center"/>
    </xf>
    <xf numFmtId="0" fontId="33" fillId="10" borderId="21" xfId="0" applyFont="1" applyFill="1" applyBorder="1" applyAlignment="1">
      <alignment horizontal="center" vertical="center"/>
    </xf>
    <xf numFmtId="9" fontId="33" fillId="10" borderId="21" xfId="2" applyFont="1" applyFill="1" applyBorder="1" applyAlignment="1">
      <alignment horizontal="center" vertical="center"/>
    </xf>
    <xf numFmtId="0" fontId="0" fillId="10" borderId="41" xfId="0" applyFill="1" applyBorder="1"/>
    <xf numFmtId="0" fontId="0" fillId="10" borderId="42" xfId="0" applyFill="1" applyBorder="1"/>
    <xf numFmtId="0" fontId="0" fillId="10" borderId="43" xfId="0" applyFill="1" applyBorder="1"/>
    <xf numFmtId="0" fontId="0" fillId="9" borderId="34" xfId="0" applyFill="1" applyBorder="1" applyProtection="1">
      <protection locked="0"/>
    </xf>
    <xf numFmtId="0" fontId="0" fillId="10" borderId="0" xfId="0" applyFill="1" applyProtection="1">
      <protection locked="0"/>
    </xf>
    <xf numFmtId="0" fontId="0" fillId="0" borderId="15" xfId="0" applyBorder="1" applyProtection="1">
      <protection locked="0"/>
    </xf>
    <xf numFmtId="0" fontId="17" fillId="14" borderId="15" xfId="0" applyFont="1" applyFill="1" applyBorder="1" applyAlignment="1" applyProtection="1">
      <alignment horizontal="center"/>
      <protection locked="0"/>
    </xf>
    <xf numFmtId="0" fontId="0" fillId="0" borderId="15" xfId="0" applyBorder="1" applyAlignment="1" applyProtection="1">
      <alignment horizontal="center"/>
      <protection locked="0"/>
    </xf>
    <xf numFmtId="9" fontId="0" fillId="0" borderId="15" xfId="2" applyFont="1" applyBorder="1" applyAlignment="1" applyProtection="1">
      <alignment horizontal="center"/>
      <protection locked="0"/>
    </xf>
    <xf numFmtId="9" fontId="22" fillId="10" borderId="15" xfId="0" applyNumberFormat="1" applyFont="1" applyFill="1" applyBorder="1" applyProtection="1">
      <protection locked="0"/>
    </xf>
    <xf numFmtId="0" fontId="0" fillId="17" borderId="15" xfId="0" applyFill="1" applyBorder="1" applyProtection="1">
      <protection locked="0"/>
    </xf>
    <xf numFmtId="0" fontId="16" fillId="17" borderId="15" xfId="0" applyFont="1" applyFill="1" applyBorder="1" applyAlignment="1" applyProtection="1">
      <alignment horizontal="center" vertical="center"/>
      <protection locked="0"/>
    </xf>
    <xf numFmtId="0" fontId="0" fillId="18" borderId="15" xfId="0" applyFill="1" applyBorder="1" applyProtection="1">
      <protection locked="0"/>
    </xf>
    <xf numFmtId="0" fontId="33" fillId="6" borderId="25" xfId="0" applyFont="1" applyFill="1" applyBorder="1" applyAlignment="1" applyProtection="1">
      <alignment horizontal="left"/>
      <protection locked="0"/>
    </xf>
    <xf numFmtId="0" fontId="33" fillId="6" borderId="25" xfId="0" applyFont="1" applyFill="1" applyBorder="1" applyAlignment="1" applyProtection="1">
      <alignment horizontal="center" vertical="center"/>
      <protection locked="0"/>
    </xf>
    <xf numFmtId="0" fontId="33" fillId="10" borderId="25" xfId="0" applyFont="1" applyFill="1" applyBorder="1" applyAlignment="1" applyProtection="1">
      <alignment horizontal="left"/>
      <protection locked="0"/>
    </xf>
    <xf numFmtId="0" fontId="0" fillId="10" borderId="0" xfId="0" applyFill="1" applyAlignment="1" applyProtection="1">
      <alignment horizontal="center"/>
      <protection locked="0"/>
    </xf>
    <xf numFmtId="9" fontId="0" fillId="0" borderId="15" xfId="2" applyFont="1" applyBorder="1" applyAlignment="1" applyProtection="1">
      <alignment horizontal="center"/>
    </xf>
    <xf numFmtId="164" fontId="23" fillId="0" borderId="15" xfId="0" applyNumberFormat="1" applyFont="1" applyBorder="1"/>
    <xf numFmtId="0" fontId="0" fillId="0" borderId="0" xfId="0" applyProtection="1">
      <protection locked="0"/>
    </xf>
    <xf numFmtId="0" fontId="6" fillId="2" borderId="0" xfId="0" applyFont="1" applyFill="1" applyProtection="1">
      <protection locked="0"/>
    </xf>
    <xf numFmtId="0" fontId="8" fillId="3" borderId="9" xfId="0" applyFont="1" applyFill="1" applyBorder="1" applyAlignment="1" applyProtection="1">
      <alignment horizontal="center" vertical="center" wrapText="1"/>
      <protection locked="0"/>
    </xf>
    <xf numFmtId="0" fontId="8" fillId="3" borderId="6" xfId="0" applyFont="1" applyFill="1" applyBorder="1" applyAlignment="1" applyProtection="1">
      <alignment horizontal="center" vertical="center" wrapText="1"/>
      <protection locked="0"/>
    </xf>
    <xf numFmtId="0" fontId="8" fillId="29" borderId="6" xfId="0" applyFont="1" applyFill="1" applyBorder="1" applyAlignment="1" applyProtection="1">
      <alignment horizontal="center" vertical="center" wrapText="1"/>
      <protection locked="0"/>
    </xf>
    <xf numFmtId="0" fontId="0" fillId="0" borderId="7" xfId="0" applyBorder="1" applyProtection="1">
      <protection locked="0"/>
    </xf>
    <xf numFmtId="0" fontId="0" fillId="0" borderId="1" xfId="0" applyBorder="1" applyProtection="1">
      <protection locked="0"/>
    </xf>
    <xf numFmtId="0" fontId="0" fillId="0" borderId="6" xfId="0" applyBorder="1" applyProtection="1">
      <protection locked="0"/>
    </xf>
    <xf numFmtId="0" fontId="0" fillId="0" borderId="6" xfId="0" applyBorder="1" applyAlignment="1" applyProtection="1">
      <alignment horizontal="right"/>
      <protection locked="0"/>
    </xf>
    <xf numFmtId="0" fontId="0" fillId="28" borderId="37" xfId="0" applyFill="1" applyBorder="1" applyProtection="1">
      <protection locked="0"/>
    </xf>
    <xf numFmtId="10" fontId="0" fillId="0" borderId="1" xfId="0" applyNumberFormat="1" applyBorder="1" applyAlignment="1" applyProtection="1">
      <alignment horizontal="right"/>
      <protection locked="0"/>
    </xf>
    <xf numFmtId="0" fontId="0" fillId="28" borderId="1" xfId="0" applyFill="1" applyBorder="1" applyProtection="1">
      <protection locked="0"/>
    </xf>
    <xf numFmtId="20" fontId="0" fillId="0" borderId="1" xfId="0" applyNumberFormat="1" applyBorder="1" applyAlignment="1" applyProtection="1">
      <alignment horizontal="right" vertical="center" wrapText="1"/>
      <protection locked="0"/>
    </xf>
    <xf numFmtId="3" fontId="0" fillId="0" borderId="1" xfId="0" applyNumberFormat="1" applyBorder="1" applyAlignment="1" applyProtection="1">
      <alignment horizontal="right"/>
      <protection locked="0"/>
    </xf>
    <xf numFmtId="0" fontId="0" fillId="0" borderId="1" xfId="0" applyBorder="1" applyAlignment="1" applyProtection="1">
      <alignment horizontal="right"/>
      <protection locked="0"/>
    </xf>
    <xf numFmtId="9" fontId="0" fillId="0" borderId="1" xfId="0" applyNumberFormat="1" applyBorder="1" applyAlignment="1" applyProtection="1">
      <alignment horizontal="right"/>
      <protection locked="0"/>
    </xf>
    <xf numFmtId="9" fontId="0" fillId="0" borderId="1" xfId="0" applyNumberFormat="1" applyBorder="1" applyProtection="1">
      <protection locked="0"/>
    </xf>
    <xf numFmtId="0" fontId="0" fillId="0" borderId="8" xfId="0" applyBorder="1" applyProtection="1">
      <protection locked="0"/>
    </xf>
    <xf numFmtId="0" fontId="0" fillId="0" borderId="5" xfId="0" applyBorder="1" applyProtection="1">
      <protection locked="0"/>
    </xf>
    <xf numFmtId="0" fontId="0" fillId="0" borderId="0" xfId="0" applyAlignment="1" applyProtection="1">
      <alignment horizontal="center" vertical="center" wrapText="1"/>
      <protection locked="0"/>
    </xf>
    <xf numFmtId="0" fontId="6" fillId="2" borderId="4" xfId="0" applyFont="1" applyFill="1" applyBorder="1" applyAlignment="1" applyProtection="1">
      <alignment horizontal="left"/>
      <protection locked="0"/>
    </xf>
    <xf numFmtId="0" fontId="11" fillId="9" borderId="0" xfId="0" applyFont="1" applyFill="1" applyAlignment="1" applyProtection="1">
      <alignment horizontal="center"/>
      <protection locked="0"/>
    </xf>
    <xf numFmtId="0" fontId="8" fillId="3" borderId="1" xfId="0" applyFont="1" applyFill="1" applyBorder="1" applyAlignment="1" applyProtection="1">
      <alignment horizontal="center" vertical="center" wrapText="1"/>
      <protection locked="0"/>
    </xf>
    <xf numFmtId="17" fontId="0" fillId="6" borderId="1" xfId="0" applyNumberFormat="1" applyFill="1" applyBorder="1" applyAlignment="1" applyProtection="1">
      <alignment horizontal="center" vertical="center" wrapText="1"/>
      <protection locked="0"/>
    </xf>
    <xf numFmtId="0" fontId="8" fillId="7" borderId="1" xfId="0" applyFont="1" applyFill="1" applyBorder="1" applyAlignment="1" applyProtection="1">
      <alignment horizontal="center" vertical="center" wrapText="1"/>
      <protection locked="0"/>
    </xf>
    <xf numFmtId="0" fontId="0" fillId="8" borderId="1" xfId="1" applyNumberFormat="1" applyFont="1" applyFill="1" applyBorder="1" applyAlignment="1" applyProtection="1">
      <alignment horizontal="left" vertical="center"/>
      <protection locked="0"/>
    </xf>
    <xf numFmtId="44" fontId="0" fillId="8" borderId="1" xfId="1" applyFont="1" applyFill="1" applyBorder="1" applyAlignment="1" applyProtection="1">
      <alignment horizontal="left" vertical="center"/>
      <protection locked="0"/>
    </xf>
    <xf numFmtId="44" fontId="0" fillId="11" borderId="1" xfId="1" applyFont="1" applyFill="1" applyBorder="1" applyAlignment="1" applyProtection="1">
      <alignment horizontal="left" vertical="center"/>
      <protection locked="0"/>
    </xf>
    <xf numFmtId="44" fontId="0" fillId="8" borderId="1" xfId="1" applyFont="1" applyFill="1" applyBorder="1" applyAlignment="1" applyProtection="1">
      <alignment horizontal="center" vertical="center"/>
      <protection locked="0"/>
    </xf>
    <xf numFmtId="9" fontId="0" fillId="8" borderId="1" xfId="2" applyFont="1" applyFill="1" applyBorder="1" applyAlignment="1" applyProtection="1">
      <alignment horizontal="center" vertical="center"/>
      <protection locked="0"/>
    </xf>
    <xf numFmtId="0" fontId="0" fillId="8" borderId="1" xfId="0" applyFill="1" applyBorder="1" applyAlignment="1" applyProtection="1">
      <alignment horizontal="left" vertical="center"/>
      <protection locked="0"/>
    </xf>
    <xf numFmtId="0" fontId="0" fillId="0" borderId="1" xfId="1" applyNumberFormat="1" applyFont="1" applyBorder="1" applyAlignment="1" applyProtection="1">
      <alignment horizontal="left" vertical="center"/>
      <protection locked="0"/>
    </xf>
    <xf numFmtId="44" fontId="0" fillId="0" borderId="1" xfId="1" applyFont="1" applyBorder="1" applyAlignment="1" applyProtection="1">
      <alignment horizontal="left" vertical="center"/>
      <protection locked="0"/>
    </xf>
    <xf numFmtId="44" fontId="0" fillId="0" borderId="1" xfId="1" applyFont="1" applyBorder="1" applyAlignment="1" applyProtection="1">
      <alignment horizontal="center" vertical="center"/>
      <protection locked="0"/>
    </xf>
    <xf numFmtId="9" fontId="0" fillId="0" borderId="1" xfId="2"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8" borderId="1" xfId="0" applyFill="1" applyBorder="1" applyAlignment="1" applyProtection="1">
      <alignment horizontal="left" vertical="center" wrapText="1"/>
      <protection locked="0"/>
    </xf>
    <xf numFmtId="0" fontId="6" fillId="2" borderId="0" xfId="0" applyFont="1" applyFill="1" applyAlignment="1" applyProtection="1">
      <alignment horizontal="center" vertical="center"/>
      <protection locked="0"/>
    </xf>
    <xf numFmtId="0" fontId="6" fillId="2" borderId="14" xfId="0" applyFont="1" applyFill="1" applyBorder="1" applyProtection="1">
      <protection locked="0"/>
    </xf>
    <xf numFmtId="0" fontId="6" fillId="2" borderId="0" xfId="0" applyFont="1" applyFill="1" applyAlignment="1" applyProtection="1">
      <alignment horizontal="center"/>
      <protection locked="0"/>
    </xf>
    <xf numFmtId="9" fontId="6" fillId="2" borderId="0" xfId="2" applyFont="1" applyFill="1" applyBorder="1" applyAlignment="1" applyProtection="1">
      <alignment horizontal="left" vertical="center"/>
      <protection locked="0"/>
    </xf>
    <xf numFmtId="0" fontId="0" fillId="6" borderId="0" xfId="0" applyFill="1" applyAlignment="1" applyProtection="1">
      <alignment horizontal="center"/>
      <protection locked="0"/>
    </xf>
    <xf numFmtId="9" fontId="6" fillId="2" borderId="0" xfId="2" applyFont="1" applyFill="1" applyBorder="1" applyAlignment="1" applyProtection="1">
      <alignment horizontal="center" vertical="center"/>
      <protection locked="0"/>
    </xf>
    <xf numFmtId="0" fontId="0" fillId="8" borderId="12" xfId="0" applyFill="1" applyBorder="1" applyProtection="1">
      <protection locked="0"/>
    </xf>
    <xf numFmtId="0" fontId="0" fillId="8" borderId="12" xfId="0" applyFill="1" applyBorder="1" applyAlignment="1" applyProtection="1">
      <alignment horizontal="center" vertical="center"/>
      <protection locked="0"/>
    </xf>
    <xf numFmtId="9" fontId="0" fillId="8" borderId="12" xfId="2" applyFont="1" applyFill="1" applyBorder="1" applyAlignment="1" applyProtection="1">
      <alignment horizontal="center" vertical="center"/>
      <protection locked="0"/>
    </xf>
    <xf numFmtId="0" fontId="0" fillId="10" borderId="12" xfId="0" applyFill="1" applyBorder="1" applyProtection="1">
      <protection locked="0"/>
    </xf>
    <xf numFmtId="0" fontId="0" fillId="10" borderId="12" xfId="0" applyFill="1" applyBorder="1" applyAlignment="1" applyProtection="1">
      <alignment horizontal="center" vertical="center"/>
      <protection locked="0"/>
    </xf>
    <xf numFmtId="9" fontId="0" fillId="10" borderId="12" xfId="2" applyFont="1" applyFill="1" applyBorder="1" applyAlignment="1" applyProtection="1">
      <alignment horizontal="center" vertical="center"/>
      <protection locked="0"/>
    </xf>
    <xf numFmtId="0" fontId="0" fillId="0" borderId="0" xfId="0" applyAlignment="1" applyProtection="1">
      <alignment horizontal="center"/>
      <protection locked="0"/>
    </xf>
    <xf numFmtId="0" fontId="15" fillId="10" borderId="13" xfId="0" applyFont="1" applyFill="1" applyBorder="1" applyAlignment="1" applyProtection="1">
      <alignment horizontal="left" vertical="center"/>
      <protection locked="0"/>
    </xf>
    <xf numFmtId="9" fontId="32" fillId="2" borderId="0" xfId="2" applyFont="1" applyFill="1" applyBorder="1" applyAlignment="1" applyProtection="1">
      <alignment horizontal="center" vertical="center"/>
      <protection locked="0"/>
    </xf>
    <xf numFmtId="9" fontId="0" fillId="0" borderId="0" xfId="2" applyFont="1" applyProtection="1">
      <protection locked="0"/>
    </xf>
    <xf numFmtId="0" fontId="0" fillId="8" borderId="1" xfId="1" applyNumberFormat="1" applyFont="1" applyFill="1" applyBorder="1" applyAlignment="1" applyProtection="1">
      <alignment horizontal="left" vertical="center" wrapText="1"/>
      <protection locked="0"/>
    </xf>
    <xf numFmtId="44" fontId="0" fillId="8" borderId="1" xfId="1" applyFont="1" applyFill="1" applyBorder="1" applyAlignment="1" applyProtection="1">
      <alignment horizontal="left" vertical="center" wrapText="1"/>
      <protection locked="0"/>
    </xf>
    <xf numFmtId="44" fontId="0" fillId="11" borderId="1" xfId="1" applyFont="1" applyFill="1" applyBorder="1" applyAlignment="1" applyProtection="1">
      <alignment horizontal="left" vertical="center" wrapText="1"/>
      <protection locked="0"/>
    </xf>
    <xf numFmtId="44" fontId="0" fillId="8" borderId="1" xfId="1" applyFont="1" applyFill="1" applyBorder="1" applyAlignment="1" applyProtection="1">
      <alignment horizontal="center" vertical="center" wrapText="1"/>
      <protection locked="0"/>
    </xf>
    <xf numFmtId="9" fontId="0" fillId="8" borderId="1" xfId="2" applyFont="1" applyFill="1" applyBorder="1" applyAlignment="1" applyProtection="1">
      <alignment horizontal="center" vertical="center" wrapText="1"/>
      <protection locked="0"/>
    </xf>
    <xf numFmtId="0" fontId="0" fillId="0" borderId="0" xfId="0" applyAlignment="1" applyProtection="1">
      <alignment wrapText="1"/>
      <protection locked="0"/>
    </xf>
    <xf numFmtId="0" fontId="0" fillId="0" borderId="1" xfId="1" applyNumberFormat="1" applyFont="1" applyBorder="1" applyAlignment="1" applyProtection="1">
      <alignment horizontal="left" vertical="center" wrapText="1"/>
      <protection locked="0"/>
    </xf>
    <xf numFmtId="44" fontId="0" fillId="0" borderId="1" xfId="1" applyFont="1" applyBorder="1" applyAlignment="1" applyProtection="1">
      <alignment horizontal="left" vertical="center" wrapText="1"/>
      <protection locked="0"/>
    </xf>
    <xf numFmtId="44" fontId="0" fillId="0" borderId="1" xfId="1" applyFont="1" applyBorder="1" applyAlignment="1" applyProtection="1">
      <alignment horizontal="center" vertical="center" wrapText="1"/>
      <protection locked="0"/>
    </xf>
    <xf numFmtId="9" fontId="0" fillId="0" borderId="1" xfId="2" applyFont="1"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30" fillId="26" borderId="19" xfId="0" applyFont="1" applyFill="1" applyBorder="1" applyAlignment="1" applyProtection="1">
      <alignment horizontal="center" vertical="center"/>
      <protection locked="0"/>
    </xf>
    <xf numFmtId="0" fontId="37" fillId="26" borderId="19" xfId="0" applyFont="1" applyFill="1" applyBorder="1" applyAlignment="1" applyProtection="1">
      <alignment horizontal="center" vertical="center"/>
      <protection locked="0"/>
    </xf>
    <xf numFmtId="0" fontId="38" fillId="14" borderId="45" xfId="0" applyFont="1" applyFill="1" applyBorder="1" applyAlignment="1" applyProtection="1">
      <alignment horizontal="center" vertical="center"/>
      <protection locked="0"/>
    </xf>
    <xf numFmtId="0" fontId="39" fillId="15" borderId="45" xfId="0" applyFont="1" applyFill="1" applyBorder="1" applyAlignment="1" applyProtection="1">
      <alignment horizontal="left" vertical="center"/>
      <protection locked="0"/>
    </xf>
    <xf numFmtId="0" fontId="40" fillId="16" borderId="45" xfId="0" applyFont="1" applyFill="1" applyBorder="1" applyAlignment="1" applyProtection="1">
      <alignment horizontal="left" vertical="center"/>
      <protection locked="0"/>
    </xf>
    <xf numFmtId="0" fontId="39" fillId="21" borderId="45" xfId="0" applyFont="1" applyFill="1" applyBorder="1" applyAlignment="1" applyProtection="1">
      <alignment horizontal="left" vertical="center"/>
      <protection locked="0"/>
    </xf>
    <xf numFmtId="0" fontId="40" fillId="32" borderId="45" xfId="0" applyFont="1" applyFill="1" applyBorder="1" applyAlignment="1" applyProtection="1">
      <alignment horizontal="left" vertical="center"/>
      <protection locked="0"/>
    </xf>
    <xf numFmtId="0" fontId="40" fillId="34" borderId="45" xfId="0" applyFont="1" applyFill="1" applyBorder="1" applyAlignment="1" applyProtection="1">
      <alignment horizontal="left" vertical="center"/>
      <protection locked="0"/>
    </xf>
    <xf numFmtId="0" fontId="40" fillId="27" borderId="45" xfId="0" applyFont="1" applyFill="1" applyBorder="1" applyAlignment="1" applyProtection="1">
      <alignment horizontal="left" vertical="center"/>
      <protection locked="0"/>
    </xf>
    <xf numFmtId="44" fontId="41" fillId="14" borderId="45" xfId="1" applyFont="1" applyFill="1" applyBorder="1" applyAlignment="1" applyProtection="1">
      <alignment horizontal="center" vertical="center"/>
      <protection locked="0"/>
    </xf>
    <xf numFmtId="44" fontId="41" fillId="14" borderId="46" xfId="1" applyFont="1" applyFill="1" applyBorder="1" applyAlignment="1" applyProtection="1">
      <alignment horizontal="center" vertical="center"/>
      <protection locked="0"/>
    </xf>
    <xf numFmtId="44" fontId="41" fillId="14" borderId="25" xfId="1" applyFont="1" applyFill="1" applyBorder="1" applyAlignment="1" applyProtection="1">
      <alignment horizontal="center" vertical="center"/>
      <protection locked="0"/>
    </xf>
    <xf numFmtId="44" fontId="42" fillId="15" borderId="45" xfId="1" applyFont="1" applyFill="1" applyBorder="1" applyAlignment="1" applyProtection="1">
      <alignment horizontal="center" vertical="center"/>
      <protection locked="0"/>
    </xf>
    <xf numFmtId="44" fontId="42" fillId="15" borderId="46" xfId="1" applyFont="1" applyFill="1" applyBorder="1" applyAlignment="1" applyProtection="1">
      <alignment horizontal="center" vertical="center"/>
      <protection locked="0"/>
    </xf>
    <xf numFmtId="44" fontId="42" fillId="15" borderId="25" xfId="1" applyFont="1" applyFill="1" applyBorder="1" applyAlignment="1" applyProtection="1">
      <alignment horizontal="center" vertical="center"/>
      <protection locked="0"/>
    </xf>
    <xf numFmtId="44" fontId="42" fillId="16" borderId="45" xfId="1" applyFont="1" applyFill="1" applyBorder="1" applyAlignment="1" applyProtection="1">
      <alignment horizontal="center" vertical="center"/>
      <protection locked="0"/>
    </xf>
    <xf numFmtId="44" fontId="42" fillId="16" borderId="46" xfId="1" applyFont="1" applyFill="1" applyBorder="1" applyAlignment="1" applyProtection="1">
      <alignment horizontal="center" vertical="center"/>
      <protection locked="0"/>
    </xf>
    <xf numFmtId="44" fontId="42" fillId="16" borderId="25" xfId="1" applyFont="1" applyFill="1" applyBorder="1" applyAlignment="1" applyProtection="1">
      <alignment horizontal="center" vertical="center"/>
      <protection locked="0"/>
    </xf>
    <xf numFmtId="0" fontId="42" fillId="31" borderId="45" xfId="1" applyNumberFormat="1" applyFont="1" applyFill="1" applyBorder="1" applyAlignment="1" applyProtection="1">
      <alignment horizontal="center" vertical="center"/>
      <protection locked="0"/>
    </xf>
    <xf numFmtId="0" fontId="42" fillId="31" borderId="46" xfId="1" applyNumberFormat="1" applyFont="1" applyFill="1" applyBorder="1" applyAlignment="1" applyProtection="1">
      <alignment horizontal="center" vertical="center"/>
      <protection locked="0"/>
    </xf>
    <xf numFmtId="0" fontId="42" fillId="31" borderId="25" xfId="1" applyNumberFormat="1" applyFont="1" applyFill="1" applyBorder="1" applyAlignment="1" applyProtection="1">
      <alignment horizontal="center" vertical="center"/>
      <protection locked="0"/>
    </xf>
    <xf numFmtId="9" fontId="42" fillId="33" borderId="45" xfId="2" applyFont="1" applyFill="1" applyBorder="1" applyAlignment="1" applyProtection="1">
      <alignment horizontal="center" vertical="center"/>
      <protection locked="0"/>
    </xf>
    <xf numFmtId="0" fontId="34" fillId="10" borderId="0" xfId="0" applyFont="1" applyFill="1" applyProtection="1">
      <protection locked="0"/>
    </xf>
    <xf numFmtId="9" fontId="42" fillId="35" borderId="45" xfId="2" applyFont="1" applyFill="1" applyBorder="1" applyAlignment="1" applyProtection="1">
      <alignment horizontal="center" vertical="center"/>
      <protection locked="0"/>
    </xf>
    <xf numFmtId="14" fontId="0" fillId="0" borderId="1" xfId="0" applyNumberFormat="1" applyBorder="1" applyAlignment="1" applyProtection="1">
      <alignment horizontal="left" vertical="center"/>
      <protection locked="0"/>
    </xf>
    <xf numFmtId="17" fontId="0" fillId="6" borderId="15" xfId="0" applyNumberFormat="1" applyFill="1" applyBorder="1" applyAlignment="1" applyProtection="1">
      <alignment horizontal="center" vertical="center" wrapText="1"/>
      <protection locked="0"/>
    </xf>
    <xf numFmtId="44" fontId="0" fillId="6" borderId="15" xfId="1" applyFont="1" applyFill="1" applyBorder="1" applyProtection="1">
      <protection locked="0"/>
    </xf>
    <xf numFmtId="17" fontId="0" fillId="10" borderId="15" xfId="0" applyNumberFormat="1" applyFill="1" applyBorder="1" applyAlignment="1" applyProtection="1">
      <alignment horizontal="center" vertical="center" wrapText="1"/>
      <protection locked="0"/>
    </xf>
    <xf numFmtId="44" fontId="0" fillId="10" borderId="15" xfId="1" applyFont="1" applyFill="1" applyBorder="1" applyProtection="1">
      <protection locked="0"/>
    </xf>
    <xf numFmtId="0" fontId="6" fillId="2" borderId="0" xfId="2" applyNumberFormat="1" applyFont="1" applyFill="1" applyBorder="1" applyAlignment="1" applyProtection="1">
      <alignment horizontal="center" vertical="center"/>
      <protection locked="0"/>
    </xf>
    <xf numFmtId="0" fontId="0" fillId="28" borderId="49" xfId="0" applyFill="1" applyBorder="1" applyProtection="1">
      <protection locked="0"/>
    </xf>
    <xf numFmtId="0" fontId="0" fillId="0" borderId="48" xfId="0" applyBorder="1" applyProtection="1">
      <protection locked="0"/>
    </xf>
    <xf numFmtId="0" fontId="0" fillId="28" borderId="48" xfId="0" applyFill="1" applyBorder="1" applyProtection="1">
      <protection locked="0"/>
    </xf>
    <xf numFmtId="2" fontId="0" fillId="6" borderId="15" xfId="0" applyNumberFormat="1" applyFill="1" applyBorder="1" applyAlignment="1" applyProtection="1">
      <alignment horizontal="center" vertical="center" wrapText="1"/>
      <protection locked="0"/>
    </xf>
    <xf numFmtId="1" fontId="0" fillId="6" borderId="15" xfId="0" applyNumberFormat="1" applyFill="1" applyBorder="1" applyAlignment="1" applyProtection="1">
      <alignment horizontal="center" vertical="center" wrapText="1"/>
      <protection locked="0"/>
    </xf>
    <xf numFmtId="2" fontId="0" fillId="10" borderId="15" xfId="0" applyNumberFormat="1" applyFill="1" applyBorder="1" applyAlignment="1" applyProtection="1">
      <alignment horizontal="center" vertical="center" wrapText="1"/>
      <protection locked="0"/>
    </xf>
    <xf numFmtId="1" fontId="0" fillId="10" borderId="15" xfId="0" applyNumberFormat="1" applyFill="1" applyBorder="1" applyAlignment="1" applyProtection="1">
      <alignment horizontal="center" vertical="center" wrapText="1"/>
      <protection locked="0"/>
    </xf>
    <xf numFmtId="1" fontId="0" fillId="10" borderId="15" xfId="1" applyNumberFormat="1" applyFont="1" applyFill="1" applyBorder="1" applyAlignment="1" applyProtection="1">
      <alignment horizontal="center"/>
      <protection locked="0"/>
    </xf>
    <xf numFmtId="0" fontId="6" fillId="24" borderId="22" xfId="0" applyFont="1" applyFill="1" applyBorder="1" applyAlignment="1">
      <alignment horizontal="center" vertical="center"/>
    </xf>
    <xf numFmtId="0" fontId="6" fillId="24" borderId="21" xfId="0" applyFont="1" applyFill="1" applyBorder="1" applyAlignment="1">
      <alignment horizontal="center" vertical="center"/>
    </xf>
    <xf numFmtId="0" fontId="7" fillId="0" borderId="15" xfId="0" applyFont="1" applyBorder="1" applyProtection="1">
      <protection locked="0"/>
    </xf>
    <xf numFmtId="0" fontId="7" fillId="0" borderId="15" xfId="0" applyFont="1" applyBorder="1" applyAlignment="1" applyProtection="1">
      <alignment horizontal="center"/>
      <protection locked="0"/>
    </xf>
    <xf numFmtId="0" fontId="4" fillId="10" borderId="0" xfId="0" applyFont="1" applyFill="1" applyProtection="1">
      <protection locked="0"/>
    </xf>
    <xf numFmtId="0" fontId="7" fillId="0" borderId="15" xfId="0" applyFont="1" applyBorder="1"/>
    <xf numFmtId="0" fontId="7" fillId="0" borderId="15" xfId="0" applyFont="1" applyBorder="1" applyAlignment="1">
      <alignment horizontal="center"/>
    </xf>
    <xf numFmtId="9" fontId="7" fillId="0" borderId="15" xfId="0" applyNumberFormat="1" applyFont="1" applyBorder="1" applyAlignment="1">
      <alignment horizontal="center"/>
    </xf>
    <xf numFmtId="0" fontId="8" fillId="29" borderId="47" xfId="0" applyFont="1" applyFill="1" applyBorder="1" applyAlignment="1" applyProtection="1">
      <alignment horizontal="center" vertical="center" wrapText="1"/>
      <protection locked="0"/>
    </xf>
    <xf numFmtId="0" fontId="7" fillId="10" borderId="15" xfId="0" applyFont="1" applyFill="1" applyBorder="1"/>
    <xf numFmtId="0" fontId="7" fillId="10" borderId="15" xfId="0" applyFont="1" applyFill="1" applyBorder="1" applyAlignment="1">
      <alignment horizontal="center"/>
    </xf>
    <xf numFmtId="9" fontId="7" fillId="10" borderId="15" xfId="0" applyNumberFormat="1" applyFont="1" applyFill="1" applyBorder="1" applyAlignment="1">
      <alignment horizontal="center"/>
    </xf>
    <xf numFmtId="0" fontId="4" fillId="10" borderId="0" xfId="0" applyFont="1" applyFill="1"/>
    <xf numFmtId="0" fontId="0" fillId="10" borderId="35" xfId="0" applyFill="1" applyBorder="1"/>
    <xf numFmtId="0" fontId="0" fillId="10" borderId="24" xfId="0" applyFill="1" applyBorder="1"/>
    <xf numFmtId="0" fontId="0" fillId="10" borderId="36" xfId="0" applyFill="1" applyBorder="1"/>
    <xf numFmtId="9" fontId="6" fillId="2" borderId="0" xfId="2" applyFont="1" applyFill="1" applyAlignment="1" applyProtection="1">
      <alignment horizontal="left" vertical="center"/>
      <protection locked="0"/>
    </xf>
    <xf numFmtId="9" fontId="0" fillId="8" borderId="11" xfId="2" applyFont="1" applyFill="1" applyBorder="1" applyAlignment="1" applyProtection="1">
      <alignment horizontal="center" vertical="center"/>
      <protection locked="0"/>
    </xf>
    <xf numFmtId="9" fontId="0" fillId="10" borderId="11" xfId="2" applyFont="1" applyFill="1" applyBorder="1" applyAlignment="1" applyProtection="1">
      <alignment horizontal="center" vertical="center"/>
      <protection locked="0"/>
    </xf>
    <xf numFmtId="9" fontId="0" fillId="8" borderId="5" xfId="2" applyFont="1" applyFill="1" applyBorder="1" applyAlignment="1" applyProtection="1">
      <alignment horizontal="center" vertical="center" wrapText="1"/>
      <protection locked="0"/>
    </xf>
    <xf numFmtId="9" fontId="0" fillId="8" borderId="6" xfId="2" applyFont="1" applyFill="1" applyBorder="1" applyAlignment="1" applyProtection="1">
      <alignment horizontal="center" vertical="center" wrapText="1"/>
      <protection locked="0"/>
    </xf>
    <xf numFmtId="0" fontId="31" fillId="0" borderId="5" xfId="3" applyBorder="1" applyProtection="1">
      <protection locked="0"/>
    </xf>
    <xf numFmtId="0" fontId="0" fillId="0" borderId="1" xfId="0" quotePrefix="1" applyBorder="1" applyAlignment="1" applyProtection="1">
      <alignment horizontal="center"/>
      <protection locked="0"/>
    </xf>
    <xf numFmtId="10" fontId="16" fillId="0" borderId="0" xfId="0" applyNumberFormat="1" applyFont="1" applyProtection="1">
      <protection locked="0"/>
    </xf>
    <xf numFmtId="165" fontId="0" fillId="0" borderId="0" xfId="2" applyNumberFormat="1" applyFont="1" applyProtection="1">
      <protection locked="0"/>
    </xf>
    <xf numFmtId="10" fontId="0" fillId="0" borderId="0" xfId="0" applyNumberFormat="1" applyProtection="1">
      <protection locked="0"/>
    </xf>
    <xf numFmtId="10" fontId="0" fillId="0" borderId="0" xfId="2" applyNumberFormat="1" applyFont="1" applyProtection="1">
      <protection locked="0"/>
    </xf>
    <xf numFmtId="9" fontId="0" fillId="0" borderId="15" xfId="2" applyFont="1" applyBorder="1" applyAlignment="1">
      <alignment horizontal="center"/>
    </xf>
    <xf numFmtId="1" fontId="0" fillId="0" borderId="1" xfId="0" applyNumberFormat="1" applyBorder="1" applyAlignment="1" applyProtection="1">
      <alignment horizontal="right" vertical="center" wrapText="1"/>
      <protection locked="0"/>
    </xf>
    <xf numFmtId="166" fontId="16" fillId="17" borderId="15" xfId="1" applyNumberFormat="1" applyFont="1" applyFill="1" applyBorder="1"/>
    <xf numFmtId="166" fontId="16" fillId="18" borderId="15" xfId="1" applyNumberFormat="1" applyFont="1" applyFill="1" applyBorder="1" applyAlignment="1">
      <alignment horizontal="center" vertical="center"/>
    </xf>
    <xf numFmtId="166" fontId="16" fillId="19" borderId="15" xfId="1" applyNumberFormat="1" applyFont="1" applyFill="1" applyBorder="1" applyAlignment="1">
      <alignment horizontal="center" vertical="center"/>
    </xf>
    <xf numFmtId="165" fontId="42" fillId="33" borderId="45" xfId="2" applyNumberFormat="1" applyFont="1" applyFill="1" applyBorder="1" applyAlignment="1" applyProtection="1">
      <alignment horizontal="center" vertical="center"/>
      <protection locked="0"/>
    </xf>
    <xf numFmtId="0" fontId="0" fillId="0" borderId="1" xfId="0" applyBorder="1" applyAlignment="1" applyProtection="1">
      <alignment horizontal="center"/>
      <protection locked="0"/>
    </xf>
    <xf numFmtId="0" fontId="0" fillId="0" borderId="6" xfId="0" applyBorder="1" applyAlignment="1" applyProtection="1">
      <alignment horizontal="center"/>
      <protection locked="0"/>
    </xf>
    <xf numFmtId="10" fontId="0" fillId="0" borderId="1" xfId="0" applyNumberFormat="1" applyBorder="1" applyAlignment="1" applyProtection="1">
      <alignment horizontal="center"/>
      <protection locked="0"/>
    </xf>
    <xf numFmtId="3" fontId="0" fillId="0" borderId="1" xfId="0" applyNumberFormat="1" applyBorder="1" applyAlignment="1" applyProtection="1">
      <alignment horizontal="center"/>
      <protection locked="0"/>
    </xf>
    <xf numFmtId="9" fontId="0" fillId="0" borderId="1" xfId="0" applyNumberFormat="1" applyBorder="1" applyAlignment="1" applyProtection="1">
      <alignment horizontal="center"/>
      <protection locked="0"/>
    </xf>
    <xf numFmtId="0" fontId="0" fillId="0" borderId="5" xfId="0" applyBorder="1" applyAlignment="1" applyProtection="1">
      <alignment horizontal="center"/>
      <protection locked="0"/>
    </xf>
    <xf numFmtId="167" fontId="0" fillId="0" borderId="1" xfId="0" applyNumberFormat="1" applyBorder="1" applyAlignment="1" applyProtection="1">
      <alignment horizontal="center"/>
      <protection locked="0"/>
    </xf>
    <xf numFmtId="0" fontId="11" fillId="9" borderId="4" xfId="0" applyFont="1" applyFill="1" applyBorder="1" applyAlignment="1" applyProtection="1">
      <alignment horizontal="center"/>
      <protection locked="0"/>
    </xf>
    <xf numFmtId="0" fontId="0" fillId="10" borderId="12" xfId="0" applyFill="1" applyBorder="1" applyAlignment="1" applyProtection="1">
      <alignment horizontal="center"/>
      <protection locked="0"/>
    </xf>
    <xf numFmtId="9" fontId="0" fillId="0" borderId="5" xfId="2" applyFont="1" applyBorder="1" applyAlignment="1" applyProtection="1">
      <alignment horizontal="center" vertical="center" wrapText="1"/>
      <protection locked="0"/>
    </xf>
    <xf numFmtId="9" fontId="0" fillId="0" borderId="6" xfId="2" applyFont="1" applyBorder="1" applyAlignment="1" applyProtection="1">
      <alignment horizontal="center" vertical="center" wrapText="1"/>
      <protection locked="0"/>
    </xf>
    <xf numFmtId="0" fontId="6" fillId="2" borderId="4" xfId="0" applyFont="1" applyFill="1" applyBorder="1" applyProtection="1">
      <protection locked="0"/>
    </xf>
    <xf numFmtId="0" fontId="11" fillId="9" borderId="4" xfId="0" applyFont="1" applyFill="1" applyBorder="1" applyProtection="1">
      <protection locked="0"/>
    </xf>
    <xf numFmtId="0" fontId="47" fillId="0" borderId="0" xfId="3" applyFont="1"/>
    <xf numFmtId="0" fontId="17" fillId="34" borderId="17" xfId="0" applyFont="1" applyFill="1" applyBorder="1" applyAlignment="1" applyProtection="1">
      <alignment horizontal="center"/>
      <protection locked="0"/>
    </xf>
    <xf numFmtId="0" fontId="33" fillId="10" borderId="54" xfId="0" applyFont="1" applyFill="1" applyBorder="1" applyAlignment="1" applyProtection="1">
      <alignment horizontal="left"/>
      <protection locked="0"/>
    </xf>
    <xf numFmtId="0" fontId="33" fillId="11" borderId="54" xfId="0" applyFont="1" applyFill="1" applyBorder="1" applyAlignment="1" applyProtection="1">
      <alignment horizontal="left"/>
      <protection locked="0"/>
    </xf>
    <xf numFmtId="0" fontId="6" fillId="25" borderId="25" xfId="0" applyFont="1" applyFill="1" applyBorder="1" applyAlignment="1" applyProtection="1">
      <alignment horizontal="center" vertical="center"/>
      <protection locked="0"/>
    </xf>
    <xf numFmtId="0" fontId="0" fillId="17" borderId="25" xfId="0" applyFill="1" applyBorder="1" applyProtection="1">
      <protection locked="0"/>
    </xf>
    <xf numFmtId="0" fontId="0" fillId="17" borderId="25" xfId="0" applyFill="1" applyBorder="1" applyAlignment="1" applyProtection="1">
      <alignment horizontal="center"/>
      <protection locked="0"/>
    </xf>
    <xf numFmtId="9" fontId="33" fillId="10" borderId="25" xfId="2" applyFont="1" applyFill="1" applyBorder="1" applyAlignment="1" applyProtection="1">
      <alignment horizontal="center" vertical="center"/>
      <protection locked="0"/>
    </xf>
    <xf numFmtId="0" fontId="0" fillId="18" borderId="25" xfId="0" applyFill="1" applyBorder="1" applyProtection="1">
      <protection locked="0"/>
    </xf>
    <xf numFmtId="0" fontId="0" fillId="18" borderId="25" xfId="0" applyFill="1" applyBorder="1" applyAlignment="1" applyProtection="1">
      <alignment horizontal="center"/>
      <protection locked="0"/>
    </xf>
    <xf numFmtId="9" fontId="33" fillId="11" borderId="25" xfId="2" applyFont="1" applyFill="1" applyBorder="1" applyAlignment="1" applyProtection="1">
      <alignment horizontal="center" vertical="center"/>
      <protection locked="0"/>
    </xf>
    <xf numFmtId="0" fontId="0" fillId="19" borderId="25" xfId="0" applyFill="1" applyBorder="1"/>
    <xf numFmtId="0" fontId="0" fillId="19" borderId="25" xfId="0" applyFill="1" applyBorder="1" applyAlignment="1">
      <alignment horizontal="center"/>
    </xf>
    <xf numFmtId="0" fontId="0" fillId="0" borderId="0" xfId="0" applyAlignment="1">
      <alignment horizontal="left"/>
    </xf>
    <xf numFmtId="44" fontId="0" fillId="0" borderId="0" xfId="1" applyFont="1"/>
    <xf numFmtId="0" fontId="6" fillId="2" borderId="14" xfId="0" applyFont="1" applyFill="1" applyBorder="1" applyAlignment="1" applyProtection="1">
      <alignment horizontal="left"/>
      <protection locked="0"/>
    </xf>
    <xf numFmtId="8" fontId="0" fillId="0" borderId="0" xfId="1" applyNumberFormat="1" applyFont="1"/>
    <xf numFmtId="0" fontId="0" fillId="0" borderId="0" xfId="0" applyAlignment="1">
      <alignment vertical="center" textRotation="90"/>
    </xf>
    <xf numFmtId="0" fontId="0" fillId="10" borderId="0" xfId="0" applyFill="1" applyAlignment="1" applyProtection="1">
      <alignment horizontal="left"/>
      <protection locked="0"/>
    </xf>
    <xf numFmtId="0" fontId="0" fillId="10" borderId="15" xfId="0" applyFill="1" applyBorder="1" applyAlignment="1" applyProtection="1">
      <alignment horizontal="center" vertical="center"/>
      <protection locked="0"/>
    </xf>
    <xf numFmtId="0" fontId="49" fillId="0" borderId="0" xfId="0" applyFont="1" applyProtection="1">
      <protection locked="0"/>
    </xf>
    <xf numFmtId="0" fontId="49" fillId="11" borderId="58" xfId="0" applyFont="1" applyFill="1" applyBorder="1" applyAlignment="1" applyProtection="1">
      <alignment horizontal="center" vertical="center"/>
      <protection locked="0"/>
    </xf>
    <xf numFmtId="0" fontId="49" fillId="11" borderId="58" xfId="0" applyFont="1" applyFill="1" applyBorder="1" applyAlignment="1">
      <alignment horizontal="center" vertical="center"/>
    </xf>
    <xf numFmtId="0" fontId="6" fillId="36" borderId="14" xfId="0" applyFont="1" applyFill="1" applyBorder="1" applyProtection="1">
      <protection locked="0"/>
    </xf>
    <xf numFmtId="0" fontId="6" fillId="36" borderId="0" xfId="0" applyFont="1" applyFill="1" applyAlignment="1" applyProtection="1">
      <alignment horizontal="center"/>
      <protection locked="0"/>
    </xf>
    <xf numFmtId="0" fontId="0" fillId="10" borderId="0" xfId="0" applyFill="1" applyAlignment="1" applyProtection="1">
      <alignment horizontal="center" vertical="center" wrapText="1"/>
      <protection locked="0"/>
    </xf>
    <xf numFmtId="9" fontId="0" fillId="10" borderId="15" xfId="2" applyFont="1" applyFill="1" applyBorder="1" applyAlignment="1" applyProtection="1">
      <alignment horizontal="center" vertical="center"/>
      <protection locked="0"/>
    </xf>
    <xf numFmtId="164" fontId="0" fillId="0" borderId="15" xfId="0" applyNumberFormat="1" applyBorder="1" applyProtection="1">
      <protection locked="0"/>
    </xf>
    <xf numFmtId="166" fontId="16" fillId="17" borderId="15" xfId="1" applyNumberFormat="1" applyFont="1" applyFill="1" applyBorder="1" applyProtection="1">
      <protection locked="0"/>
    </xf>
    <xf numFmtId="0" fontId="16" fillId="18" borderId="15" xfId="0" applyFont="1" applyFill="1" applyBorder="1" applyAlignment="1" applyProtection="1">
      <alignment horizontal="center" vertical="center"/>
      <protection locked="0"/>
    </xf>
    <xf numFmtId="166" fontId="16" fillId="18" borderId="15" xfId="1" applyNumberFormat="1" applyFont="1" applyFill="1" applyBorder="1" applyAlignment="1" applyProtection="1">
      <alignment horizontal="center" vertical="center"/>
      <protection locked="0"/>
    </xf>
    <xf numFmtId="0" fontId="0" fillId="19" borderId="15" xfId="0" applyFill="1" applyBorder="1" applyProtection="1">
      <protection locked="0"/>
    </xf>
    <xf numFmtId="0" fontId="16" fillId="19" borderId="15" xfId="0" applyFont="1" applyFill="1" applyBorder="1" applyAlignment="1" applyProtection="1">
      <alignment horizontal="center" vertical="center"/>
      <protection locked="0"/>
    </xf>
    <xf numFmtId="166" fontId="16" fillId="19" borderId="15" xfId="1" applyNumberFormat="1" applyFont="1" applyFill="1" applyBorder="1" applyAlignment="1" applyProtection="1">
      <alignment horizontal="center" vertical="center"/>
      <protection locked="0"/>
    </xf>
    <xf numFmtId="164" fontId="23" fillId="0" borderId="15" xfId="0" applyNumberFormat="1" applyFont="1" applyBorder="1" applyProtection="1">
      <protection locked="0"/>
    </xf>
    <xf numFmtId="0" fontId="6" fillId="2" borderId="0" xfId="0" applyFont="1" applyFill="1" applyAlignment="1" applyProtection="1">
      <alignment horizontal="left"/>
      <protection locked="0"/>
    </xf>
    <xf numFmtId="0" fontId="8" fillId="3" borderId="6" xfId="0" applyFont="1" applyFill="1" applyBorder="1" applyAlignment="1" applyProtection="1">
      <alignment horizontal="left" vertical="center" wrapText="1"/>
      <protection locked="0"/>
    </xf>
    <xf numFmtId="0" fontId="0" fillId="0" borderId="1" xfId="0" applyBorder="1" applyAlignment="1" applyProtection="1">
      <alignment horizontal="left"/>
      <protection locked="0"/>
    </xf>
    <xf numFmtId="0" fontId="0" fillId="0" borderId="5" xfId="0" applyBorder="1" applyAlignment="1" applyProtection="1">
      <alignment horizontal="left"/>
      <protection locked="0"/>
    </xf>
    <xf numFmtId="0" fontId="0" fillId="0" borderId="0" xfId="0" applyAlignment="1" applyProtection="1">
      <alignment horizontal="left"/>
      <protection locked="0"/>
    </xf>
    <xf numFmtId="0" fontId="8" fillId="3" borderId="1" xfId="0" applyFont="1" applyFill="1" applyBorder="1" applyAlignment="1" applyProtection="1">
      <alignment horizontal="left" vertical="center" wrapText="1"/>
      <protection locked="0"/>
    </xf>
    <xf numFmtId="0" fontId="0" fillId="6" borderId="0" xfId="0" applyFill="1" applyAlignment="1" applyProtection="1">
      <alignment horizontal="left"/>
      <protection locked="0"/>
    </xf>
    <xf numFmtId="0" fontId="48" fillId="10" borderId="0" xfId="0" applyFont="1" applyFill="1" applyAlignment="1">
      <alignment vertical="center"/>
    </xf>
    <xf numFmtId="168" fontId="0" fillId="0" borderId="0" xfId="1" applyNumberFormat="1" applyFont="1"/>
    <xf numFmtId="9" fontId="0" fillId="0" borderId="1" xfId="2" applyFont="1" applyBorder="1" applyAlignment="1" applyProtection="1">
      <alignment horizontal="right"/>
      <protection locked="0"/>
    </xf>
    <xf numFmtId="9" fontId="0" fillId="6" borderId="15" xfId="2" applyFont="1" applyFill="1" applyBorder="1" applyAlignment="1" applyProtection="1">
      <alignment horizontal="center" vertical="center"/>
      <protection locked="0"/>
    </xf>
    <xf numFmtId="0" fontId="0" fillId="6" borderId="15" xfId="0" applyFill="1" applyBorder="1" applyAlignment="1" applyProtection="1">
      <alignment horizontal="center" vertical="center"/>
      <protection locked="0"/>
    </xf>
    <xf numFmtId="46" fontId="0" fillId="0" borderId="1" xfId="0" applyNumberFormat="1" applyBorder="1" applyProtection="1">
      <protection locked="0"/>
    </xf>
    <xf numFmtId="0" fontId="0" fillId="0" borderId="5"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8" fillId="38" borderId="1" xfId="0" applyFont="1" applyFill="1" applyBorder="1" applyAlignment="1" applyProtection="1">
      <alignment horizontal="center" vertical="center" wrapText="1"/>
      <protection locked="0"/>
    </xf>
    <xf numFmtId="17" fontId="0" fillId="38" borderId="1" xfId="0" applyNumberFormat="1" applyFill="1" applyBorder="1" applyAlignment="1" applyProtection="1">
      <alignment horizontal="center" vertical="center" wrapText="1"/>
      <protection locked="0"/>
    </xf>
    <xf numFmtId="17" fontId="33" fillId="38" borderId="1" xfId="0" applyNumberFormat="1" applyFont="1" applyFill="1" applyBorder="1" applyAlignment="1" applyProtection="1">
      <alignment horizontal="center" vertical="center" wrapText="1"/>
      <protection locked="0"/>
    </xf>
    <xf numFmtId="21" fontId="0" fillId="0" borderId="1" xfId="0" applyNumberFormat="1" applyBorder="1" applyAlignment="1" applyProtection="1">
      <alignment horizontal="right" vertical="center" wrapText="1"/>
      <protection locked="0"/>
    </xf>
    <xf numFmtId="21" fontId="0" fillId="0" borderId="1" xfId="0" applyNumberFormat="1" applyBorder="1" applyProtection="1">
      <protection locked="0"/>
    </xf>
    <xf numFmtId="169" fontId="0" fillId="0" borderId="1" xfId="0" applyNumberFormat="1" applyBorder="1" applyProtection="1">
      <protection locked="0"/>
    </xf>
    <xf numFmtId="0" fontId="0" fillId="17" borderId="15" xfId="0" applyFill="1" applyBorder="1" applyAlignment="1">
      <alignment horizontal="center"/>
    </xf>
    <xf numFmtId="0" fontId="0" fillId="18" borderId="15" xfId="0" applyFill="1" applyBorder="1" applyAlignment="1">
      <alignment horizontal="center"/>
    </xf>
    <xf numFmtId="0" fontId="0" fillId="19" borderId="15" xfId="0" applyFill="1" applyBorder="1" applyAlignment="1">
      <alignment horizontal="center"/>
    </xf>
    <xf numFmtId="165" fontId="0" fillId="0" borderId="6" xfId="2" applyNumberFormat="1" applyFont="1" applyBorder="1" applyAlignment="1" applyProtection="1">
      <alignment horizontal="center"/>
      <protection locked="0"/>
    </xf>
    <xf numFmtId="165" fontId="0" fillId="0" borderId="1" xfId="0" applyNumberFormat="1" applyBorder="1" applyAlignment="1" applyProtection="1">
      <alignment horizontal="center"/>
      <protection locked="0"/>
    </xf>
    <xf numFmtId="0" fontId="0" fillId="8" borderId="12" xfId="0" applyFill="1" applyBorder="1" applyAlignment="1" applyProtection="1">
      <alignment horizontal="center"/>
      <protection locked="0"/>
    </xf>
    <xf numFmtId="9" fontId="0" fillId="10" borderId="0" xfId="2" applyFont="1" applyFill="1" applyAlignment="1" applyProtection="1">
      <alignment horizontal="center"/>
      <protection locked="0"/>
    </xf>
    <xf numFmtId="9" fontId="0" fillId="8" borderId="0" xfId="2" applyFont="1" applyFill="1" applyAlignment="1" applyProtection="1">
      <alignment horizontal="center"/>
      <protection locked="0"/>
    </xf>
    <xf numFmtId="46" fontId="0" fillId="0" borderId="1" xfId="0" applyNumberFormat="1" applyBorder="1" applyAlignment="1" applyProtection="1">
      <alignment horizontal="center"/>
      <protection locked="0"/>
    </xf>
    <xf numFmtId="21" fontId="0" fillId="0" borderId="1" xfId="0" applyNumberFormat="1" applyBorder="1" applyAlignment="1" applyProtection="1">
      <alignment horizontal="center"/>
      <protection locked="0"/>
    </xf>
    <xf numFmtId="9" fontId="0" fillId="0" borderId="1" xfId="2" applyFont="1" applyBorder="1" applyAlignment="1" applyProtection="1">
      <alignment horizontal="center"/>
      <protection locked="0"/>
    </xf>
    <xf numFmtId="0" fontId="17" fillId="14" borderId="15" xfId="0" applyFont="1" applyFill="1" applyBorder="1"/>
    <xf numFmtId="0" fontId="16" fillId="17" borderId="15" xfId="0" applyFont="1" applyFill="1" applyBorder="1" applyAlignment="1">
      <alignment vertical="center"/>
    </xf>
    <xf numFmtId="0" fontId="16" fillId="18" borderId="15" xfId="0" applyFont="1" applyFill="1" applyBorder="1" applyAlignment="1">
      <alignment vertical="center"/>
    </xf>
    <xf numFmtId="0" fontId="16" fillId="19" borderId="15" xfId="0" applyFont="1" applyFill="1" applyBorder="1" applyAlignment="1">
      <alignment vertical="center"/>
    </xf>
    <xf numFmtId="0" fontId="0" fillId="8" borderId="12" xfId="0" applyFill="1" applyBorder="1" applyAlignment="1" applyProtection="1">
      <alignment vertical="center"/>
      <protection locked="0"/>
    </xf>
    <xf numFmtId="0" fontId="0" fillId="10" borderId="12" xfId="0" applyFill="1" applyBorder="1" applyAlignment="1" applyProtection="1">
      <alignment vertical="center"/>
      <protection locked="0"/>
    </xf>
    <xf numFmtId="0" fontId="39" fillId="39" borderId="45" xfId="0" applyFont="1" applyFill="1" applyBorder="1" applyAlignment="1" applyProtection="1">
      <alignment horizontal="left" vertical="center"/>
      <protection locked="0"/>
    </xf>
    <xf numFmtId="44" fontId="42" fillId="39" borderId="45" xfId="1" applyFont="1" applyFill="1" applyBorder="1" applyAlignment="1" applyProtection="1">
      <alignment horizontal="center" vertical="center"/>
      <protection locked="0"/>
    </xf>
    <xf numFmtId="44" fontId="42" fillId="39" borderId="46" xfId="1" applyFont="1" applyFill="1" applyBorder="1" applyAlignment="1" applyProtection="1">
      <alignment horizontal="center" vertical="center"/>
      <protection locked="0"/>
    </xf>
    <xf numFmtId="44" fontId="42" fillId="39" borderId="25" xfId="1" applyFont="1" applyFill="1" applyBorder="1" applyAlignment="1" applyProtection="1">
      <alignment horizontal="center" vertical="center"/>
      <protection locked="0"/>
    </xf>
    <xf numFmtId="44" fontId="0" fillId="8" borderId="1" xfId="1" applyFont="1" applyFill="1" applyBorder="1" applyAlignment="1" applyProtection="1">
      <alignment horizontal="left" vertical="center"/>
    </xf>
    <xf numFmtId="44" fontId="0" fillId="11" borderId="1" xfId="1" applyFont="1" applyFill="1" applyBorder="1" applyAlignment="1" applyProtection="1">
      <alignment horizontal="left" vertical="center"/>
    </xf>
    <xf numFmtId="44" fontId="0" fillId="8" borderId="1" xfId="1" applyFont="1" applyFill="1" applyBorder="1" applyAlignment="1" applyProtection="1">
      <alignment horizontal="center" vertical="center"/>
    </xf>
    <xf numFmtId="44" fontId="0" fillId="0" borderId="1" xfId="1" applyFont="1" applyBorder="1" applyAlignment="1" applyProtection="1">
      <alignment horizontal="left" vertical="center"/>
    </xf>
    <xf numFmtId="44" fontId="0" fillId="0" borderId="1" xfId="1" applyFont="1" applyBorder="1" applyAlignment="1" applyProtection="1">
      <alignment horizontal="center" vertical="center"/>
    </xf>
    <xf numFmtId="20" fontId="0" fillId="0" borderId="1" xfId="0" applyNumberFormat="1" applyBorder="1" applyAlignment="1" applyProtection="1">
      <alignment horizontal="center" vertical="center" wrapText="1"/>
      <protection locked="0"/>
    </xf>
    <xf numFmtId="46" fontId="0" fillId="0" borderId="1" xfId="0" applyNumberFormat="1" applyBorder="1" applyAlignment="1" applyProtection="1">
      <alignment horizontal="center" vertical="center" wrapText="1"/>
      <protection locked="0"/>
    </xf>
    <xf numFmtId="20" fontId="0" fillId="0" borderId="1" xfId="0" applyNumberFormat="1" applyBorder="1" applyAlignment="1" applyProtection="1">
      <alignment horizontal="center"/>
      <protection locked="0"/>
    </xf>
    <xf numFmtId="165" fontId="0" fillId="0" borderId="1" xfId="2" applyNumberFormat="1" applyFont="1" applyBorder="1" applyAlignment="1" applyProtection="1">
      <alignment horizontal="center"/>
      <protection locked="0"/>
    </xf>
    <xf numFmtId="44" fontId="0" fillId="0" borderId="1" xfId="1" applyFont="1" applyBorder="1" applyAlignment="1" applyProtection="1">
      <alignment horizontal="center"/>
      <protection locked="0"/>
    </xf>
    <xf numFmtId="0" fontId="0" fillId="10" borderId="0" xfId="0" applyFill="1" applyAlignment="1" applyProtection="1">
      <alignment horizontal="center" vertical="center"/>
      <protection locked="0"/>
    </xf>
    <xf numFmtId="14" fontId="0" fillId="10" borderId="0" xfId="0" applyNumberFormat="1" applyFill="1" applyAlignment="1" applyProtection="1">
      <alignment horizontal="center" vertical="center"/>
      <protection locked="0"/>
    </xf>
    <xf numFmtId="9" fontId="0" fillId="10" borderId="0" xfId="2" applyFont="1" applyFill="1" applyAlignment="1" applyProtection="1">
      <alignment horizontal="center" vertical="center"/>
      <protection locked="0"/>
    </xf>
    <xf numFmtId="1" fontId="0" fillId="10" borderId="0" xfId="2" applyNumberFormat="1" applyFont="1" applyFill="1" applyAlignment="1" applyProtection="1">
      <alignment horizontal="center" vertical="center"/>
      <protection locked="0"/>
    </xf>
    <xf numFmtId="0" fontId="0" fillId="10" borderId="7" xfId="0" applyFill="1" applyBorder="1" applyProtection="1">
      <protection locked="0"/>
    </xf>
    <xf numFmtId="0" fontId="0" fillId="10" borderId="1" xfId="0" applyFill="1" applyBorder="1" applyProtection="1">
      <protection locked="0"/>
    </xf>
    <xf numFmtId="49" fontId="0" fillId="0" borderId="1" xfId="0" applyNumberFormat="1" applyBorder="1" applyAlignment="1" applyProtection="1">
      <alignment horizontal="center" vertical="center" wrapText="1"/>
      <protection locked="0"/>
    </xf>
    <xf numFmtId="10" fontId="0" fillId="0" borderId="6" xfId="0" applyNumberFormat="1" applyBorder="1" applyAlignment="1" applyProtection="1">
      <alignment horizontal="center" vertical="center"/>
      <protection locked="0"/>
    </xf>
    <xf numFmtId="0" fontId="0" fillId="28" borderId="37" xfId="0" applyFill="1" applyBorder="1" applyAlignment="1" applyProtection="1">
      <alignment horizontal="center" vertical="center"/>
      <protection locked="0"/>
    </xf>
    <xf numFmtId="10" fontId="0" fillId="0" borderId="1" xfId="0" applyNumberFormat="1" applyBorder="1" applyAlignment="1" applyProtection="1">
      <alignment horizontal="center" vertical="center"/>
      <protection locked="0"/>
    </xf>
    <xf numFmtId="0" fontId="0" fillId="0" borderId="1" xfId="0" applyBorder="1" applyAlignment="1" applyProtection="1">
      <alignment horizontal="center" vertical="center"/>
      <protection locked="0"/>
    </xf>
    <xf numFmtId="9" fontId="0" fillId="0" borderId="1" xfId="0" applyNumberFormat="1" applyBorder="1" applyAlignment="1" applyProtection="1">
      <alignment horizontal="center" vertical="center"/>
      <protection locked="0"/>
    </xf>
    <xf numFmtId="3" fontId="0" fillId="0" borderId="1" xfId="0" applyNumberFormat="1" applyBorder="1" applyAlignment="1" applyProtection="1">
      <alignment horizontal="center" vertical="center"/>
      <protection locked="0"/>
    </xf>
    <xf numFmtId="0" fontId="16" fillId="10" borderId="13" xfId="0" applyFont="1" applyFill="1" applyBorder="1" applyProtection="1">
      <protection locked="0"/>
    </xf>
    <xf numFmtId="0" fontId="0" fillId="8" borderId="0" xfId="0" applyFill="1" applyAlignment="1" applyProtection="1">
      <alignment horizontal="center"/>
      <protection locked="0"/>
    </xf>
    <xf numFmtId="0" fontId="0" fillId="6" borderId="0" xfId="0" applyFill="1" applyAlignment="1" applyProtection="1">
      <alignment horizontal="center" vertical="center"/>
      <protection locked="0"/>
    </xf>
    <xf numFmtId="0" fontId="0" fillId="8" borderId="0" xfId="0" applyFill="1" applyAlignment="1" applyProtection="1">
      <alignment horizontal="center" vertical="center"/>
      <protection locked="0"/>
    </xf>
    <xf numFmtId="9" fontId="0" fillId="8" borderId="0" xfId="2" applyFont="1" applyFill="1" applyAlignment="1" applyProtection="1">
      <alignment horizontal="center" vertical="center"/>
      <protection locked="0"/>
    </xf>
    <xf numFmtId="0" fontId="15" fillId="6" borderId="13" xfId="0" applyFont="1" applyFill="1" applyBorder="1" applyAlignment="1" applyProtection="1">
      <alignment horizontal="left" vertical="center"/>
      <protection locked="0"/>
    </xf>
    <xf numFmtId="0" fontId="16" fillId="6" borderId="13" xfId="0" applyFont="1" applyFill="1" applyBorder="1" applyProtection="1">
      <protection locked="0"/>
    </xf>
    <xf numFmtId="9" fontId="0" fillId="10" borderId="0" xfId="0" applyNumberFormat="1" applyFill="1" applyAlignment="1" applyProtection="1">
      <alignment horizontal="center"/>
      <protection locked="0"/>
    </xf>
    <xf numFmtId="9" fontId="0" fillId="8" borderId="0" xfId="0" applyNumberFormat="1" applyFill="1" applyAlignment="1" applyProtection="1">
      <alignment horizontal="center"/>
      <protection locked="0"/>
    </xf>
    <xf numFmtId="9" fontId="0" fillId="10" borderId="0" xfId="0" applyNumberFormat="1" applyFill="1" applyAlignment="1" applyProtection="1">
      <alignment horizontal="center" vertical="center"/>
      <protection locked="0"/>
    </xf>
    <xf numFmtId="0" fontId="0" fillId="10" borderId="12" xfId="0" applyFill="1" applyBorder="1" applyAlignment="1">
      <alignment horizontal="center" vertical="center"/>
    </xf>
    <xf numFmtId="0" fontId="15" fillId="8" borderId="13" xfId="0" applyFont="1" applyFill="1" applyBorder="1" applyAlignment="1" applyProtection="1">
      <alignment horizontal="left" vertical="center"/>
      <protection locked="0"/>
    </xf>
    <xf numFmtId="0" fontId="15" fillId="8" borderId="13" xfId="0" applyFont="1" applyFill="1" applyBorder="1" applyAlignment="1" applyProtection="1">
      <alignment vertical="center"/>
      <protection locked="0"/>
    </xf>
    <xf numFmtId="0" fontId="16" fillId="8" borderId="13" xfId="0" applyFont="1" applyFill="1" applyBorder="1" applyProtection="1">
      <protection locked="0"/>
    </xf>
    <xf numFmtId="0" fontId="0" fillId="8" borderId="12" xfId="0" applyFill="1" applyBorder="1" applyAlignment="1">
      <alignment horizontal="center" vertical="center"/>
    </xf>
    <xf numFmtId="0" fontId="7" fillId="10" borderId="0" xfId="0" applyFont="1" applyFill="1"/>
    <xf numFmtId="0" fontId="7" fillId="10" borderId="0" xfId="0" applyFont="1" applyFill="1" applyAlignment="1">
      <alignment horizontal="center"/>
    </xf>
    <xf numFmtId="164" fontId="23" fillId="10" borderId="0" xfId="0" applyNumberFormat="1" applyFont="1" applyFill="1"/>
    <xf numFmtId="9" fontId="7" fillId="0" borderId="0" xfId="0" applyNumberFormat="1" applyFont="1" applyAlignment="1">
      <alignment horizontal="center"/>
    </xf>
    <xf numFmtId="0" fontId="0" fillId="10" borderId="0" xfId="0" applyFill="1" applyAlignment="1" applyProtection="1">
      <alignment horizontal="left" vertical="center"/>
      <protection locked="0"/>
    </xf>
    <xf numFmtId="0" fontId="51" fillId="8" borderId="12" xfId="0" applyFont="1" applyFill="1" applyBorder="1" applyAlignment="1">
      <alignment horizontal="center" vertical="center"/>
    </xf>
    <xf numFmtId="0" fontId="51" fillId="10" borderId="12" xfId="0" applyFont="1" applyFill="1" applyBorder="1" applyAlignment="1">
      <alignment horizontal="center" vertical="center"/>
    </xf>
    <xf numFmtId="0" fontId="55" fillId="8" borderId="12" xfId="0" applyFont="1" applyFill="1" applyBorder="1" applyAlignment="1">
      <alignment horizontal="center" vertical="center"/>
    </xf>
    <xf numFmtId="0" fontId="55" fillId="10" borderId="12" xfId="0" applyFont="1" applyFill="1" applyBorder="1" applyAlignment="1">
      <alignment horizontal="center" vertical="center"/>
    </xf>
    <xf numFmtId="0" fontId="0" fillId="0" borderId="76" xfId="0" applyBorder="1" applyAlignment="1" applyProtection="1">
      <alignment horizontal="left" vertical="center"/>
      <protection locked="0"/>
    </xf>
    <xf numFmtId="0" fontId="0" fillId="8" borderId="0" xfId="0" applyFill="1" applyAlignment="1" applyProtection="1">
      <alignment horizontal="left" vertical="center"/>
      <protection locked="0"/>
    </xf>
    <xf numFmtId="14" fontId="0" fillId="8" borderId="0" xfId="0" applyNumberFormat="1" applyFill="1" applyAlignment="1" applyProtection="1">
      <alignment horizontal="center" vertical="center"/>
      <protection locked="0"/>
    </xf>
    <xf numFmtId="0" fontId="16" fillId="8" borderId="1" xfId="0" applyFont="1" applyFill="1" applyBorder="1" applyAlignment="1" applyProtection="1">
      <alignment horizontal="left" vertical="center"/>
      <protection locked="0"/>
    </xf>
    <xf numFmtId="0" fontId="16" fillId="0" borderId="1" xfId="0" applyFont="1" applyBorder="1" applyAlignment="1" applyProtection="1">
      <alignment horizontal="left" vertical="center"/>
      <protection locked="0"/>
    </xf>
    <xf numFmtId="10" fontId="0" fillId="0" borderId="0" xfId="0" applyNumberFormat="1"/>
    <xf numFmtId="0" fontId="51" fillId="10" borderId="12" xfId="0" applyFont="1" applyFill="1" applyBorder="1" applyProtection="1">
      <protection locked="0"/>
    </xf>
    <xf numFmtId="165" fontId="32" fillId="2" borderId="0" xfId="2" applyNumberFormat="1" applyFont="1" applyFill="1" applyBorder="1" applyAlignment="1" applyProtection="1">
      <alignment horizontal="center" vertical="center"/>
      <protection locked="0"/>
    </xf>
    <xf numFmtId="20" fontId="0" fillId="0" borderId="1" xfId="0" applyNumberFormat="1" applyBorder="1" applyAlignment="1" applyProtection="1">
      <alignment horizontal="center" vertical="center"/>
      <protection locked="0"/>
    </xf>
    <xf numFmtId="0" fontId="0" fillId="10" borderId="12" xfId="0" applyFill="1" applyBorder="1" applyAlignment="1" applyProtection="1">
      <alignment horizontal="left" vertical="center"/>
      <protection locked="0"/>
    </xf>
    <xf numFmtId="0" fontId="31" fillId="8" borderId="12" xfId="3" applyFill="1" applyBorder="1" applyProtection="1">
      <protection locked="0"/>
    </xf>
    <xf numFmtId="0" fontId="31" fillId="10" borderId="12" xfId="3" applyFill="1" applyBorder="1" applyProtection="1">
      <protection locked="0"/>
    </xf>
    <xf numFmtId="0" fontId="0" fillId="10" borderId="1" xfId="0" applyFill="1" applyBorder="1" applyAlignment="1" applyProtection="1">
      <alignment horizontal="center"/>
      <protection locked="0"/>
    </xf>
    <xf numFmtId="0" fontId="32" fillId="2" borderId="0" xfId="0" applyFont="1" applyFill="1" applyAlignment="1" applyProtection="1">
      <alignment horizontal="center" vertical="center"/>
      <protection locked="0"/>
    </xf>
    <xf numFmtId="0" fontId="61" fillId="3" borderId="1" xfId="0" applyFont="1" applyFill="1" applyBorder="1" applyAlignment="1" applyProtection="1">
      <alignment horizontal="center" vertical="center" wrapText="1"/>
      <protection locked="0"/>
    </xf>
    <xf numFmtId="0" fontId="62" fillId="10" borderId="15" xfId="0" applyFont="1" applyFill="1" applyBorder="1" applyAlignment="1" applyProtection="1">
      <alignment horizontal="center"/>
      <protection locked="0"/>
    </xf>
    <xf numFmtId="44" fontId="62" fillId="10" borderId="15" xfId="0" applyNumberFormat="1" applyFont="1" applyFill="1" applyBorder="1" applyProtection="1">
      <protection locked="0"/>
    </xf>
    <xf numFmtId="9" fontId="62" fillId="10" borderId="15" xfId="2" applyFont="1" applyFill="1" applyBorder="1" applyAlignment="1" applyProtection="1">
      <alignment horizontal="center"/>
      <protection locked="0"/>
    </xf>
    <xf numFmtId="9" fontId="62" fillId="10" borderId="15" xfId="2" applyFont="1" applyFill="1" applyBorder="1" applyAlignment="1" applyProtection="1">
      <alignment horizontal="center" vertical="center"/>
      <protection locked="0"/>
    </xf>
    <xf numFmtId="9" fontId="63" fillId="10" borderId="15" xfId="2" applyFont="1" applyFill="1" applyBorder="1" applyAlignment="1" applyProtection="1">
      <alignment horizontal="center" vertical="center"/>
      <protection locked="0"/>
    </xf>
    <xf numFmtId="0" fontId="62" fillId="6" borderId="15" xfId="0" applyFont="1" applyFill="1" applyBorder="1" applyAlignment="1" applyProtection="1">
      <alignment horizontal="center"/>
      <protection locked="0"/>
    </xf>
    <xf numFmtId="44" fontId="62" fillId="6" borderId="15" xfId="0" applyNumberFormat="1" applyFont="1" applyFill="1" applyBorder="1" applyProtection="1">
      <protection locked="0"/>
    </xf>
    <xf numFmtId="9" fontId="62" fillId="6" borderId="15" xfId="2" applyFont="1" applyFill="1" applyBorder="1" applyAlignment="1" applyProtection="1">
      <alignment horizontal="center"/>
      <protection locked="0"/>
    </xf>
    <xf numFmtId="9" fontId="62" fillId="6" borderId="15" xfId="2" applyFont="1" applyFill="1" applyBorder="1" applyAlignment="1" applyProtection="1">
      <alignment horizontal="center" vertical="center"/>
      <protection locked="0"/>
    </xf>
    <xf numFmtId="9" fontId="63" fillId="6" borderId="15" xfId="2" applyFont="1" applyFill="1" applyBorder="1" applyAlignment="1" applyProtection="1">
      <alignment horizontal="center" vertical="center"/>
      <protection locked="0"/>
    </xf>
    <xf numFmtId="0" fontId="64" fillId="11" borderId="58" xfId="0" applyFont="1" applyFill="1" applyBorder="1" applyAlignment="1" applyProtection="1">
      <alignment horizontal="center" vertical="center"/>
      <protection locked="0"/>
    </xf>
    <xf numFmtId="9" fontId="64" fillId="10" borderId="15" xfId="2" applyFont="1" applyFill="1" applyBorder="1" applyAlignment="1" applyProtection="1">
      <alignment horizontal="center" vertical="center"/>
      <protection locked="0"/>
    </xf>
    <xf numFmtId="9" fontId="64" fillId="6" borderId="15" xfId="2" applyFont="1" applyFill="1" applyBorder="1" applyAlignment="1" applyProtection="1">
      <alignment horizontal="center" vertical="center"/>
      <protection locked="0"/>
    </xf>
    <xf numFmtId="0" fontId="17" fillId="14" borderId="15" xfId="0" applyFont="1" applyFill="1" applyBorder="1" applyAlignment="1">
      <alignment horizontal="center" vertical="center"/>
    </xf>
    <xf numFmtId="0" fontId="64" fillId="11" borderId="58" xfId="0" applyFont="1" applyFill="1" applyBorder="1" applyAlignment="1" applyProtection="1">
      <alignment horizontal="center" vertical="center" wrapText="1"/>
      <protection locked="0"/>
    </xf>
    <xf numFmtId="0" fontId="14" fillId="0" borderId="0" xfId="0" applyFont="1"/>
    <xf numFmtId="0" fontId="0" fillId="0" borderId="15" xfId="0" applyBorder="1" applyAlignment="1">
      <alignment horizontal="center" vertical="center"/>
    </xf>
    <xf numFmtId="0" fontId="7" fillId="0" borderId="15" xfId="0" applyFont="1" applyBorder="1" applyAlignment="1">
      <alignment horizontal="center" vertical="center"/>
    </xf>
    <xf numFmtId="164" fontId="23" fillId="0" borderId="15" xfId="0" applyNumberFormat="1" applyFont="1" applyBorder="1" applyAlignment="1">
      <alignment horizontal="center" vertical="center"/>
    </xf>
    <xf numFmtId="0" fontId="6" fillId="2" borderId="14" xfId="0" applyFont="1"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7" xfId="0" applyBorder="1" applyAlignment="1" applyProtection="1">
      <alignment horizontal="center"/>
      <protection locked="0"/>
    </xf>
    <xf numFmtId="0" fontId="62" fillId="10" borderId="15" xfId="0" applyFont="1" applyFill="1" applyBorder="1" applyAlignment="1" applyProtection="1">
      <alignment horizontal="left"/>
      <protection locked="0"/>
    </xf>
    <xf numFmtId="0" fontId="62" fillId="6" borderId="15" xfId="0" applyFont="1" applyFill="1" applyBorder="1" applyAlignment="1" applyProtection="1">
      <alignment horizontal="left"/>
      <protection locked="0"/>
    </xf>
    <xf numFmtId="0" fontId="66" fillId="10" borderId="15" xfId="2" applyNumberFormat="1" applyFont="1" applyFill="1" applyBorder="1" applyAlignment="1" applyProtection="1">
      <alignment horizontal="left"/>
      <protection locked="0"/>
    </xf>
    <xf numFmtId="0" fontId="66" fillId="6" borderId="15" xfId="2" applyNumberFormat="1" applyFont="1" applyFill="1" applyBorder="1" applyAlignment="1" applyProtection="1">
      <alignment horizontal="left"/>
      <protection locked="0"/>
    </xf>
    <xf numFmtId="165" fontId="62" fillId="10" borderId="15" xfId="2" applyNumberFormat="1" applyFont="1" applyFill="1" applyBorder="1" applyAlignment="1" applyProtection="1">
      <alignment horizontal="center" vertical="center"/>
      <protection locked="0"/>
    </xf>
    <xf numFmtId="165" fontId="62" fillId="6" borderId="15" xfId="2" applyNumberFormat="1" applyFont="1" applyFill="1" applyBorder="1" applyAlignment="1" applyProtection="1">
      <alignment horizontal="center" vertical="center"/>
      <protection locked="0"/>
    </xf>
    <xf numFmtId="44" fontId="62" fillId="10" borderId="15" xfId="1" applyFont="1" applyFill="1" applyBorder="1" applyProtection="1">
      <protection locked="0"/>
    </xf>
    <xf numFmtId="44" fontId="62" fillId="6" borderId="15" xfId="1" applyFont="1" applyFill="1" applyBorder="1" applyProtection="1">
      <protection locked="0"/>
    </xf>
    <xf numFmtId="44" fontId="62" fillId="6" borderId="15" xfId="0" applyNumberFormat="1" applyFont="1" applyFill="1" applyBorder="1" applyAlignment="1" applyProtection="1">
      <alignment horizontal="left"/>
      <protection locked="0"/>
    </xf>
    <xf numFmtId="44" fontId="62" fillId="10" borderId="15" xfId="0" applyNumberFormat="1" applyFont="1" applyFill="1" applyBorder="1" applyAlignment="1" applyProtection="1">
      <alignment horizontal="left"/>
      <protection locked="0"/>
    </xf>
    <xf numFmtId="46" fontId="0" fillId="11" borderId="1" xfId="0" applyNumberFormat="1" applyFill="1" applyBorder="1" applyAlignment="1" applyProtection="1">
      <alignment horizontal="center"/>
      <protection locked="0"/>
    </xf>
    <xf numFmtId="0" fontId="0" fillId="40" borderId="15" xfId="0" applyFill="1" applyBorder="1"/>
    <xf numFmtId="0" fontId="16" fillId="40" borderId="15" xfId="0" applyFont="1" applyFill="1" applyBorder="1" applyAlignment="1">
      <alignment horizontal="center" vertical="center"/>
    </xf>
    <xf numFmtId="166" fontId="16" fillId="40" borderId="15" xfId="1" applyNumberFormat="1" applyFont="1" applyFill="1" applyBorder="1"/>
    <xf numFmtId="0" fontId="0" fillId="43" borderId="15" xfId="0" applyFill="1" applyBorder="1"/>
    <xf numFmtId="0" fontId="16" fillId="43" borderId="15" xfId="0" applyFont="1" applyFill="1" applyBorder="1" applyAlignment="1">
      <alignment horizontal="center" vertical="center"/>
    </xf>
    <xf numFmtId="166" fontId="16" fillId="43" borderId="15" xfId="1" applyNumberFormat="1" applyFont="1" applyFill="1" applyBorder="1"/>
    <xf numFmtId="0" fontId="0" fillId="42" borderId="15" xfId="0" applyFill="1" applyBorder="1"/>
    <xf numFmtId="0" fontId="16" fillId="42" borderId="15" xfId="0" applyFont="1" applyFill="1" applyBorder="1" applyAlignment="1">
      <alignment horizontal="center" vertical="center"/>
    </xf>
    <xf numFmtId="166" fontId="16" fillId="42" borderId="15" xfId="1" applyNumberFormat="1" applyFont="1" applyFill="1" applyBorder="1"/>
    <xf numFmtId="0" fontId="0" fillId="44" borderId="15" xfId="0" applyFill="1" applyBorder="1"/>
    <xf numFmtId="0" fontId="16" fillId="44" borderId="15" xfId="0" applyFont="1" applyFill="1" applyBorder="1" applyAlignment="1">
      <alignment horizontal="center" vertical="center"/>
    </xf>
    <xf numFmtId="166" fontId="16" fillId="44" borderId="15" xfId="1" applyNumberFormat="1" applyFont="1" applyFill="1" applyBorder="1"/>
    <xf numFmtId="0" fontId="0" fillId="11" borderId="15" xfId="0" applyFill="1" applyBorder="1"/>
    <xf numFmtId="0" fontId="16" fillId="11" borderId="15" xfId="0" applyFont="1" applyFill="1" applyBorder="1" applyAlignment="1">
      <alignment horizontal="center" vertical="center"/>
    </xf>
    <xf numFmtId="166" fontId="16" fillId="11" borderId="15" xfId="1" applyNumberFormat="1" applyFont="1" applyFill="1" applyBorder="1"/>
    <xf numFmtId="0" fontId="0" fillId="45" borderId="15" xfId="0" applyFill="1" applyBorder="1"/>
    <xf numFmtId="0" fontId="16" fillId="45" borderId="15" xfId="0" applyFont="1" applyFill="1" applyBorder="1" applyAlignment="1">
      <alignment horizontal="center" vertical="center"/>
    </xf>
    <xf numFmtId="166" fontId="16" fillId="45" borderId="15" xfId="1" applyNumberFormat="1" applyFont="1" applyFill="1" applyBorder="1"/>
    <xf numFmtId="0" fontId="66" fillId="10" borderId="15" xfId="2" applyNumberFormat="1" applyFont="1" applyFill="1" applyBorder="1" applyAlignment="1" applyProtection="1">
      <alignment horizontal="left" vertical="center"/>
      <protection locked="0"/>
    </xf>
    <xf numFmtId="0" fontId="66" fillId="6" borderId="15" xfId="2" applyNumberFormat="1" applyFont="1" applyFill="1" applyBorder="1" applyAlignment="1" applyProtection="1">
      <alignment horizontal="left" vertical="center"/>
      <protection locked="0"/>
    </xf>
    <xf numFmtId="0" fontId="0" fillId="0" borderId="0" xfId="0" applyAlignment="1">
      <alignment vertical="center" wrapText="1"/>
    </xf>
    <xf numFmtId="0" fontId="31" fillId="0" borderId="0" xfId="3"/>
    <xf numFmtId="0" fontId="62" fillId="6" borderId="19" xfId="0" applyFont="1" applyFill="1" applyBorder="1" applyAlignment="1" applyProtection="1">
      <alignment horizontal="center"/>
      <protection locked="0"/>
    </xf>
    <xf numFmtId="0" fontId="62" fillId="6" borderId="19" xfId="0" applyFont="1" applyFill="1" applyBorder="1" applyAlignment="1" applyProtection="1">
      <alignment horizontal="left"/>
      <protection locked="0"/>
    </xf>
    <xf numFmtId="44" fontId="62" fillId="6" borderId="19" xfId="0" applyNumberFormat="1" applyFont="1" applyFill="1" applyBorder="1" applyProtection="1">
      <protection locked="0"/>
    </xf>
    <xf numFmtId="44" fontId="68" fillId="46" borderId="25" xfId="1" applyFont="1" applyFill="1" applyBorder="1" applyAlignment="1" applyProtection="1">
      <protection locked="0"/>
    </xf>
    <xf numFmtId="10" fontId="69" fillId="0" borderId="6" xfId="0" applyNumberFormat="1" applyFont="1" applyBorder="1" applyAlignment="1" applyProtection="1">
      <alignment horizontal="center" vertical="center"/>
      <protection locked="0"/>
    </xf>
    <xf numFmtId="10" fontId="69" fillId="0" borderId="1" xfId="0" applyNumberFormat="1" applyFont="1" applyBorder="1" applyAlignment="1" applyProtection="1">
      <alignment horizontal="center" vertical="center"/>
      <protection locked="0"/>
    </xf>
    <xf numFmtId="0" fontId="69" fillId="0" borderId="1" xfId="0" applyFont="1" applyBorder="1" applyAlignment="1" applyProtection="1">
      <alignment horizontal="center" vertical="center"/>
      <protection locked="0"/>
    </xf>
    <xf numFmtId="0" fontId="69" fillId="10" borderId="12" xfId="0" applyFont="1" applyFill="1" applyBorder="1" applyProtection="1">
      <protection locked="0"/>
    </xf>
    <xf numFmtId="0" fontId="69" fillId="8" borderId="12" xfId="0" applyFont="1" applyFill="1" applyBorder="1" applyProtection="1">
      <protection locked="0"/>
    </xf>
    <xf numFmtId="1" fontId="16" fillId="40" borderId="15" xfId="1" applyNumberFormat="1" applyFont="1" applyFill="1" applyBorder="1" applyAlignment="1">
      <alignment horizontal="center" vertical="center"/>
    </xf>
    <xf numFmtId="1" fontId="16" fillId="43" borderId="15" xfId="1" applyNumberFormat="1" applyFont="1" applyFill="1" applyBorder="1" applyAlignment="1">
      <alignment horizontal="center" vertical="center"/>
    </xf>
    <xf numFmtId="1" fontId="16" fillId="42" borderId="15" xfId="1" applyNumberFormat="1" applyFont="1" applyFill="1" applyBorder="1" applyAlignment="1">
      <alignment horizontal="center" vertical="center"/>
    </xf>
    <xf numFmtId="1" fontId="16" fillId="44" borderId="15" xfId="1" applyNumberFormat="1" applyFont="1" applyFill="1" applyBorder="1" applyAlignment="1">
      <alignment horizontal="center" vertical="center"/>
    </xf>
    <xf numFmtId="1" fontId="16" fillId="11" borderId="15" xfId="1" applyNumberFormat="1" applyFont="1" applyFill="1" applyBorder="1" applyAlignment="1">
      <alignment horizontal="center" vertical="center"/>
    </xf>
    <xf numFmtId="1" fontId="16" fillId="45" borderId="15" xfId="1" applyNumberFormat="1" applyFont="1" applyFill="1" applyBorder="1" applyAlignment="1">
      <alignment horizontal="center" vertical="center"/>
    </xf>
    <xf numFmtId="166" fontId="16" fillId="40" borderId="15" xfId="1" applyNumberFormat="1" applyFont="1" applyFill="1" applyBorder="1" applyAlignment="1">
      <alignment horizontal="center"/>
    </xf>
    <xf numFmtId="166" fontId="16" fillId="43" borderId="15" xfId="1" applyNumberFormat="1" applyFont="1" applyFill="1" applyBorder="1" applyAlignment="1">
      <alignment horizontal="center"/>
    </xf>
    <xf numFmtId="166" fontId="16" fillId="42" borderId="15" xfId="1" applyNumberFormat="1" applyFont="1" applyFill="1" applyBorder="1" applyAlignment="1">
      <alignment horizontal="center"/>
    </xf>
    <xf numFmtId="166" fontId="16" fillId="44" borderId="15" xfId="1" applyNumberFormat="1" applyFont="1" applyFill="1" applyBorder="1" applyAlignment="1">
      <alignment horizontal="center"/>
    </xf>
    <xf numFmtId="166" fontId="16" fillId="11" borderId="15" xfId="1" applyNumberFormat="1" applyFont="1" applyFill="1" applyBorder="1" applyAlignment="1">
      <alignment horizontal="center"/>
    </xf>
    <xf numFmtId="166" fontId="16" fillId="45" borderId="15" xfId="1" applyNumberFormat="1" applyFont="1" applyFill="1" applyBorder="1" applyAlignment="1">
      <alignment horizontal="center"/>
    </xf>
    <xf numFmtId="0" fontId="0" fillId="40" borderId="15" xfId="0" applyFill="1" applyBorder="1" applyAlignment="1">
      <alignment horizontal="left"/>
    </xf>
    <xf numFmtId="0" fontId="0" fillId="43" borderId="15" xfId="0" applyFill="1" applyBorder="1" applyAlignment="1">
      <alignment horizontal="left"/>
    </xf>
    <xf numFmtId="0" fontId="0" fillId="42" borderId="15" xfId="0" applyFill="1" applyBorder="1" applyAlignment="1">
      <alignment horizontal="left"/>
    </xf>
    <xf numFmtId="0" fontId="0" fillId="44" borderId="15" xfId="0" applyFill="1" applyBorder="1" applyAlignment="1">
      <alignment horizontal="left"/>
    </xf>
    <xf numFmtId="0" fontId="0" fillId="11" borderId="15" xfId="0" applyFill="1" applyBorder="1" applyAlignment="1">
      <alignment horizontal="left"/>
    </xf>
    <xf numFmtId="0" fontId="0" fillId="45" borderId="15" xfId="0" applyFill="1" applyBorder="1" applyAlignment="1">
      <alignment horizontal="left"/>
    </xf>
    <xf numFmtId="0" fontId="69" fillId="10" borderId="12" xfId="0" applyFont="1" applyFill="1" applyBorder="1" applyAlignment="1" applyProtection="1">
      <alignment horizontal="center" vertical="center"/>
      <protection locked="0"/>
    </xf>
    <xf numFmtId="9" fontId="69" fillId="10" borderId="11" xfId="2" applyFont="1" applyFill="1" applyBorder="1" applyAlignment="1" applyProtection="1">
      <alignment horizontal="center" vertical="center"/>
      <protection locked="0"/>
    </xf>
    <xf numFmtId="0" fontId="69" fillId="8" borderId="12" xfId="0" applyFont="1" applyFill="1" applyBorder="1" applyAlignment="1" applyProtection="1">
      <alignment horizontal="center" vertical="center"/>
      <protection locked="0"/>
    </xf>
    <xf numFmtId="9" fontId="69" fillId="8" borderId="11" xfId="2" applyFont="1" applyFill="1" applyBorder="1" applyAlignment="1" applyProtection="1">
      <alignment horizontal="center" vertical="center"/>
      <protection locked="0"/>
    </xf>
    <xf numFmtId="0" fontId="69" fillId="10" borderId="0" xfId="0" applyFont="1" applyFill="1" applyProtection="1">
      <protection locked="0"/>
    </xf>
    <xf numFmtId="44" fontId="70" fillId="10" borderId="15" xfId="0" applyNumberFormat="1" applyFont="1" applyFill="1" applyBorder="1" applyProtection="1">
      <protection locked="0"/>
    </xf>
    <xf numFmtId="44" fontId="70" fillId="6" borderId="15" xfId="0" applyNumberFormat="1" applyFont="1" applyFill="1" applyBorder="1" applyProtection="1">
      <protection locked="0"/>
    </xf>
    <xf numFmtId="0" fontId="8" fillId="3" borderId="1" xfId="0" applyFont="1" applyFill="1" applyBorder="1" applyAlignment="1" applyProtection="1">
      <alignment horizontal="left" vertical="center" wrapText="1" indent="1"/>
      <protection locked="0"/>
    </xf>
    <xf numFmtId="44" fontId="58" fillId="0" borderId="1" xfId="1" applyFont="1" applyBorder="1" applyAlignment="1" applyProtection="1">
      <alignment horizontal="left" vertical="center"/>
    </xf>
    <xf numFmtId="44" fontId="0" fillId="6" borderId="1" xfId="1" applyFont="1" applyFill="1" applyBorder="1" applyAlignment="1" applyProtection="1">
      <alignment horizontal="left" vertical="center"/>
      <protection locked="0"/>
    </xf>
    <xf numFmtId="0" fontId="14" fillId="0" borderId="1" xfId="0" applyFont="1" applyBorder="1" applyAlignment="1" applyProtection="1">
      <alignment horizontal="center" vertical="center"/>
      <protection locked="0"/>
    </xf>
    <xf numFmtId="0" fontId="6" fillId="2" borderId="4" xfId="0" applyFont="1" applyFill="1" applyBorder="1" applyAlignment="1" applyProtection="1">
      <alignment horizontal="center"/>
      <protection locked="0"/>
    </xf>
    <xf numFmtId="9" fontId="6" fillId="2" borderId="0" xfId="2" applyFont="1" applyFill="1" applyAlignment="1" applyProtection="1">
      <alignment horizontal="center" vertical="center"/>
      <protection locked="0"/>
    </xf>
    <xf numFmtId="0" fontId="6" fillId="2" borderId="0" xfId="2" applyNumberFormat="1" applyFont="1" applyFill="1" applyAlignment="1" applyProtection="1">
      <alignment horizontal="center" vertical="center"/>
      <protection locked="0"/>
    </xf>
    <xf numFmtId="0" fontId="58" fillId="0" borderId="12" xfId="0" applyFont="1" applyBorder="1" applyAlignment="1" applyProtection="1">
      <alignment horizontal="center" vertical="center"/>
      <protection locked="0"/>
    </xf>
    <xf numFmtId="0" fontId="24" fillId="10" borderId="0" xfId="0" applyFont="1" applyFill="1" applyProtection="1">
      <protection locked="0"/>
    </xf>
    <xf numFmtId="0" fontId="11" fillId="23" borderId="0" xfId="0" applyFont="1" applyFill="1" applyAlignment="1" applyProtection="1">
      <alignment horizontal="center"/>
      <protection locked="0"/>
    </xf>
    <xf numFmtId="44" fontId="0" fillId="10" borderId="0" xfId="1" applyFont="1" applyFill="1" applyAlignment="1" applyProtection="1">
      <alignment horizontal="center"/>
      <protection locked="0"/>
    </xf>
    <xf numFmtId="44" fontId="0" fillId="6" borderId="0" xfId="1" applyFont="1" applyFill="1" applyAlignment="1" applyProtection="1">
      <alignment horizontal="center"/>
      <protection locked="0"/>
    </xf>
    <xf numFmtId="0" fontId="31" fillId="10" borderId="0" xfId="3" applyFill="1" applyProtection="1">
      <protection locked="0"/>
    </xf>
    <xf numFmtId="10" fontId="58" fillId="0" borderId="1" xfId="0" applyNumberFormat="1" applyFont="1" applyBorder="1" applyAlignment="1" applyProtection="1">
      <alignment horizontal="center" vertical="center"/>
      <protection locked="0"/>
    </xf>
    <xf numFmtId="9" fontId="0" fillId="8" borderId="1" xfId="2" applyFont="1" applyFill="1" applyBorder="1" applyAlignment="1" applyProtection="1">
      <alignment horizontal="center" vertical="center"/>
    </xf>
    <xf numFmtId="9" fontId="0" fillId="0" borderId="1" xfId="2" applyFont="1" applyBorder="1" applyAlignment="1" applyProtection="1">
      <alignment horizontal="center" vertical="center"/>
    </xf>
    <xf numFmtId="44" fontId="16" fillId="8" borderId="1" xfId="1" applyFont="1" applyFill="1" applyBorder="1" applyAlignment="1" applyProtection="1">
      <alignment horizontal="left" vertical="center"/>
      <protection locked="0"/>
    </xf>
    <xf numFmtId="9" fontId="0" fillId="8" borderId="1" xfId="2" applyFont="1" applyFill="1" applyBorder="1" applyAlignment="1">
      <alignment horizontal="center" vertical="center"/>
    </xf>
    <xf numFmtId="9" fontId="0" fillId="0" borderId="1" xfId="2" applyFont="1" applyBorder="1" applyAlignment="1">
      <alignment horizontal="center" vertical="center"/>
    </xf>
    <xf numFmtId="44" fontId="0" fillId="0" borderId="1" xfId="1" applyFont="1" applyBorder="1" applyAlignment="1">
      <alignment horizontal="left" vertical="center"/>
    </xf>
    <xf numFmtId="165" fontId="0" fillId="0" borderId="6" xfId="0" applyNumberFormat="1" applyBorder="1" applyAlignment="1" applyProtection="1">
      <alignment horizontal="center"/>
      <protection locked="0"/>
    </xf>
    <xf numFmtId="0" fontId="72" fillId="0" borderId="15" xfId="0" applyFont="1" applyBorder="1"/>
    <xf numFmtId="0" fontId="9" fillId="0" borderId="15" xfId="0" applyFont="1" applyBorder="1"/>
    <xf numFmtId="0" fontId="9" fillId="0" borderId="15" xfId="0" applyFont="1" applyBorder="1" applyAlignment="1">
      <alignment horizontal="center"/>
    </xf>
    <xf numFmtId="164" fontId="73" fillId="0" borderId="15" xfId="0" applyNumberFormat="1" applyFont="1" applyBorder="1"/>
    <xf numFmtId="0" fontId="74" fillId="14" borderId="15" xfId="0" applyFont="1" applyFill="1" applyBorder="1" applyAlignment="1">
      <alignment horizontal="center"/>
    </xf>
    <xf numFmtId="0" fontId="72" fillId="17" borderId="15" xfId="0" applyFont="1" applyFill="1" applyBorder="1"/>
    <xf numFmtId="0" fontId="65" fillId="17" borderId="15" xfId="0" applyFont="1" applyFill="1" applyBorder="1" applyAlignment="1">
      <alignment horizontal="center" vertical="center"/>
    </xf>
    <xf numFmtId="0" fontId="72" fillId="18" borderId="15" xfId="0" applyFont="1" applyFill="1" applyBorder="1"/>
    <xf numFmtId="0" fontId="65" fillId="18" borderId="15" xfId="0" applyFont="1" applyFill="1" applyBorder="1" applyAlignment="1">
      <alignment horizontal="center" vertical="center"/>
    </xf>
    <xf numFmtId="0" fontId="72" fillId="19" borderId="15" xfId="0" applyFont="1" applyFill="1" applyBorder="1"/>
    <xf numFmtId="0" fontId="65" fillId="19" borderId="15" xfId="0" applyFont="1" applyFill="1" applyBorder="1" applyAlignment="1">
      <alignment horizontal="center" vertical="center"/>
    </xf>
    <xf numFmtId="0" fontId="51" fillId="8" borderId="12" xfId="0" applyFont="1" applyFill="1" applyBorder="1" applyAlignment="1" applyProtection="1">
      <alignment horizontal="center" vertical="center"/>
      <protection locked="0"/>
    </xf>
    <xf numFmtId="17" fontId="0" fillId="6" borderId="15" xfId="0" applyNumberFormat="1" applyFill="1" applyBorder="1" applyAlignment="1" applyProtection="1">
      <alignment horizontal="left" vertical="center" wrapText="1"/>
      <protection locked="0"/>
    </xf>
    <xf numFmtId="17" fontId="0" fillId="10" borderId="15" xfId="0" applyNumberFormat="1" applyFill="1" applyBorder="1" applyAlignment="1" applyProtection="1">
      <alignment horizontal="left" vertical="center" wrapText="1"/>
      <protection locked="0"/>
    </xf>
    <xf numFmtId="1" fontId="0" fillId="6" borderId="15" xfId="0" applyNumberFormat="1" applyFill="1" applyBorder="1" applyAlignment="1" applyProtection="1">
      <alignment horizontal="left" vertical="center" wrapText="1"/>
      <protection locked="0"/>
    </xf>
    <xf numFmtId="44" fontId="0" fillId="6" borderId="15" xfId="1" applyFont="1" applyFill="1" applyBorder="1" applyAlignment="1" applyProtection="1">
      <alignment horizontal="center" vertical="center" wrapText="1"/>
      <protection locked="0"/>
    </xf>
    <xf numFmtId="0" fontId="17" fillId="15" borderId="15" xfId="0" applyFont="1" applyFill="1" applyBorder="1" applyAlignment="1">
      <alignment horizontal="center" vertical="center"/>
    </xf>
    <xf numFmtId="164" fontId="19" fillId="0" borderId="15" xfId="0" applyNumberFormat="1" applyFont="1" applyBorder="1" applyAlignment="1">
      <alignment horizontal="center" vertical="center"/>
    </xf>
    <xf numFmtId="164" fontId="20" fillId="0" borderId="15" xfId="0" applyNumberFormat="1" applyFont="1" applyBorder="1" applyAlignment="1">
      <alignment horizontal="center" vertical="center"/>
    </xf>
    <xf numFmtId="0" fontId="17" fillId="48" borderId="17" xfId="0" applyFont="1" applyFill="1" applyBorder="1" applyAlignment="1">
      <alignment horizontal="center" vertical="center"/>
    </xf>
    <xf numFmtId="164" fontId="79" fillId="0" borderId="17" xfId="0" applyNumberFormat="1" applyFont="1" applyBorder="1" applyAlignment="1">
      <alignment horizontal="center" vertical="center"/>
    </xf>
    <xf numFmtId="0" fontId="17" fillId="15" borderId="15" xfId="0" applyFont="1" applyFill="1" applyBorder="1" applyAlignment="1" applyProtection="1">
      <alignment horizontal="center" vertical="center"/>
      <protection locked="0"/>
    </xf>
    <xf numFmtId="0" fontId="80" fillId="10" borderId="15" xfId="0" applyFont="1" applyFill="1" applyBorder="1"/>
    <xf numFmtId="3" fontId="58" fillId="0" borderId="1" xfId="0" applyNumberFormat="1" applyFont="1" applyBorder="1" applyAlignment="1" applyProtection="1">
      <alignment horizontal="center" vertical="center"/>
      <protection locked="0"/>
    </xf>
    <xf numFmtId="44" fontId="62" fillId="6" borderId="17" xfId="0" applyNumberFormat="1" applyFont="1" applyFill="1" applyBorder="1" applyAlignment="1" applyProtection="1">
      <alignment horizontal="left"/>
      <protection locked="0"/>
    </xf>
    <xf numFmtId="44" fontId="62" fillId="6" borderId="10" xfId="0" applyNumberFormat="1" applyFont="1" applyFill="1" applyBorder="1" applyAlignment="1" applyProtection="1">
      <alignment horizontal="left"/>
      <protection locked="0"/>
    </xf>
    <xf numFmtId="44" fontId="62" fillId="6" borderId="18" xfId="0" applyNumberFormat="1" applyFont="1" applyFill="1" applyBorder="1" applyAlignment="1" applyProtection="1">
      <alignment horizontal="left"/>
      <protection locked="0"/>
    </xf>
    <xf numFmtId="44" fontId="62" fillId="10" borderId="17" xfId="0" applyNumberFormat="1" applyFont="1" applyFill="1" applyBorder="1" applyAlignment="1" applyProtection="1">
      <alignment horizontal="left"/>
      <protection locked="0"/>
    </xf>
    <xf numFmtId="44" fontId="62" fillId="10" borderId="10" xfId="0" applyNumberFormat="1" applyFont="1" applyFill="1" applyBorder="1" applyAlignment="1" applyProtection="1">
      <alignment horizontal="left"/>
      <protection locked="0"/>
    </xf>
    <xf numFmtId="44" fontId="62" fillId="10" borderId="18" xfId="0" applyNumberFormat="1" applyFont="1" applyFill="1" applyBorder="1" applyAlignment="1" applyProtection="1">
      <alignment horizontal="left"/>
      <protection locked="0"/>
    </xf>
    <xf numFmtId="0" fontId="0" fillId="28" borderId="1" xfId="0" applyFill="1" applyBorder="1" applyAlignment="1">
      <alignment horizontal="center" vertical="center"/>
    </xf>
    <xf numFmtId="0" fontId="0" fillId="0" borderId="1" xfId="0" applyBorder="1" applyAlignment="1">
      <alignment horizontal="center" vertical="center"/>
    </xf>
    <xf numFmtId="0" fontId="0" fillId="11" borderId="1" xfId="0" applyFill="1" applyBorder="1" applyAlignment="1" applyProtection="1">
      <alignment horizontal="center" vertical="center"/>
      <protection locked="0"/>
    </xf>
    <xf numFmtId="0" fontId="8" fillId="3" borderId="47" xfId="0" applyFont="1" applyFill="1" applyBorder="1" applyAlignment="1" applyProtection="1">
      <alignment horizontal="center" vertical="center" wrapText="1"/>
      <protection locked="0"/>
    </xf>
    <xf numFmtId="0" fontId="0" fillId="28" borderId="6" xfId="0" applyFill="1" applyBorder="1" applyAlignment="1">
      <alignment horizontal="center" vertical="center"/>
    </xf>
    <xf numFmtId="0" fontId="8" fillId="29" borderId="1" xfId="0" applyFont="1" applyFill="1" applyBorder="1" applyAlignment="1" applyProtection="1">
      <alignment horizontal="center" vertical="center" wrapText="1"/>
      <protection locked="0"/>
    </xf>
    <xf numFmtId="44" fontId="0" fillId="0" borderId="0" xfId="0" applyNumberFormat="1" applyProtection="1">
      <protection locked="0"/>
    </xf>
    <xf numFmtId="172" fontId="66" fillId="10" borderId="15" xfId="2" applyNumberFormat="1" applyFont="1" applyFill="1" applyBorder="1" applyAlignment="1" applyProtection="1">
      <alignment horizontal="center" vertical="center"/>
      <protection locked="0"/>
    </xf>
    <xf numFmtId="172" fontId="66" fillId="6" borderId="15" xfId="2" applyNumberFormat="1" applyFont="1" applyFill="1" applyBorder="1" applyAlignment="1" applyProtection="1">
      <alignment horizontal="center" vertical="center"/>
      <protection locked="0"/>
    </xf>
    <xf numFmtId="44" fontId="0" fillId="10" borderId="1" xfId="1" applyFont="1" applyFill="1" applyBorder="1" applyAlignment="1" applyProtection="1">
      <alignment horizontal="left" vertical="center"/>
    </xf>
    <xf numFmtId="172" fontId="83" fillId="10" borderId="15" xfId="2" applyNumberFormat="1" applyFont="1" applyFill="1" applyBorder="1" applyAlignment="1" applyProtection="1">
      <alignment horizontal="center" vertical="center"/>
      <protection locked="0"/>
    </xf>
    <xf numFmtId="172" fontId="83" fillId="6" borderId="15" xfId="2" applyNumberFormat="1" applyFont="1" applyFill="1" applyBorder="1" applyAlignment="1" applyProtection="1">
      <alignment horizontal="center" vertical="center"/>
      <protection locked="0"/>
    </xf>
    <xf numFmtId="0" fontId="0" fillId="0" borderId="1" xfId="0" quotePrefix="1" applyBorder="1" applyAlignment="1" applyProtection="1">
      <alignment horizontal="center" vertical="center"/>
      <protection locked="0"/>
    </xf>
    <xf numFmtId="44" fontId="0" fillId="8" borderId="15" xfId="1" applyFont="1" applyFill="1" applyBorder="1" applyProtection="1">
      <protection locked="0"/>
    </xf>
    <xf numFmtId="0" fontId="84" fillId="35" borderId="15" xfId="0" applyFont="1" applyFill="1" applyBorder="1" applyAlignment="1" applyProtection="1">
      <alignment vertical="center"/>
      <protection locked="0"/>
    </xf>
    <xf numFmtId="44" fontId="85" fillId="35" borderId="15" xfId="1" applyFont="1" applyFill="1" applyBorder="1" applyAlignment="1" applyProtection="1">
      <alignment vertical="center"/>
      <protection locked="0"/>
    </xf>
    <xf numFmtId="0" fontId="69" fillId="10" borderId="13" xfId="0" applyFont="1" applyFill="1" applyBorder="1" applyProtection="1">
      <protection locked="0"/>
    </xf>
    <xf numFmtId="0" fontId="69" fillId="8" borderId="13" xfId="0" applyFont="1" applyFill="1" applyBorder="1" applyProtection="1">
      <protection locked="0"/>
    </xf>
    <xf numFmtId="0" fontId="64" fillId="11" borderId="39" xfId="0" applyFont="1" applyFill="1" applyBorder="1" applyAlignment="1" applyProtection="1">
      <alignment horizontal="center" vertical="center" wrapText="1"/>
      <protection locked="0"/>
    </xf>
    <xf numFmtId="44" fontId="86" fillId="10" borderId="15" xfId="0" applyNumberFormat="1" applyFont="1" applyFill="1" applyBorder="1" applyProtection="1">
      <protection locked="0"/>
    </xf>
    <xf numFmtId="44" fontId="86" fillId="6" borderId="15" xfId="0" applyNumberFormat="1" applyFont="1" applyFill="1" applyBorder="1" applyProtection="1">
      <protection locked="0"/>
    </xf>
    <xf numFmtId="44" fontId="86" fillId="6" borderId="19" xfId="0" applyNumberFormat="1" applyFont="1" applyFill="1" applyBorder="1" applyProtection="1">
      <protection locked="0"/>
    </xf>
    <xf numFmtId="44" fontId="68" fillId="46" borderId="25" xfId="1" applyFont="1" applyFill="1" applyBorder="1" applyProtection="1">
      <protection locked="0"/>
    </xf>
    <xf numFmtId="0" fontId="87" fillId="0" borderId="1" xfId="0" applyFont="1" applyBorder="1" applyAlignment="1" applyProtection="1">
      <alignment horizontal="left"/>
      <protection locked="0"/>
    </xf>
    <xf numFmtId="9" fontId="32" fillId="2" borderId="0" xfId="2" applyFont="1" applyFill="1" applyBorder="1" applyAlignment="1" applyProtection="1">
      <alignment horizontal="left" vertical="center"/>
      <protection locked="0"/>
    </xf>
    <xf numFmtId="0" fontId="87" fillId="8" borderId="1" xfId="0" applyFont="1" applyFill="1" applyBorder="1" applyAlignment="1" applyProtection="1">
      <alignment horizontal="left"/>
      <protection locked="0"/>
    </xf>
    <xf numFmtId="0" fontId="87" fillId="0" borderId="48" xfId="0" applyFont="1" applyBorder="1" applyAlignment="1" applyProtection="1">
      <alignment horizontal="left"/>
      <protection locked="0"/>
    </xf>
    <xf numFmtId="0" fontId="87" fillId="8" borderId="48" xfId="0" applyFont="1" applyFill="1" applyBorder="1" applyAlignment="1" applyProtection="1">
      <alignment horizontal="left"/>
      <protection locked="0"/>
    </xf>
    <xf numFmtId="0" fontId="0" fillId="0" borderId="0" xfId="0" applyAlignment="1" applyProtection="1">
      <alignment horizontal="left" vertical="center"/>
      <protection locked="0"/>
    </xf>
    <xf numFmtId="0" fontId="17" fillId="14" borderId="17" xfId="0" applyFont="1" applyFill="1" applyBorder="1" applyAlignment="1" applyProtection="1">
      <alignment horizontal="center"/>
      <protection locked="0"/>
    </xf>
    <xf numFmtId="166" fontId="16" fillId="17" borderId="17" xfId="1" applyNumberFormat="1" applyFont="1" applyFill="1" applyBorder="1" applyProtection="1">
      <protection locked="0"/>
    </xf>
    <xf numFmtId="166" fontId="16" fillId="18" borderId="17" xfId="1" applyNumberFormat="1" applyFont="1" applyFill="1" applyBorder="1" applyAlignment="1" applyProtection="1">
      <alignment horizontal="center" vertical="center"/>
      <protection locked="0"/>
    </xf>
    <xf numFmtId="166" fontId="16" fillId="19" borderId="17" xfId="1" applyNumberFormat="1" applyFont="1" applyFill="1" applyBorder="1" applyAlignment="1" applyProtection="1">
      <alignment horizontal="center" vertical="center"/>
      <protection locked="0"/>
    </xf>
    <xf numFmtId="0" fontId="0" fillId="10" borderId="0" xfId="0" applyFill="1" applyAlignment="1">
      <alignment horizontal="center"/>
    </xf>
    <xf numFmtId="0" fontId="31" fillId="10" borderId="0" xfId="3" applyFill="1" applyAlignment="1" applyProtection="1">
      <alignment horizontal="center"/>
      <protection locked="0"/>
    </xf>
    <xf numFmtId="0" fontId="68" fillId="46" borderId="46" xfId="0" applyFont="1" applyFill="1" applyBorder="1" applyAlignment="1" applyProtection="1">
      <alignment horizontal="center"/>
      <protection locked="0"/>
    </xf>
    <xf numFmtId="0" fontId="68" fillId="46" borderId="83" xfId="0" applyFont="1" applyFill="1" applyBorder="1" applyAlignment="1" applyProtection="1">
      <alignment horizontal="center"/>
      <protection locked="0"/>
    </xf>
    <xf numFmtId="44" fontId="51" fillId="0" borderId="1" xfId="1" applyFont="1" applyBorder="1" applyAlignment="1" applyProtection="1">
      <alignment horizontal="left" vertical="center"/>
    </xf>
    <xf numFmtId="44" fontId="51" fillId="8" borderId="1" xfId="1" applyFont="1" applyFill="1" applyBorder="1" applyAlignment="1" applyProtection="1">
      <alignment horizontal="left" vertical="center"/>
    </xf>
    <xf numFmtId="44" fontId="0" fillId="18" borderId="1" xfId="1" applyFont="1" applyFill="1" applyBorder="1" applyAlignment="1" applyProtection="1">
      <alignment horizontal="left" vertical="center"/>
    </xf>
    <xf numFmtId="0" fontId="0" fillId="10" borderId="1" xfId="1" applyNumberFormat="1" applyFont="1" applyFill="1" applyBorder="1" applyAlignment="1" applyProtection="1">
      <alignment horizontal="left" vertical="center"/>
      <protection locked="0"/>
    </xf>
    <xf numFmtId="0" fontId="17" fillId="50" borderId="15" xfId="0" applyFont="1" applyFill="1" applyBorder="1" applyAlignment="1">
      <alignment horizontal="center"/>
    </xf>
    <xf numFmtId="166" fontId="16" fillId="52" borderId="15" xfId="1" applyNumberFormat="1" applyFont="1" applyFill="1" applyBorder="1" applyAlignment="1">
      <alignment horizontal="center" vertical="center"/>
    </xf>
    <xf numFmtId="166" fontId="16" fillId="53" borderId="15" xfId="1" applyNumberFormat="1" applyFont="1" applyFill="1" applyBorder="1" applyAlignment="1">
      <alignment horizontal="center" vertical="center"/>
    </xf>
    <xf numFmtId="0" fontId="17" fillId="14" borderId="17" xfId="0" applyFont="1" applyFill="1" applyBorder="1" applyAlignment="1">
      <alignment horizontal="center"/>
    </xf>
    <xf numFmtId="166" fontId="16" fillId="18" borderId="17" xfId="1" applyNumberFormat="1" applyFont="1" applyFill="1" applyBorder="1" applyAlignment="1">
      <alignment horizontal="center" vertical="center"/>
    </xf>
    <xf numFmtId="166" fontId="16" fillId="19" borderId="17" xfId="1" applyNumberFormat="1" applyFont="1" applyFill="1" applyBorder="1" applyAlignment="1">
      <alignment horizontal="center" vertical="center"/>
    </xf>
    <xf numFmtId="0" fontId="17" fillId="50" borderId="92" xfId="0" applyFont="1" applyFill="1" applyBorder="1" applyAlignment="1">
      <alignment horizontal="center"/>
    </xf>
    <xf numFmtId="0" fontId="74" fillId="14" borderId="17" xfId="0" applyFont="1" applyFill="1" applyBorder="1" applyAlignment="1">
      <alignment horizontal="center"/>
    </xf>
    <xf numFmtId="166" fontId="65" fillId="17" borderId="17" xfId="1" applyNumberFormat="1" applyFont="1" applyFill="1" applyBorder="1"/>
    <xf numFmtId="166" fontId="65" fillId="18" borderId="17" xfId="1" applyNumberFormat="1" applyFont="1" applyFill="1" applyBorder="1" applyAlignment="1">
      <alignment horizontal="center" vertical="center"/>
    </xf>
    <xf numFmtId="166" fontId="65" fillId="19" borderId="17" xfId="1" applyNumberFormat="1" applyFont="1" applyFill="1" applyBorder="1" applyAlignment="1">
      <alignment horizontal="center" vertical="center"/>
    </xf>
    <xf numFmtId="10" fontId="0" fillId="0" borderId="1" xfId="0" applyNumberFormat="1" applyBorder="1" applyProtection="1">
      <protection locked="0"/>
    </xf>
    <xf numFmtId="20" fontId="0" fillId="0" borderId="1" xfId="0" applyNumberFormat="1" applyBorder="1" applyProtection="1">
      <protection locked="0"/>
    </xf>
    <xf numFmtId="0" fontId="0" fillId="0" borderId="5" xfId="0" applyBorder="1" applyAlignment="1" applyProtection="1">
      <alignment horizontal="center" vertical="center" wrapText="1"/>
      <protection locked="0"/>
    </xf>
    <xf numFmtId="0" fontId="0" fillId="28" borderId="5" xfId="0" applyFill="1" applyBorder="1" applyProtection="1">
      <protection locked="0"/>
    </xf>
    <xf numFmtId="0" fontId="0" fillId="28" borderId="96" xfId="0" applyFill="1" applyBorder="1" applyProtection="1">
      <protection locked="0"/>
    </xf>
    <xf numFmtId="4" fontId="0" fillId="0" borderId="1" xfId="0" applyNumberFormat="1" applyBorder="1" applyProtection="1">
      <protection locked="0"/>
    </xf>
    <xf numFmtId="44" fontId="0" fillId="8" borderId="1" xfId="1" applyFont="1" applyFill="1" applyBorder="1" applyAlignment="1">
      <alignment horizontal="left" vertical="center"/>
    </xf>
    <xf numFmtId="9" fontId="6" fillId="2" borderId="0" xfId="2" applyFont="1" applyFill="1" applyBorder="1" applyAlignment="1" applyProtection="1">
      <alignment vertical="center"/>
      <protection locked="0"/>
    </xf>
    <xf numFmtId="165" fontId="64" fillId="10" borderId="15" xfId="2" applyNumberFormat="1" applyFont="1" applyFill="1" applyBorder="1" applyAlignment="1" applyProtection="1">
      <alignment horizontal="center" vertical="center"/>
      <protection locked="0"/>
    </xf>
    <xf numFmtId="165" fontId="64" fillId="6" borderId="15" xfId="2" applyNumberFormat="1" applyFont="1" applyFill="1" applyBorder="1" applyAlignment="1" applyProtection="1">
      <alignment horizontal="center" vertical="center"/>
      <protection locked="0"/>
    </xf>
    <xf numFmtId="0" fontId="6" fillId="47" borderId="4" xfId="0" applyFont="1" applyFill="1" applyBorder="1" applyAlignment="1" applyProtection="1">
      <alignment horizontal="center"/>
      <protection locked="0"/>
    </xf>
    <xf numFmtId="0" fontId="0" fillId="0" borderId="0" xfId="0" applyAlignment="1">
      <alignment horizontal="center"/>
    </xf>
    <xf numFmtId="171" fontId="65" fillId="0" borderId="79" xfId="0" applyNumberFormat="1" applyFont="1" applyBorder="1" applyAlignment="1" applyProtection="1">
      <alignment vertical="center"/>
      <protection locked="0"/>
    </xf>
    <xf numFmtId="171" fontId="65" fillId="0" borderId="0" xfId="0" applyNumberFormat="1" applyFont="1" applyAlignment="1" applyProtection="1">
      <alignment vertical="center"/>
      <protection locked="0"/>
    </xf>
    <xf numFmtId="0" fontId="48" fillId="0" borderId="0" xfId="0" applyFont="1" applyAlignment="1">
      <alignment vertical="center"/>
    </xf>
    <xf numFmtId="44" fontId="0" fillId="10" borderId="0" xfId="1" applyFont="1" applyFill="1"/>
    <xf numFmtId="0" fontId="89" fillId="23" borderId="12" xfId="0" applyFont="1" applyFill="1" applyBorder="1" applyAlignment="1">
      <alignment horizontal="center"/>
    </xf>
    <xf numFmtId="0" fontId="0" fillId="10" borderId="12" xfId="0" applyFill="1" applyBorder="1" applyAlignment="1">
      <alignment horizontal="center"/>
    </xf>
    <xf numFmtId="44" fontId="0" fillId="10" borderId="12" xfId="1" applyFont="1" applyFill="1" applyBorder="1"/>
    <xf numFmtId="44" fontId="0" fillId="10" borderId="12" xfId="0" applyNumberFormat="1" applyFill="1" applyBorder="1"/>
    <xf numFmtId="0" fontId="0" fillId="11" borderId="12" xfId="0" applyFill="1" applyBorder="1" applyAlignment="1">
      <alignment horizontal="center"/>
    </xf>
    <xf numFmtId="44" fontId="0" fillId="11" borderId="12" xfId="1" applyFont="1" applyFill="1" applyBorder="1"/>
    <xf numFmtId="44" fontId="0" fillId="11" borderId="12" xfId="0" applyNumberFormat="1" applyFill="1" applyBorder="1"/>
    <xf numFmtId="44" fontId="89" fillId="23" borderId="12" xfId="1" applyFont="1" applyFill="1" applyBorder="1"/>
    <xf numFmtId="0" fontId="89" fillId="23" borderId="44" xfId="0" applyFont="1" applyFill="1" applyBorder="1" applyAlignment="1">
      <alignment horizontal="center"/>
    </xf>
    <xf numFmtId="0" fontId="0" fillId="10" borderId="44" xfId="0" applyFill="1" applyBorder="1" applyAlignment="1">
      <alignment horizontal="left" vertical="center"/>
    </xf>
    <xf numFmtId="0" fontId="0" fillId="11" borderId="44" xfId="0" applyFill="1" applyBorder="1" applyAlignment="1">
      <alignment horizontal="left" vertical="center"/>
    </xf>
    <xf numFmtId="0" fontId="0" fillId="10" borderId="12" xfId="0" applyFill="1" applyBorder="1" applyAlignment="1">
      <alignment horizontal="left" vertical="center"/>
    </xf>
    <xf numFmtId="0" fontId="16" fillId="18" borderId="17" xfId="1" applyNumberFormat="1" applyFont="1" applyFill="1" applyBorder="1" applyAlignment="1">
      <alignment horizontal="center" vertical="center"/>
    </xf>
    <xf numFmtId="0" fontId="16" fillId="19" borderId="17" xfId="1" applyNumberFormat="1" applyFont="1" applyFill="1" applyBorder="1" applyAlignment="1">
      <alignment horizontal="center" vertical="center"/>
    </xf>
    <xf numFmtId="0" fontId="16" fillId="51" borderId="92" xfId="0" applyFont="1" applyFill="1" applyBorder="1" applyAlignment="1">
      <alignment horizontal="center" vertical="center"/>
    </xf>
    <xf numFmtId="0" fontId="16" fillId="52" borderId="92" xfId="0" applyFont="1" applyFill="1" applyBorder="1" applyAlignment="1">
      <alignment horizontal="center" vertical="center"/>
    </xf>
    <xf numFmtId="0" fontId="16" fillId="53" borderId="92" xfId="0" applyFont="1" applyFill="1" applyBorder="1" applyAlignment="1">
      <alignment horizontal="center" vertical="center"/>
    </xf>
    <xf numFmtId="0" fontId="0" fillId="17" borderId="15" xfId="0" applyFill="1" applyBorder="1" applyAlignment="1">
      <alignment vertical="center"/>
    </xf>
    <xf numFmtId="0" fontId="16" fillId="17" borderId="17" xfId="1" applyNumberFormat="1" applyFont="1" applyFill="1" applyBorder="1" applyAlignment="1">
      <alignment horizontal="center" vertical="center"/>
    </xf>
    <xf numFmtId="166" fontId="16" fillId="17" borderId="17" xfId="1" applyNumberFormat="1" applyFont="1" applyFill="1" applyBorder="1" applyAlignment="1">
      <alignment vertical="center"/>
    </xf>
    <xf numFmtId="0" fontId="0" fillId="51" borderId="92" xfId="0" applyFill="1" applyBorder="1" applyAlignment="1">
      <alignment vertical="center"/>
    </xf>
    <xf numFmtId="166" fontId="16" fillId="51" borderId="15" xfId="1" applyNumberFormat="1" applyFont="1" applyFill="1" applyBorder="1" applyAlignment="1">
      <alignment vertical="center"/>
    </xf>
    <xf numFmtId="0" fontId="0" fillId="18" borderId="15" xfId="0" applyFill="1" applyBorder="1" applyAlignment="1">
      <alignment vertical="center"/>
    </xf>
    <xf numFmtId="0" fontId="0" fillId="52" borderId="92" xfId="0" applyFill="1" applyBorder="1" applyAlignment="1">
      <alignment vertical="center"/>
    </xf>
    <xf numFmtId="0" fontId="0" fillId="19" borderId="15" xfId="0" applyFill="1" applyBorder="1" applyAlignment="1">
      <alignment vertical="center"/>
    </xf>
    <xf numFmtId="0" fontId="0" fillId="53" borderId="92" xfId="0" applyFill="1" applyBorder="1" applyAlignment="1">
      <alignment vertical="center"/>
    </xf>
    <xf numFmtId="165" fontId="0" fillId="0" borderId="1" xfId="2" applyNumberFormat="1" applyFont="1" applyBorder="1" applyAlignment="1" applyProtection="1">
      <alignment horizontal="center" indent="1"/>
      <protection locked="0"/>
    </xf>
    <xf numFmtId="9" fontId="33" fillId="11" borderId="0" xfId="2" applyFont="1" applyFill="1" applyBorder="1" applyAlignment="1" applyProtection="1">
      <alignment horizontal="center" vertical="center"/>
      <protection locked="0"/>
    </xf>
    <xf numFmtId="0" fontId="0" fillId="0" borderId="1" xfId="1" applyNumberFormat="1" applyFont="1" applyFill="1" applyBorder="1" applyAlignment="1" applyProtection="1">
      <alignment horizontal="left" vertical="center"/>
      <protection locked="0"/>
    </xf>
    <xf numFmtId="9" fontId="0" fillId="0" borderId="1" xfId="2" applyFont="1" applyFill="1" applyBorder="1" applyAlignment="1" applyProtection="1">
      <alignment horizontal="center" vertical="center"/>
      <protection locked="0"/>
    </xf>
    <xf numFmtId="44" fontId="0" fillId="0" borderId="1" xfId="1" applyFont="1" applyFill="1" applyBorder="1" applyAlignment="1" applyProtection="1">
      <alignment horizontal="left" vertical="center"/>
    </xf>
    <xf numFmtId="4" fontId="0" fillId="0" borderId="1" xfId="0" applyNumberFormat="1" applyBorder="1" applyAlignment="1" applyProtection="1">
      <alignment horizontal="right" vertical="center"/>
      <protection locked="0"/>
    </xf>
    <xf numFmtId="0" fontId="0" fillId="10" borderId="0" xfId="0" applyFill="1" applyAlignment="1" applyProtection="1">
      <alignment horizontal="center" wrapText="1"/>
      <protection locked="0"/>
    </xf>
    <xf numFmtId="0" fontId="0" fillId="10" borderId="0" xfId="0" applyFill="1" applyAlignment="1" applyProtection="1">
      <alignment horizontal="left" wrapText="1"/>
      <protection locked="0"/>
    </xf>
    <xf numFmtId="0" fontId="0" fillId="10" borderId="0" xfId="0" applyFill="1" applyAlignment="1" applyProtection="1">
      <alignment wrapText="1"/>
      <protection locked="0"/>
    </xf>
    <xf numFmtId="44" fontId="0" fillId="42" borderId="1" xfId="1" applyFont="1" applyFill="1" applyBorder="1" applyAlignment="1" applyProtection="1">
      <alignment horizontal="left" vertical="center"/>
    </xf>
    <xf numFmtId="0" fontId="92" fillId="10" borderId="0" xfId="0" applyFont="1" applyFill="1" applyAlignment="1">
      <alignment vertical="center" wrapText="1"/>
    </xf>
    <xf numFmtId="0" fontId="92" fillId="10" borderId="0" xfId="0" applyFont="1" applyFill="1" applyAlignment="1">
      <alignment wrapText="1"/>
    </xf>
    <xf numFmtId="0" fontId="0" fillId="10" borderId="0" xfId="0" applyFill="1" applyAlignment="1">
      <alignment vertical="center" wrapText="1"/>
    </xf>
    <xf numFmtId="44" fontId="51" fillId="10" borderId="1" xfId="1" applyFont="1" applyFill="1" applyBorder="1" applyAlignment="1" applyProtection="1">
      <alignment horizontal="left" vertical="center"/>
    </xf>
    <xf numFmtId="44" fontId="69" fillId="8" borderId="1" xfId="1" applyFont="1" applyFill="1" applyBorder="1" applyAlignment="1" applyProtection="1">
      <alignment horizontal="left" vertical="center"/>
    </xf>
    <xf numFmtId="14" fontId="58" fillId="10" borderId="0" xfId="0" applyNumberFormat="1" applyFont="1" applyFill="1" applyAlignment="1" applyProtection="1">
      <alignment horizontal="center" vertical="center"/>
      <protection locked="0"/>
    </xf>
    <xf numFmtId="14" fontId="58" fillId="8" borderId="0" xfId="0" applyNumberFormat="1" applyFont="1" applyFill="1" applyAlignment="1" applyProtection="1">
      <alignment horizontal="center" vertical="center"/>
      <protection locked="0"/>
    </xf>
    <xf numFmtId="3" fontId="0" fillId="0" borderId="1" xfId="0" applyNumberFormat="1" applyBorder="1" applyProtection="1">
      <protection locked="0"/>
    </xf>
    <xf numFmtId="0" fontId="15" fillId="0" borderId="13" xfId="0" applyFont="1" applyBorder="1" applyAlignment="1" applyProtection="1">
      <alignment horizontal="left" vertical="center"/>
      <protection locked="0"/>
    </xf>
    <xf numFmtId="0" fontId="15" fillId="0" borderId="13" xfId="0" applyFont="1" applyBorder="1" applyAlignment="1" applyProtection="1">
      <alignment vertical="center"/>
      <protection locked="0"/>
    </xf>
    <xf numFmtId="0" fontId="52" fillId="10" borderId="12" xfId="0" applyFont="1" applyFill="1" applyBorder="1" applyAlignment="1" applyProtection="1">
      <alignment horizontal="center" vertical="center"/>
      <protection locked="0"/>
    </xf>
    <xf numFmtId="0" fontId="15" fillId="10" borderId="13" xfId="0" applyFont="1" applyFill="1" applyBorder="1" applyProtection="1">
      <protection locked="0"/>
    </xf>
    <xf numFmtId="0" fontId="15" fillId="6" borderId="13" xfId="0" applyFont="1" applyFill="1" applyBorder="1" applyProtection="1">
      <protection locked="0"/>
    </xf>
    <xf numFmtId="0" fontId="0" fillId="0" borderId="48"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8" fillId="3" borderId="98" xfId="0" applyFont="1" applyFill="1" applyBorder="1" applyAlignment="1" applyProtection="1">
      <alignment horizontal="center" vertical="center" wrapText="1"/>
      <protection locked="0"/>
    </xf>
    <xf numFmtId="0" fontId="53" fillId="0" borderId="0" xfId="0" applyFont="1" applyAlignment="1" applyProtection="1">
      <alignment horizontal="center" vertical="center"/>
      <protection locked="0"/>
    </xf>
    <xf numFmtId="0" fontId="55" fillId="10" borderId="0" xfId="0" applyFont="1" applyFill="1" applyProtection="1">
      <protection locked="0"/>
    </xf>
    <xf numFmtId="164" fontId="0" fillId="10" borderId="0" xfId="0" applyNumberFormat="1" applyFill="1" applyProtection="1">
      <protection locked="0"/>
    </xf>
    <xf numFmtId="14" fontId="67" fillId="10" borderId="0" xfId="0" applyNumberFormat="1" applyFont="1" applyFill="1" applyAlignment="1" applyProtection="1">
      <alignment horizontal="center" vertical="center"/>
      <protection locked="0"/>
    </xf>
    <xf numFmtId="0" fontId="16" fillId="0" borderId="13" xfId="0" applyFont="1" applyBorder="1" applyProtection="1">
      <protection locked="0"/>
    </xf>
    <xf numFmtId="9" fontId="0" fillId="0" borderId="6" xfId="2" applyFont="1" applyBorder="1" applyAlignment="1" applyProtection="1">
      <alignment horizontal="center"/>
      <protection locked="0"/>
    </xf>
    <xf numFmtId="44" fontId="0" fillId="55" borderId="1" xfId="1" applyFont="1" applyFill="1" applyBorder="1" applyAlignment="1" applyProtection="1">
      <alignment horizontal="left" vertical="center"/>
    </xf>
    <xf numFmtId="0" fontId="52" fillId="8" borderId="12" xfId="0" applyFont="1" applyFill="1" applyBorder="1" applyAlignment="1" applyProtection="1">
      <alignment horizontal="center" vertical="center"/>
      <protection locked="0"/>
    </xf>
    <xf numFmtId="3" fontId="14" fillId="0" borderId="1" xfId="0" applyNumberFormat="1" applyFont="1" applyBorder="1" applyAlignment="1" applyProtection="1">
      <alignment horizontal="center" vertical="center"/>
      <protection locked="0"/>
    </xf>
    <xf numFmtId="165" fontId="42" fillId="30" borderId="45" xfId="2" applyNumberFormat="1" applyFont="1" applyFill="1" applyBorder="1" applyAlignment="1" applyProtection="1">
      <alignment horizontal="center" vertical="center"/>
      <protection locked="0"/>
    </xf>
    <xf numFmtId="165" fontId="42" fillId="30" borderId="46" xfId="2" applyNumberFormat="1" applyFont="1" applyFill="1" applyBorder="1" applyAlignment="1" applyProtection="1">
      <alignment horizontal="center" vertical="center"/>
      <protection locked="0"/>
    </xf>
    <xf numFmtId="165" fontId="42" fillId="30" borderId="25" xfId="2" applyNumberFormat="1" applyFont="1" applyFill="1" applyBorder="1" applyAlignment="1" applyProtection="1">
      <alignment horizontal="center" vertical="center"/>
      <protection locked="0"/>
    </xf>
    <xf numFmtId="2" fontId="0" fillId="0" borderId="1" xfId="0" applyNumberFormat="1" applyBorder="1" applyAlignment="1" applyProtection="1">
      <alignment horizontal="right"/>
      <protection locked="0"/>
    </xf>
    <xf numFmtId="2" fontId="0" fillId="0" borderId="1" xfId="0" applyNumberFormat="1" applyBorder="1" applyProtection="1">
      <protection locked="0"/>
    </xf>
    <xf numFmtId="10" fontId="0" fillId="0" borderId="6" xfId="0" applyNumberFormat="1" applyBorder="1" applyAlignment="1" applyProtection="1">
      <alignment horizontal="left"/>
      <protection locked="0"/>
    </xf>
    <xf numFmtId="0" fontId="0" fillId="0" borderId="6" xfId="0" applyBorder="1" applyAlignment="1" applyProtection="1">
      <alignment horizontal="left"/>
      <protection locked="0"/>
    </xf>
    <xf numFmtId="10" fontId="0" fillId="0" borderId="1" xfId="0" applyNumberFormat="1" applyBorder="1" applyAlignment="1" applyProtection="1">
      <alignment horizontal="left"/>
      <protection locked="0"/>
    </xf>
    <xf numFmtId="20" fontId="0" fillId="0" borderId="1" xfId="0" applyNumberFormat="1" applyBorder="1" applyAlignment="1" applyProtection="1">
      <alignment horizontal="left"/>
      <protection locked="0"/>
    </xf>
    <xf numFmtId="44" fontId="0" fillId="0" borderId="1" xfId="1" applyFont="1" applyBorder="1" applyAlignment="1" applyProtection="1">
      <alignment horizontal="left"/>
      <protection locked="0"/>
    </xf>
    <xf numFmtId="170" fontId="0" fillId="0" borderId="1" xfId="0" applyNumberFormat="1" applyBorder="1" applyAlignment="1" applyProtection="1">
      <alignment horizontal="left"/>
      <protection locked="0"/>
    </xf>
    <xf numFmtId="9" fontId="0" fillId="0" borderId="1" xfId="0" applyNumberFormat="1" applyBorder="1" applyAlignment="1" applyProtection="1">
      <alignment horizontal="left"/>
      <protection locked="0"/>
    </xf>
    <xf numFmtId="46" fontId="0" fillId="0" borderId="1" xfId="0" applyNumberFormat="1" applyBorder="1" applyAlignment="1" applyProtection="1">
      <alignment horizontal="left"/>
      <protection locked="0"/>
    </xf>
    <xf numFmtId="21" fontId="0" fillId="0" borderId="1" xfId="0" applyNumberFormat="1" applyBorder="1" applyAlignment="1" applyProtection="1">
      <alignment horizontal="left"/>
      <protection locked="0"/>
    </xf>
    <xf numFmtId="0" fontId="15" fillId="56" borderId="13" xfId="0" applyFont="1" applyFill="1" applyBorder="1" applyAlignment="1" applyProtection="1">
      <alignment horizontal="left" vertical="center"/>
      <protection locked="0"/>
    </xf>
    <xf numFmtId="0" fontId="15" fillId="56" borderId="13" xfId="0" applyFont="1" applyFill="1" applyBorder="1" applyProtection="1">
      <protection locked="0"/>
    </xf>
    <xf numFmtId="0" fontId="16" fillId="56" borderId="13" xfId="0" applyFont="1" applyFill="1" applyBorder="1" applyProtection="1">
      <protection locked="0"/>
    </xf>
    <xf numFmtId="165" fontId="63" fillId="10" borderId="15" xfId="2" applyNumberFormat="1" applyFont="1" applyFill="1" applyBorder="1" applyAlignment="1" applyProtection="1">
      <alignment horizontal="center" vertical="center"/>
      <protection locked="0"/>
    </xf>
    <xf numFmtId="165" fontId="63" fillId="6" borderId="15" xfId="2" applyNumberFormat="1" applyFont="1" applyFill="1" applyBorder="1" applyAlignment="1" applyProtection="1">
      <alignment horizontal="center" vertical="center"/>
      <protection locked="0"/>
    </xf>
    <xf numFmtId="0" fontId="0" fillId="28" borderId="7" xfId="0" applyFill="1" applyBorder="1" applyAlignment="1">
      <alignment horizontal="center" vertical="center"/>
    </xf>
    <xf numFmtId="44" fontId="58" fillId="10" borderId="1" xfId="1" applyFont="1" applyFill="1" applyBorder="1" applyAlignment="1" applyProtection="1">
      <alignment horizontal="left" vertical="center"/>
    </xf>
    <xf numFmtId="0" fontId="0" fillId="10" borderId="11" xfId="0" applyFill="1" applyBorder="1" applyAlignment="1" applyProtection="1">
      <alignment horizontal="left" vertical="center"/>
      <protection locked="0"/>
    </xf>
    <xf numFmtId="0" fontId="0" fillId="10" borderId="13" xfId="0" applyFill="1" applyBorder="1" applyAlignment="1" applyProtection="1">
      <alignment horizontal="left" vertical="center"/>
      <protection locked="0"/>
    </xf>
    <xf numFmtId="0" fontId="0" fillId="10" borderId="44" xfId="0" applyFill="1" applyBorder="1" applyAlignment="1" applyProtection="1">
      <alignment horizontal="left" vertical="center"/>
      <protection locked="0"/>
    </xf>
    <xf numFmtId="0" fontId="0" fillId="8" borderId="11" xfId="0" applyFill="1" applyBorder="1" applyAlignment="1" applyProtection="1">
      <alignment horizontal="left" vertical="center"/>
      <protection locked="0"/>
    </xf>
    <xf numFmtId="0" fontId="0" fillId="8" borderId="13" xfId="0" applyFill="1" applyBorder="1" applyAlignment="1" applyProtection="1">
      <alignment horizontal="left" vertical="center"/>
      <protection locked="0"/>
    </xf>
    <xf numFmtId="0" fontId="0" fillId="8" borderId="44" xfId="0" applyFill="1" applyBorder="1" applyAlignment="1" applyProtection="1">
      <alignment horizontal="left" vertical="center"/>
      <protection locked="0"/>
    </xf>
    <xf numFmtId="44" fontId="69" fillId="10" borderId="1" xfId="1" applyFont="1" applyFill="1" applyBorder="1" applyAlignment="1" applyProtection="1">
      <alignment horizontal="left" vertical="center"/>
    </xf>
    <xf numFmtId="0" fontId="15" fillId="10" borderId="13" xfId="0" applyFont="1" applyFill="1" applyBorder="1" applyAlignment="1" applyProtection="1">
      <alignment horizontal="center"/>
      <protection locked="0"/>
    </xf>
    <xf numFmtId="0" fontId="15" fillId="8" borderId="13" xfId="0" applyFont="1" applyFill="1" applyBorder="1" applyAlignment="1" applyProtection="1">
      <alignment horizontal="center"/>
      <protection locked="0"/>
    </xf>
    <xf numFmtId="0" fontId="15" fillId="0" borderId="13" xfId="0" applyFont="1" applyBorder="1" applyAlignment="1" applyProtection="1">
      <alignment horizontal="center"/>
      <protection locked="0"/>
    </xf>
    <xf numFmtId="0" fontId="15" fillId="10" borderId="13" xfId="0" applyFont="1" applyFill="1" applyBorder="1" applyAlignment="1" applyProtection="1">
      <alignment horizontal="center" vertical="center"/>
      <protection locked="0"/>
    </xf>
    <xf numFmtId="0" fontId="15" fillId="8" borderId="13" xfId="0" applyFont="1" applyFill="1" applyBorder="1" applyAlignment="1" applyProtection="1">
      <alignment horizontal="center" vertical="center"/>
      <protection locked="0"/>
    </xf>
    <xf numFmtId="0" fontId="15" fillId="0" borderId="13" xfId="0" applyFont="1" applyBorder="1" applyAlignment="1" applyProtection="1">
      <alignment horizontal="center" vertical="center"/>
      <protection locked="0"/>
    </xf>
    <xf numFmtId="0" fontId="103" fillId="10" borderId="13" xfId="0" applyFont="1" applyFill="1" applyBorder="1" applyAlignment="1" applyProtection="1">
      <alignment horizontal="left" vertical="center"/>
      <protection locked="0"/>
    </xf>
    <xf numFmtId="0" fontId="103" fillId="8" borderId="13" xfId="0" applyFont="1" applyFill="1" applyBorder="1" applyAlignment="1" applyProtection="1">
      <alignment vertical="center"/>
      <protection locked="0"/>
    </xf>
    <xf numFmtId="0" fontId="103" fillId="8" borderId="13" xfId="0" applyFont="1" applyFill="1" applyBorder="1" applyAlignment="1" applyProtection="1">
      <alignment horizontal="left" vertical="center"/>
      <protection locked="0"/>
    </xf>
    <xf numFmtId="0" fontId="104" fillId="10" borderId="13" xfId="0" applyFont="1" applyFill="1" applyBorder="1" applyAlignment="1" applyProtection="1">
      <alignment horizontal="left" vertical="center"/>
      <protection locked="0"/>
    </xf>
    <xf numFmtId="0" fontId="104" fillId="8" borderId="13" xfId="0" applyFont="1" applyFill="1" applyBorder="1" applyAlignment="1" applyProtection="1">
      <alignment vertical="center"/>
      <protection locked="0"/>
    </xf>
    <xf numFmtId="0" fontId="105" fillId="8" borderId="13" xfId="0" applyFont="1" applyFill="1" applyBorder="1" applyAlignment="1" applyProtection="1">
      <alignment vertical="center"/>
      <protection locked="0"/>
    </xf>
    <xf numFmtId="0" fontId="105" fillId="10" borderId="13" xfId="0" applyFont="1" applyFill="1" applyBorder="1" applyAlignment="1" applyProtection="1">
      <alignment horizontal="left" vertical="center"/>
      <protection locked="0"/>
    </xf>
    <xf numFmtId="0" fontId="106" fillId="8" borderId="13" xfId="0" applyFont="1" applyFill="1" applyBorder="1" applyAlignment="1" applyProtection="1">
      <alignment vertical="center"/>
      <protection locked="0"/>
    </xf>
    <xf numFmtId="0" fontId="106" fillId="10" borderId="13" xfId="0" applyFont="1" applyFill="1" applyBorder="1" applyAlignment="1" applyProtection="1">
      <alignment horizontal="left" vertical="center"/>
      <protection locked="0"/>
    </xf>
    <xf numFmtId="0" fontId="107" fillId="8" borderId="13" xfId="0" applyFont="1" applyFill="1" applyBorder="1" applyAlignment="1" applyProtection="1">
      <alignment vertical="center"/>
      <protection locked="0"/>
    </xf>
    <xf numFmtId="0" fontId="108" fillId="8" borderId="13" xfId="0" applyFont="1" applyFill="1" applyBorder="1" applyAlignment="1" applyProtection="1">
      <alignment horizontal="center" vertical="center"/>
      <protection locked="0"/>
    </xf>
    <xf numFmtId="0" fontId="104" fillId="10" borderId="13" xfId="0" applyFont="1" applyFill="1" applyBorder="1" applyAlignment="1" applyProtection="1">
      <alignment vertical="center"/>
      <protection locked="0"/>
    </xf>
    <xf numFmtId="0" fontId="109" fillId="10" borderId="13" xfId="0" applyFont="1" applyFill="1" applyBorder="1" applyAlignment="1" applyProtection="1">
      <alignment horizontal="left" vertical="center"/>
      <protection locked="0"/>
    </xf>
    <xf numFmtId="0" fontId="109" fillId="11" borderId="13" xfId="0" applyFont="1" applyFill="1" applyBorder="1" applyAlignment="1" applyProtection="1">
      <alignment horizontal="left" vertical="center"/>
      <protection locked="0"/>
    </xf>
    <xf numFmtId="0" fontId="109" fillId="10" borderId="13" xfId="0" applyFont="1" applyFill="1" applyBorder="1" applyAlignment="1" applyProtection="1">
      <alignment horizontal="center" vertical="center"/>
      <protection locked="0"/>
    </xf>
    <xf numFmtId="0" fontId="109" fillId="11" borderId="13" xfId="0" applyFont="1" applyFill="1" applyBorder="1" applyAlignment="1" applyProtection="1">
      <alignment horizontal="center" vertical="center"/>
      <protection locked="0"/>
    </xf>
    <xf numFmtId="44" fontId="0" fillId="0" borderId="1" xfId="1" applyFont="1" applyBorder="1" applyProtection="1">
      <protection locked="0"/>
    </xf>
    <xf numFmtId="0" fontId="110" fillId="11" borderId="13" xfId="0" applyFont="1" applyFill="1" applyBorder="1" applyAlignment="1" applyProtection="1">
      <alignment horizontal="center" vertical="center"/>
      <protection locked="0"/>
    </xf>
    <xf numFmtId="44" fontId="0" fillId="40" borderId="1" xfId="1" applyFont="1" applyFill="1" applyBorder="1" applyAlignment="1" applyProtection="1">
      <alignment horizontal="left" vertical="center"/>
    </xf>
    <xf numFmtId="0" fontId="6" fillId="2" borderId="0" xfId="0" applyFont="1" applyFill="1" applyAlignment="1" applyProtection="1">
      <alignment horizontal="center" vertical="center" wrapText="1"/>
      <protection locked="0"/>
    </xf>
    <xf numFmtId="0" fontId="111" fillId="59" borderId="0" xfId="0" applyFont="1" applyFill="1" applyAlignment="1">
      <alignment horizontal="center" vertical="center"/>
    </xf>
    <xf numFmtId="9" fontId="111" fillId="59" borderId="0" xfId="2" applyFont="1" applyFill="1" applyAlignment="1">
      <alignment horizontal="center" vertical="center"/>
    </xf>
    <xf numFmtId="0" fontId="58" fillId="8" borderId="12" xfId="0" applyFont="1" applyFill="1" applyBorder="1" applyAlignment="1" applyProtection="1">
      <alignment horizontal="center" vertical="center"/>
      <protection locked="0"/>
    </xf>
    <xf numFmtId="44" fontId="31" fillId="10" borderId="17" xfId="4" applyNumberFormat="1" applyFill="1" applyBorder="1" applyAlignment="1" applyProtection="1">
      <alignment horizontal="left"/>
      <protection locked="0"/>
    </xf>
    <xf numFmtId="0" fontId="0" fillId="0" borderId="12" xfId="0" applyBorder="1" applyAlignment="1" applyProtection="1">
      <alignment horizontal="center" vertical="center"/>
      <protection locked="0"/>
    </xf>
    <xf numFmtId="0" fontId="0" fillId="10" borderId="0" xfId="0" applyFill="1" applyAlignment="1" applyProtection="1">
      <alignment horizontal="left" vertical="center" wrapText="1"/>
      <protection locked="0"/>
    </xf>
    <xf numFmtId="0" fontId="16" fillId="11" borderId="13" xfId="0" applyFont="1" applyFill="1" applyBorder="1" applyProtection="1">
      <protection locked="0"/>
    </xf>
    <xf numFmtId="0" fontId="15" fillId="11" borderId="13" xfId="0" applyFont="1" applyFill="1" applyBorder="1" applyAlignment="1" applyProtection="1">
      <alignment vertical="center"/>
      <protection locked="0"/>
    </xf>
    <xf numFmtId="0" fontId="15" fillId="11" borderId="13" xfId="0" applyFont="1" applyFill="1" applyBorder="1" applyAlignment="1" applyProtection="1">
      <alignment horizontal="center" vertical="center"/>
      <protection locked="0"/>
    </xf>
    <xf numFmtId="0" fontId="0" fillId="11" borderId="0" xfId="0" applyFill="1" applyAlignment="1" applyProtection="1">
      <alignment horizontal="left" vertical="center"/>
      <protection locked="0"/>
    </xf>
    <xf numFmtId="0" fontId="0" fillId="11" borderId="0" xfId="0" applyFill="1" applyAlignment="1" applyProtection="1">
      <alignment horizontal="center"/>
      <protection locked="0"/>
    </xf>
    <xf numFmtId="9" fontId="0" fillId="11" borderId="0" xfId="2" applyFont="1" applyFill="1" applyAlignment="1" applyProtection="1">
      <alignment horizontal="center"/>
      <protection locked="0"/>
    </xf>
    <xf numFmtId="9" fontId="0" fillId="11" borderId="0" xfId="0" applyNumberFormat="1" applyFill="1" applyAlignment="1" applyProtection="1">
      <alignment horizontal="center"/>
      <protection locked="0"/>
    </xf>
    <xf numFmtId="0" fontId="90" fillId="37" borderId="97" xfId="0" applyFont="1" applyFill="1" applyBorder="1" applyAlignment="1" applyProtection="1">
      <alignment horizontal="center"/>
      <protection locked="0"/>
    </xf>
    <xf numFmtId="0" fontId="0" fillId="6" borderId="12" xfId="0" applyFill="1" applyBorder="1" applyAlignment="1" applyProtection="1">
      <alignment horizontal="center" vertical="center"/>
      <protection locked="0"/>
    </xf>
    <xf numFmtId="0" fontId="90" fillId="41" borderId="97" xfId="0" applyFont="1" applyFill="1" applyBorder="1" applyAlignment="1" applyProtection="1">
      <alignment horizontal="center"/>
      <protection locked="0"/>
    </xf>
    <xf numFmtId="0" fontId="90" fillId="37" borderId="77" xfId="0" applyFont="1" applyFill="1" applyBorder="1" applyAlignment="1" applyProtection="1">
      <alignment horizontal="center"/>
      <protection locked="0"/>
    </xf>
    <xf numFmtId="0" fontId="90" fillId="41" borderId="78" xfId="0" applyFont="1" applyFill="1" applyBorder="1" applyAlignment="1" applyProtection="1">
      <alignment horizontal="center"/>
      <protection locked="0"/>
    </xf>
    <xf numFmtId="0" fontId="90" fillId="37" borderId="78" xfId="0" applyFont="1" applyFill="1" applyBorder="1" applyAlignment="1" applyProtection="1">
      <alignment horizontal="center"/>
      <protection locked="0"/>
    </xf>
    <xf numFmtId="0" fontId="0" fillId="56" borderId="12" xfId="0" applyFill="1" applyBorder="1" applyAlignment="1" applyProtection="1">
      <alignment horizontal="center" vertical="center"/>
      <protection locked="0"/>
    </xf>
    <xf numFmtId="0" fontId="90" fillId="57" borderId="78" xfId="0" applyFont="1" applyFill="1" applyBorder="1" applyAlignment="1" applyProtection="1">
      <alignment horizontal="center"/>
      <protection locked="0"/>
    </xf>
    <xf numFmtId="0" fontId="0" fillId="11" borderId="0" xfId="0" applyFill="1" applyAlignment="1" applyProtection="1">
      <alignment horizontal="center" vertical="center"/>
      <protection locked="0"/>
    </xf>
    <xf numFmtId="9" fontId="0" fillId="11" borderId="0" xfId="2" applyFont="1" applyFill="1" applyAlignment="1" applyProtection="1">
      <alignment horizontal="center" vertical="center"/>
      <protection locked="0"/>
    </xf>
    <xf numFmtId="9" fontId="0" fillId="11" borderId="0" xfId="0" applyNumberFormat="1" applyFill="1" applyAlignment="1" applyProtection="1">
      <alignment horizontal="center" vertical="center"/>
      <protection locked="0"/>
    </xf>
    <xf numFmtId="14" fontId="67" fillId="11" borderId="0" xfId="0" applyNumberFormat="1" applyFont="1" applyFill="1" applyAlignment="1" applyProtection="1">
      <alignment horizontal="center" vertical="center"/>
      <protection locked="0"/>
    </xf>
    <xf numFmtId="10" fontId="33" fillId="10" borderId="25" xfId="0" applyNumberFormat="1" applyFont="1" applyFill="1" applyBorder="1" applyAlignment="1" applyProtection="1">
      <alignment horizontal="center" vertical="center"/>
      <protection locked="0"/>
    </xf>
    <xf numFmtId="10" fontId="33" fillId="11" borderId="25" xfId="2" applyNumberFormat="1" applyFont="1" applyFill="1" applyBorder="1" applyAlignment="1" applyProtection="1">
      <alignment horizontal="center" vertical="center"/>
      <protection locked="0"/>
    </xf>
    <xf numFmtId="44" fontId="0" fillId="40" borderId="1" xfId="1" applyFont="1" applyFill="1" applyBorder="1" applyAlignment="1">
      <alignment horizontal="left" vertical="center"/>
    </xf>
    <xf numFmtId="14" fontId="0" fillId="8" borderId="1" xfId="0" applyNumberFormat="1" applyFill="1" applyBorder="1" applyAlignment="1" applyProtection="1">
      <alignment horizontal="left" vertical="center"/>
      <protection locked="0"/>
    </xf>
    <xf numFmtId="165" fontId="0" fillId="0" borderId="1" xfId="0" applyNumberFormat="1" applyBorder="1" applyAlignment="1" applyProtection="1">
      <alignment horizontal="center" vertical="center"/>
      <protection locked="0"/>
    </xf>
    <xf numFmtId="165" fontId="0" fillId="0" borderId="6" xfId="0" applyNumberFormat="1" applyBorder="1" applyAlignment="1" applyProtection="1">
      <alignment horizontal="center" vertical="center"/>
      <protection locked="0"/>
    </xf>
    <xf numFmtId="165" fontId="58" fillId="0" borderId="6" xfId="0" applyNumberFormat="1" applyFont="1" applyBorder="1" applyAlignment="1" applyProtection="1">
      <alignment horizontal="center" vertical="center"/>
      <protection locked="0"/>
    </xf>
    <xf numFmtId="44" fontId="58" fillId="8" borderId="1" xfId="1" applyFont="1" applyFill="1" applyBorder="1" applyAlignment="1" applyProtection="1">
      <alignment horizontal="left" vertical="center"/>
    </xf>
    <xf numFmtId="44" fontId="58" fillId="8" borderId="1" xfId="1" applyFont="1" applyFill="1" applyBorder="1" applyAlignment="1">
      <alignment horizontal="left" vertical="center"/>
    </xf>
    <xf numFmtId="0" fontId="69" fillId="10" borderId="0" xfId="0" applyFont="1" applyFill="1" applyAlignment="1" applyProtection="1">
      <alignment horizontal="center" vertical="center"/>
      <protection locked="0"/>
    </xf>
    <xf numFmtId="1" fontId="69" fillId="10" borderId="0" xfId="2" applyNumberFormat="1" applyFont="1" applyFill="1" applyAlignment="1" applyProtection="1">
      <alignment horizontal="center" vertical="center"/>
      <protection locked="0"/>
    </xf>
    <xf numFmtId="9" fontId="69" fillId="10" borderId="0" xfId="2" applyFont="1" applyFill="1" applyAlignment="1" applyProtection="1">
      <alignment horizontal="center" vertical="center"/>
      <protection locked="0"/>
    </xf>
    <xf numFmtId="44" fontId="70" fillId="10" borderId="15" xfId="1" applyFont="1" applyFill="1" applyBorder="1" applyProtection="1">
      <protection locked="0"/>
    </xf>
    <xf numFmtId="44" fontId="70" fillId="6" borderId="15" xfId="1" applyFont="1" applyFill="1" applyBorder="1" applyProtection="1">
      <protection locked="0"/>
    </xf>
    <xf numFmtId="0" fontId="0" fillId="11" borderId="12" xfId="0" applyFill="1" applyBorder="1" applyAlignment="1" applyProtection="1">
      <alignment horizontal="center" vertical="center"/>
      <protection locked="0"/>
    </xf>
    <xf numFmtId="0" fontId="51" fillId="10" borderId="12" xfId="0" applyFont="1" applyFill="1" applyBorder="1" applyAlignment="1" applyProtection="1">
      <alignment horizontal="center" vertical="center"/>
      <protection locked="0"/>
    </xf>
    <xf numFmtId="174" fontId="0" fillId="0" borderId="1" xfId="2" applyNumberFormat="1" applyFont="1" applyBorder="1" applyAlignment="1" applyProtection="1">
      <alignment horizontal="center"/>
      <protection locked="0"/>
    </xf>
    <xf numFmtId="0" fontId="31" fillId="0" borderId="0" xfId="3" applyAlignment="1" applyProtection="1">
      <alignment horizontal="left" vertical="center"/>
      <protection locked="0"/>
    </xf>
    <xf numFmtId="44" fontId="0" fillId="10" borderId="1" xfId="1" applyFont="1" applyFill="1" applyBorder="1" applyAlignment="1">
      <alignment horizontal="left" vertical="center"/>
    </xf>
    <xf numFmtId="172" fontId="16" fillId="0" borderId="0" xfId="0" applyNumberFormat="1" applyFont="1" applyAlignment="1" applyProtection="1">
      <alignment horizontal="center" vertical="center" wrapText="1"/>
      <protection locked="0"/>
    </xf>
    <xf numFmtId="172" fontId="16" fillId="0" borderId="0" xfId="0" applyNumberFormat="1" applyFont="1" applyAlignment="1" applyProtection="1">
      <alignment horizontal="left" vertical="center" wrapText="1"/>
      <protection locked="0"/>
    </xf>
    <xf numFmtId="10" fontId="48" fillId="10" borderId="0" xfId="0" applyNumberFormat="1" applyFont="1" applyFill="1" applyAlignment="1">
      <alignment vertical="center"/>
    </xf>
    <xf numFmtId="10" fontId="0" fillId="0" borderId="0" xfId="2" applyNumberFormat="1" applyFont="1" applyAlignment="1">
      <alignment horizontal="center"/>
    </xf>
    <xf numFmtId="0" fontId="90" fillId="0" borderId="78" xfId="0" applyFont="1" applyBorder="1" applyAlignment="1" applyProtection="1">
      <alignment horizontal="center"/>
      <protection locked="0"/>
    </xf>
    <xf numFmtId="0" fontId="70" fillId="0" borderId="0" xfId="0" applyFont="1" applyProtection="1">
      <protection locked="0"/>
    </xf>
    <xf numFmtId="44" fontId="0" fillId="0" borderId="1" xfId="1" applyFont="1" applyFill="1" applyBorder="1" applyAlignment="1" applyProtection="1">
      <alignment horizontal="left" vertical="center"/>
      <protection locked="0"/>
    </xf>
    <xf numFmtId="44" fontId="0" fillId="0" borderId="1" xfId="1" applyFont="1" applyFill="1" applyBorder="1" applyAlignment="1" applyProtection="1">
      <alignment horizontal="center" vertical="center"/>
      <protection locked="0"/>
    </xf>
    <xf numFmtId="165" fontId="115" fillId="30" borderId="45" xfId="2" applyNumberFormat="1" applyFont="1" applyFill="1" applyBorder="1" applyAlignment="1" applyProtection="1">
      <alignment horizontal="center" vertical="center"/>
      <protection locked="0"/>
    </xf>
    <xf numFmtId="9" fontId="116" fillId="61" borderId="1" xfId="0" applyNumberFormat="1" applyFont="1" applyFill="1" applyBorder="1" applyAlignment="1">
      <alignment horizontal="center" vertical="center"/>
    </xf>
    <xf numFmtId="9" fontId="116" fillId="61" borderId="6" xfId="0" applyNumberFormat="1" applyFont="1" applyFill="1" applyBorder="1" applyAlignment="1">
      <alignment horizontal="center" vertical="center"/>
    </xf>
    <xf numFmtId="9" fontId="116" fillId="0" borderId="6" xfId="0" applyNumberFormat="1" applyFont="1" applyBorder="1" applyAlignment="1">
      <alignment horizontal="center" vertical="center"/>
    </xf>
    <xf numFmtId="9" fontId="116" fillId="37" borderId="6" xfId="0" applyNumberFormat="1" applyFont="1" applyFill="1" applyBorder="1" applyAlignment="1">
      <alignment horizontal="center" vertical="center"/>
    </xf>
    <xf numFmtId="0" fontId="116" fillId="0" borderId="6" xfId="0" applyFont="1" applyBorder="1" applyAlignment="1">
      <alignment horizontal="center" vertical="center"/>
    </xf>
    <xf numFmtId="44" fontId="51" fillId="8" borderId="1" xfId="1" applyFont="1" applyFill="1" applyBorder="1" applyAlignment="1">
      <alignment horizontal="left" vertical="center"/>
    </xf>
    <xf numFmtId="44" fontId="0" fillId="56" borderId="1" xfId="1" applyFont="1" applyFill="1" applyBorder="1" applyAlignment="1" applyProtection="1">
      <alignment horizontal="left" vertical="center"/>
    </xf>
    <xf numFmtId="0" fontId="51" fillId="11" borderId="12" xfId="0" applyFont="1" applyFill="1" applyBorder="1" applyAlignment="1" applyProtection="1">
      <alignment horizontal="center" vertical="center"/>
      <protection locked="0"/>
    </xf>
    <xf numFmtId="0" fontId="117" fillId="10" borderId="0" xfId="0" applyFont="1" applyFill="1" applyProtection="1">
      <protection locked="0"/>
    </xf>
    <xf numFmtId="44" fontId="51" fillId="0" borderId="1" xfId="1" applyFont="1" applyFill="1" applyBorder="1" applyAlignment="1" applyProtection="1">
      <alignment horizontal="left" vertical="center"/>
    </xf>
    <xf numFmtId="16" fontId="0" fillId="0" borderId="0" xfId="0" applyNumberFormat="1"/>
    <xf numFmtId="9" fontId="0" fillId="0" borderId="0" xfId="2" applyFont="1"/>
    <xf numFmtId="9" fontId="51" fillId="0" borderId="0" xfId="2" applyFont="1"/>
    <xf numFmtId="0" fontId="58" fillId="11" borderId="12" xfId="0" applyFont="1" applyFill="1" applyBorder="1" applyAlignment="1" applyProtection="1">
      <alignment horizontal="center" vertical="center"/>
      <protection locked="0"/>
    </xf>
    <xf numFmtId="0" fontId="119" fillId="2" borderId="0" xfId="0" applyFont="1" applyFill="1" applyAlignment="1" applyProtection="1">
      <alignment horizontal="center" vertical="center"/>
      <protection locked="0"/>
    </xf>
    <xf numFmtId="0" fontId="120" fillId="10" borderId="13" xfId="0" applyFont="1" applyFill="1" applyBorder="1" applyAlignment="1" applyProtection="1">
      <alignment horizontal="left" vertical="center"/>
      <protection locked="0"/>
    </xf>
    <xf numFmtId="0" fontId="120" fillId="10" borderId="13" xfId="0" applyFont="1" applyFill="1" applyBorder="1" applyProtection="1">
      <protection locked="0"/>
    </xf>
    <xf numFmtId="0" fontId="120" fillId="10" borderId="12" xfId="0" applyFont="1" applyFill="1" applyBorder="1" applyAlignment="1">
      <alignment horizontal="center" vertical="center"/>
    </xf>
    <xf numFmtId="0" fontId="120" fillId="10" borderId="12" xfId="0" applyFont="1" applyFill="1" applyBorder="1" applyProtection="1">
      <protection locked="0"/>
    </xf>
    <xf numFmtId="0" fontId="120" fillId="8" borderId="13" xfId="0" applyFont="1" applyFill="1" applyBorder="1" applyAlignment="1" applyProtection="1">
      <alignment horizontal="left" vertical="center"/>
      <protection locked="0"/>
    </xf>
    <xf numFmtId="0" fontId="120" fillId="8" borderId="13" xfId="0" applyFont="1" applyFill="1" applyBorder="1" applyAlignment="1" applyProtection="1">
      <alignment vertical="center"/>
      <protection locked="0"/>
    </xf>
    <xf numFmtId="0" fontId="120" fillId="8" borderId="13" xfId="0" applyFont="1" applyFill="1" applyBorder="1" applyProtection="1">
      <protection locked="0"/>
    </xf>
    <xf numFmtId="0" fontId="120" fillId="8" borderId="12" xfId="0" applyFont="1" applyFill="1" applyBorder="1" applyAlignment="1">
      <alignment horizontal="center" vertical="center"/>
    </xf>
    <xf numFmtId="0" fontId="120" fillId="8" borderId="12" xfId="0" applyFont="1" applyFill="1" applyBorder="1" applyProtection="1">
      <protection locked="0"/>
    </xf>
    <xf numFmtId="0" fontId="119" fillId="2" borderId="0" xfId="0" applyFont="1" applyFill="1" applyAlignment="1" applyProtection="1">
      <alignment horizontal="center"/>
      <protection locked="0"/>
    </xf>
    <xf numFmtId="9" fontId="119" fillId="2" borderId="0" xfId="2" applyFont="1" applyFill="1" applyAlignment="1" applyProtection="1">
      <alignment horizontal="center" vertical="center"/>
      <protection locked="0"/>
    </xf>
    <xf numFmtId="0" fontId="6" fillId="25" borderId="93" xfId="0" applyFont="1" applyFill="1" applyBorder="1" applyAlignment="1" applyProtection="1">
      <alignment horizontal="center" vertical="center"/>
      <protection locked="0"/>
    </xf>
    <xf numFmtId="0" fontId="24" fillId="10" borderId="0" xfId="0" applyFont="1" applyFill="1" applyAlignment="1" applyProtection="1">
      <alignment horizontal="center"/>
      <protection locked="0"/>
    </xf>
    <xf numFmtId="0" fontId="17" fillId="14" borderId="15" xfId="0" applyFont="1" applyFill="1" applyBorder="1" applyAlignment="1" applyProtection="1">
      <alignment horizontal="center" vertical="center"/>
      <protection locked="0"/>
    </xf>
    <xf numFmtId="0" fontId="6" fillId="25" borderId="0" xfId="0" applyFont="1" applyFill="1" applyAlignment="1" applyProtection="1">
      <alignment horizontal="center" vertical="center"/>
      <protection locked="0"/>
    </xf>
    <xf numFmtId="0" fontId="6" fillId="12" borderId="16" xfId="0" applyFont="1" applyFill="1" applyBorder="1" applyAlignment="1" applyProtection="1">
      <alignment vertical="center"/>
      <protection locked="0"/>
    </xf>
    <xf numFmtId="0" fontId="6" fillId="25" borderId="55" xfId="0" applyFont="1" applyFill="1" applyBorder="1" applyAlignment="1" applyProtection="1">
      <alignment vertical="center"/>
      <protection locked="0"/>
    </xf>
    <xf numFmtId="0" fontId="6" fillId="25" borderId="56" xfId="0" applyFont="1" applyFill="1" applyBorder="1" applyAlignment="1" applyProtection="1">
      <alignment vertical="center"/>
      <protection locked="0"/>
    </xf>
    <xf numFmtId="44" fontId="0" fillId="0" borderId="6" xfId="1" applyFont="1" applyBorder="1" applyAlignment="1" applyProtection="1">
      <alignment horizontal="center"/>
      <protection locked="0"/>
    </xf>
    <xf numFmtId="10" fontId="0" fillId="0" borderId="6" xfId="0" applyNumberFormat="1" applyBorder="1" applyAlignment="1" applyProtection="1">
      <alignment horizontal="center"/>
      <protection locked="0"/>
    </xf>
    <xf numFmtId="44" fontId="69" fillId="8" borderId="1" xfId="1" applyFont="1" applyFill="1" applyBorder="1" applyAlignment="1">
      <alignment horizontal="left" vertical="center"/>
    </xf>
    <xf numFmtId="10" fontId="0" fillId="0" borderId="6" xfId="2" applyNumberFormat="1" applyFont="1" applyBorder="1" applyAlignment="1" applyProtection="1">
      <alignment horizontal="center"/>
      <protection locked="0"/>
    </xf>
    <xf numFmtId="165" fontId="0" fillId="0" borderId="1" xfId="0" applyNumberFormat="1" applyBorder="1" applyAlignment="1">
      <alignment horizontal="center"/>
    </xf>
    <xf numFmtId="44" fontId="51" fillId="0" borderId="1" xfId="1" applyFont="1" applyBorder="1" applyAlignment="1">
      <alignment horizontal="left" vertical="center"/>
    </xf>
    <xf numFmtId="10" fontId="0" fillId="11" borderId="6" xfId="0" applyNumberFormat="1" applyFill="1" applyBorder="1" applyProtection="1">
      <protection locked="0"/>
    </xf>
    <xf numFmtId="0" fontId="0" fillId="11" borderId="6" xfId="0" applyFill="1" applyBorder="1" applyAlignment="1" applyProtection="1">
      <alignment horizontal="right"/>
      <protection locked="0"/>
    </xf>
    <xf numFmtId="44" fontId="115" fillId="21" borderId="74" xfId="1" applyFont="1" applyFill="1" applyBorder="1" applyAlignment="1" applyProtection="1">
      <alignment horizontal="center" vertical="center"/>
      <protection locked="0"/>
    </xf>
    <xf numFmtId="44" fontId="115" fillId="22" borderId="74" xfId="1" applyFont="1" applyFill="1" applyBorder="1" applyAlignment="1" applyProtection="1">
      <alignment horizontal="center" vertical="center"/>
      <protection locked="0"/>
    </xf>
    <xf numFmtId="0" fontId="123" fillId="21" borderId="74" xfId="0" applyFont="1" applyFill="1" applyBorder="1" applyAlignment="1" applyProtection="1">
      <alignment horizontal="left" vertical="center"/>
      <protection locked="0"/>
    </xf>
    <xf numFmtId="0" fontId="123" fillId="22" borderId="74" xfId="0" applyFont="1" applyFill="1" applyBorder="1" applyAlignment="1" applyProtection="1">
      <alignment horizontal="left" vertical="center"/>
      <protection locked="0"/>
    </xf>
    <xf numFmtId="21" fontId="0" fillId="10" borderId="1" xfId="0" applyNumberFormat="1" applyFill="1" applyBorder="1" applyProtection="1">
      <protection locked="0"/>
    </xf>
    <xf numFmtId="46" fontId="0" fillId="10" borderId="1" xfId="0" applyNumberFormat="1" applyFill="1" applyBorder="1" applyProtection="1">
      <protection locked="0"/>
    </xf>
    <xf numFmtId="4" fontId="0" fillId="10" borderId="1" xfId="0" applyNumberFormat="1" applyFill="1" applyBorder="1" applyProtection="1">
      <protection locked="0"/>
    </xf>
    <xf numFmtId="46" fontId="0" fillId="11" borderId="1" xfId="0" applyNumberFormat="1" applyFill="1" applyBorder="1" applyProtection="1">
      <protection locked="0"/>
    </xf>
    <xf numFmtId="9" fontId="0" fillId="11" borderId="1" xfId="0" applyNumberFormat="1" applyFill="1" applyBorder="1" applyProtection="1">
      <protection locked="0"/>
    </xf>
    <xf numFmtId="20" fontId="0" fillId="11" borderId="1" xfId="0" applyNumberFormat="1" applyFill="1" applyBorder="1" applyProtection="1">
      <protection locked="0"/>
    </xf>
    <xf numFmtId="0" fontId="0" fillId="11" borderId="1" xfId="0" applyFill="1" applyBorder="1" applyProtection="1">
      <protection locked="0"/>
    </xf>
    <xf numFmtId="9" fontId="125" fillId="2" borderId="0" xfId="2" applyFont="1" applyFill="1" applyBorder="1" applyAlignment="1" applyProtection="1">
      <alignment horizontal="left" vertical="center"/>
      <protection locked="0"/>
    </xf>
    <xf numFmtId="0" fontId="0" fillId="8" borderId="11" xfId="0" applyFill="1" applyBorder="1" applyAlignment="1" applyProtection="1">
      <alignment vertical="center"/>
      <protection locked="0"/>
    </xf>
    <xf numFmtId="0" fontId="0" fillId="8" borderId="13" xfId="0" applyFill="1" applyBorder="1" applyAlignment="1" applyProtection="1">
      <alignment vertical="center"/>
      <protection locked="0"/>
    </xf>
    <xf numFmtId="0" fontId="0" fillId="10" borderId="11" xfId="0" applyFill="1" applyBorder="1" applyAlignment="1" applyProtection="1">
      <alignment vertical="center"/>
      <protection locked="0"/>
    </xf>
    <xf numFmtId="0" fontId="0" fillId="10" borderId="13" xfId="0" applyFill="1" applyBorder="1" applyAlignment="1" applyProtection="1">
      <alignment vertical="center"/>
      <protection locked="0"/>
    </xf>
    <xf numFmtId="9" fontId="6" fillId="2" borderId="0" xfId="2" applyFont="1" applyFill="1" applyAlignment="1" applyProtection="1">
      <alignment vertical="center"/>
      <protection locked="0"/>
    </xf>
    <xf numFmtId="0" fontId="0" fillId="64" borderId="12" xfId="0" applyFill="1" applyBorder="1" applyProtection="1">
      <protection locked="0"/>
    </xf>
    <xf numFmtId="0" fontId="16" fillId="64" borderId="12" xfId="0" applyFont="1" applyFill="1" applyBorder="1" applyProtection="1">
      <protection locked="0"/>
    </xf>
    <xf numFmtId="0" fontId="116" fillId="65" borderId="1" xfId="0" applyFont="1" applyFill="1" applyBorder="1" applyAlignment="1">
      <alignment horizontal="center"/>
    </xf>
    <xf numFmtId="0" fontId="116" fillId="0" borderId="1" xfId="0" applyFont="1" applyBorder="1" applyAlignment="1">
      <alignment horizontal="center"/>
    </xf>
    <xf numFmtId="0" fontId="116" fillId="65" borderId="7" xfId="0" applyFont="1" applyFill="1" applyBorder="1" applyAlignment="1">
      <alignment horizontal="center"/>
    </xf>
    <xf numFmtId="10" fontId="116" fillId="65" borderId="1" xfId="0" applyNumberFormat="1" applyFont="1" applyFill="1" applyBorder="1" applyAlignment="1">
      <alignment horizontal="center" vertical="center"/>
    </xf>
    <xf numFmtId="10" fontId="116" fillId="0" borderId="1" xfId="0" applyNumberFormat="1" applyFont="1" applyBorder="1" applyAlignment="1">
      <alignment horizontal="center" vertical="center"/>
    </xf>
    <xf numFmtId="46" fontId="116" fillId="0" borderId="1" xfId="0" applyNumberFormat="1" applyFont="1" applyBorder="1" applyAlignment="1">
      <alignment horizontal="center" vertical="center"/>
    </xf>
    <xf numFmtId="20" fontId="116" fillId="65" borderId="1" xfId="0" applyNumberFormat="1" applyFont="1" applyFill="1" applyBorder="1" applyAlignment="1">
      <alignment horizontal="center" vertical="center"/>
    </xf>
    <xf numFmtId="3" fontId="116" fillId="0" borderId="1" xfId="0" applyNumberFormat="1" applyFont="1" applyBorder="1" applyAlignment="1">
      <alignment horizontal="center" vertical="center"/>
    </xf>
    <xf numFmtId="3" fontId="116" fillId="65" borderId="1" xfId="0" applyNumberFormat="1" applyFont="1" applyFill="1" applyBorder="1" applyAlignment="1">
      <alignment horizontal="center" vertical="center"/>
    </xf>
    <xf numFmtId="0" fontId="116" fillId="65" borderId="1" xfId="0" applyFont="1" applyFill="1" applyBorder="1" applyAlignment="1">
      <alignment horizontal="center" vertical="center"/>
    </xf>
    <xf numFmtId="0" fontId="116" fillId="0" borderId="1" xfId="0" applyFont="1" applyBorder="1" applyAlignment="1">
      <alignment horizontal="center" vertical="center"/>
    </xf>
    <xf numFmtId="9" fontId="116" fillId="65" borderId="1" xfId="0" applyNumberFormat="1" applyFont="1" applyFill="1" applyBorder="1" applyAlignment="1">
      <alignment horizontal="center" vertical="center"/>
    </xf>
    <xf numFmtId="9" fontId="116" fillId="0" borderId="1" xfId="0" applyNumberFormat="1" applyFont="1" applyBorder="1" applyAlignment="1">
      <alignment horizontal="center" vertical="center"/>
    </xf>
    <xf numFmtId="46" fontId="116" fillId="65" borderId="1" xfId="0" applyNumberFormat="1" applyFont="1" applyFill="1" applyBorder="1" applyAlignment="1">
      <alignment horizontal="center" vertical="center" wrapText="1"/>
    </xf>
    <xf numFmtId="20" fontId="116" fillId="0" borderId="1" xfId="0" applyNumberFormat="1" applyFont="1" applyBorder="1" applyAlignment="1">
      <alignment horizontal="center" vertical="center"/>
    </xf>
    <xf numFmtId="0" fontId="78" fillId="8" borderId="12" xfId="0" applyFont="1" applyFill="1" applyBorder="1" applyProtection="1">
      <protection locked="0"/>
    </xf>
    <xf numFmtId="0" fontId="78" fillId="8" borderId="12" xfId="0" applyFont="1" applyFill="1" applyBorder="1" applyAlignment="1" applyProtection="1">
      <alignment horizontal="center" vertical="center"/>
      <protection locked="0"/>
    </xf>
    <xf numFmtId="9" fontId="78" fillId="8" borderId="11" xfId="2" applyFont="1" applyFill="1" applyBorder="1" applyAlignment="1" applyProtection="1">
      <alignment horizontal="center" vertical="center"/>
      <protection locked="0"/>
    </xf>
    <xf numFmtId="0" fontId="78" fillId="8" borderId="13" xfId="0" applyFont="1" applyFill="1" applyBorder="1" applyAlignment="1" applyProtection="1">
      <alignment horizontal="left" vertical="center"/>
      <protection locked="0"/>
    </xf>
    <xf numFmtId="0" fontId="78" fillId="8" borderId="44" xfId="0" applyFont="1" applyFill="1" applyBorder="1" applyAlignment="1" applyProtection="1">
      <alignment horizontal="left" vertical="center"/>
      <protection locked="0"/>
    </xf>
    <xf numFmtId="0" fontId="78" fillId="10" borderId="44" xfId="0" applyFont="1" applyFill="1" applyBorder="1" applyAlignment="1" applyProtection="1">
      <alignment horizontal="left" vertical="center"/>
      <protection locked="0"/>
    </xf>
    <xf numFmtId="0" fontId="78" fillId="10" borderId="11" xfId="0" applyFont="1" applyFill="1" applyBorder="1" applyAlignment="1" applyProtection="1">
      <alignment vertical="center"/>
      <protection locked="0"/>
    </xf>
    <xf numFmtId="0" fontId="78" fillId="10" borderId="12" xfId="0" applyFont="1" applyFill="1" applyBorder="1" applyAlignment="1" applyProtection="1">
      <alignment horizontal="center" vertical="center"/>
      <protection locked="0"/>
    </xf>
    <xf numFmtId="9" fontId="78" fillId="10" borderId="11" xfId="2" applyFont="1" applyFill="1" applyBorder="1" applyAlignment="1" applyProtection="1">
      <alignment horizontal="center" vertical="center"/>
      <protection locked="0"/>
    </xf>
    <xf numFmtId="0" fontId="78" fillId="8" borderId="11" xfId="0" applyFont="1" applyFill="1" applyBorder="1" applyAlignment="1" applyProtection="1">
      <alignment vertical="center"/>
      <protection locked="0"/>
    </xf>
    <xf numFmtId="0" fontId="78" fillId="10" borderId="13" xfId="0" applyFont="1" applyFill="1" applyBorder="1" applyAlignment="1" applyProtection="1">
      <alignment horizontal="left" vertical="center"/>
      <protection locked="0"/>
    </xf>
    <xf numFmtId="0" fontId="78" fillId="10" borderId="12" xfId="0" applyFont="1" applyFill="1" applyBorder="1" applyProtection="1">
      <protection locked="0"/>
    </xf>
    <xf numFmtId="44" fontId="1" fillId="17" borderId="25" xfId="1" applyFont="1" applyFill="1" applyBorder="1" applyAlignment="1" applyProtection="1">
      <alignment horizontal="center"/>
      <protection locked="0"/>
    </xf>
    <xf numFmtId="44" fontId="1" fillId="18" borderId="57" xfId="1" applyFont="1" applyFill="1" applyBorder="1" applyAlignment="1" applyProtection="1">
      <alignment horizontal="center"/>
      <protection locked="0"/>
    </xf>
    <xf numFmtId="44" fontId="1" fillId="19" borderId="57" xfId="1" applyFont="1" applyFill="1" applyBorder="1" applyAlignment="1">
      <alignment horizontal="center"/>
    </xf>
    <xf numFmtId="44" fontId="1" fillId="8" borderId="1" xfId="1" applyFont="1" applyFill="1" applyBorder="1" applyAlignment="1" applyProtection="1">
      <alignment horizontal="left" vertical="center"/>
    </xf>
    <xf numFmtId="44" fontId="1" fillId="10" borderId="1" xfId="1" applyFont="1" applyFill="1" applyBorder="1" applyAlignment="1" applyProtection="1">
      <alignment horizontal="left" vertical="center"/>
    </xf>
    <xf numFmtId="0" fontId="0" fillId="8" borderId="44" xfId="0" applyFill="1" applyBorder="1" applyAlignment="1" applyProtection="1">
      <alignment horizontal="center" vertical="center"/>
      <protection locked="0"/>
    </xf>
    <xf numFmtId="0" fontId="0" fillId="10" borderId="11" xfId="0" applyFill="1" applyBorder="1" applyAlignment="1" applyProtection="1">
      <alignment horizontal="center" vertical="center"/>
      <protection locked="0"/>
    </xf>
    <xf numFmtId="0" fontId="0" fillId="10" borderId="44" xfId="0" applyFill="1" applyBorder="1" applyAlignment="1" applyProtection="1">
      <alignment horizontal="center" vertical="center"/>
      <protection locked="0"/>
    </xf>
    <xf numFmtId="0" fontId="0" fillId="10" borderId="101" xfId="0" applyFill="1" applyBorder="1" applyAlignment="1" applyProtection="1">
      <alignment horizontal="center" vertical="center"/>
      <protection locked="0"/>
    </xf>
    <xf numFmtId="9" fontId="69" fillId="0" borderId="1" xfId="2" applyFont="1" applyBorder="1" applyAlignment="1" applyProtection="1">
      <alignment horizontal="center" vertical="center"/>
      <protection locked="0"/>
    </xf>
    <xf numFmtId="0" fontId="69" fillId="0" borderId="1" xfId="0" applyFont="1" applyBorder="1" applyProtection="1">
      <protection locked="0"/>
    </xf>
    <xf numFmtId="9" fontId="0" fillId="8" borderId="12" xfId="2" applyFont="1" applyFill="1" applyBorder="1" applyAlignment="1" applyProtection="1">
      <alignment horizontal="left" vertical="center"/>
      <protection locked="0"/>
    </xf>
    <xf numFmtId="9" fontId="0" fillId="10" borderId="12" xfId="2" applyFont="1" applyFill="1" applyBorder="1" applyAlignment="1" applyProtection="1">
      <alignment horizontal="left" vertical="center"/>
      <protection locked="0"/>
    </xf>
    <xf numFmtId="9" fontId="0" fillId="10" borderId="12" xfId="2" applyFont="1" applyFill="1" applyBorder="1" applyAlignment="1" applyProtection="1">
      <alignment horizontal="left" vertical="center" wrapText="1"/>
      <protection locked="0"/>
    </xf>
    <xf numFmtId="0" fontId="52" fillId="0" borderId="12" xfId="0" applyFont="1" applyBorder="1" applyAlignment="1" applyProtection="1">
      <alignment horizontal="center" vertical="center"/>
      <protection locked="0"/>
    </xf>
    <xf numFmtId="9" fontId="16" fillId="42" borderId="12" xfId="2" applyFont="1" applyFill="1" applyBorder="1" applyAlignment="1" applyProtection="1">
      <alignment horizontal="left" vertical="center"/>
      <protection locked="0"/>
    </xf>
    <xf numFmtId="0" fontId="16" fillId="10" borderId="12" xfId="0" applyFont="1" applyFill="1" applyBorder="1" applyAlignment="1" applyProtection="1">
      <alignment horizontal="left"/>
      <protection locked="0"/>
    </xf>
    <xf numFmtId="0" fontId="16" fillId="8" borderId="12" xfId="0" applyFont="1" applyFill="1" applyBorder="1" applyAlignment="1" applyProtection="1">
      <alignment horizontal="left"/>
      <protection locked="0"/>
    </xf>
    <xf numFmtId="44" fontId="0" fillId="0" borderId="1" xfId="1" applyFont="1" applyFill="1" applyBorder="1" applyAlignment="1" applyProtection="1">
      <alignment horizontal="center"/>
      <protection locked="0"/>
    </xf>
    <xf numFmtId="9" fontId="0" fillId="10" borderId="0" xfId="2" applyFont="1" applyFill="1" applyProtection="1">
      <protection locked="0"/>
    </xf>
    <xf numFmtId="44" fontId="0" fillId="10" borderId="0" xfId="1" applyFont="1" applyFill="1" applyProtection="1">
      <protection locked="0"/>
    </xf>
    <xf numFmtId="0" fontId="127" fillId="8" borderId="12" xfId="0" applyFont="1" applyFill="1" applyBorder="1" applyProtection="1">
      <protection locked="0"/>
    </xf>
    <xf numFmtId="0" fontId="128" fillId="8" borderId="12" xfId="0" applyFont="1" applyFill="1" applyBorder="1" applyAlignment="1" applyProtection="1">
      <alignment horizontal="center" vertical="center"/>
      <protection locked="0"/>
    </xf>
    <xf numFmtId="9" fontId="128" fillId="8" borderId="12" xfId="2" applyFont="1" applyFill="1" applyBorder="1" applyAlignment="1" applyProtection="1">
      <alignment horizontal="center" vertical="center"/>
      <protection locked="0"/>
    </xf>
    <xf numFmtId="0" fontId="128" fillId="8" borderId="11" xfId="0" applyFont="1" applyFill="1" applyBorder="1" applyAlignment="1" applyProtection="1">
      <alignment vertical="center"/>
      <protection locked="0"/>
    </xf>
    <xf numFmtId="0" fontId="127" fillId="10" borderId="12" xfId="0" applyFont="1" applyFill="1" applyBorder="1" applyProtection="1">
      <protection locked="0"/>
    </xf>
    <xf numFmtId="0" fontId="128" fillId="10" borderId="12" xfId="0" applyFont="1" applyFill="1" applyBorder="1" applyAlignment="1" applyProtection="1">
      <alignment horizontal="center" vertical="center"/>
      <protection locked="0"/>
    </xf>
    <xf numFmtId="9" fontId="128" fillId="10" borderId="12" xfId="2" applyFont="1" applyFill="1" applyBorder="1" applyAlignment="1" applyProtection="1">
      <alignment horizontal="center" vertical="center"/>
      <protection locked="0"/>
    </xf>
    <xf numFmtId="0" fontId="0" fillId="11" borderId="0" xfId="0" applyFill="1" applyProtection="1">
      <protection locked="0"/>
    </xf>
    <xf numFmtId="0" fontId="0" fillId="11" borderId="0" xfId="0" applyFill="1"/>
    <xf numFmtId="44" fontId="0" fillId="11" borderId="0" xfId="1" applyFont="1" applyFill="1" applyBorder="1" applyAlignment="1" applyProtection="1">
      <alignment horizontal="center"/>
      <protection locked="0"/>
    </xf>
    <xf numFmtId="0" fontId="37" fillId="26" borderId="59" xfId="0" applyFont="1" applyFill="1" applyBorder="1" applyAlignment="1" applyProtection="1">
      <alignment horizontal="center" vertical="center"/>
      <protection locked="0"/>
    </xf>
    <xf numFmtId="44" fontId="41" fillId="14" borderId="57" xfId="1" applyFont="1" applyFill="1" applyBorder="1" applyAlignment="1" applyProtection="1">
      <alignment horizontal="center" vertical="center"/>
      <protection locked="0"/>
    </xf>
    <xf numFmtId="44" fontId="42" fillId="15" borderId="57" xfId="1" applyFont="1" applyFill="1" applyBorder="1" applyAlignment="1" applyProtection="1">
      <alignment horizontal="center" vertical="center"/>
      <protection locked="0"/>
    </xf>
    <xf numFmtId="44" fontId="42" fillId="39" borderId="57" xfId="1" applyFont="1" applyFill="1" applyBorder="1" applyAlignment="1" applyProtection="1">
      <alignment horizontal="center" vertical="center"/>
      <protection locked="0"/>
    </xf>
    <xf numFmtId="44" fontId="85" fillId="35" borderId="17" xfId="1" applyFont="1" applyFill="1" applyBorder="1" applyAlignment="1" applyProtection="1">
      <alignment vertical="center"/>
      <protection locked="0"/>
    </xf>
    <xf numFmtId="44" fontId="42" fillId="16" borderId="57" xfId="1" applyFont="1" applyFill="1" applyBorder="1" applyAlignment="1" applyProtection="1">
      <alignment horizontal="center" vertical="center"/>
      <protection locked="0"/>
    </xf>
    <xf numFmtId="165" fontId="42" fillId="30" borderId="57" xfId="2" applyNumberFormat="1" applyFont="1" applyFill="1" applyBorder="1" applyAlignment="1" applyProtection="1">
      <alignment horizontal="center" vertical="center"/>
      <protection locked="0"/>
    </xf>
    <xf numFmtId="0" fontId="42" fillId="31" borderId="57" xfId="1" applyNumberFormat="1" applyFont="1" applyFill="1" applyBorder="1" applyAlignment="1" applyProtection="1">
      <alignment horizontal="center" vertical="center"/>
      <protection locked="0"/>
    </xf>
    <xf numFmtId="0" fontId="33" fillId="11" borderId="102" xfId="0" applyFont="1" applyFill="1" applyBorder="1" applyAlignment="1" applyProtection="1">
      <alignment horizontal="left"/>
      <protection locked="0"/>
    </xf>
    <xf numFmtId="10" fontId="33" fillId="11" borderId="53" xfId="2" applyNumberFormat="1" applyFont="1" applyFill="1" applyBorder="1" applyAlignment="1" applyProtection="1">
      <alignment horizontal="center" vertical="center"/>
      <protection locked="0"/>
    </xf>
    <xf numFmtId="9" fontId="33" fillId="11" borderId="53" xfId="2" applyFont="1" applyFill="1" applyBorder="1" applyAlignment="1" applyProtection="1">
      <alignment horizontal="center" vertical="center"/>
      <protection locked="0"/>
    </xf>
    <xf numFmtId="0" fontId="0" fillId="11" borderId="103" xfId="0" applyFill="1" applyBorder="1" applyProtection="1">
      <protection locked="0"/>
    </xf>
    <xf numFmtId="0" fontId="0" fillId="11" borderId="104" xfId="0" applyFill="1" applyBorder="1" applyProtection="1">
      <protection locked="0"/>
    </xf>
    <xf numFmtId="9" fontId="33" fillId="11" borderId="104" xfId="2" applyFont="1" applyFill="1" applyBorder="1" applyAlignment="1" applyProtection="1">
      <alignment horizontal="center" vertical="center"/>
      <protection locked="0"/>
    </xf>
    <xf numFmtId="9" fontId="33" fillId="11" borderId="105" xfId="2" applyFont="1" applyFill="1" applyBorder="1" applyAlignment="1" applyProtection="1">
      <alignment horizontal="center" vertical="center"/>
      <protection locked="0"/>
    </xf>
    <xf numFmtId="0" fontId="0" fillId="11" borderId="106" xfId="0" applyFill="1" applyBorder="1" applyProtection="1">
      <protection locked="0"/>
    </xf>
    <xf numFmtId="9" fontId="33" fillId="11" borderId="107" xfId="2" applyFont="1" applyFill="1" applyBorder="1" applyAlignment="1" applyProtection="1">
      <alignment horizontal="center" vertical="center"/>
      <protection locked="0"/>
    </xf>
    <xf numFmtId="0" fontId="34" fillId="11" borderId="106" xfId="0" applyFont="1" applyFill="1" applyBorder="1" applyProtection="1">
      <protection locked="0"/>
    </xf>
    <xf numFmtId="0" fontId="34" fillId="11" borderId="108" xfId="0" applyFont="1" applyFill="1" applyBorder="1" applyProtection="1">
      <protection locked="0"/>
    </xf>
    <xf numFmtId="44" fontId="0" fillId="11" borderId="109" xfId="1" applyFont="1" applyFill="1" applyBorder="1" applyAlignment="1" applyProtection="1">
      <alignment horizontal="center"/>
      <protection locked="0"/>
    </xf>
    <xf numFmtId="0" fontId="0" fillId="11" borderId="109" xfId="0" applyFill="1" applyBorder="1" applyProtection="1">
      <protection locked="0"/>
    </xf>
    <xf numFmtId="9" fontId="33" fillId="11" borderId="109" xfId="2" applyFont="1" applyFill="1" applyBorder="1" applyAlignment="1" applyProtection="1">
      <alignment horizontal="center" vertical="center"/>
      <protection locked="0"/>
    </xf>
    <xf numFmtId="9" fontId="33" fillId="11" borderId="110" xfId="2" applyFont="1" applyFill="1" applyBorder="1" applyAlignment="1" applyProtection="1">
      <alignment horizontal="center" vertical="center"/>
      <protection locked="0"/>
    </xf>
    <xf numFmtId="0" fontId="129" fillId="11" borderId="106" xfId="0" applyFont="1" applyFill="1" applyBorder="1" applyProtection="1">
      <protection locked="0"/>
    </xf>
    <xf numFmtId="0" fontId="129" fillId="11" borderId="0" xfId="0" applyFont="1" applyFill="1" applyProtection="1">
      <protection locked="0"/>
    </xf>
    <xf numFmtId="0" fontId="129" fillId="11" borderId="106" xfId="0" applyFont="1" applyFill="1" applyBorder="1" applyAlignment="1" applyProtection="1">
      <alignment horizontal="center"/>
      <protection locked="0"/>
    </xf>
    <xf numFmtId="44" fontId="69" fillId="0" borderId="1" xfId="1" applyFont="1" applyBorder="1" applyAlignment="1">
      <alignment horizontal="left" vertical="center"/>
    </xf>
    <xf numFmtId="44" fontId="62" fillId="0" borderId="15" xfId="1" applyFont="1" applyFill="1" applyBorder="1" applyProtection="1">
      <protection locked="0"/>
    </xf>
    <xf numFmtId="44" fontId="51" fillId="42" borderId="1" xfId="1" applyFont="1" applyFill="1" applyBorder="1" applyAlignment="1" applyProtection="1">
      <alignment horizontal="left" vertical="center"/>
    </xf>
    <xf numFmtId="165" fontId="0" fillId="10" borderId="15" xfId="2" applyNumberFormat="1" applyFont="1" applyFill="1" applyBorder="1" applyAlignment="1" applyProtection="1">
      <alignment horizontal="center" vertical="center"/>
      <protection locked="0"/>
    </xf>
    <xf numFmtId="165" fontId="0" fillId="6" borderId="15" xfId="2" applyNumberFormat="1" applyFont="1" applyFill="1" applyBorder="1" applyAlignment="1" applyProtection="1">
      <alignment horizontal="center" vertical="center"/>
      <protection locked="0"/>
    </xf>
    <xf numFmtId="9" fontId="14" fillId="8" borderId="12" xfId="2" applyFont="1" applyFill="1" applyBorder="1" applyAlignment="1" applyProtection="1">
      <alignment horizontal="center" vertical="center"/>
      <protection locked="0"/>
    </xf>
    <xf numFmtId="0" fontId="83" fillId="10" borderId="15" xfId="2" applyNumberFormat="1" applyFont="1" applyFill="1" applyBorder="1" applyAlignment="1" applyProtection="1">
      <alignment horizontal="center" vertical="center"/>
      <protection locked="0"/>
    </xf>
    <xf numFmtId="46" fontId="0" fillId="0" borderId="1" xfId="0" applyNumberFormat="1" applyBorder="1" applyAlignment="1" applyProtection="1">
      <alignment horizontal="center" vertical="center"/>
      <protection locked="0"/>
    </xf>
    <xf numFmtId="10" fontId="0" fillId="0" borderId="1" xfId="2" applyNumberFormat="1" applyFont="1" applyBorder="1" applyAlignment="1" applyProtection="1">
      <alignment horizontal="center"/>
      <protection locked="0"/>
    </xf>
    <xf numFmtId="44" fontId="0" fillId="0" borderId="1" xfId="1" applyFont="1" applyFill="1" applyBorder="1" applyAlignment="1" applyProtection="1">
      <alignment horizontal="left"/>
      <protection locked="0"/>
    </xf>
    <xf numFmtId="0" fontId="31" fillId="8" borderId="12" xfId="4" applyFill="1" applyBorder="1" applyAlignment="1" applyProtection="1">
      <alignment horizontal="center"/>
      <protection locked="0"/>
    </xf>
    <xf numFmtId="0" fontId="31" fillId="10" borderId="44" xfId="4" applyFill="1" applyBorder="1" applyAlignment="1" applyProtection="1">
      <alignment horizontal="center" vertical="center"/>
      <protection locked="0"/>
    </xf>
    <xf numFmtId="0" fontId="31" fillId="10" borderId="12" xfId="4" applyFill="1" applyBorder="1" applyAlignment="1" applyProtection="1">
      <alignment horizontal="center" vertical="center"/>
      <protection locked="0"/>
    </xf>
    <xf numFmtId="0" fontId="31" fillId="10" borderId="12" xfId="4" applyFill="1" applyBorder="1" applyAlignment="1" applyProtection="1">
      <alignment horizontal="center"/>
      <protection locked="0"/>
    </xf>
    <xf numFmtId="0" fontId="31" fillId="8" borderId="44" xfId="4" applyFill="1"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7" fillId="0" borderId="15" xfId="0" applyFont="1" applyBorder="1" applyAlignment="1" applyProtection="1">
      <alignment horizontal="center" vertical="center"/>
      <protection locked="0"/>
    </xf>
    <xf numFmtId="9" fontId="0" fillId="0" borderId="6" xfId="0" applyNumberFormat="1" applyBorder="1" applyAlignment="1" applyProtection="1">
      <alignment horizontal="left"/>
      <protection locked="0"/>
    </xf>
    <xf numFmtId="44" fontId="55" fillId="8" borderId="1" xfId="1" applyFont="1" applyFill="1" applyBorder="1" applyAlignment="1" applyProtection="1">
      <alignment horizontal="left" vertical="center"/>
    </xf>
    <xf numFmtId="44" fontId="55" fillId="10" borderId="1" xfId="1" applyFont="1" applyFill="1" applyBorder="1" applyAlignment="1" applyProtection="1">
      <alignment horizontal="left" vertical="center"/>
    </xf>
    <xf numFmtId="0" fontId="46" fillId="10" borderId="0" xfId="0" applyFont="1" applyFill="1"/>
    <xf numFmtId="0" fontId="46" fillId="10" borderId="0" xfId="0" applyFont="1" applyFill="1" applyProtection="1">
      <protection locked="0"/>
    </xf>
    <xf numFmtId="0" fontId="27" fillId="16" borderId="0" xfId="0" applyFont="1" applyFill="1" applyAlignment="1" applyProtection="1">
      <alignment horizontal="center" vertical="center"/>
      <protection locked="0"/>
    </xf>
    <xf numFmtId="44" fontId="25" fillId="0" borderId="0" xfId="1" applyFont="1" applyBorder="1" applyAlignment="1" applyProtection="1">
      <alignment horizontal="center" vertical="center"/>
      <protection locked="0"/>
    </xf>
    <xf numFmtId="0" fontId="16" fillId="0" borderId="0" xfId="0" applyFont="1"/>
    <xf numFmtId="9" fontId="0" fillId="10" borderId="12" xfId="0" applyNumberFormat="1" applyFill="1" applyBorder="1" applyAlignment="1" applyProtection="1">
      <alignment horizontal="center" vertical="center"/>
      <protection locked="0"/>
    </xf>
    <xf numFmtId="9" fontId="0" fillId="11" borderId="12" xfId="0" applyNumberFormat="1" applyFill="1" applyBorder="1" applyAlignment="1" applyProtection="1">
      <alignment horizontal="center" vertical="center"/>
      <protection locked="0"/>
    </xf>
    <xf numFmtId="9" fontId="0" fillId="0" borderId="0" xfId="0" applyNumberFormat="1"/>
    <xf numFmtId="0" fontId="6" fillId="12" borderId="16" xfId="0" applyFont="1" applyFill="1" applyBorder="1" applyAlignment="1" applyProtection="1">
      <alignment horizontal="center" vertical="center"/>
      <protection locked="0"/>
    </xf>
    <xf numFmtId="44" fontId="0" fillId="0" borderId="1" xfId="1" applyFont="1" applyFill="1" applyBorder="1" applyAlignment="1">
      <alignment horizontal="left" vertical="center"/>
    </xf>
    <xf numFmtId="44" fontId="0" fillId="0" borderId="15" xfId="1" applyFont="1" applyBorder="1" applyAlignment="1" applyProtection="1">
      <alignment horizontal="center"/>
      <protection locked="0"/>
    </xf>
    <xf numFmtId="0" fontId="6" fillId="12" borderId="16" xfId="0" applyFont="1" applyFill="1" applyBorder="1" applyAlignment="1">
      <alignment horizontal="center" vertical="center"/>
    </xf>
    <xf numFmtId="0" fontId="34" fillId="6" borderId="94" xfId="0" applyFont="1" applyFill="1" applyBorder="1" applyAlignment="1" applyProtection="1">
      <alignment horizontal="center" vertical="center" wrapText="1"/>
      <protection locked="0"/>
    </xf>
    <xf numFmtId="0" fontId="34" fillId="6" borderId="95" xfId="0" applyFont="1" applyFill="1" applyBorder="1" applyAlignment="1" applyProtection="1">
      <alignment horizontal="center" vertical="center" wrapText="1"/>
      <protection locked="0"/>
    </xf>
    <xf numFmtId="0" fontId="135" fillId="66" borderId="18" xfId="0" applyFont="1" applyFill="1" applyBorder="1" applyAlignment="1" applyProtection="1">
      <alignment horizontal="center" vertical="center"/>
      <protection locked="0"/>
    </xf>
    <xf numFmtId="44" fontId="136" fillId="10" borderId="15" xfId="1" applyFont="1" applyFill="1" applyBorder="1" applyAlignment="1">
      <alignment vertical="center"/>
    </xf>
    <xf numFmtId="0" fontId="17" fillId="14" borderId="120" xfId="0" applyFont="1" applyFill="1" applyBorder="1" applyAlignment="1">
      <alignment horizontal="center" vertical="center"/>
    </xf>
    <xf numFmtId="164" fontId="138" fillId="0" borderId="15" xfId="0" applyNumberFormat="1" applyFont="1" applyBorder="1" applyAlignment="1">
      <alignment horizontal="center" vertical="center"/>
    </xf>
    <xf numFmtId="164" fontId="139" fillId="0" borderId="17" xfId="0" applyNumberFormat="1" applyFont="1" applyBorder="1" applyAlignment="1">
      <alignment horizontal="center" vertical="center"/>
    </xf>
    <xf numFmtId="44" fontId="137" fillId="10" borderId="15" xfId="1" applyFont="1" applyFill="1" applyBorder="1" applyAlignment="1">
      <alignment vertical="center"/>
    </xf>
    <xf numFmtId="0" fontId="34" fillId="6" borderId="126" xfId="0" applyFont="1" applyFill="1" applyBorder="1" applyAlignment="1" applyProtection="1">
      <alignment horizontal="center" vertical="center" wrapText="1"/>
      <protection locked="0"/>
    </xf>
    <xf numFmtId="0" fontId="0" fillId="10" borderId="18" xfId="0" applyFill="1" applyBorder="1" applyAlignment="1" applyProtection="1">
      <alignment horizontal="center" vertical="center"/>
      <protection locked="0"/>
    </xf>
    <xf numFmtId="0" fontId="0" fillId="6" borderId="18" xfId="0" applyFill="1" applyBorder="1" applyAlignment="1" applyProtection="1">
      <alignment horizontal="center" vertical="center"/>
      <protection locked="0"/>
    </xf>
    <xf numFmtId="165" fontId="35" fillId="10" borderId="0" xfId="0" applyNumberFormat="1" applyFont="1" applyFill="1" applyAlignment="1" applyProtection="1">
      <alignment horizontal="center" vertical="center"/>
      <protection locked="0"/>
    </xf>
    <xf numFmtId="0" fontId="17" fillId="14" borderId="25" xfId="0" applyFont="1" applyFill="1" applyBorder="1" applyAlignment="1">
      <alignment horizontal="center" vertical="center"/>
    </xf>
    <xf numFmtId="164" fontId="34" fillId="0" borderId="15" xfId="0" applyNumberFormat="1" applyFont="1" applyBorder="1" applyProtection="1">
      <protection locked="0"/>
    </xf>
    <xf numFmtId="44" fontId="34" fillId="0" borderId="15" xfId="1" applyFont="1" applyBorder="1" applyAlignment="1" applyProtection="1">
      <alignment horizontal="center"/>
      <protection locked="0"/>
    </xf>
    <xf numFmtId="164" fontId="34" fillId="0" borderId="15" xfId="0" applyNumberFormat="1" applyFont="1" applyBorder="1"/>
    <xf numFmtId="44" fontId="69" fillId="10" borderId="15" xfId="0" applyNumberFormat="1" applyFont="1" applyFill="1" applyBorder="1" applyProtection="1">
      <protection locked="0"/>
    </xf>
    <xf numFmtId="0" fontId="27" fillId="16" borderId="17" xfId="0" applyFont="1" applyFill="1" applyBorder="1" applyAlignment="1" applyProtection="1">
      <alignment horizontal="center" vertical="center"/>
      <protection locked="0"/>
    </xf>
    <xf numFmtId="0" fontId="135" fillId="66" borderId="60" xfId="0" applyFont="1" applyFill="1" applyBorder="1" applyAlignment="1" applyProtection="1">
      <alignment horizontal="center" vertical="center"/>
      <protection locked="0"/>
    </xf>
    <xf numFmtId="164" fontId="0" fillId="10" borderId="0" xfId="0" applyNumberFormat="1" applyFill="1"/>
    <xf numFmtId="44" fontId="0" fillId="0" borderId="15" xfId="1" applyFont="1" applyBorder="1" applyAlignment="1" applyProtection="1">
      <alignment horizontal="center" vertical="center"/>
      <protection locked="0"/>
    </xf>
    <xf numFmtId="0" fontId="16" fillId="0" borderId="15" xfId="0" applyFont="1" applyBorder="1" applyAlignment="1" applyProtection="1">
      <alignment horizontal="center" vertical="center"/>
      <protection locked="0"/>
    </xf>
    <xf numFmtId="44" fontId="16" fillId="0" borderId="15" xfId="1" applyFont="1" applyBorder="1" applyAlignment="1" applyProtection="1">
      <alignment horizontal="center" vertical="center"/>
      <protection locked="0"/>
    </xf>
    <xf numFmtId="44" fontId="0" fillId="0" borderId="15" xfId="1" applyFont="1" applyBorder="1" applyAlignment="1">
      <alignment horizontal="center"/>
    </xf>
    <xf numFmtId="0" fontId="0" fillId="45" borderId="0" xfId="0" applyFill="1"/>
    <xf numFmtId="0" fontId="16" fillId="45" borderId="0" xfId="0" applyFont="1" applyFill="1" applyAlignment="1">
      <alignment horizontal="center" vertical="center"/>
    </xf>
    <xf numFmtId="166" fontId="16" fillId="45" borderId="0" xfId="1" applyNumberFormat="1" applyFont="1" applyFill="1" applyBorder="1"/>
    <xf numFmtId="164" fontId="23" fillId="0" borderId="0" xfId="0" applyNumberFormat="1" applyFont="1" applyAlignment="1">
      <alignment horizontal="center" vertical="center"/>
    </xf>
    <xf numFmtId="0" fontId="141" fillId="3" borderId="1" xfId="0" applyFont="1" applyFill="1" applyBorder="1" applyAlignment="1">
      <alignment horizontal="center" vertical="center" wrapText="1"/>
    </xf>
    <xf numFmtId="44" fontId="0" fillId="56" borderId="1" xfId="1" applyFont="1" applyFill="1" applyBorder="1" applyAlignment="1">
      <alignment horizontal="left" vertical="center"/>
    </xf>
    <xf numFmtId="0" fontId="58" fillId="0" borderId="1" xfId="0" applyFont="1" applyBorder="1" applyAlignment="1" applyProtection="1">
      <alignment horizontal="left"/>
      <protection locked="0"/>
    </xf>
    <xf numFmtId="0" fontId="0" fillId="0" borderId="1" xfId="0" quotePrefix="1" applyBorder="1" applyAlignment="1" applyProtection="1">
      <alignment horizontal="left"/>
      <protection locked="0"/>
    </xf>
    <xf numFmtId="44" fontId="0" fillId="11" borderId="0" xfId="1" applyFont="1" applyFill="1" applyAlignment="1" applyProtection="1">
      <alignment horizontal="center"/>
      <protection locked="0"/>
    </xf>
    <xf numFmtId="44" fontId="129" fillId="11" borderId="0" xfId="1" applyFont="1" applyFill="1" applyAlignment="1" applyProtection="1">
      <alignment horizontal="center"/>
      <protection locked="0"/>
    </xf>
    <xf numFmtId="165" fontId="0" fillId="0" borderId="1" xfId="2" applyNumberFormat="1" applyFont="1" applyFill="1" applyBorder="1" applyAlignment="1" applyProtection="1">
      <alignment horizontal="center"/>
      <protection locked="0"/>
    </xf>
    <xf numFmtId="165" fontId="0" fillId="0" borderId="1" xfId="0" applyNumberFormat="1" applyBorder="1" applyAlignment="1" applyProtection="1">
      <alignment horizontal="left"/>
      <protection locked="0"/>
    </xf>
    <xf numFmtId="0" fontId="11" fillId="0" borderId="0" xfId="0" applyFont="1" applyAlignment="1" applyProtection="1">
      <alignment horizontal="center"/>
      <protection locked="0"/>
    </xf>
    <xf numFmtId="170" fontId="0" fillId="0" borderId="6" xfId="0" applyNumberFormat="1" applyBorder="1" applyAlignment="1" applyProtection="1">
      <alignment horizontal="left"/>
      <protection locked="0"/>
    </xf>
    <xf numFmtId="0" fontId="0" fillId="0" borderId="1" xfId="0" applyBorder="1" applyAlignment="1" applyProtection="1">
      <alignment wrapText="1"/>
      <protection locked="0"/>
    </xf>
    <xf numFmtId="9" fontId="0" fillId="0" borderId="1" xfId="0" applyNumberFormat="1" applyBorder="1" applyAlignment="1" applyProtection="1">
      <alignment horizontal="right" vertical="center"/>
      <protection locked="0"/>
    </xf>
    <xf numFmtId="10" fontId="0" fillId="0" borderId="1" xfId="0" applyNumberFormat="1" applyBorder="1" applyAlignment="1" applyProtection="1">
      <alignment horizontal="right" vertical="center"/>
      <protection locked="0"/>
    </xf>
    <xf numFmtId="0" fontId="0" fillId="0" borderId="1" xfId="0" applyBorder="1" applyAlignment="1" applyProtection="1">
      <alignment horizontal="right" vertical="center"/>
      <protection locked="0"/>
    </xf>
    <xf numFmtId="0" fontId="69" fillId="0" borderId="0" xfId="0" applyFont="1" applyProtection="1">
      <protection locked="0"/>
    </xf>
    <xf numFmtId="44" fontId="69" fillId="0" borderId="1" xfId="1" applyFont="1" applyBorder="1" applyAlignment="1" applyProtection="1">
      <alignment horizontal="left" vertical="center"/>
    </xf>
    <xf numFmtId="10" fontId="0" fillId="0" borderId="1" xfId="2" applyNumberFormat="1" applyFont="1" applyBorder="1" applyAlignment="1" applyProtection="1">
      <alignment horizontal="center" vertical="center"/>
      <protection locked="0"/>
    </xf>
    <xf numFmtId="0" fontId="8" fillId="38" borderId="5" xfId="0" applyFont="1" applyFill="1" applyBorder="1" applyAlignment="1" applyProtection="1">
      <alignment horizontal="center" vertical="center" wrapText="1"/>
      <protection locked="0"/>
    </xf>
    <xf numFmtId="9" fontId="0" fillId="10" borderId="1" xfId="2" applyFont="1" applyFill="1" applyBorder="1" applyAlignment="1" applyProtection="1">
      <alignment horizontal="center" vertical="center"/>
      <protection locked="0"/>
    </xf>
    <xf numFmtId="44" fontId="42" fillId="30" borderId="45" xfId="1" applyFont="1" applyFill="1" applyBorder="1" applyAlignment="1" applyProtection="1">
      <alignment horizontal="center" vertical="center"/>
      <protection locked="0"/>
    </xf>
    <xf numFmtId="0" fontId="51" fillId="8" borderId="12" xfId="0" applyFont="1" applyFill="1" applyBorder="1" applyProtection="1">
      <protection locked="0"/>
    </xf>
    <xf numFmtId="0" fontId="1" fillId="0" borderId="1" xfId="1" applyNumberFormat="1" applyFont="1" applyBorder="1" applyAlignment="1" applyProtection="1">
      <alignment horizontal="left" vertical="center"/>
      <protection locked="0"/>
    </xf>
    <xf numFmtId="9" fontId="146" fillId="0" borderId="6" xfId="0" applyNumberFormat="1" applyFont="1" applyBorder="1" applyAlignment="1">
      <alignment horizontal="center" vertical="center"/>
    </xf>
    <xf numFmtId="44" fontId="1" fillId="11" borderId="1" xfId="1" applyFont="1" applyFill="1" applyBorder="1" applyAlignment="1" applyProtection="1">
      <alignment horizontal="left" vertical="center"/>
      <protection locked="0"/>
    </xf>
    <xf numFmtId="44" fontId="1" fillId="0" borderId="1" xfId="1" applyFont="1" applyBorder="1" applyAlignment="1" applyProtection="1">
      <alignment horizontal="center" vertical="center"/>
      <protection locked="0"/>
    </xf>
    <xf numFmtId="44" fontId="1" fillId="0" borderId="1" xfId="1" applyFont="1" applyBorder="1" applyAlignment="1" applyProtection="1">
      <alignment horizontal="left" vertical="center"/>
    </xf>
    <xf numFmtId="44" fontId="1" fillId="11" borderId="1" xfId="1" applyFont="1" applyFill="1" applyBorder="1" applyAlignment="1" applyProtection="1">
      <alignment horizontal="left" vertical="center"/>
    </xf>
    <xf numFmtId="44" fontId="1" fillId="43" borderId="1" xfId="1" applyFont="1" applyFill="1" applyBorder="1" applyAlignment="1" applyProtection="1">
      <alignment horizontal="left" vertical="center"/>
    </xf>
    <xf numFmtId="44" fontId="1" fillId="0" borderId="1" xfId="1" applyFont="1" applyBorder="1" applyAlignment="1" applyProtection="1">
      <alignment horizontal="center" vertical="center"/>
    </xf>
    <xf numFmtId="44" fontId="0" fillId="11" borderId="1" xfId="1" applyFont="1" applyFill="1" applyBorder="1" applyAlignment="1">
      <alignment horizontal="left" vertical="center"/>
    </xf>
    <xf numFmtId="44" fontId="0" fillId="0" borderId="1" xfId="1" applyFont="1" applyBorder="1" applyAlignment="1">
      <alignment horizontal="center" vertical="center"/>
    </xf>
    <xf numFmtId="0" fontId="132" fillId="8" borderId="12" xfId="0" applyFont="1" applyFill="1" applyBorder="1" applyAlignment="1" applyProtection="1">
      <alignment horizontal="center" vertical="center"/>
      <protection locked="0"/>
    </xf>
    <xf numFmtId="0" fontId="0" fillId="10" borderId="5" xfId="0" applyFill="1" applyBorder="1" applyAlignment="1" applyProtection="1">
      <alignment horizontal="center" vertical="center"/>
      <protection locked="0"/>
    </xf>
    <xf numFmtId="0" fontId="0" fillId="10" borderId="5" xfId="0" applyFill="1" applyBorder="1" applyAlignment="1" applyProtection="1">
      <alignment horizontal="center" vertical="center" wrapText="1"/>
      <protection locked="0"/>
    </xf>
    <xf numFmtId="0" fontId="0" fillId="10" borderId="8" xfId="0" applyFill="1" applyBorder="1" applyProtection="1">
      <protection locked="0"/>
    </xf>
    <xf numFmtId="0" fontId="0" fillId="10" borderId="5" xfId="0" applyFill="1" applyBorder="1" applyProtection="1">
      <protection locked="0"/>
    </xf>
    <xf numFmtId="44" fontId="0" fillId="67" borderId="1" xfId="1" applyFont="1" applyFill="1" applyBorder="1" applyAlignment="1" applyProtection="1">
      <alignment horizontal="left" vertical="center"/>
    </xf>
    <xf numFmtId="44" fontId="0" fillId="67" borderId="1" xfId="1" applyFont="1" applyFill="1" applyBorder="1" applyAlignment="1" applyProtection="1">
      <alignment horizontal="center" vertical="center"/>
    </xf>
    <xf numFmtId="44" fontId="69" fillId="10" borderId="1" xfId="1" applyFont="1" applyFill="1" applyBorder="1" applyAlignment="1">
      <alignment horizontal="left" vertical="center"/>
    </xf>
    <xf numFmtId="44" fontId="51" fillId="67" borderId="1" xfId="1" applyFont="1" applyFill="1" applyBorder="1" applyAlignment="1" applyProtection="1">
      <alignment horizontal="left" vertical="center"/>
    </xf>
    <xf numFmtId="44" fontId="145" fillId="8" borderId="1" xfId="1" applyFont="1" applyFill="1" applyBorder="1" applyAlignment="1" applyProtection="1">
      <alignment horizontal="left" vertical="center"/>
    </xf>
    <xf numFmtId="0" fontId="17" fillId="14" borderId="17" xfId="0" applyFont="1" applyFill="1" applyBorder="1" applyAlignment="1" applyProtection="1">
      <alignment horizontal="center" vertical="center"/>
      <protection locked="0"/>
    </xf>
    <xf numFmtId="164" fontId="45" fillId="0" borderId="15" xfId="0" applyNumberFormat="1" applyFont="1" applyBorder="1" applyAlignment="1" applyProtection="1">
      <alignment horizontal="center" vertical="center"/>
      <protection locked="0"/>
    </xf>
    <xf numFmtId="0" fontId="6" fillId="25" borderId="99" xfId="0" applyFont="1" applyFill="1" applyBorder="1" applyAlignment="1" applyProtection="1">
      <alignment horizontal="center" vertical="center"/>
      <protection locked="0"/>
    </xf>
    <xf numFmtId="0" fontId="6" fillId="25" borderId="40" xfId="0" applyFont="1" applyFill="1" applyBorder="1" applyAlignment="1" applyProtection="1">
      <alignment horizontal="center" vertical="center"/>
      <protection locked="0"/>
    </xf>
    <xf numFmtId="44" fontId="16" fillId="0" borderId="1" xfId="1" applyFont="1" applyBorder="1" applyAlignment="1" applyProtection="1">
      <alignment horizontal="center" vertical="center"/>
      <protection locked="0"/>
    </xf>
    <xf numFmtId="44" fontId="64" fillId="11" borderId="39" xfId="0" applyNumberFormat="1" applyFont="1" applyFill="1" applyBorder="1" applyAlignment="1" applyProtection="1">
      <alignment horizontal="center" vertical="center" wrapText="1"/>
      <protection locked="0"/>
    </xf>
    <xf numFmtId="0" fontId="17" fillId="69" borderId="15" xfId="0" applyFont="1" applyFill="1" applyBorder="1" applyAlignment="1">
      <alignment horizontal="center" vertical="center"/>
    </xf>
    <xf numFmtId="164" fontId="151" fillId="0" borderId="15" xfId="0" applyNumberFormat="1" applyFont="1" applyBorder="1" applyAlignment="1">
      <alignment horizontal="center" vertical="center"/>
    </xf>
    <xf numFmtId="0" fontId="17" fillId="14" borderId="19" xfId="0" applyFont="1" applyFill="1" applyBorder="1" applyAlignment="1" applyProtection="1">
      <alignment horizontal="center" vertical="center"/>
      <protection locked="0"/>
    </xf>
    <xf numFmtId="0" fontId="17" fillId="15" borderId="19" xfId="0" applyFont="1" applyFill="1" applyBorder="1" applyAlignment="1" applyProtection="1">
      <alignment horizontal="center" vertical="center"/>
      <protection locked="0"/>
    </xf>
    <xf numFmtId="0" fontId="17" fillId="69" borderId="19" xfId="0" applyFont="1" applyFill="1" applyBorder="1" applyAlignment="1">
      <alignment horizontal="center" vertical="center"/>
    </xf>
    <xf numFmtId="0" fontId="17" fillId="48" borderId="59" xfId="0" applyFont="1" applyFill="1" applyBorder="1" applyAlignment="1">
      <alignment horizontal="center" vertical="center"/>
    </xf>
    <xf numFmtId="44" fontId="55" fillId="8" borderId="1" xfId="1" applyFont="1" applyFill="1" applyBorder="1" applyAlignment="1">
      <alignment horizontal="left" vertical="center"/>
    </xf>
    <xf numFmtId="44" fontId="31" fillId="0" borderId="0" xfId="1" applyFont="1" applyProtection="1">
      <protection locked="0"/>
    </xf>
    <xf numFmtId="44" fontId="0" fillId="10" borderId="61" xfId="1" applyFont="1" applyFill="1" applyBorder="1" applyProtection="1">
      <protection locked="0"/>
    </xf>
    <xf numFmtId="44" fontId="35" fillId="10" borderId="61" xfId="1" applyFont="1" applyFill="1" applyBorder="1" applyAlignment="1" applyProtection="1">
      <alignment horizontal="center" vertical="center"/>
      <protection locked="0"/>
    </xf>
    <xf numFmtId="44" fontId="24" fillId="10" borderId="0" xfId="1" applyFont="1" applyFill="1" applyAlignment="1" applyProtection="1">
      <alignment horizontal="center"/>
      <protection locked="0"/>
    </xf>
    <xf numFmtId="44" fontId="6" fillId="2" borderId="0" xfId="1" applyFont="1" applyFill="1" applyProtection="1">
      <protection locked="0"/>
    </xf>
    <xf numFmtId="44" fontId="8" fillId="3" borderId="6" xfId="1" applyFont="1" applyFill="1" applyBorder="1" applyAlignment="1" applyProtection="1">
      <alignment horizontal="center" vertical="center" wrapText="1"/>
      <protection locked="0"/>
    </xf>
    <xf numFmtId="44" fontId="0" fillId="11" borderId="6" xfId="1" applyFont="1" applyFill="1" applyBorder="1" applyProtection="1">
      <protection locked="0"/>
    </xf>
    <xf numFmtId="44" fontId="0" fillId="10" borderId="1" xfId="1" applyFont="1" applyFill="1" applyBorder="1" applyProtection="1">
      <protection locked="0"/>
    </xf>
    <xf numFmtId="44" fontId="0" fillId="0" borderId="1" xfId="1" applyFont="1" applyBorder="1" applyAlignment="1" applyProtection="1">
      <alignment horizontal="right" vertical="center"/>
      <protection locked="0"/>
    </xf>
    <xf numFmtId="44" fontId="1" fillId="0" borderId="0" xfId="1" applyFont="1"/>
    <xf numFmtId="44" fontId="0" fillId="0" borderId="5" xfId="1" applyFont="1" applyBorder="1" applyProtection="1">
      <protection locked="0"/>
    </xf>
    <xf numFmtId="44" fontId="6" fillId="2" borderId="4" xfId="1" applyFont="1" applyFill="1" applyBorder="1" applyProtection="1">
      <protection locked="0"/>
    </xf>
    <xf numFmtId="44" fontId="8" fillId="38" borderId="1" xfId="1" applyFont="1" applyFill="1" applyBorder="1" applyAlignment="1" applyProtection="1">
      <alignment horizontal="center" vertical="center" wrapText="1"/>
      <protection locked="0"/>
    </xf>
    <xf numFmtId="44" fontId="6" fillId="2" borderId="0" xfId="1" applyFont="1" applyFill="1" applyBorder="1" applyAlignment="1" applyProtection="1">
      <alignment vertical="center"/>
      <protection locked="0"/>
    </xf>
    <xf numFmtId="44" fontId="128" fillId="8" borderId="44" xfId="1" applyFont="1" applyFill="1" applyBorder="1" applyAlignment="1" applyProtection="1">
      <alignment vertical="center"/>
      <protection locked="0"/>
    </xf>
    <xf numFmtId="44" fontId="6" fillId="2" borderId="0" xfId="1" applyFont="1" applyFill="1" applyAlignment="1" applyProtection="1">
      <alignment horizontal="center" vertical="center"/>
      <protection locked="0"/>
    </xf>
    <xf numFmtId="44" fontId="0" fillId="6" borderId="0" xfId="1" applyFont="1" applyFill="1" applyAlignment="1" applyProtection="1">
      <alignment horizontal="center" vertical="center"/>
      <protection locked="0"/>
    </xf>
    <xf numFmtId="44" fontId="0" fillId="10" borderId="0" xfId="1" applyFont="1" applyFill="1" applyAlignment="1" applyProtection="1">
      <alignment horizontal="center" vertical="center"/>
      <protection locked="0"/>
    </xf>
    <xf numFmtId="44" fontId="0" fillId="11" borderId="0" xfId="1" applyFont="1" applyFill="1" applyAlignment="1" applyProtection="1">
      <alignment horizontal="center" vertical="center"/>
      <protection locked="0"/>
    </xf>
    <xf numFmtId="44" fontId="0" fillId="0" borderId="0" xfId="1" applyFont="1" applyAlignment="1" applyProtection="1">
      <alignment horizontal="center" vertical="center"/>
      <protection locked="0"/>
    </xf>
    <xf numFmtId="44" fontId="0" fillId="0" borderId="0" xfId="1" applyFont="1" applyProtection="1">
      <protection locked="0"/>
    </xf>
    <xf numFmtId="0" fontId="132" fillId="10" borderId="12" xfId="0" applyFont="1" applyFill="1" applyBorder="1" applyAlignment="1" applyProtection="1">
      <alignment horizontal="center" vertical="center"/>
      <protection locked="0"/>
    </xf>
    <xf numFmtId="44" fontId="0" fillId="70" borderId="1" xfId="1" applyFont="1" applyFill="1" applyBorder="1" applyAlignment="1">
      <alignment horizontal="left" vertical="center"/>
    </xf>
    <xf numFmtId="44" fontId="0" fillId="70" borderId="1" xfId="1" applyFont="1" applyFill="1" applyBorder="1" applyAlignment="1" applyProtection="1">
      <alignment horizontal="left" vertical="center"/>
    </xf>
    <xf numFmtId="44" fontId="0" fillId="70" borderId="1" xfId="1" applyFont="1" applyFill="1" applyBorder="1" applyAlignment="1">
      <alignment horizontal="center" vertical="center"/>
    </xf>
    <xf numFmtId="44" fontId="0" fillId="70" borderId="1" xfId="1" applyFont="1" applyFill="1" applyBorder="1" applyAlignment="1" applyProtection="1">
      <alignment horizontal="center" vertical="center"/>
    </xf>
    <xf numFmtId="0" fontId="64" fillId="11" borderId="58" xfId="0" applyFont="1" applyFill="1" applyBorder="1" applyAlignment="1" applyProtection="1">
      <alignment horizontal="left" vertical="center"/>
      <protection locked="0"/>
    </xf>
    <xf numFmtId="0" fontId="0" fillId="6" borderId="0" xfId="0" applyFill="1" applyAlignment="1" applyProtection="1">
      <alignment horizontal="left" vertical="center"/>
      <protection locked="0"/>
    </xf>
    <xf numFmtId="14" fontId="0" fillId="10" borderId="0" xfId="0" applyNumberFormat="1" applyFill="1" applyAlignment="1" applyProtection="1">
      <alignment horizontal="left" vertical="center"/>
      <protection locked="0"/>
    </xf>
    <xf numFmtId="14" fontId="0" fillId="11" borderId="0" xfId="0" applyNumberFormat="1" applyFill="1" applyAlignment="1" applyProtection="1">
      <alignment horizontal="left" vertical="center"/>
      <protection locked="0"/>
    </xf>
    <xf numFmtId="0" fontId="0" fillId="42" borderId="6" xfId="0" applyFill="1" applyBorder="1" applyProtection="1">
      <protection locked="0"/>
    </xf>
    <xf numFmtId="0" fontId="0" fillId="42" borderId="1" xfId="0" applyFill="1" applyBorder="1" applyProtection="1">
      <protection locked="0"/>
    </xf>
    <xf numFmtId="44" fontId="0" fillId="62" borderId="1" xfId="1" applyFont="1" applyFill="1" applyBorder="1" applyAlignment="1" applyProtection="1">
      <alignment horizontal="left" vertical="center"/>
    </xf>
    <xf numFmtId="0" fontId="0" fillId="55" borderId="1" xfId="0" applyFill="1" applyBorder="1" applyProtection="1">
      <protection locked="0"/>
    </xf>
    <xf numFmtId="44" fontId="0" fillId="72" borderId="1" xfId="1" applyFont="1" applyFill="1" applyBorder="1" applyAlignment="1" applyProtection="1">
      <alignment horizontal="left" vertical="center"/>
    </xf>
    <xf numFmtId="44" fontId="0" fillId="10" borderId="0" xfId="0" applyNumberFormat="1" applyFill="1"/>
    <xf numFmtId="44" fontId="0" fillId="0" borderId="0" xfId="0" applyNumberFormat="1"/>
    <xf numFmtId="44" fontId="0" fillId="10" borderId="1" xfId="1" applyFont="1" applyFill="1" applyBorder="1" applyAlignment="1" applyProtection="1">
      <alignment horizontal="left" vertical="center" wrapText="1"/>
      <protection locked="0"/>
    </xf>
    <xf numFmtId="44" fontId="16" fillId="10" borderId="15" xfId="0" applyNumberFormat="1" applyFont="1" applyFill="1" applyBorder="1" applyProtection="1">
      <protection locked="0"/>
    </xf>
    <xf numFmtId="44" fontId="51" fillId="8" borderId="1" xfId="1" quotePrefix="1" applyFont="1" applyFill="1" applyBorder="1" applyAlignment="1" applyProtection="1">
      <alignment horizontal="left" vertical="center"/>
    </xf>
    <xf numFmtId="44" fontId="0" fillId="67" borderId="1" xfId="1" applyFont="1" applyFill="1" applyBorder="1" applyAlignment="1">
      <alignment horizontal="left" vertical="center"/>
    </xf>
    <xf numFmtId="0" fontId="0" fillId="72" borderId="6" xfId="0" applyFill="1" applyBorder="1" applyProtection="1">
      <protection locked="0"/>
    </xf>
    <xf numFmtId="0" fontId="157" fillId="14" borderId="15" xfId="0" applyFont="1" applyFill="1" applyBorder="1" applyAlignment="1">
      <alignment horizontal="center" vertical="center"/>
    </xf>
    <xf numFmtId="0" fontId="157" fillId="15" borderId="15" xfId="0" applyFont="1" applyFill="1" applyBorder="1" applyAlignment="1">
      <alignment horizontal="center" vertical="center"/>
    </xf>
    <xf numFmtId="0" fontId="157" fillId="69" borderId="15" xfId="0" applyFont="1" applyFill="1" applyBorder="1" applyAlignment="1">
      <alignment horizontal="center" vertical="center"/>
    </xf>
    <xf numFmtId="0" fontId="157" fillId="48" borderId="17" xfId="0" applyFont="1" applyFill="1" applyBorder="1" applyAlignment="1">
      <alignment horizontal="center" vertical="center"/>
    </xf>
    <xf numFmtId="0" fontId="157" fillId="14" borderId="116" xfId="0" applyFont="1" applyFill="1" applyBorder="1" applyAlignment="1">
      <alignment horizontal="center" vertical="center"/>
    </xf>
    <xf numFmtId="0" fontId="157" fillId="14" borderId="15" xfId="0" applyFont="1" applyFill="1" applyBorder="1" applyAlignment="1">
      <alignment horizontal="left" vertical="center"/>
    </xf>
    <xf numFmtId="0" fontId="157" fillId="14" borderId="15" xfId="0" applyFont="1" applyFill="1" applyBorder="1" applyAlignment="1" applyProtection="1">
      <alignment horizontal="center" vertical="center"/>
      <protection locked="0"/>
    </xf>
    <xf numFmtId="0" fontId="157" fillId="14" borderId="15" xfId="0" applyFont="1" applyFill="1" applyBorder="1" applyAlignment="1" applyProtection="1">
      <alignment horizontal="center"/>
      <protection locked="0"/>
    </xf>
    <xf numFmtId="0" fontId="157" fillId="14" borderId="15" xfId="0" applyFont="1" applyFill="1" applyBorder="1" applyAlignment="1">
      <alignment horizontal="center"/>
    </xf>
    <xf numFmtId="0" fontId="159" fillId="10" borderId="0" xfId="0" applyFont="1" applyFill="1" applyProtection="1">
      <protection locked="0"/>
    </xf>
    <xf numFmtId="0" fontId="160" fillId="0" borderId="0" xfId="0" applyFont="1" applyAlignment="1">
      <alignment horizontal="center"/>
    </xf>
    <xf numFmtId="0" fontId="160" fillId="0" borderId="48" xfId="0" applyFont="1" applyBorder="1" applyAlignment="1" applyProtection="1">
      <alignment horizontal="left"/>
      <protection locked="0"/>
    </xf>
    <xf numFmtId="0" fontId="160" fillId="0" borderId="1" xfId="0" applyFont="1" applyBorder="1" applyAlignment="1" applyProtection="1">
      <alignment horizontal="left"/>
      <protection locked="0"/>
    </xf>
    <xf numFmtId="0" fontId="160" fillId="8" borderId="48" xfId="0" applyFont="1" applyFill="1" applyBorder="1" applyAlignment="1" applyProtection="1">
      <alignment horizontal="left"/>
      <protection locked="0"/>
    </xf>
    <xf numFmtId="0" fontId="160" fillId="8" borderId="1" xfId="0" applyFont="1" applyFill="1" applyBorder="1" applyAlignment="1" applyProtection="1">
      <alignment horizontal="left"/>
      <protection locked="0"/>
    </xf>
    <xf numFmtId="0" fontId="15" fillId="10" borderId="0" xfId="0" applyFont="1" applyFill="1" applyProtection="1">
      <protection locked="0"/>
    </xf>
    <xf numFmtId="0" fontId="15" fillId="0" borderId="0" xfId="0" applyFont="1" applyProtection="1">
      <protection locked="0"/>
    </xf>
    <xf numFmtId="0" fontId="15" fillId="10" borderId="0" xfId="0" applyFont="1" applyFill="1" applyAlignment="1" applyProtection="1">
      <alignment horizontal="left"/>
      <protection locked="0"/>
    </xf>
    <xf numFmtId="9" fontId="162" fillId="10" borderId="0" xfId="2" applyFont="1" applyFill="1" applyProtection="1">
      <protection locked="0"/>
    </xf>
    <xf numFmtId="0" fontId="15" fillId="10" borderId="0" xfId="0" applyFont="1" applyFill="1" applyAlignment="1" applyProtection="1">
      <alignment vertical="top"/>
      <protection locked="0"/>
    </xf>
    <xf numFmtId="0" fontId="163" fillId="66" borderId="18" xfId="0" applyFont="1" applyFill="1" applyBorder="1" applyAlignment="1" applyProtection="1">
      <alignment horizontal="center" vertical="center"/>
      <protection locked="0"/>
    </xf>
    <xf numFmtId="164" fontId="165" fillId="0" borderId="15" xfId="0" applyNumberFormat="1" applyFont="1" applyBorder="1" applyAlignment="1">
      <alignment horizontal="center" vertical="center"/>
    </xf>
    <xf numFmtId="164" fontId="166" fillId="0" borderId="15" xfId="0" applyNumberFormat="1" applyFont="1" applyBorder="1" applyAlignment="1">
      <alignment horizontal="center" vertical="center"/>
    </xf>
    <xf numFmtId="164" fontId="167" fillId="0" borderId="15" xfId="0" applyNumberFormat="1" applyFont="1" applyBorder="1" applyAlignment="1">
      <alignment horizontal="center" vertical="center"/>
    </xf>
    <xf numFmtId="164" fontId="168" fillId="0" borderId="17" xfId="0" applyNumberFormat="1" applyFont="1" applyBorder="1" applyAlignment="1">
      <alignment horizontal="center" vertical="center"/>
    </xf>
    <xf numFmtId="42" fontId="163" fillId="10" borderId="15" xfId="1" applyNumberFormat="1" applyFont="1" applyFill="1" applyBorder="1" applyAlignment="1">
      <alignment vertical="center"/>
    </xf>
    <xf numFmtId="0" fontId="172" fillId="0" borderId="0" xfId="0" applyFont="1" applyProtection="1">
      <protection locked="0"/>
    </xf>
    <xf numFmtId="0" fontId="83" fillId="11" borderId="58" xfId="0" applyFont="1" applyFill="1" applyBorder="1" applyAlignment="1" applyProtection="1">
      <alignment horizontal="center" vertical="center"/>
      <protection locked="0"/>
    </xf>
    <xf numFmtId="0" fontId="83" fillId="11" borderId="58" xfId="0" applyFont="1" applyFill="1" applyBorder="1" applyAlignment="1" applyProtection="1">
      <alignment horizontal="center" vertical="center" wrapText="1"/>
      <protection locked="0"/>
    </xf>
    <xf numFmtId="0" fontId="83" fillId="11" borderId="39" xfId="0" applyFont="1" applyFill="1" applyBorder="1" applyAlignment="1" applyProtection="1">
      <alignment horizontal="center" vertical="center" wrapText="1"/>
      <protection locked="0"/>
    </xf>
    <xf numFmtId="0" fontId="158" fillId="12" borderId="16" xfId="0" applyFont="1" applyFill="1" applyBorder="1" applyAlignment="1" applyProtection="1">
      <alignment horizontal="center" vertical="center"/>
      <protection locked="0"/>
    </xf>
    <xf numFmtId="0" fontId="158" fillId="12" borderId="16" xfId="0" applyFont="1" applyFill="1" applyBorder="1" applyAlignment="1">
      <alignment horizontal="center" vertical="center"/>
    </xf>
    <xf numFmtId="0" fontId="158" fillId="25" borderId="93" xfId="0" applyFont="1" applyFill="1" applyBorder="1" applyAlignment="1" applyProtection="1">
      <alignment vertical="center"/>
      <protection locked="0"/>
    </xf>
    <xf numFmtId="0" fontId="158" fillId="25" borderId="0" xfId="0" applyFont="1" applyFill="1" applyAlignment="1" applyProtection="1">
      <alignment vertical="center"/>
      <protection locked="0"/>
    </xf>
    <xf numFmtId="0" fontId="66" fillId="10" borderId="15" xfId="0" applyFont="1" applyFill="1" applyBorder="1" applyAlignment="1" applyProtection="1">
      <alignment horizontal="center"/>
      <protection locked="0"/>
    </xf>
    <xf numFmtId="0" fontId="66" fillId="10" borderId="15" xfId="0" applyFont="1" applyFill="1" applyBorder="1" applyAlignment="1" applyProtection="1">
      <alignment horizontal="left"/>
      <protection locked="0"/>
    </xf>
    <xf numFmtId="44" fontId="66" fillId="10" borderId="15" xfId="0" applyNumberFormat="1" applyFont="1" applyFill="1" applyBorder="1" applyProtection="1">
      <protection locked="0"/>
    </xf>
    <xf numFmtId="44" fontId="109" fillId="10" borderId="15" xfId="0" applyNumberFormat="1" applyFont="1" applyFill="1" applyBorder="1" applyProtection="1">
      <protection locked="0"/>
    </xf>
    <xf numFmtId="44" fontId="83" fillId="10" borderId="15" xfId="0" applyNumberFormat="1" applyFont="1" applyFill="1" applyBorder="1" applyProtection="1">
      <protection locked="0"/>
    </xf>
    <xf numFmtId="44" fontId="66" fillId="10" borderId="17" xfId="0" applyNumberFormat="1" applyFont="1" applyFill="1" applyBorder="1" applyAlignment="1" applyProtection="1">
      <alignment horizontal="left"/>
      <protection locked="0"/>
    </xf>
    <xf numFmtId="44" fontId="66" fillId="10" borderId="10" xfId="0" applyNumberFormat="1" applyFont="1" applyFill="1" applyBorder="1" applyAlignment="1" applyProtection="1">
      <alignment horizontal="left"/>
      <protection locked="0"/>
    </xf>
    <xf numFmtId="44" fontId="66" fillId="10" borderId="18" xfId="0" applyNumberFormat="1" applyFont="1" applyFill="1" applyBorder="1" applyAlignment="1" applyProtection="1">
      <alignment horizontal="left"/>
      <protection locked="0"/>
    </xf>
    <xf numFmtId="165" fontId="66" fillId="10" borderId="15" xfId="2" applyNumberFormat="1" applyFont="1" applyFill="1" applyBorder="1" applyAlignment="1" applyProtection="1">
      <alignment horizontal="center" vertical="center"/>
      <protection locked="0"/>
    </xf>
    <xf numFmtId="9" fontId="66" fillId="10" borderId="15" xfId="2" applyFont="1" applyFill="1" applyBorder="1" applyAlignment="1" applyProtection="1">
      <alignment horizontal="center" vertical="center"/>
      <protection locked="0"/>
    </xf>
    <xf numFmtId="0" fontId="66" fillId="6" borderId="15" xfId="0" applyFont="1" applyFill="1" applyBorder="1" applyAlignment="1" applyProtection="1">
      <alignment horizontal="center"/>
      <protection locked="0"/>
    </xf>
    <xf numFmtId="0" fontId="66" fillId="6" borderId="15" xfId="0" applyFont="1" applyFill="1" applyBorder="1" applyAlignment="1" applyProtection="1">
      <alignment horizontal="left"/>
      <protection locked="0"/>
    </xf>
    <xf numFmtId="44" fontId="66" fillId="6" borderId="15" xfId="0" applyNumberFormat="1" applyFont="1" applyFill="1" applyBorder="1" applyProtection="1">
      <protection locked="0"/>
    </xf>
    <xf numFmtId="44" fontId="109" fillId="6" borderId="15" xfId="0" applyNumberFormat="1" applyFont="1" applyFill="1" applyBorder="1" applyProtection="1">
      <protection locked="0"/>
    </xf>
    <xf numFmtId="44" fontId="66" fillId="6" borderId="17" xfId="0" applyNumberFormat="1" applyFont="1" applyFill="1" applyBorder="1" applyAlignment="1" applyProtection="1">
      <alignment horizontal="left"/>
      <protection locked="0"/>
    </xf>
    <xf numFmtId="44" fontId="66" fillId="6" borderId="10" xfId="0" applyNumberFormat="1" applyFont="1" applyFill="1" applyBorder="1" applyAlignment="1" applyProtection="1">
      <alignment horizontal="left"/>
      <protection locked="0"/>
    </xf>
    <xf numFmtId="44" fontId="66" fillId="6" borderId="18" xfId="0" applyNumberFormat="1" applyFont="1" applyFill="1" applyBorder="1" applyAlignment="1" applyProtection="1">
      <alignment horizontal="left"/>
      <protection locked="0"/>
    </xf>
    <xf numFmtId="165" fontId="66" fillId="6" borderId="15" xfId="2" applyNumberFormat="1" applyFont="1" applyFill="1" applyBorder="1" applyAlignment="1" applyProtection="1">
      <alignment horizontal="center" vertical="center"/>
      <protection locked="0"/>
    </xf>
    <xf numFmtId="9" fontId="66" fillId="6" borderId="15" xfId="2" applyFont="1" applyFill="1" applyBorder="1" applyAlignment="1" applyProtection="1">
      <alignment horizontal="center" vertical="center"/>
      <protection locked="0"/>
    </xf>
    <xf numFmtId="0" fontId="15" fillId="0" borderId="15" xfId="0" applyFont="1" applyBorder="1" applyProtection="1">
      <protection locked="0"/>
    </xf>
    <xf numFmtId="0" fontId="15" fillId="0" borderId="15" xfId="0" applyFont="1" applyBorder="1" applyAlignment="1" applyProtection="1">
      <alignment horizontal="center" vertical="center"/>
      <protection locked="0"/>
    </xf>
    <xf numFmtId="164" fontId="15" fillId="0" borderId="15" xfId="0" applyNumberFormat="1" applyFont="1" applyBorder="1" applyProtection="1">
      <protection locked="0"/>
    </xf>
    <xf numFmtId="44" fontId="15" fillId="0" borderId="15" xfId="1" applyFont="1" applyBorder="1" applyAlignment="1" applyProtection="1">
      <alignment horizontal="center"/>
      <protection locked="0"/>
    </xf>
    <xf numFmtId="0" fontId="15" fillId="17" borderId="15" xfId="0" applyFont="1" applyFill="1" applyBorder="1"/>
    <xf numFmtId="0" fontId="172" fillId="17" borderId="15" xfId="0" applyFont="1" applyFill="1" applyBorder="1" applyAlignment="1">
      <alignment horizontal="center" vertical="center"/>
    </xf>
    <xf numFmtId="166" fontId="172" fillId="17" borderId="15" xfId="1" applyNumberFormat="1" applyFont="1" applyFill="1" applyBorder="1"/>
    <xf numFmtId="0" fontId="15" fillId="18" borderId="15" xfId="0" applyFont="1" applyFill="1" applyBorder="1"/>
    <xf numFmtId="0" fontId="172" fillId="18" borderId="15" xfId="0" applyFont="1" applyFill="1" applyBorder="1" applyAlignment="1">
      <alignment horizontal="center" vertical="center"/>
    </xf>
    <xf numFmtId="166" fontId="172" fillId="18" borderId="15" xfId="1" applyNumberFormat="1" applyFont="1" applyFill="1" applyBorder="1" applyAlignment="1">
      <alignment horizontal="center" vertical="center"/>
    </xf>
    <xf numFmtId="0" fontId="15" fillId="19" borderId="15" xfId="0" applyFont="1" applyFill="1" applyBorder="1"/>
    <xf numFmtId="0" fontId="172" fillId="19" borderId="15" xfId="0" applyFont="1" applyFill="1" applyBorder="1" applyAlignment="1">
      <alignment horizontal="center" vertical="center"/>
    </xf>
    <xf numFmtId="166" fontId="172" fillId="19" borderId="15" xfId="1" applyNumberFormat="1" applyFont="1" applyFill="1" applyBorder="1" applyAlignment="1">
      <alignment horizontal="center" vertical="center"/>
    </xf>
    <xf numFmtId="0" fontId="15" fillId="0" borderId="15" xfId="0" applyFont="1" applyBorder="1"/>
    <xf numFmtId="0" fontId="166" fillId="10" borderId="0" xfId="0" applyFont="1" applyFill="1" applyProtection="1">
      <protection locked="0"/>
    </xf>
    <xf numFmtId="0" fontId="159" fillId="0" borderId="15" xfId="0" applyFont="1" applyBorder="1"/>
    <xf numFmtId="0" fontId="159" fillId="0" borderId="15" xfId="0" applyFont="1" applyBorder="1" applyAlignment="1">
      <alignment horizontal="center"/>
    </xf>
    <xf numFmtId="164" fontId="170" fillId="0" borderId="15" xfId="0" applyNumberFormat="1" applyFont="1" applyBorder="1"/>
    <xf numFmtId="44" fontId="15" fillId="10" borderId="0" xfId="1" applyFont="1" applyFill="1" applyProtection="1">
      <protection locked="0"/>
    </xf>
    <xf numFmtId="44" fontId="110" fillId="46" borderId="25" xfId="1" applyFont="1" applyFill="1" applyBorder="1" applyAlignment="1" applyProtection="1">
      <protection locked="0"/>
    </xf>
    <xf numFmtId="0" fontId="158" fillId="2" borderId="0" xfId="0" applyFont="1" applyFill="1" applyProtection="1">
      <protection locked="0"/>
    </xf>
    <xf numFmtId="0" fontId="158" fillId="2" borderId="0" xfId="0" applyFont="1" applyFill="1" applyAlignment="1" applyProtection="1">
      <alignment horizontal="left"/>
      <protection locked="0"/>
    </xf>
    <xf numFmtId="0" fontId="158" fillId="2" borderId="0" xfId="0" applyFont="1" applyFill="1" applyAlignment="1" applyProtection="1">
      <alignment vertical="top"/>
      <protection locked="0"/>
    </xf>
    <xf numFmtId="0" fontId="159" fillId="3" borderId="9" xfId="0" applyFont="1" applyFill="1" applyBorder="1" applyAlignment="1" applyProtection="1">
      <alignment horizontal="center" vertical="center" wrapText="1"/>
      <protection locked="0"/>
    </xf>
    <xf numFmtId="0" fontId="159" fillId="3" borderId="6" xfId="0" applyFont="1" applyFill="1" applyBorder="1" applyAlignment="1" applyProtection="1">
      <alignment horizontal="left" vertical="center" wrapText="1"/>
      <protection locked="0"/>
    </xf>
    <xf numFmtId="0" fontId="159" fillId="3" borderId="6" xfId="0" applyFont="1" applyFill="1" applyBorder="1" applyAlignment="1" applyProtection="1">
      <alignment horizontal="center" vertical="center" wrapText="1"/>
      <protection locked="0"/>
    </xf>
    <xf numFmtId="0" fontId="159" fillId="3" borderId="6" xfId="0" applyFont="1" applyFill="1" applyBorder="1" applyAlignment="1" applyProtection="1">
      <alignment vertical="top" wrapText="1"/>
      <protection locked="0"/>
    </xf>
    <xf numFmtId="0" fontId="93" fillId="3" borderId="6" xfId="0" applyFont="1" applyFill="1" applyBorder="1" applyAlignment="1" applyProtection="1">
      <alignment horizontal="center" vertical="center" wrapText="1"/>
      <protection locked="0"/>
    </xf>
    <xf numFmtId="0" fontId="173" fillId="3" borderId="6" xfId="0" applyFont="1" applyFill="1" applyBorder="1" applyAlignment="1" applyProtection="1">
      <alignment horizontal="center" vertical="center" wrapText="1"/>
      <protection locked="0"/>
    </xf>
    <xf numFmtId="0" fontId="159" fillId="29" borderId="6" xfId="0" applyFont="1" applyFill="1" applyBorder="1" applyAlignment="1" applyProtection="1">
      <alignment horizontal="center" vertical="center" wrapText="1"/>
      <protection locked="0"/>
    </xf>
    <xf numFmtId="0" fontId="159" fillId="29" borderId="47" xfId="0" applyFont="1" applyFill="1" applyBorder="1" applyAlignment="1" applyProtection="1">
      <alignment horizontal="center" vertical="center" wrapText="1"/>
      <protection locked="0"/>
    </xf>
    <xf numFmtId="0" fontId="15" fillId="0" borderId="7" xfId="0" applyFont="1" applyBorder="1" applyProtection="1">
      <protection locked="0"/>
    </xf>
    <xf numFmtId="0" fontId="15" fillId="0" borderId="1" xfId="0" applyFont="1" applyBorder="1" applyProtection="1">
      <protection locked="0"/>
    </xf>
    <xf numFmtId="0" fontId="15" fillId="0" borderId="6" xfId="0" applyFont="1" applyBorder="1" applyProtection="1">
      <protection locked="0"/>
    </xf>
    <xf numFmtId="0" fontId="15" fillId="0" borderId="6" xfId="0" applyFont="1" applyBorder="1" applyAlignment="1" applyProtection="1">
      <alignment horizontal="center" vertical="top"/>
      <protection locked="0"/>
    </xf>
    <xf numFmtId="10" fontId="15" fillId="0" borderId="6" xfId="2" applyNumberFormat="1" applyFont="1" applyBorder="1" applyAlignment="1" applyProtection="1">
      <alignment horizontal="left"/>
      <protection locked="0"/>
    </xf>
    <xf numFmtId="10" fontId="15" fillId="0" borderId="6" xfId="0" applyNumberFormat="1" applyFont="1" applyBorder="1" applyAlignment="1" applyProtection="1">
      <alignment horizontal="left"/>
      <protection locked="0"/>
    </xf>
    <xf numFmtId="10" fontId="15" fillId="28" borderId="37" xfId="0" applyNumberFormat="1" applyFont="1" applyFill="1" applyBorder="1" applyAlignment="1" applyProtection="1">
      <alignment horizontal="left"/>
      <protection locked="0"/>
    </xf>
    <xf numFmtId="0" fontId="15" fillId="0" borderId="6" xfId="0" applyFont="1" applyBorder="1" applyAlignment="1" applyProtection="1">
      <alignment horizontal="left"/>
      <protection locked="0"/>
    </xf>
    <xf numFmtId="10" fontId="15" fillId="0" borderId="6" xfId="0" applyNumberFormat="1" applyFont="1" applyBorder="1" applyAlignment="1" applyProtection="1">
      <alignment horizontal="left" vertical="center"/>
      <protection locked="0"/>
    </xf>
    <xf numFmtId="0" fontId="15" fillId="28" borderId="37" xfId="0" applyFont="1" applyFill="1" applyBorder="1" applyProtection="1">
      <protection locked="0"/>
    </xf>
    <xf numFmtId="0" fontId="15" fillId="28" borderId="49" xfId="0" applyFont="1" applyFill="1" applyBorder="1" applyProtection="1">
      <protection locked="0"/>
    </xf>
    <xf numFmtId="0" fontId="15" fillId="0" borderId="1" xfId="0" applyFont="1" applyBorder="1" applyAlignment="1" applyProtection="1">
      <alignment horizontal="center" vertical="top"/>
      <protection locked="0"/>
    </xf>
    <xf numFmtId="10" fontId="15" fillId="0" borderId="1" xfId="2" applyNumberFormat="1" applyFont="1" applyBorder="1" applyAlignment="1" applyProtection="1">
      <alignment horizontal="left"/>
      <protection locked="0"/>
    </xf>
    <xf numFmtId="10" fontId="15" fillId="0" borderId="1" xfId="0" applyNumberFormat="1" applyFont="1" applyBorder="1" applyAlignment="1" applyProtection="1">
      <alignment horizontal="left"/>
      <protection locked="0"/>
    </xf>
    <xf numFmtId="0" fontId="15" fillId="0" borderId="1" xfId="0" applyFont="1" applyBorder="1" applyAlignment="1" applyProtection="1">
      <alignment horizontal="left"/>
      <protection locked="0"/>
    </xf>
    <xf numFmtId="8" fontId="15" fillId="0" borderId="1" xfId="0" applyNumberFormat="1" applyFont="1" applyBorder="1" applyAlignment="1" applyProtection="1">
      <alignment horizontal="left" vertical="center"/>
      <protection locked="0"/>
    </xf>
    <xf numFmtId="0" fontId="15" fillId="0" borderId="48" xfId="0" applyFont="1" applyBorder="1" applyProtection="1">
      <protection locked="0"/>
    </xf>
    <xf numFmtId="10" fontId="15" fillId="28" borderId="1" xfId="0" applyNumberFormat="1" applyFont="1" applyFill="1" applyBorder="1" applyAlignment="1" applyProtection="1">
      <alignment horizontal="left"/>
      <protection locked="0"/>
    </xf>
    <xf numFmtId="10" fontId="15" fillId="0" borderId="1" xfId="0" applyNumberFormat="1" applyFont="1" applyBorder="1" applyAlignment="1" applyProtection="1">
      <alignment horizontal="left" vertical="center"/>
      <protection locked="0"/>
    </xf>
    <xf numFmtId="0" fontId="15" fillId="28" borderId="1" xfId="0" applyFont="1" applyFill="1" applyBorder="1" applyProtection="1">
      <protection locked="0"/>
    </xf>
    <xf numFmtId="0" fontId="15" fillId="28" borderId="48" xfId="0" applyFont="1" applyFill="1" applyBorder="1" applyProtection="1">
      <protection locked="0"/>
    </xf>
    <xf numFmtId="0" fontId="162" fillId="0" borderId="1" xfId="0" applyFont="1" applyBorder="1" applyAlignment="1" applyProtection="1">
      <alignment horizontal="left" vertical="center"/>
      <protection locked="0"/>
    </xf>
    <xf numFmtId="0" fontId="15" fillId="0" borderId="1" xfId="0" applyFont="1" applyBorder="1" applyAlignment="1" applyProtection="1">
      <alignment horizontal="left" vertical="center"/>
      <protection locked="0"/>
    </xf>
    <xf numFmtId="20" fontId="15" fillId="0" borderId="1" xfId="0" applyNumberFormat="1" applyFont="1" applyBorder="1" applyAlignment="1" applyProtection="1">
      <alignment horizontal="left"/>
      <protection locked="0"/>
    </xf>
    <xf numFmtId="46" fontId="15" fillId="0" borderId="1" xfId="0" applyNumberFormat="1" applyFont="1" applyBorder="1" applyAlignment="1" applyProtection="1">
      <alignment horizontal="left" vertical="center" wrapText="1"/>
      <protection locked="0"/>
    </xf>
    <xf numFmtId="169" fontId="15" fillId="0" borderId="1" xfId="0" applyNumberFormat="1" applyFont="1" applyBorder="1" applyAlignment="1" applyProtection="1">
      <alignment horizontal="left"/>
      <protection locked="0"/>
    </xf>
    <xf numFmtId="46" fontId="15" fillId="0" borderId="1" xfId="0" applyNumberFormat="1" applyFont="1" applyBorder="1" applyAlignment="1" applyProtection="1">
      <alignment horizontal="left" vertical="center"/>
      <protection locked="0"/>
    </xf>
    <xf numFmtId="20" fontId="15" fillId="0" borderId="1" xfId="0" applyNumberFormat="1" applyFont="1" applyBorder="1" applyAlignment="1" applyProtection="1">
      <alignment horizontal="left" vertical="center" wrapText="1"/>
      <protection locked="0"/>
    </xf>
    <xf numFmtId="20" fontId="15" fillId="28" borderId="1" xfId="0" applyNumberFormat="1" applyFont="1" applyFill="1" applyBorder="1" applyAlignment="1" applyProtection="1">
      <alignment horizontal="left"/>
      <protection locked="0"/>
    </xf>
    <xf numFmtId="20" fontId="15" fillId="0" borderId="1" xfId="0" applyNumberFormat="1" applyFont="1" applyBorder="1" applyAlignment="1" applyProtection="1">
      <alignment horizontal="left" vertical="center"/>
      <protection locked="0"/>
    </xf>
    <xf numFmtId="164" fontId="15" fillId="0" borderId="1" xfId="0" applyNumberFormat="1" applyFont="1" applyBorder="1" applyProtection="1">
      <protection locked="0"/>
    </xf>
    <xf numFmtId="44" fontId="15" fillId="0" borderId="1" xfId="1" applyFont="1" applyBorder="1" applyAlignment="1" applyProtection="1">
      <alignment horizontal="left"/>
      <protection locked="0"/>
    </xf>
    <xf numFmtId="170" fontId="162" fillId="0" borderId="1" xfId="0" applyNumberFormat="1" applyFont="1" applyBorder="1" applyAlignment="1" applyProtection="1">
      <alignment horizontal="left"/>
      <protection locked="0"/>
    </xf>
    <xf numFmtId="170" fontId="15" fillId="0" borderId="1" xfId="0" applyNumberFormat="1" applyFont="1" applyBorder="1" applyAlignment="1" applyProtection="1">
      <alignment horizontal="left"/>
      <protection locked="0"/>
    </xf>
    <xf numFmtId="44" fontId="15" fillId="0" borderId="1" xfId="1" applyFont="1" applyBorder="1" applyAlignment="1" applyProtection="1">
      <alignment horizontal="left" vertical="center"/>
      <protection locked="0"/>
    </xf>
    <xf numFmtId="170" fontId="15" fillId="28" borderId="1" xfId="0" applyNumberFormat="1" applyFont="1" applyFill="1" applyBorder="1" applyAlignment="1" applyProtection="1">
      <alignment horizontal="left"/>
      <protection locked="0"/>
    </xf>
    <xf numFmtId="176" fontId="160" fillId="0" borderId="1" xfId="7" applyNumberFormat="1" applyFont="1" applyBorder="1" applyAlignment="1">
      <alignment horizontal="center" vertical="center"/>
    </xf>
    <xf numFmtId="3" fontId="15" fillId="0" borderId="1" xfId="0" applyNumberFormat="1" applyFont="1" applyBorder="1" applyAlignment="1" applyProtection="1">
      <alignment horizontal="left"/>
      <protection locked="0"/>
    </xf>
    <xf numFmtId="3" fontId="15" fillId="0" borderId="1" xfId="0" applyNumberFormat="1" applyFont="1" applyBorder="1" applyAlignment="1" applyProtection="1">
      <alignment horizontal="left" vertical="center"/>
      <protection locked="0"/>
    </xf>
    <xf numFmtId="4" fontId="15" fillId="0" borderId="1" xfId="0" applyNumberFormat="1" applyFont="1" applyBorder="1" applyAlignment="1" applyProtection="1">
      <alignment horizontal="left"/>
      <protection locked="0"/>
    </xf>
    <xf numFmtId="0" fontId="15" fillId="28" borderId="1" xfId="0" applyFont="1" applyFill="1" applyBorder="1" applyAlignment="1" applyProtection="1">
      <alignment horizontal="left"/>
      <protection locked="0"/>
    </xf>
    <xf numFmtId="0" fontId="162" fillId="0" borderId="1" xfId="0" applyFont="1" applyBorder="1" applyAlignment="1" applyProtection="1">
      <alignment horizontal="left"/>
      <protection locked="0"/>
    </xf>
    <xf numFmtId="9" fontId="15" fillId="0" borderId="1" xfId="0" applyNumberFormat="1" applyFont="1" applyBorder="1" applyAlignment="1" applyProtection="1">
      <alignment horizontal="left"/>
      <protection locked="0"/>
    </xf>
    <xf numFmtId="9" fontId="15" fillId="28" borderId="1" xfId="0" applyNumberFormat="1" applyFont="1" applyFill="1" applyBorder="1" applyAlignment="1" applyProtection="1">
      <alignment horizontal="left"/>
      <protection locked="0"/>
    </xf>
    <xf numFmtId="9" fontId="15" fillId="0" borderId="1" xfId="0" applyNumberFormat="1" applyFont="1" applyBorder="1" applyAlignment="1" applyProtection="1">
      <alignment horizontal="left" vertical="center"/>
      <protection locked="0"/>
    </xf>
    <xf numFmtId="0" fontId="158" fillId="2" borderId="0" xfId="2" applyNumberFormat="1" applyFont="1" applyFill="1" applyAlignment="1" applyProtection="1">
      <alignment horizontal="center" vertical="center"/>
      <protection locked="0"/>
    </xf>
    <xf numFmtId="0" fontId="111" fillId="23" borderId="0" xfId="0" applyFont="1" applyFill="1" applyAlignment="1" applyProtection="1">
      <alignment horizontal="center"/>
      <protection locked="0"/>
    </xf>
    <xf numFmtId="46" fontId="15" fillId="0" borderId="1" xfId="0" applyNumberFormat="1" applyFont="1" applyBorder="1" applyAlignment="1" applyProtection="1">
      <alignment horizontal="left"/>
      <protection locked="0"/>
    </xf>
    <xf numFmtId="46" fontId="15" fillId="28" borderId="1" xfId="0" applyNumberFormat="1" applyFont="1" applyFill="1" applyBorder="1" applyAlignment="1" applyProtection="1">
      <alignment horizontal="left"/>
      <protection locked="0"/>
    </xf>
    <xf numFmtId="44" fontId="15" fillId="10" borderId="0" xfId="1" applyFont="1" applyFill="1" applyAlignment="1" applyProtection="1">
      <alignment horizontal="center"/>
      <protection locked="0"/>
    </xf>
    <xf numFmtId="21" fontId="15" fillId="0" borderId="1" xfId="0" applyNumberFormat="1" applyFont="1" applyBorder="1" applyAlignment="1" applyProtection="1">
      <alignment horizontal="left"/>
      <protection locked="0"/>
    </xf>
    <xf numFmtId="0" fontId="15" fillId="6" borderId="0" xfId="0" applyFont="1" applyFill="1" applyAlignment="1" applyProtection="1">
      <alignment horizontal="left"/>
      <protection locked="0"/>
    </xf>
    <xf numFmtId="44" fontId="15" fillId="6" borderId="0" xfId="1" applyFont="1" applyFill="1" applyAlignment="1" applyProtection="1">
      <alignment horizontal="center"/>
      <protection locked="0"/>
    </xf>
    <xf numFmtId="0" fontId="172" fillId="0" borderId="7" xfId="0" applyFont="1" applyBorder="1" applyProtection="1">
      <protection locked="0"/>
    </xf>
    <xf numFmtId="0" fontId="172" fillId="0" borderId="1" xfId="0" applyFont="1" applyBorder="1" applyProtection="1">
      <protection locked="0"/>
    </xf>
    <xf numFmtId="0" fontId="172" fillId="0" borderId="1" xfId="0" applyFont="1" applyBorder="1" applyAlignment="1" applyProtection="1">
      <alignment horizontal="center"/>
      <protection locked="0"/>
    </xf>
    <xf numFmtId="0" fontId="103" fillId="0" borderId="1" xfId="0" quotePrefix="1" applyFont="1" applyBorder="1" applyAlignment="1" applyProtection="1">
      <alignment horizontal="left" vertical="center"/>
      <protection locked="0"/>
    </xf>
    <xf numFmtId="0" fontId="172" fillId="28" borderId="1" xfId="0" applyFont="1" applyFill="1" applyBorder="1" applyProtection="1">
      <protection locked="0"/>
    </xf>
    <xf numFmtId="0" fontId="172" fillId="28" borderId="48" xfId="0" applyFont="1" applyFill="1" applyBorder="1" applyProtection="1">
      <protection locked="0"/>
    </xf>
    <xf numFmtId="0" fontId="172" fillId="10" borderId="0" xfId="0" applyFont="1" applyFill="1" applyProtection="1">
      <protection locked="0"/>
    </xf>
    <xf numFmtId="0" fontId="172" fillId="10" borderId="0" xfId="0" applyFont="1" applyFill="1" applyAlignment="1" applyProtection="1">
      <alignment horizontal="left"/>
      <protection locked="0"/>
    </xf>
    <xf numFmtId="44" fontId="172" fillId="10" borderId="0" xfId="1" applyFont="1" applyFill="1" applyAlignment="1" applyProtection="1">
      <alignment horizontal="center"/>
      <protection locked="0"/>
    </xf>
    <xf numFmtId="0" fontId="15" fillId="0" borderId="1" xfId="0" applyFont="1" applyBorder="1" applyAlignment="1" applyProtection="1">
      <alignment vertical="top"/>
      <protection locked="0"/>
    </xf>
    <xf numFmtId="0" fontId="15" fillId="0" borderId="1" xfId="0" applyFont="1" applyBorder="1" applyAlignment="1" applyProtection="1">
      <alignment horizontal="center"/>
      <protection locked="0"/>
    </xf>
    <xf numFmtId="0" fontId="15" fillId="0" borderId="1" xfId="0" applyFont="1" applyBorder="1" applyAlignment="1" applyProtection="1">
      <alignment horizontal="center" vertical="center"/>
      <protection locked="0"/>
    </xf>
    <xf numFmtId="0" fontId="15" fillId="0" borderId="8" xfId="0" applyFont="1" applyBorder="1" applyProtection="1">
      <protection locked="0"/>
    </xf>
    <xf numFmtId="0" fontId="15" fillId="0" borderId="5" xfId="0" applyFont="1" applyBorder="1" applyAlignment="1" applyProtection="1">
      <alignment horizontal="left"/>
      <protection locked="0"/>
    </xf>
    <xf numFmtId="0" fontId="15" fillId="0" borderId="5" xfId="0" applyFont="1" applyBorder="1" applyProtection="1">
      <protection locked="0"/>
    </xf>
    <xf numFmtId="0" fontId="15" fillId="0" borderId="5" xfId="0" applyFont="1" applyBorder="1" applyAlignment="1" applyProtection="1">
      <alignment vertical="top"/>
      <protection locked="0"/>
    </xf>
    <xf numFmtId="0" fontId="15" fillId="0" borderId="5" xfId="0" applyFont="1" applyBorder="1" applyAlignment="1" applyProtection="1">
      <alignment horizontal="center"/>
      <protection locked="0"/>
    </xf>
    <xf numFmtId="0" fontId="15" fillId="0" borderId="0" xfId="0" applyFont="1" applyAlignment="1" applyProtection="1">
      <alignment horizontal="left"/>
      <protection locked="0"/>
    </xf>
    <xf numFmtId="0" fontId="15" fillId="0" borderId="0" xfId="0" applyFont="1" applyAlignment="1" applyProtection="1">
      <alignment vertical="top"/>
      <protection locked="0"/>
    </xf>
    <xf numFmtId="0" fontId="15" fillId="0" borderId="0" xfId="0" applyFont="1" applyAlignment="1" applyProtection="1">
      <alignment horizontal="center" vertical="center" wrapText="1"/>
      <protection locked="0"/>
    </xf>
    <xf numFmtId="0" fontId="158" fillId="2" borderId="4" xfId="0" applyFont="1" applyFill="1" applyBorder="1" applyProtection="1">
      <protection locked="0"/>
    </xf>
    <xf numFmtId="0" fontId="158" fillId="2" borderId="4" xfId="0" applyFont="1" applyFill="1" applyBorder="1" applyAlignment="1" applyProtection="1">
      <alignment horizontal="left"/>
      <protection locked="0"/>
    </xf>
    <xf numFmtId="0" fontId="158" fillId="2" borderId="4" xfId="0" applyFont="1" applyFill="1" applyBorder="1" applyAlignment="1" applyProtection="1">
      <alignment vertical="top"/>
      <protection locked="0"/>
    </xf>
    <xf numFmtId="0" fontId="111" fillId="9" borderId="4" xfId="0" applyFont="1" applyFill="1" applyBorder="1" applyAlignment="1" applyProtection="1">
      <alignment horizontal="center"/>
      <protection locked="0"/>
    </xf>
    <xf numFmtId="0" fontId="111" fillId="9" borderId="0" xfId="0" applyFont="1" applyFill="1" applyAlignment="1" applyProtection="1">
      <alignment horizontal="center"/>
      <protection locked="0"/>
    </xf>
    <xf numFmtId="44" fontId="83" fillId="11" borderId="39" xfId="0" applyNumberFormat="1" applyFont="1" applyFill="1" applyBorder="1" applyAlignment="1" applyProtection="1">
      <alignment horizontal="center" vertical="center" wrapText="1"/>
      <protection locked="0"/>
    </xf>
    <xf numFmtId="0" fontId="159" fillId="3" borderId="1" xfId="0" applyFont="1" applyFill="1" applyBorder="1" applyAlignment="1" applyProtection="1">
      <alignment horizontal="center" vertical="center" wrapText="1"/>
      <protection locked="0"/>
    </xf>
    <xf numFmtId="0" fontId="159" fillId="3" borderId="1" xfId="0" applyFont="1" applyFill="1" applyBorder="1" applyAlignment="1" applyProtection="1">
      <alignment horizontal="left" vertical="center" wrapText="1"/>
      <protection locked="0"/>
    </xf>
    <xf numFmtId="0" fontId="159" fillId="3" borderId="1" xfId="0" applyFont="1" applyFill="1" applyBorder="1" applyAlignment="1" applyProtection="1">
      <alignment vertical="top" wrapText="1"/>
      <protection locked="0"/>
    </xf>
    <xf numFmtId="17" fontId="15" fillId="6" borderId="1" xfId="0" applyNumberFormat="1" applyFont="1" applyFill="1" applyBorder="1" applyAlignment="1" applyProtection="1">
      <alignment horizontal="center" vertical="center" wrapText="1"/>
      <protection locked="0"/>
    </xf>
    <xf numFmtId="0" fontId="159" fillId="7" borderId="1" xfId="0" applyFont="1" applyFill="1" applyBorder="1" applyAlignment="1" applyProtection="1">
      <alignment horizontal="center" vertical="center" wrapText="1"/>
      <protection locked="0"/>
    </xf>
    <xf numFmtId="0" fontId="93" fillId="8" borderId="1" xfId="1" applyNumberFormat="1" applyFont="1" applyFill="1" applyBorder="1" applyAlignment="1" applyProtection="1">
      <alignment horizontal="left" vertical="center"/>
      <protection locked="0"/>
    </xf>
    <xf numFmtId="9" fontId="93" fillId="8" borderId="1" xfId="2" applyFont="1" applyFill="1" applyBorder="1" applyAlignment="1" applyProtection="1">
      <alignment horizontal="center" vertical="center"/>
      <protection locked="0"/>
    </xf>
    <xf numFmtId="44" fontId="93" fillId="8" borderId="1" xfId="1" applyFont="1" applyFill="1" applyBorder="1" applyAlignment="1" applyProtection="1">
      <alignment horizontal="left" vertical="center"/>
    </xf>
    <xf numFmtId="44" fontId="93" fillId="11" borderId="1" xfId="1" applyFont="1" applyFill="1" applyBorder="1" applyAlignment="1" applyProtection="1">
      <alignment horizontal="left" vertical="center"/>
      <protection locked="0"/>
    </xf>
    <xf numFmtId="44" fontId="93" fillId="8" borderId="1" xfId="1" applyFont="1" applyFill="1" applyBorder="1" applyAlignment="1" applyProtection="1">
      <alignment horizontal="center" vertical="center"/>
      <protection locked="0"/>
    </xf>
    <xf numFmtId="0" fontId="93" fillId="8" borderId="1" xfId="0" applyFont="1" applyFill="1" applyBorder="1" applyAlignment="1" applyProtection="1">
      <alignment horizontal="left" vertical="center" wrapText="1"/>
      <protection locked="0"/>
    </xf>
    <xf numFmtId="0" fontId="93" fillId="0" borderId="0" xfId="0" applyFont="1" applyProtection="1">
      <protection locked="0"/>
    </xf>
    <xf numFmtId="44" fontId="103" fillId="10" borderId="15" xfId="0" applyNumberFormat="1" applyFont="1" applyFill="1" applyBorder="1" applyProtection="1">
      <protection locked="0"/>
    </xf>
    <xf numFmtId="44" fontId="93" fillId="8" borderId="1" xfId="1" applyFont="1" applyFill="1" applyBorder="1" applyAlignment="1" applyProtection="1">
      <alignment horizontal="center" vertical="center"/>
    </xf>
    <xf numFmtId="0" fontId="103" fillId="8" borderId="1" xfId="0" applyFont="1" applyFill="1" applyBorder="1" applyAlignment="1" applyProtection="1">
      <alignment horizontal="left" vertical="center"/>
      <protection locked="0"/>
    </xf>
    <xf numFmtId="0" fontId="15" fillId="0" borderId="0" xfId="0" applyFont="1" applyAlignment="1" applyProtection="1">
      <alignment horizontal="center" vertical="center"/>
      <protection locked="0"/>
    </xf>
    <xf numFmtId="0" fontId="15" fillId="0" borderId="1" xfId="1" applyNumberFormat="1" applyFont="1" applyBorder="1" applyAlignment="1" applyProtection="1">
      <alignment horizontal="left" vertical="center"/>
      <protection locked="0"/>
    </xf>
    <xf numFmtId="9" fontId="15" fillId="0" borderId="1" xfId="2" applyFont="1" applyBorder="1" applyAlignment="1" applyProtection="1">
      <alignment horizontal="center" vertical="center"/>
      <protection locked="0"/>
    </xf>
    <xf numFmtId="44" fontId="15" fillId="0" borderId="1" xfId="1" applyFont="1" applyBorder="1" applyAlignment="1" applyProtection="1">
      <alignment horizontal="center" vertical="center"/>
      <protection locked="0"/>
    </xf>
    <xf numFmtId="44" fontId="15" fillId="0" borderId="1" xfId="1" applyFont="1" applyBorder="1" applyAlignment="1" applyProtection="1">
      <alignment horizontal="left" vertical="center"/>
    </xf>
    <xf numFmtId="44" fontId="15" fillId="11" borderId="1" xfId="1" applyFont="1" applyFill="1" applyBorder="1" applyAlignment="1" applyProtection="1">
      <alignment horizontal="left" vertical="center"/>
      <protection locked="0"/>
    </xf>
    <xf numFmtId="44" fontId="15" fillId="0" borderId="1" xfId="1" applyFont="1" applyBorder="1" applyAlignment="1" applyProtection="1">
      <alignment horizontal="center" vertical="center"/>
    </xf>
    <xf numFmtId="0" fontId="15" fillId="8" borderId="1" xfId="1" applyNumberFormat="1" applyFont="1" applyFill="1" applyBorder="1" applyAlignment="1" applyProtection="1">
      <alignment horizontal="left" vertical="center"/>
      <protection locked="0"/>
    </xf>
    <xf numFmtId="9" fontId="15" fillId="8" borderId="1" xfId="2" applyFont="1" applyFill="1" applyBorder="1" applyAlignment="1" applyProtection="1">
      <alignment horizontal="center" vertical="center"/>
      <protection locked="0"/>
    </xf>
    <xf numFmtId="44" fontId="15" fillId="8" borderId="1" xfId="1" applyFont="1" applyFill="1" applyBorder="1" applyAlignment="1" applyProtection="1">
      <alignment horizontal="center" vertical="center"/>
      <protection locked="0"/>
    </xf>
    <xf numFmtId="0" fontId="15" fillId="8" borderId="1" xfId="0" applyFont="1" applyFill="1" applyBorder="1" applyAlignment="1" applyProtection="1">
      <alignment horizontal="left" vertical="center" wrapText="1"/>
      <protection locked="0"/>
    </xf>
    <xf numFmtId="44" fontId="15" fillId="8" borderId="1" xfId="1" applyFont="1" applyFill="1" applyBorder="1" applyAlignment="1" applyProtection="1">
      <alignment horizontal="left" vertical="center"/>
    </xf>
    <xf numFmtId="44" fontId="15" fillId="8" borderId="1" xfId="1" applyFont="1" applyFill="1" applyBorder="1" applyAlignment="1" applyProtection="1">
      <alignment horizontal="center" vertical="center"/>
    </xf>
    <xf numFmtId="0" fontId="172" fillId="8" borderId="1" xfId="0" applyFont="1" applyFill="1" applyBorder="1" applyAlignment="1" applyProtection="1">
      <alignment horizontal="left" vertical="center"/>
      <protection locked="0"/>
    </xf>
    <xf numFmtId="0" fontId="103" fillId="0" borderId="1" xfId="1" applyNumberFormat="1" applyFont="1" applyBorder="1" applyAlignment="1" applyProtection="1">
      <alignment horizontal="left" vertical="center"/>
      <protection locked="0"/>
    </xf>
    <xf numFmtId="9" fontId="103" fillId="0" borderId="1" xfId="2" applyFont="1" applyBorder="1" applyAlignment="1" applyProtection="1">
      <alignment horizontal="center" vertical="center"/>
      <protection locked="0"/>
    </xf>
    <xf numFmtId="44" fontId="103" fillId="0" borderId="1" xfId="1" applyFont="1" applyBorder="1" applyAlignment="1" applyProtection="1">
      <alignment horizontal="center" vertical="center"/>
      <protection locked="0"/>
    </xf>
    <xf numFmtId="0" fontId="103" fillId="0" borderId="1" xfId="0" applyFont="1" applyBorder="1" applyAlignment="1" applyProtection="1">
      <alignment horizontal="left" vertical="center"/>
      <protection locked="0"/>
    </xf>
    <xf numFmtId="0" fontId="103" fillId="0" borderId="0" xfId="0" applyFont="1" applyProtection="1">
      <protection locked="0"/>
    </xf>
    <xf numFmtId="44" fontId="103" fillId="0" borderId="1" xfId="1" applyFont="1" applyBorder="1" applyAlignment="1" applyProtection="1">
      <alignment horizontal="left" vertical="center"/>
    </xf>
    <xf numFmtId="44" fontId="103" fillId="11" borderId="1" xfId="1" applyFont="1" applyFill="1" applyBorder="1" applyAlignment="1" applyProtection="1">
      <alignment horizontal="left" vertical="center"/>
      <protection locked="0"/>
    </xf>
    <xf numFmtId="44" fontId="103" fillId="0" borderId="1" xfId="1" applyFont="1" applyBorder="1" applyAlignment="1" applyProtection="1">
      <alignment horizontal="center" vertical="center"/>
    </xf>
    <xf numFmtId="44" fontId="15" fillId="10" borderId="1" xfId="1" applyFont="1" applyFill="1" applyBorder="1" applyAlignment="1">
      <alignment horizontal="left" vertical="center"/>
    </xf>
    <xf numFmtId="44" fontId="15" fillId="42" borderId="1" xfId="1" applyFont="1" applyFill="1" applyBorder="1" applyAlignment="1">
      <alignment horizontal="left" vertical="center"/>
    </xf>
    <xf numFmtId="44" fontId="15" fillId="42" borderId="1" xfId="1" applyFont="1" applyFill="1" applyBorder="1" applyAlignment="1" applyProtection="1">
      <alignment horizontal="left" vertical="center"/>
    </xf>
    <xf numFmtId="44" fontId="172" fillId="11" borderId="1" xfId="1" applyFont="1" applyFill="1" applyBorder="1" applyAlignment="1" applyProtection="1">
      <alignment horizontal="left" vertical="center"/>
      <protection locked="0"/>
    </xf>
    <xf numFmtId="44" fontId="15" fillId="67" borderId="1" xfId="1" applyFont="1" applyFill="1" applyBorder="1" applyAlignment="1" applyProtection="1">
      <alignment horizontal="left" vertical="center"/>
    </xf>
    <xf numFmtId="44" fontId="15" fillId="67" borderId="1" xfId="1" applyFont="1" applyFill="1" applyBorder="1" applyAlignment="1" applyProtection="1">
      <alignment horizontal="left" vertical="center"/>
      <protection locked="0"/>
    </xf>
    <xf numFmtId="44" fontId="15" fillId="67" borderId="1" xfId="1" applyFont="1" applyFill="1" applyBorder="1" applyAlignment="1" applyProtection="1">
      <alignment horizontal="center" vertical="center"/>
    </xf>
    <xf numFmtId="0" fontId="172" fillId="67" borderId="1" xfId="0" applyFont="1" applyFill="1" applyBorder="1" applyAlignment="1" applyProtection="1">
      <alignment horizontal="left" vertical="center"/>
      <protection locked="0"/>
    </xf>
    <xf numFmtId="0" fontId="15" fillId="67" borderId="1" xfId="0" applyFont="1" applyFill="1" applyBorder="1" applyAlignment="1" applyProtection="1">
      <alignment horizontal="left" vertical="center"/>
      <protection locked="0"/>
    </xf>
    <xf numFmtId="9" fontId="93" fillId="0" borderId="1" xfId="2" applyFont="1" applyBorder="1" applyAlignment="1" applyProtection="1">
      <alignment horizontal="center" vertical="center"/>
      <protection locked="0"/>
    </xf>
    <xf numFmtId="0" fontId="15" fillId="0" borderId="1" xfId="1" applyNumberFormat="1" applyFont="1" applyFill="1" applyBorder="1" applyAlignment="1" applyProtection="1">
      <alignment horizontal="left" vertical="center"/>
      <protection locked="0"/>
    </xf>
    <xf numFmtId="9" fontId="15" fillId="0" borderId="1" xfId="2" applyFont="1" applyFill="1" applyBorder="1" applyAlignment="1" applyProtection="1">
      <alignment horizontal="center" vertical="center"/>
      <protection locked="0"/>
    </xf>
    <xf numFmtId="44" fontId="15" fillId="0" borderId="1" xfId="1" applyFont="1" applyFill="1" applyBorder="1" applyAlignment="1" applyProtection="1">
      <alignment horizontal="center" vertical="center"/>
      <protection locked="0"/>
    </xf>
    <xf numFmtId="44" fontId="15" fillId="56" borderId="1" xfId="1" applyFont="1" applyFill="1" applyBorder="1" applyAlignment="1" applyProtection="1">
      <alignment horizontal="left" vertical="center"/>
    </xf>
    <xf numFmtId="44" fontId="108" fillId="8" borderId="1" xfId="1" applyFont="1" applyFill="1" applyBorder="1" applyAlignment="1" applyProtection="1">
      <alignment horizontal="left" vertical="center"/>
    </xf>
    <xf numFmtId="44" fontId="15" fillId="8" borderId="1" xfId="1" applyFont="1" applyFill="1" applyBorder="1" applyAlignment="1" applyProtection="1">
      <alignment horizontal="left" vertical="center"/>
      <protection locked="0"/>
    </xf>
    <xf numFmtId="0" fontId="158" fillId="2" borderId="14" xfId="0" applyFont="1" applyFill="1" applyBorder="1" applyProtection="1">
      <protection locked="0"/>
    </xf>
    <xf numFmtId="0" fontId="158" fillId="2" borderId="0" xfId="0" applyFont="1" applyFill="1" applyAlignment="1" applyProtection="1">
      <alignment horizontal="center" vertical="center"/>
      <protection locked="0"/>
    </xf>
    <xf numFmtId="9" fontId="158" fillId="2" borderId="0" xfId="2" applyFont="1" applyFill="1" applyBorder="1" applyAlignment="1" applyProtection="1">
      <alignment horizontal="left" vertical="center"/>
      <protection locked="0"/>
    </xf>
    <xf numFmtId="9" fontId="158" fillId="2" borderId="0" xfId="2" applyFont="1" applyFill="1" applyBorder="1" applyAlignment="1" applyProtection="1">
      <alignment vertical="center"/>
      <protection locked="0"/>
    </xf>
    <xf numFmtId="9" fontId="158" fillId="2" borderId="0" xfId="2" applyFont="1" applyFill="1" applyAlignment="1" applyProtection="1">
      <alignment vertical="center"/>
      <protection locked="0"/>
    </xf>
    <xf numFmtId="9" fontId="158" fillId="2" borderId="0" xfId="2" applyFont="1" applyFill="1" applyBorder="1" applyAlignment="1" applyProtection="1">
      <alignment horizontal="center" vertical="center"/>
      <protection locked="0"/>
    </xf>
    <xf numFmtId="17" fontId="15" fillId="6" borderId="15" xfId="0" applyNumberFormat="1" applyFont="1" applyFill="1" applyBorder="1" applyAlignment="1" applyProtection="1">
      <alignment horizontal="center" vertical="center" wrapText="1"/>
      <protection locked="0"/>
    </xf>
    <xf numFmtId="0" fontId="172" fillId="10" borderId="13" xfId="0" applyFont="1" applyFill="1" applyBorder="1" applyProtection="1">
      <protection locked="0"/>
    </xf>
    <xf numFmtId="9" fontId="15" fillId="10" borderId="12" xfId="0" applyNumberFormat="1" applyFont="1" applyFill="1" applyBorder="1" applyAlignment="1" applyProtection="1">
      <alignment horizontal="center" vertical="center"/>
      <protection locked="0"/>
    </xf>
    <xf numFmtId="9" fontId="179" fillId="2" borderId="0" xfId="2" applyFont="1" applyFill="1" applyBorder="1" applyAlignment="1" applyProtection="1">
      <alignment horizontal="left" vertical="center"/>
      <protection locked="0"/>
    </xf>
    <xf numFmtId="17" fontId="15" fillId="6" borderId="15" xfId="0" applyNumberFormat="1" applyFont="1" applyFill="1" applyBorder="1" applyAlignment="1" applyProtection="1">
      <alignment horizontal="left" vertical="center" wrapText="1"/>
      <protection locked="0"/>
    </xf>
    <xf numFmtId="44" fontId="15" fillId="6" borderId="15" xfId="1" applyFont="1" applyFill="1" applyBorder="1" applyProtection="1">
      <protection locked="0"/>
    </xf>
    <xf numFmtId="0" fontId="172" fillId="11" borderId="13" xfId="0" applyFont="1" applyFill="1" applyBorder="1" applyProtection="1">
      <protection locked="0"/>
    </xf>
    <xf numFmtId="9" fontId="15" fillId="11" borderId="12" xfId="0" applyNumberFormat="1" applyFont="1" applyFill="1" applyBorder="1" applyAlignment="1" applyProtection="1">
      <alignment horizontal="center" vertical="center"/>
      <protection locked="0"/>
    </xf>
    <xf numFmtId="0" fontId="175" fillId="8" borderId="12" xfId="3" applyFont="1" applyFill="1" applyBorder="1" applyProtection="1">
      <protection locked="0"/>
    </xf>
    <xf numFmtId="0" fontId="15" fillId="8" borderId="12" xfId="0" applyFont="1" applyFill="1" applyBorder="1" applyAlignment="1" applyProtection="1">
      <alignment horizontal="center" vertical="center"/>
      <protection locked="0"/>
    </xf>
    <xf numFmtId="0" fontId="93" fillId="8" borderId="12" xfId="0" applyFont="1" applyFill="1" applyBorder="1" applyAlignment="1" applyProtection="1">
      <alignment horizontal="center" vertical="center"/>
      <protection locked="0"/>
    </xf>
    <xf numFmtId="9" fontId="15" fillId="8" borderId="12" xfId="2" applyFont="1" applyFill="1" applyBorder="1" applyAlignment="1" applyProtection="1">
      <alignment horizontal="center" vertical="center"/>
      <protection locked="0"/>
    </xf>
    <xf numFmtId="0" fontId="15" fillId="8" borderId="11" xfId="0" applyFont="1" applyFill="1" applyBorder="1" applyAlignment="1" applyProtection="1">
      <alignment vertical="center"/>
      <protection locked="0"/>
    </xf>
    <xf numFmtId="17" fontId="15" fillId="10" borderId="15" xfId="0" applyNumberFormat="1" applyFont="1" applyFill="1" applyBorder="1" applyAlignment="1" applyProtection="1">
      <alignment horizontal="left" vertical="center" wrapText="1"/>
      <protection locked="0"/>
    </xf>
    <xf numFmtId="44" fontId="15" fillId="10" borderId="15" xfId="1" applyFont="1" applyFill="1" applyBorder="1" applyProtection="1">
      <protection locked="0"/>
    </xf>
    <xf numFmtId="0" fontId="175" fillId="10" borderId="12" xfId="3" applyFont="1" applyFill="1" applyBorder="1" applyProtection="1">
      <protection locked="0"/>
    </xf>
    <xf numFmtId="0" fontId="15" fillId="10" borderId="12" xfId="0" applyFont="1" applyFill="1" applyBorder="1" applyAlignment="1" applyProtection="1">
      <alignment horizontal="center" vertical="center"/>
      <protection locked="0"/>
    </xf>
    <xf numFmtId="0" fontId="93" fillId="10" borderId="12" xfId="0" applyFont="1" applyFill="1" applyBorder="1" applyAlignment="1" applyProtection="1">
      <alignment horizontal="center" vertical="center"/>
      <protection locked="0"/>
    </xf>
    <xf numFmtId="9" fontId="15" fillId="10" borderId="12" xfId="2" applyFont="1" applyFill="1" applyBorder="1" applyAlignment="1" applyProtection="1">
      <alignment horizontal="center" vertical="center"/>
      <protection locked="0"/>
    </xf>
    <xf numFmtId="0" fontId="15" fillId="10" borderId="11" xfId="0" applyFont="1" applyFill="1" applyBorder="1" applyAlignment="1" applyProtection="1">
      <alignment vertical="center"/>
      <protection locked="0"/>
    </xf>
    <xf numFmtId="0" fontId="15" fillId="10" borderId="13" xfId="0" applyFont="1" applyFill="1" applyBorder="1" applyAlignment="1" applyProtection="1">
      <alignment vertical="center"/>
      <protection locked="0"/>
    </xf>
    <xf numFmtId="1" fontId="15" fillId="6" borderId="15" xfId="0" applyNumberFormat="1" applyFont="1" applyFill="1" applyBorder="1" applyAlignment="1" applyProtection="1">
      <alignment horizontal="left" vertical="center" wrapText="1"/>
      <protection locked="0"/>
    </xf>
    <xf numFmtId="1" fontId="15" fillId="6" borderId="15" xfId="0" applyNumberFormat="1" applyFont="1" applyFill="1" applyBorder="1" applyAlignment="1" applyProtection="1">
      <alignment horizontal="center" vertical="center" wrapText="1"/>
      <protection locked="0"/>
    </xf>
    <xf numFmtId="44" fontId="15" fillId="6" borderId="15" xfId="1" applyFont="1" applyFill="1" applyBorder="1" applyAlignment="1" applyProtection="1">
      <alignment horizontal="center" vertical="center" wrapText="1"/>
      <protection locked="0"/>
    </xf>
    <xf numFmtId="44" fontId="15" fillId="10" borderId="0" xfId="0" applyNumberFormat="1" applyFont="1" applyFill="1" applyProtection="1">
      <protection locked="0"/>
    </xf>
    <xf numFmtId="44" fontId="15" fillId="8" borderId="15" xfId="1" applyFont="1" applyFill="1" applyBorder="1" applyProtection="1">
      <protection locked="0"/>
    </xf>
    <xf numFmtId="9" fontId="15" fillId="0" borderId="12" xfId="2" applyFont="1" applyFill="1" applyBorder="1" applyAlignment="1" applyProtection="1">
      <alignment horizontal="center" vertical="center"/>
      <protection locked="0"/>
    </xf>
    <xf numFmtId="44" fontId="15" fillId="0" borderId="0" xfId="1" applyFont="1" applyProtection="1">
      <protection locked="0"/>
    </xf>
    <xf numFmtId="0" fontId="93" fillId="11" borderId="12" xfId="0" applyFont="1" applyFill="1" applyBorder="1" applyAlignment="1" applyProtection="1">
      <alignment horizontal="center" vertical="center"/>
      <protection locked="0"/>
    </xf>
    <xf numFmtId="0" fontId="162" fillId="10" borderId="0" xfId="0" applyFont="1" applyFill="1" applyAlignment="1" applyProtection="1">
      <alignment horizontal="center"/>
      <protection locked="0"/>
    </xf>
    <xf numFmtId="0" fontId="15" fillId="11" borderId="12" xfId="0" applyFont="1" applyFill="1" applyBorder="1" applyAlignment="1" applyProtection="1">
      <alignment horizontal="center" vertical="center"/>
      <protection locked="0"/>
    </xf>
    <xf numFmtId="0" fontId="15" fillId="10" borderId="0" xfId="0" applyFont="1" applyFill="1" applyAlignment="1" applyProtection="1">
      <alignment horizontal="center"/>
      <protection locked="0"/>
    </xf>
    <xf numFmtId="0" fontId="160" fillId="11" borderId="12" xfId="0" applyFont="1" applyFill="1" applyBorder="1" applyAlignment="1" applyProtection="1">
      <alignment horizontal="center" vertical="center"/>
      <protection locked="0"/>
    </xf>
    <xf numFmtId="0" fontId="15" fillId="8" borderId="12" xfId="0" applyFont="1" applyFill="1" applyBorder="1" applyProtection="1">
      <protection locked="0"/>
    </xf>
    <xf numFmtId="0" fontId="15" fillId="10" borderId="12" xfId="0" applyFont="1" applyFill="1" applyBorder="1" applyProtection="1">
      <protection locked="0"/>
    </xf>
    <xf numFmtId="0" fontId="158" fillId="2" borderId="0" xfId="2" applyNumberFormat="1" applyFont="1" applyFill="1" applyBorder="1" applyAlignment="1" applyProtection="1">
      <alignment horizontal="center" vertical="center"/>
      <protection locked="0"/>
    </xf>
    <xf numFmtId="9" fontId="158" fillId="2" borderId="0" xfId="2" applyFont="1" applyFill="1" applyAlignment="1" applyProtection="1">
      <alignment horizontal="center" vertical="center"/>
      <protection locked="0"/>
    </xf>
    <xf numFmtId="165" fontId="158" fillId="2" borderId="0" xfId="2" applyNumberFormat="1" applyFont="1" applyFill="1" applyBorder="1" applyAlignment="1" applyProtection="1">
      <alignment horizontal="center" vertical="center"/>
      <protection locked="0"/>
    </xf>
    <xf numFmtId="0" fontId="158" fillId="2" borderId="14" xfId="0" applyFont="1" applyFill="1" applyBorder="1" applyAlignment="1" applyProtection="1">
      <alignment horizontal="center" vertical="center"/>
      <protection locked="0"/>
    </xf>
    <xf numFmtId="0" fontId="15" fillId="6" borderId="0" xfId="0" applyFont="1" applyFill="1" applyAlignment="1" applyProtection="1">
      <alignment horizontal="center" vertical="center"/>
      <protection locked="0"/>
    </xf>
    <xf numFmtId="0" fontId="15" fillId="10" borderId="0" xfId="0" applyFont="1" applyFill="1" applyAlignment="1" applyProtection="1">
      <alignment horizontal="left" vertical="center" wrapText="1"/>
      <protection locked="0"/>
    </xf>
    <xf numFmtId="9" fontId="15" fillId="10" borderId="0" xfId="0" applyNumberFormat="1" applyFont="1" applyFill="1" applyAlignment="1" applyProtection="1">
      <alignment horizontal="center" vertical="center"/>
      <protection locked="0"/>
    </xf>
    <xf numFmtId="9" fontId="15" fillId="10" borderId="0" xfId="2" applyFont="1" applyFill="1" applyAlignment="1" applyProtection="1">
      <alignment horizontal="center" vertical="center"/>
      <protection locked="0"/>
    </xf>
    <xf numFmtId="9" fontId="180" fillId="2" borderId="0" xfId="2" applyFont="1" applyFill="1" applyBorder="1" applyAlignment="1" applyProtection="1">
      <alignment horizontal="center" vertical="center"/>
      <protection locked="0"/>
    </xf>
    <xf numFmtId="0" fontId="15" fillId="11" borderId="0" xfId="0" applyFont="1" applyFill="1" applyAlignment="1" applyProtection="1">
      <alignment horizontal="left" vertical="center"/>
      <protection locked="0"/>
    </xf>
    <xf numFmtId="9" fontId="15" fillId="11" borderId="0" xfId="0" applyNumberFormat="1" applyFont="1" applyFill="1" applyAlignment="1" applyProtection="1">
      <alignment horizontal="center" vertical="center"/>
      <protection locked="0"/>
    </xf>
    <xf numFmtId="9" fontId="15" fillId="11" borderId="0" xfId="2" applyFont="1" applyFill="1" applyAlignment="1" applyProtection="1">
      <alignment horizontal="center" vertical="center"/>
      <protection locked="0"/>
    </xf>
    <xf numFmtId="0" fontId="15" fillId="10" borderId="0" xfId="0" applyFont="1" applyFill="1" applyAlignment="1" applyProtection="1">
      <alignment horizontal="left" vertical="center"/>
      <protection locked="0"/>
    </xf>
    <xf numFmtId="0" fontId="15" fillId="0" borderId="0" xfId="0" applyFont="1" applyAlignment="1" applyProtection="1">
      <alignment horizontal="left" vertical="center"/>
      <protection locked="0"/>
    </xf>
    <xf numFmtId="0" fontId="15" fillId="10" borderId="0" xfId="0" applyFont="1" applyFill="1" applyAlignment="1" applyProtection="1">
      <alignment horizontal="center" vertical="center"/>
      <protection locked="0"/>
    </xf>
    <xf numFmtId="1" fontId="15" fillId="10" borderId="0" xfId="2" applyNumberFormat="1" applyFont="1" applyFill="1" applyAlignment="1" applyProtection="1">
      <alignment horizontal="center" vertical="center"/>
      <protection locked="0"/>
    </xf>
    <xf numFmtId="14" fontId="15" fillId="10" borderId="0" xfId="0" applyNumberFormat="1" applyFont="1" applyFill="1" applyAlignment="1" applyProtection="1">
      <alignment horizontal="center" vertical="center"/>
      <protection locked="0"/>
    </xf>
    <xf numFmtId="0" fontId="15" fillId="11" borderId="0" xfId="0" applyFont="1" applyFill="1" applyAlignment="1" applyProtection="1">
      <alignment horizontal="center" vertical="center"/>
      <protection locked="0"/>
    </xf>
    <xf numFmtId="14" fontId="15" fillId="11" borderId="0" xfId="0" applyNumberFormat="1" applyFont="1" applyFill="1" applyAlignment="1" applyProtection="1">
      <alignment horizontal="center" vertical="center"/>
      <protection locked="0"/>
    </xf>
    <xf numFmtId="0" fontId="175" fillId="10" borderId="0" xfId="3" applyFont="1" applyFill="1" applyAlignment="1" applyProtection="1">
      <alignment horizontal="center" vertical="center"/>
      <protection locked="0"/>
    </xf>
    <xf numFmtId="0" fontId="175" fillId="10" borderId="0" xfId="3" applyFont="1" applyFill="1" applyAlignment="1" applyProtection="1">
      <alignment horizontal="center"/>
      <protection locked="0"/>
    </xf>
    <xf numFmtId="0" fontId="15" fillId="10" borderId="12" xfId="0" applyFont="1" applyFill="1" applyBorder="1" applyAlignment="1">
      <alignment horizontal="center" vertical="center"/>
    </xf>
    <xf numFmtId="0" fontId="15" fillId="10" borderId="12" xfId="0" applyFont="1" applyFill="1" applyBorder="1" applyAlignment="1" applyProtection="1">
      <alignment horizontal="center"/>
      <protection locked="0"/>
    </xf>
    <xf numFmtId="0" fontId="172" fillId="8" borderId="13" xfId="0" applyFont="1" applyFill="1" applyBorder="1" applyProtection="1">
      <protection locked="0"/>
    </xf>
    <xf numFmtId="0" fontId="15" fillId="8" borderId="12" xfId="0" applyFont="1" applyFill="1" applyBorder="1" applyAlignment="1">
      <alignment horizontal="center" vertical="center"/>
    </xf>
    <xf numFmtId="0" fontId="15" fillId="8" borderId="12" xfId="0" applyFont="1" applyFill="1" applyBorder="1" applyAlignment="1" applyProtection="1">
      <alignment horizontal="center"/>
      <protection locked="0"/>
    </xf>
    <xf numFmtId="0" fontId="158" fillId="2" borderId="0" xfId="0" applyFont="1" applyFill="1" applyAlignment="1" applyProtection="1">
      <alignment horizontal="center"/>
      <protection locked="0"/>
    </xf>
    <xf numFmtId="44" fontId="0" fillId="76" borderId="1" xfId="1" applyFont="1" applyFill="1" applyBorder="1" applyAlignment="1" applyProtection="1">
      <alignment horizontal="left" vertical="center"/>
    </xf>
    <xf numFmtId="1" fontId="15" fillId="0" borderId="1" xfId="0" applyNumberFormat="1" applyFont="1" applyBorder="1" applyProtection="1">
      <protection locked="0"/>
    </xf>
    <xf numFmtId="1" fontId="172" fillId="0" borderId="1" xfId="0" applyNumberFormat="1" applyFont="1" applyBorder="1" applyProtection="1">
      <protection locked="0"/>
    </xf>
    <xf numFmtId="1" fontId="15" fillId="0" borderId="5" xfId="0" applyNumberFormat="1" applyFont="1" applyBorder="1" applyProtection="1">
      <protection locked="0"/>
    </xf>
    <xf numFmtId="1" fontId="15" fillId="28" borderId="1" xfId="0" applyNumberFormat="1" applyFont="1" applyFill="1" applyBorder="1" applyProtection="1">
      <protection locked="0"/>
    </xf>
    <xf numFmtId="1" fontId="172" fillId="28" borderId="1" xfId="0" applyNumberFormat="1" applyFont="1" applyFill="1" applyBorder="1" applyProtection="1">
      <protection locked="0"/>
    </xf>
    <xf numFmtId="1" fontId="15" fillId="0" borderId="6" xfId="0" applyNumberFormat="1" applyFont="1" applyBorder="1" applyProtection="1">
      <protection locked="0"/>
    </xf>
    <xf numFmtId="1" fontId="15" fillId="28" borderId="37" xfId="0" applyNumberFormat="1" applyFont="1" applyFill="1" applyBorder="1" applyProtection="1">
      <protection locked="0"/>
    </xf>
    <xf numFmtId="44" fontId="181" fillId="6" borderId="15" xfId="0" applyNumberFormat="1" applyFont="1" applyFill="1" applyBorder="1" applyProtection="1">
      <protection locked="0"/>
    </xf>
    <xf numFmtId="44" fontId="93" fillId="77" borderId="1" xfId="1" applyFont="1" applyFill="1" applyBorder="1" applyAlignment="1" applyProtection="1">
      <alignment horizontal="left" vertical="center"/>
    </xf>
    <xf numFmtId="177" fontId="0" fillId="0" borderId="1" xfId="1" applyNumberFormat="1" applyFont="1" applyBorder="1" applyAlignment="1" applyProtection="1">
      <alignment horizontal="center" vertical="center"/>
      <protection locked="0"/>
    </xf>
    <xf numFmtId="10" fontId="93" fillId="0" borderId="1" xfId="0" applyNumberFormat="1" applyFont="1" applyBorder="1" applyAlignment="1" applyProtection="1">
      <alignment horizontal="left"/>
      <protection locked="0"/>
    </xf>
    <xf numFmtId="8" fontId="103" fillId="0" borderId="1" xfId="0" applyNumberFormat="1" applyFont="1" applyBorder="1" applyAlignment="1" applyProtection="1">
      <alignment horizontal="left" vertical="center"/>
      <protection locked="0"/>
    </xf>
    <xf numFmtId="10" fontId="103" fillId="0" borderId="1" xfId="0" applyNumberFormat="1" applyFont="1" applyBorder="1" applyAlignment="1" applyProtection="1">
      <alignment horizontal="left"/>
      <protection locked="0"/>
    </xf>
    <xf numFmtId="44" fontId="15" fillId="43" borderId="1" xfId="1" applyFont="1" applyFill="1" applyBorder="1" applyAlignment="1" applyProtection="1">
      <alignment horizontal="left"/>
      <protection locked="0"/>
    </xf>
    <xf numFmtId="0" fontId="0" fillId="56" borderId="6" xfId="0" applyFill="1" applyBorder="1" applyProtection="1">
      <protection locked="0"/>
    </xf>
    <xf numFmtId="0" fontId="0" fillId="56" borderId="1" xfId="0" applyFill="1" applyBorder="1" applyProtection="1">
      <protection locked="0"/>
    </xf>
    <xf numFmtId="10" fontId="0" fillId="56" borderId="1" xfId="0" applyNumberFormat="1" applyFill="1" applyBorder="1" applyProtection="1">
      <protection locked="0"/>
    </xf>
    <xf numFmtId="9" fontId="0" fillId="8" borderId="5" xfId="2" applyFont="1" applyFill="1" applyBorder="1" applyAlignment="1" applyProtection="1">
      <alignment horizontal="center" vertical="center"/>
      <protection locked="0"/>
    </xf>
    <xf numFmtId="9" fontId="0" fillId="8" borderId="6" xfId="2" applyFont="1" applyFill="1" applyBorder="1" applyAlignment="1" applyProtection="1">
      <alignment horizontal="center" vertical="center"/>
      <protection locked="0"/>
    </xf>
    <xf numFmtId="17" fontId="0" fillId="0" borderId="5" xfId="2" applyNumberFormat="1" applyFont="1" applyBorder="1" applyAlignment="1" applyProtection="1">
      <alignment horizontal="center" vertical="center"/>
      <protection locked="0"/>
    </xf>
    <xf numFmtId="9" fontId="0" fillId="0" borderId="6" xfId="2" applyFont="1" applyBorder="1" applyAlignment="1" applyProtection="1">
      <alignment horizontal="center" vertical="center"/>
      <protection locked="0"/>
    </xf>
    <xf numFmtId="17" fontId="69" fillId="0" borderId="5" xfId="2" applyNumberFormat="1" applyFont="1" applyBorder="1" applyAlignment="1" applyProtection="1">
      <alignment horizontal="center" vertical="center"/>
      <protection locked="0"/>
    </xf>
    <xf numFmtId="0" fontId="69" fillId="0" borderId="6" xfId="2" applyNumberFormat="1" applyFont="1" applyBorder="1" applyAlignment="1" applyProtection="1">
      <alignment horizontal="center" vertical="center"/>
      <protection locked="0"/>
    </xf>
    <xf numFmtId="17" fontId="0" fillId="8" borderId="5" xfId="2" applyNumberFormat="1" applyFont="1" applyFill="1" applyBorder="1" applyAlignment="1" applyProtection="1">
      <alignment horizontal="center" vertical="center"/>
      <protection locked="0"/>
    </xf>
    <xf numFmtId="9" fontId="0" fillId="0" borderId="5" xfId="2" applyFont="1" applyBorder="1" applyAlignment="1" applyProtection="1">
      <alignment horizontal="center" vertical="center"/>
      <protection locked="0"/>
    </xf>
    <xf numFmtId="14" fontId="0" fillId="0" borderId="5" xfId="2" applyNumberFormat="1" applyFont="1" applyBorder="1" applyAlignment="1" applyProtection="1">
      <alignment horizontal="center" vertical="center"/>
      <protection locked="0"/>
    </xf>
    <xf numFmtId="9" fontId="0" fillId="0" borderId="5" xfId="2" applyFont="1" applyBorder="1" applyAlignment="1" applyProtection="1">
      <alignment horizontal="left" vertical="center"/>
      <protection locked="0"/>
    </xf>
    <xf numFmtId="9" fontId="0" fillId="0" borderId="6" xfId="2" applyFont="1" applyBorder="1" applyAlignment="1" applyProtection="1">
      <alignment horizontal="left" vertical="center"/>
      <protection locked="0"/>
    </xf>
    <xf numFmtId="9" fontId="0" fillId="8" borderId="5" xfId="2" applyFont="1" applyFill="1" applyBorder="1" applyAlignment="1" applyProtection="1">
      <alignment horizontal="left" vertical="center"/>
      <protection locked="0"/>
    </xf>
    <xf numFmtId="9" fontId="0" fillId="8" borderId="6" xfId="2" applyFont="1" applyFill="1" applyBorder="1" applyAlignment="1" applyProtection="1">
      <alignment horizontal="left" vertical="center"/>
      <protection locked="0"/>
    </xf>
    <xf numFmtId="9" fontId="0" fillId="8" borderId="5" xfId="2" applyFont="1" applyFill="1" applyBorder="1" applyAlignment="1" applyProtection="1">
      <alignment horizontal="left" vertical="center" wrapText="1"/>
      <protection locked="0"/>
    </xf>
    <xf numFmtId="9" fontId="0" fillId="8" borderId="6" xfId="2" applyFont="1" applyFill="1" applyBorder="1" applyAlignment="1" applyProtection="1">
      <alignment horizontal="left" vertical="center" wrapText="1"/>
      <protection locked="0"/>
    </xf>
    <xf numFmtId="9" fontId="0" fillId="10" borderId="5" xfId="2" applyFont="1" applyFill="1" applyBorder="1" applyAlignment="1" applyProtection="1">
      <alignment horizontal="left" vertical="center" wrapText="1"/>
      <protection locked="0"/>
    </xf>
    <xf numFmtId="9" fontId="0" fillId="10" borderId="6" xfId="2" applyFont="1" applyFill="1" applyBorder="1" applyAlignment="1" applyProtection="1">
      <alignment horizontal="left" vertical="center" wrapText="1"/>
      <protection locked="0"/>
    </xf>
    <xf numFmtId="9" fontId="0" fillId="0" borderId="5" xfId="2" applyFont="1" applyBorder="1" applyAlignment="1" applyProtection="1">
      <alignment horizontal="left" vertical="center" wrapText="1"/>
      <protection locked="0"/>
    </xf>
    <xf numFmtId="9" fontId="0" fillId="0" borderId="6" xfId="2" applyFont="1" applyBorder="1" applyAlignment="1" applyProtection="1">
      <alignment horizontal="left" vertical="center" wrapText="1"/>
      <protection locked="0"/>
    </xf>
    <xf numFmtId="9" fontId="6" fillId="2" borderId="0" xfId="2" applyFont="1" applyFill="1" applyBorder="1" applyAlignment="1" applyProtection="1">
      <alignment horizontal="center" vertical="center"/>
      <protection locked="0"/>
    </xf>
    <xf numFmtId="17" fontId="52" fillId="0" borderId="5" xfId="0" applyNumberFormat="1" applyFont="1" applyBorder="1" applyAlignment="1">
      <alignment horizontal="center" vertical="center" wrapText="1"/>
    </xf>
    <xf numFmtId="17" fontId="0" fillId="0" borderId="6" xfId="0" applyNumberFormat="1" applyBorder="1" applyAlignment="1">
      <alignment horizontal="center" vertical="center" wrapText="1"/>
    </xf>
    <xf numFmtId="0" fontId="32" fillId="2" borderId="14" xfId="0" applyFont="1" applyFill="1" applyBorder="1" applyAlignment="1" applyProtection="1">
      <alignment horizontal="left"/>
      <protection locked="0"/>
    </xf>
    <xf numFmtId="17" fontId="52" fillId="8" borderId="5" xfId="0" applyNumberFormat="1" applyFont="1" applyFill="1" applyBorder="1" applyAlignment="1">
      <alignment horizontal="center" vertical="center" wrapText="1"/>
    </xf>
    <xf numFmtId="17" fontId="52" fillId="8" borderId="6" xfId="0" applyNumberFormat="1" applyFont="1" applyFill="1"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44" fontId="0" fillId="8" borderId="5" xfId="1" applyFont="1" applyFill="1" applyBorder="1" applyAlignment="1" applyProtection="1">
      <alignment horizontal="center" vertical="center"/>
      <protection locked="0"/>
    </xf>
    <xf numFmtId="44" fontId="0" fillId="8" borderId="6" xfId="1" applyFont="1" applyFill="1" applyBorder="1" applyAlignment="1" applyProtection="1">
      <alignment horizontal="center" vertical="center"/>
      <protection locked="0"/>
    </xf>
    <xf numFmtId="0" fontId="31" fillId="0" borderId="5" xfId="3" applyBorder="1" applyAlignment="1" applyProtection="1">
      <alignment horizontal="left" vertical="center" wrapText="1"/>
      <protection locked="0"/>
    </xf>
    <xf numFmtId="0" fontId="31" fillId="0" borderId="6" xfId="3" applyBorder="1" applyAlignment="1" applyProtection="1">
      <alignment horizontal="left" vertical="center" wrapText="1"/>
      <protection locked="0"/>
    </xf>
    <xf numFmtId="0" fontId="69" fillId="0" borderId="5" xfId="0" applyFont="1" applyBorder="1" applyAlignment="1" applyProtection="1">
      <alignment horizontal="center" vertical="center"/>
      <protection locked="0"/>
    </xf>
    <xf numFmtId="0" fontId="69" fillId="0" borderId="6" xfId="0" applyFont="1" applyBorder="1" applyAlignment="1" applyProtection="1">
      <alignment horizontal="center" vertical="center"/>
      <protection locked="0"/>
    </xf>
    <xf numFmtId="0" fontId="149" fillId="0" borderId="5" xfId="0" applyFont="1" applyBorder="1" applyAlignment="1" applyProtection="1">
      <alignment horizontal="center" vertical="center"/>
      <protection locked="0"/>
    </xf>
    <xf numFmtId="0" fontId="149" fillId="0" borderId="6" xfId="0" applyFont="1" applyBorder="1" applyAlignment="1" applyProtection="1">
      <alignment horizontal="center" vertical="center"/>
      <protection locked="0"/>
    </xf>
    <xf numFmtId="0" fontId="69" fillId="8" borderId="5" xfId="0" applyFont="1" applyFill="1" applyBorder="1" applyAlignment="1" applyProtection="1">
      <alignment horizontal="center" vertical="center" wrapText="1"/>
      <protection locked="0"/>
    </xf>
    <xf numFmtId="0" fontId="69" fillId="8" borderId="6" xfId="0" applyFont="1" applyFill="1" applyBorder="1" applyAlignment="1" applyProtection="1">
      <alignment horizontal="center" vertical="center" wrapText="1"/>
      <protection locked="0"/>
    </xf>
    <xf numFmtId="17" fontId="69" fillId="8" borderId="5" xfId="0" applyNumberFormat="1" applyFont="1" applyFill="1" applyBorder="1" applyAlignment="1" applyProtection="1">
      <alignment horizontal="center" vertical="center" wrapText="1"/>
      <protection locked="0"/>
    </xf>
    <xf numFmtId="17" fontId="69" fillId="8" borderId="6" xfId="0" applyNumberFormat="1" applyFont="1" applyFill="1" applyBorder="1" applyAlignment="1" applyProtection="1">
      <alignment horizontal="center" vertical="center" wrapText="1"/>
      <protection locked="0"/>
    </xf>
    <xf numFmtId="17" fontId="0" fillId="0" borderId="5" xfId="1" applyNumberFormat="1" applyFont="1" applyBorder="1" applyAlignment="1" applyProtection="1">
      <alignment horizontal="center" vertical="center"/>
      <protection locked="0"/>
    </xf>
    <xf numFmtId="44" fontId="0" fillId="0" borderId="6" xfId="1" applyFont="1" applyBorder="1" applyAlignment="1" applyProtection="1">
      <alignment horizontal="center" vertical="center"/>
      <protection locked="0"/>
    </xf>
    <xf numFmtId="0" fontId="0" fillId="8" borderId="5" xfId="0" applyFill="1" applyBorder="1" applyAlignment="1" applyProtection="1">
      <alignment horizontal="left" vertical="center" wrapText="1"/>
      <protection locked="0"/>
    </xf>
    <xf numFmtId="0" fontId="0" fillId="8" borderId="6" xfId="0" applyFill="1" applyBorder="1" applyAlignment="1" applyProtection="1">
      <alignment horizontal="left" vertical="center" wrapText="1"/>
      <protection locked="0"/>
    </xf>
    <xf numFmtId="0" fontId="0" fillId="8" borderId="5" xfId="0" applyFill="1" applyBorder="1" applyAlignment="1" applyProtection="1">
      <alignment horizontal="center" vertical="center" wrapText="1"/>
      <protection locked="0"/>
    </xf>
    <xf numFmtId="0" fontId="0" fillId="8" borderId="6" xfId="0" applyFill="1" applyBorder="1" applyAlignment="1" applyProtection="1">
      <alignment horizontal="center" vertical="center" wrapText="1"/>
      <protection locked="0"/>
    </xf>
    <xf numFmtId="17" fontId="0" fillId="8" borderId="5" xfId="0" applyNumberFormat="1" applyFill="1" applyBorder="1" applyAlignment="1" applyProtection="1">
      <alignment horizontal="center" vertical="center" wrapText="1"/>
      <protection locked="0"/>
    </xf>
    <xf numFmtId="17" fontId="0" fillId="8" borderId="6" xfId="0" applyNumberFormat="1" applyFill="1" applyBorder="1" applyAlignment="1" applyProtection="1">
      <alignment horizontal="center" vertical="center" wrapText="1"/>
      <protection locked="0"/>
    </xf>
    <xf numFmtId="172" fontId="0" fillId="0" borderId="5" xfId="0" applyNumberFormat="1" applyBorder="1" applyAlignment="1" applyProtection="1">
      <alignment horizontal="center" vertical="center" wrapText="1"/>
      <protection locked="0"/>
    </xf>
    <xf numFmtId="172" fontId="0" fillId="0" borderId="6" xfId="0" applyNumberFormat="1" applyBorder="1" applyAlignment="1" applyProtection="1">
      <alignment horizontal="center" vertical="center" wrapText="1"/>
      <protection locked="0"/>
    </xf>
    <xf numFmtId="172" fontId="16" fillId="8" borderId="5" xfId="0" applyNumberFormat="1" applyFont="1" applyFill="1" applyBorder="1" applyAlignment="1" applyProtection="1">
      <alignment horizontal="center" vertical="center" wrapText="1"/>
      <protection locked="0"/>
    </xf>
    <xf numFmtId="172" fontId="16" fillId="8" borderId="6" xfId="0" applyNumberFormat="1" applyFont="1" applyFill="1" applyBorder="1" applyAlignment="1" applyProtection="1">
      <alignment horizontal="center" vertical="center" wrapText="1"/>
      <protection locked="0"/>
    </xf>
    <xf numFmtId="172" fontId="16" fillId="0" borderId="5" xfId="0" applyNumberFormat="1" applyFont="1" applyBorder="1" applyAlignment="1" applyProtection="1">
      <alignment horizontal="center" vertical="center" wrapText="1"/>
      <protection locked="0"/>
    </xf>
    <xf numFmtId="172" fontId="16" fillId="0" borderId="6" xfId="0" applyNumberFormat="1" applyFont="1" applyBorder="1" applyAlignment="1" applyProtection="1">
      <alignment horizontal="center" vertical="center" wrapText="1"/>
      <protection locked="0"/>
    </xf>
    <xf numFmtId="0" fontId="0" fillId="8" borderId="5" xfId="0" applyFill="1" applyBorder="1" applyAlignment="1" applyProtection="1">
      <alignment horizontal="center" vertical="center"/>
      <protection locked="0"/>
    </xf>
    <xf numFmtId="0" fontId="0" fillId="8" borderId="6" xfId="0" applyFill="1" applyBorder="1" applyAlignment="1" applyProtection="1">
      <alignment horizontal="center" vertical="center"/>
      <protection locked="0"/>
    </xf>
    <xf numFmtId="44" fontId="0" fillId="42" borderId="5" xfId="1" applyFont="1" applyFill="1" applyBorder="1" applyAlignment="1" applyProtection="1">
      <alignment horizontal="center" vertical="center"/>
      <protection locked="0"/>
    </xf>
    <xf numFmtId="44" fontId="0" fillId="42" borderId="6" xfId="1" applyFont="1" applyFill="1" applyBorder="1" applyAlignment="1" applyProtection="1">
      <alignment horizontal="center" vertical="center"/>
      <protection locked="0"/>
    </xf>
    <xf numFmtId="9" fontId="6" fillId="2" borderId="0" xfId="2" applyFont="1" applyFill="1" applyAlignment="1" applyProtection="1">
      <alignment horizontal="left" vertical="center"/>
      <protection locked="0"/>
    </xf>
    <xf numFmtId="9" fontId="6" fillId="2" borderId="0" xfId="2" applyFont="1" applyFill="1" applyBorder="1" applyAlignment="1" applyProtection="1">
      <alignment horizontal="left" vertical="center"/>
      <protection locked="0"/>
    </xf>
    <xf numFmtId="0" fontId="6" fillId="2" borderId="14" xfId="0" applyFont="1" applyFill="1" applyBorder="1" applyAlignment="1" applyProtection="1">
      <alignment horizontal="center"/>
      <protection locked="0"/>
    </xf>
    <xf numFmtId="0" fontId="16" fillId="10" borderId="5" xfId="0" applyFont="1" applyFill="1" applyBorder="1" applyAlignment="1" applyProtection="1">
      <alignment horizontal="center" vertical="center" wrapText="1"/>
      <protection locked="0"/>
    </xf>
    <xf numFmtId="0" fontId="16" fillId="10" borderId="6" xfId="0" applyFont="1" applyFill="1" applyBorder="1" applyAlignment="1" applyProtection="1">
      <alignment horizontal="center" vertical="center" wrapText="1"/>
      <protection locked="0"/>
    </xf>
    <xf numFmtId="0" fontId="16" fillId="8" borderId="5" xfId="0" applyFont="1" applyFill="1" applyBorder="1" applyAlignment="1" applyProtection="1">
      <alignment horizontal="center" vertical="center" wrapText="1"/>
      <protection locked="0"/>
    </xf>
    <xf numFmtId="0" fontId="16" fillId="8" borderId="6" xfId="0" applyFont="1" applyFill="1" applyBorder="1" applyAlignment="1" applyProtection="1">
      <alignment horizontal="center" vertical="center" wrapText="1"/>
      <protection locked="0"/>
    </xf>
    <xf numFmtId="44" fontId="52" fillId="8" borderId="5" xfId="1" applyFont="1" applyFill="1" applyBorder="1" applyAlignment="1" applyProtection="1">
      <alignment horizontal="center" vertical="center"/>
    </xf>
    <xf numFmtId="44" fontId="0" fillId="8" borderId="6" xfId="1" applyFont="1" applyFill="1" applyBorder="1" applyAlignment="1" applyProtection="1">
      <alignment horizontal="center" vertical="center"/>
    </xf>
    <xf numFmtId="44" fontId="0" fillId="0" borderId="5" xfId="1" applyFont="1" applyBorder="1" applyAlignment="1" applyProtection="1">
      <alignment horizontal="center" vertical="center"/>
    </xf>
    <xf numFmtId="44" fontId="0" fillId="0" borderId="6" xfId="1" applyFont="1" applyBorder="1" applyAlignment="1" applyProtection="1">
      <alignment horizontal="center" vertical="center"/>
    </xf>
    <xf numFmtId="44" fontId="0" fillId="10" borderId="5" xfId="1" applyFont="1" applyFill="1" applyBorder="1" applyAlignment="1" applyProtection="1">
      <alignment horizontal="center" vertical="center"/>
      <protection locked="0"/>
    </xf>
    <xf numFmtId="44" fontId="0" fillId="10" borderId="6" xfId="1" applyFont="1" applyFill="1" applyBorder="1" applyAlignment="1" applyProtection="1">
      <alignment horizontal="center" vertical="center"/>
      <protection locked="0"/>
    </xf>
    <xf numFmtId="44" fontId="131" fillId="10" borderId="17" xfId="3" applyNumberFormat="1" applyFont="1" applyFill="1" applyBorder="1" applyAlignment="1" applyProtection="1">
      <alignment horizontal="left"/>
      <protection locked="0"/>
    </xf>
    <xf numFmtId="44" fontId="131" fillId="10" borderId="10" xfId="3" applyNumberFormat="1" applyFont="1" applyFill="1" applyBorder="1" applyAlignment="1" applyProtection="1">
      <alignment horizontal="left"/>
      <protection locked="0"/>
    </xf>
    <xf numFmtId="44" fontId="131" fillId="10" borderId="18" xfId="3" applyNumberFormat="1" applyFont="1" applyFill="1" applyBorder="1" applyAlignment="1" applyProtection="1">
      <alignment horizontal="left"/>
      <protection locked="0"/>
    </xf>
    <xf numFmtId="44" fontId="133" fillId="6" borderId="17" xfId="0" applyNumberFormat="1" applyFont="1" applyFill="1" applyBorder="1" applyAlignment="1" applyProtection="1">
      <alignment horizontal="left"/>
      <protection locked="0"/>
    </xf>
    <xf numFmtId="44" fontId="133" fillId="6" borderId="10" xfId="0" applyNumberFormat="1" applyFont="1" applyFill="1" applyBorder="1" applyAlignment="1" applyProtection="1">
      <alignment horizontal="left"/>
      <protection locked="0"/>
    </xf>
    <xf numFmtId="44" fontId="133" fillId="6" borderId="18" xfId="0" applyNumberFormat="1" applyFont="1" applyFill="1" applyBorder="1" applyAlignment="1" applyProtection="1">
      <alignment horizontal="left"/>
      <protection locked="0"/>
    </xf>
    <xf numFmtId="44" fontId="0" fillId="10" borderId="5" xfId="1" applyFont="1" applyFill="1" applyBorder="1" applyAlignment="1" applyProtection="1">
      <alignment horizontal="center" vertical="center" wrapText="1"/>
      <protection locked="0"/>
    </xf>
    <xf numFmtId="44" fontId="0" fillId="10" borderId="6" xfId="1" applyFont="1" applyFill="1" applyBorder="1" applyAlignment="1" applyProtection="1">
      <alignment horizontal="center" vertical="center" wrapText="1"/>
      <protection locked="0"/>
    </xf>
    <xf numFmtId="44" fontId="0" fillId="8" borderId="5" xfId="1" applyFont="1" applyFill="1" applyBorder="1" applyAlignment="1" applyProtection="1">
      <alignment horizontal="center" vertical="center" wrapText="1"/>
      <protection locked="0"/>
    </xf>
    <xf numFmtId="44" fontId="0" fillId="8" borderId="6" xfId="1" applyFont="1" applyFill="1" applyBorder="1" applyAlignment="1" applyProtection="1">
      <alignment horizontal="center" vertical="center" wrapText="1"/>
      <protection locked="0"/>
    </xf>
    <xf numFmtId="0" fontId="0" fillId="0" borderId="5"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6" fillId="2" borderId="0" xfId="2" applyNumberFormat="1" applyFont="1" applyFill="1" applyAlignment="1" applyProtection="1">
      <alignment horizontal="center" vertical="center"/>
      <protection locked="0"/>
    </xf>
    <xf numFmtId="0" fontId="6" fillId="2" borderId="4" xfId="0" applyFont="1" applyFill="1" applyBorder="1" applyAlignment="1" applyProtection="1">
      <alignment horizontal="center"/>
      <protection locked="0"/>
    </xf>
    <xf numFmtId="9" fontId="0" fillId="8" borderId="5" xfId="2" applyFont="1" applyFill="1" applyBorder="1" applyAlignment="1" applyProtection="1">
      <alignment horizontal="center" vertical="center" wrapText="1"/>
      <protection locked="0"/>
    </xf>
    <xf numFmtId="9" fontId="0" fillId="8" borderId="6" xfId="2" applyFont="1" applyFill="1" applyBorder="1" applyAlignment="1" applyProtection="1">
      <alignment horizontal="center" vertical="center" wrapText="1"/>
      <protection locked="0"/>
    </xf>
    <xf numFmtId="9" fontId="15" fillId="8" borderId="5" xfId="2" applyFont="1" applyFill="1" applyBorder="1" applyAlignment="1" applyProtection="1">
      <alignment horizontal="left" vertical="center" wrapText="1"/>
      <protection locked="0"/>
    </xf>
    <xf numFmtId="9" fontId="15" fillId="8" borderId="6" xfId="2" applyFont="1" applyFill="1" applyBorder="1" applyAlignment="1" applyProtection="1">
      <alignment horizontal="left" vertical="center" wrapText="1"/>
      <protection locked="0"/>
    </xf>
    <xf numFmtId="0" fontId="18" fillId="20" borderId="15" xfId="0" applyFont="1" applyFill="1" applyBorder="1" applyAlignment="1">
      <alignment horizontal="center" vertical="center"/>
    </xf>
    <xf numFmtId="164" fontId="29" fillId="0" borderId="15" xfId="0" applyNumberFormat="1" applyFont="1" applyBorder="1" applyAlignment="1">
      <alignment horizontal="center" vertical="center"/>
    </xf>
    <xf numFmtId="44" fontId="132" fillId="6" borderId="17" xfId="0" applyNumberFormat="1" applyFont="1" applyFill="1" applyBorder="1" applyAlignment="1" applyProtection="1">
      <alignment horizontal="left"/>
      <protection locked="0"/>
    </xf>
    <xf numFmtId="44" fontId="132" fillId="6" borderId="10" xfId="0" applyNumberFormat="1" applyFont="1" applyFill="1" applyBorder="1" applyAlignment="1" applyProtection="1">
      <alignment horizontal="left"/>
      <protection locked="0"/>
    </xf>
    <xf numFmtId="44" fontId="132" fillId="6" borderId="18" xfId="0" applyNumberFormat="1" applyFont="1" applyFill="1" applyBorder="1" applyAlignment="1" applyProtection="1">
      <alignment horizontal="left"/>
      <protection locked="0"/>
    </xf>
    <xf numFmtId="44" fontId="62" fillId="6" borderId="17" xfId="0" applyNumberFormat="1" applyFont="1" applyFill="1" applyBorder="1" applyAlignment="1" applyProtection="1">
      <alignment horizontal="left"/>
      <protection locked="0"/>
    </xf>
    <xf numFmtId="44" fontId="62" fillId="6" borderId="10" xfId="0" applyNumberFormat="1" applyFont="1" applyFill="1" applyBorder="1" applyAlignment="1" applyProtection="1">
      <alignment horizontal="left"/>
      <protection locked="0"/>
    </xf>
    <xf numFmtId="44" fontId="62" fillId="6" borderId="18" xfId="0" applyNumberFormat="1" applyFont="1" applyFill="1" applyBorder="1" applyAlignment="1" applyProtection="1">
      <alignment horizontal="left"/>
      <protection locked="0"/>
    </xf>
    <xf numFmtId="0" fontId="27" fillId="16" borderId="17" xfId="0" applyFont="1" applyFill="1" applyBorder="1" applyAlignment="1">
      <alignment horizontal="center" vertical="center"/>
    </xf>
    <xf numFmtId="0" fontId="27" fillId="16" borderId="18" xfId="0" applyFont="1" applyFill="1" applyBorder="1" applyAlignment="1">
      <alignment horizontal="center" vertical="center"/>
    </xf>
    <xf numFmtId="164" fontId="26" fillId="0" borderId="17" xfId="0" applyNumberFormat="1" applyFont="1" applyBorder="1" applyAlignment="1" applyProtection="1">
      <alignment horizontal="center" vertical="center"/>
      <protection locked="0"/>
    </xf>
    <xf numFmtId="164" fontId="26" fillId="0" borderId="18" xfId="0" applyNumberFormat="1" applyFont="1" applyBorder="1" applyAlignment="1" applyProtection="1">
      <alignment horizontal="center" vertical="center"/>
      <protection locked="0"/>
    </xf>
    <xf numFmtId="0" fontId="34" fillId="6" borderId="94" xfId="0" applyFont="1" applyFill="1" applyBorder="1" applyAlignment="1" applyProtection="1">
      <alignment horizontal="center" vertical="center" wrapText="1"/>
      <protection locked="0"/>
    </xf>
    <xf numFmtId="0" fontId="34" fillId="6" borderId="95" xfId="0" applyFont="1" applyFill="1" applyBorder="1" applyAlignment="1" applyProtection="1">
      <alignment horizontal="center" vertical="center" wrapText="1"/>
      <protection locked="0"/>
    </xf>
    <xf numFmtId="165" fontId="35" fillId="10" borderId="94" xfId="0" applyNumberFormat="1" applyFont="1" applyFill="1" applyBorder="1" applyAlignment="1" applyProtection="1">
      <alignment horizontal="center" vertical="center"/>
      <protection locked="0"/>
    </xf>
    <xf numFmtId="165" fontId="35" fillId="10" borderId="95" xfId="0" applyNumberFormat="1" applyFont="1" applyFill="1" applyBorder="1" applyAlignment="1" applyProtection="1">
      <alignment horizontal="center" vertical="center"/>
      <protection locked="0"/>
    </xf>
    <xf numFmtId="0" fontId="0" fillId="10" borderId="111" xfId="0" applyFill="1" applyBorder="1" applyAlignment="1" applyProtection="1">
      <alignment horizontal="center"/>
      <protection locked="0"/>
    </xf>
    <xf numFmtId="0" fontId="0" fillId="10" borderId="0" xfId="0" applyFill="1" applyAlignment="1" applyProtection="1">
      <alignment horizontal="center"/>
      <protection locked="0"/>
    </xf>
    <xf numFmtId="44" fontId="31" fillId="6" borderId="17" xfId="4" applyNumberFormat="1" applyFill="1" applyBorder="1" applyAlignment="1" applyProtection="1">
      <alignment horizontal="left"/>
      <protection locked="0"/>
    </xf>
    <xf numFmtId="0" fontId="28" fillId="12" borderId="0" xfId="0" applyFont="1" applyFill="1" applyAlignment="1" applyProtection="1">
      <alignment horizontal="center" vertical="center"/>
      <protection locked="0"/>
    </xf>
    <xf numFmtId="0" fontId="17" fillId="14" borderId="17" xfId="0" applyFont="1" applyFill="1" applyBorder="1" applyAlignment="1">
      <alignment horizontal="center" vertical="center"/>
    </xf>
    <xf numFmtId="0" fontId="17" fillId="14" borderId="18" xfId="0" applyFont="1" applyFill="1" applyBorder="1" applyAlignment="1">
      <alignment horizontal="center" vertical="center"/>
    </xf>
    <xf numFmtId="10" fontId="25" fillId="0" borderId="17" xfId="2" applyNumberFormat="1" applyFont="1" applyBorder="1" applyAlignment="1" applyProtection="1">
      <alignment horizontal="center" vertical="center"/>
    </xf>
    <xf numFmtId="10" fontId="25" fillId="0" borderId="18" xfId="2" applyNumberFormat="1" applyFont="1" applyBorder="1" applyAlignment="1" applyProtection="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50" fillId="6" borderId="85" xfId="0" applyFont="1" applyFill="1" applyBorder="1" applyAlignment="1" applyProtection="1">
      <alignment horizontal="center" vertical="center"/>
      <protection locked="0"/>
    </xf>
    <xf numFmtId="0" fontId="50" fillId="6" borderId="0" xfId="0" applyFont="1" applyFill="1" applyAlignment="1" applyProtection="1">
      <alignment horizontal="center" vertical="center"/>
      <protection locked="0"/>
    </xf>
    <xf numFmtId="0" fontId="6" fillId="13" borderId="0" xfId="0" applyFont="1" applyFill="1" applyAlignment="1" applyProtection="1">
      <alignment horizontal="center" vertical="center"/>
      <protection locked="0"/>
    </xf>
    <xf numFmtId="0" fontId="49" fillId="11" borderId="39" xfId="0" applyFont="1" applyFill="1" applyBorder="1" applyAlignment="1" applyProtection="1">
      <alignment horizontal="center" vertical="center"/>
      <protection locked="0"/>
    </xf>
    <xf numFmtId="0" fontId="49" fillId="11" borderId="16" xfId="0" applyFont="1" applyFill="1" applyBorder="1" applyAlignment="1" applyProtection="1">
      <alignment horizontal="center" vertical="center"/>
      <protection locked="0"/>
    </xf>
    <xf numFmtId="0" fontId="49" fillId="11" borderId="62" xfId="0" applyFont="1" applyFill="1" applyBorder="1" applyAlignment="1" applyProtection="1">
      <alignment horizontal="center" vertical="center"/>
      <protection locked="0"/>
    </xf>
    <xf numFmtId="17" fontId="69" fillId="8" borderId="5" xfId="0" applyNumberFormat="1" applyFont="1" applyFill="1" applyBorder="1" applyAlignment="1">
      <alignment horizontal="center" vertical="center" wrapText="1"/>
    </xf>
    <xf numFmtId="17" fontId="69" fillId="8" borderId="6" xfId="0" applyNumberFormat="1" applyFont="1" applyFill="1" applyBorder="1" applyAlignment="1">
      <alignment horizontal="center" vertical="center" wrapText="1"/>
    </xf>
    <xf numFmtId="0" fontId="0" fillId="0" borderId="5"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5"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44" fontId="69" fillId="55" borderId="5" xfId="1" applyFont="1" applyFill="1" applyBorder="1" applyAlignment="1" applyProtection="1">
      <alignment horizontal="center" vertical="center"/>
      <protection locked="0"/>
    </xf>
    <xf numFmtId="44" fontId="69" fillId="55" borderId="6" xfId="1" applyFont="1" applyFill="1" applyBorder="1" applyAlignment="1" applyProtection="1">
      <alignment horizontal="center" vertical="center"/>
      <protection locked="0"/>
    </xf>
    <xf numFmtId="0" fontId="53" fillId="0" borderId="6" xfId="0" applyFont="1" applyBorder="1" applyAlignment="1" applyProtection="1">
      <alignment horizontal="left" vertical="center" wrapText="1"/>
      <protection locked="0"/>
    </xf>
    <xf numFmtId="17" fontId="16" fillId="67" borderId="5" xfId="0" applyNumberFormat="1" applyFont="1" applyFill="1" applyBorder="1" applyAlignment="1">
      <alignment horizontal="center" vertical="center" wrapText="1"/>
    </xf>
    <xf numFmtId="17" fontId="16" fillId="67" borderId="6" xfId="0" applyNumberFormat="1" applyFont="1" applyFill="1" applyBorder="1" applyAlignment="1">
      <alignment horizontal="center" vertical="center" wrapText="1"/>
    </xf>
    <xf numFmtId="44" fontId="62" fillId="10" borderId="15" xfId="0" applyNumberFormat="1" applyFont="1" applyFill="1" applyBorder="1" applyAlignment="1" applyProtection="1">
      <alignment horizontal="left"/>
      <protection locked="0"/>
    </xf>
    <xf numFmtId="44" fontId="62" fillId="6" borderId="15" xfId="0" applyNumberFormat="1" applyFont="1" applyFill="1" applyBorder="1" applyAlignment="1" applyProtection="1">
      <alignment horizontal="left"/>
      <protection locked="0"/>
    </xf>
    <xf numFmtId="17" fontId="0" fillId="8" borderId="6" xfId="0" applyNumberFormat="1" applyFill="1" applyBorder="1" applyAlignment="1">
      <alignment horizontal="center" vertical="center" wrapText="1"/>
    </xf>
    <xf numFmtId="0" fontId="68" fillId="46" borderId="46" xfId="0" applyFont="1" applyFill="1" applyBorder="1" applyAlignment="1" applyProtection="1">
      <alignment horizontal="center"/>
      <protection locked="0"/>
    </xf>
    <xf numFmtId="0" fontId="68" fillId="46" borderId="83" xfId="0" applyFont="1" applyFill="1" applyBorder="1" applyAlignment="1" applyProtection="1">
      <alignment horizontal="center"/>
      <protection locked="0"/>
    </xf>
    <xf numFmtId="9" fontId="0" fillId="0" borderId="5" xfId="2" applyFont="1" applyFill="1" applyBorder="1" applyAlignment="1" applyProtection="1">
      <alignment horizontal="left" vertical="center" wrapText="1"/>
      <protection locked="0"/>
    </xf>
    <xf numFmtId="9" fontId="0" fillId="0" borderId="6" xfId="2" applyFont="1" applyFill="1" applyBorder="1" applyAlignment="1" applyProtection="1">
      <alignment horizontal="left" vertical="center"/>
      <protection locked="0"/>
    </xf>
    <xf numFmtId="0" fontId="0" fillId="0" borderId="5" xfId="0" applyBorder="1" applyAlignment="1" applyProtection="1">
      <alignment vertical="center" wrapText="1"/>
      <protection locked="0"/>
    </xf>
    <xf numFmtId="0" fontId="0" fillId="0" borderId="6" xfId="0" applyBorder="1" applyAlignment="1" applyProtection="1">
      <alignment vertical="center" wrapText="1"/>
      <protection locked="0"/>
    </xf>
    <xf numFmtId="44" fontId="0" fillId="56" borderId="5" xfId="1" applyFont="1" applyFill="1" applyBorder="1" applyAlignment="1">
      <alignment horizontal="center" vertical="center"/>
    </xf>
    <xf numFmtId="44" fontId="0" fillId="56" borderId="6" xfId="1" applyFont="1" applyFill="1" applyBorder="1" applyAlignment="1">
      <alignment horizontal="center" vertical="center"/>
    </xf>
    <xf numFmtId="17" fontId="52" fillId="0" borderId="6" xfId="0" applyNumberFormat="1" applyFont="1" applyBorder="1" applyAlignment="1">
      <alignment horizontal="center" vertical="center" wrapText="1"/>
    </xf>
    <xf numFmtId="44" fontId="14" fillId="0" borderId="5" xfId="1" applyFont="1" applyBorder="1" applyAlignment="1" applyProtection="1">
      <alignment horizontal="center" vertical="center"/>
      <protection locked="0"/>
    </xf>
    <xf numFmtId="44" fontId="14" fillId="0" borderId="6" xfId="1" applyFont="1" applyBorder="1" applyAlignment="1" applyProtection="1">
      <alignment horizontal="center" vertical="center"/>
      <protection locked="0"/>
    </xf>
    <xf numFmtId="44" fontId="112" fillId="67" borderId="5" xfId="1" applyFont="1" applyFill="1" applyBorder="1" applyAlignment="1">
      <alignment horizontal="center" vertical="center"/>
    </xf>
    <xf numFmtId="44" fontId="112" fillId="67" borderId="6" xfId="1" applyFont="1" applyFill="1" applyBorder="1" applyAlignment="1">
      <alignment horizontal="center" vertical="center"/>
    </xf>
    <xf numFmtId="44" fontId="126" fillId="8" borderId="0" xfId="1" applyFont="1" applyFill="1" applyAlignment="1">
      <alignment horizontal="center" vertical="center" wrapText="1"/>
    </xf>
    <xf numFmtId="44" fontId="52" fillId="8" borderId="6" xfId="1" applyFont="1" applyFill="1" applyBorder="1" applyAlignment="1">
      <alignment horizontal="center" vertical="center"/>
    </xf>
    <xf numFmtId="0" fontId="0" fillId="67" borderId="5" xfId="0" applyFill="1" applyBorder="1" applyAlignment="1">
      <alignment horizontal="center" vertical="center"/>
    </xf>
    <xf numFmtId="0" fontId="0" fillId="67" borderId="6" xfId="0" applyFill="1" applyBorder="1" applyAlignment="1">
      <alignment horizontal="center" vertical="center"/>
    </xf>
    <xf numFmtId="0" fontId="52" fillId="10" borderId="5" xfId="0" applyFont="1" applyFill="1" applyBorder="1" applyAlignment="1">
      <alignment horizontal="center" vertical="center"/>
    </xf>
    <xf numFmtId="0" fontId="52" fillId="10" borderId="6" xfId="0" applyFont="1" applyFill="1" applyBorder="1" applyAlignment="1">
      <alignment horizontal="center" vertical="center"/>
    </xf>
    <xf numFmtId="0" fontId="69" fillId="0" borderId="5" xfId="0" applyFont="1" applyBorder="1" applyAlignment="1" applyProtection="1">
      <alignment horizontal="center" vertical="center" wrapText="1"/>
      <protection locked="0"/>
    </xf>
    <xf numFmtId="0" fontId="69" fillId="0" borderId="6" xfId="0" applyFont="1" applyBorder="1" applyAlignment="1" applyProtection="1">
      <alignment horizontal="center" vertical="center" wrapText="1"/>
      <protection locked="0"/>
    </xf>
    <xf numFmtId="0" fontId="0" fillId="8" borderId="5" xfId="0" applyFill="1" applyBorder="1" applyAlignment="1" applyProtection="1">
      <alignment vertical="center" wrapText="1"/>
      <protection locked="0"/>
    </xf>
    <xf numFmtId="0" fontId="0" fillId="8" borderId="6" xfId="0" applyFill="1" applyBorder="1" applyAlignment="1" applyProtection="1">
      <alignment vertical="center" wrapText="1"/>
      <protection locked="0"/>
    </xf>
    <xf numFmtId="172" fontId="0" fillId="0" borderId="5" xfId="0" applyNumberFormat="1" applyBorder="1" applyAlignment="1" applyProtection="1">
      <alignment horizontal="left" vertical="center" wrapText="1"/>
      <protection locked="0"/>
    </xf>
    <xf numFmtId="172" fontId="0" fillId="0" borderId="6" xfId="0" applyNumberFormat="1" applyBorder="1" applyAlignment="1" applyProtection="1">
      <alignment horizontal="left" vertical="center" wrapText="1"/>
      <protection locked="0"/>
    </xf>
    <xf numFmtId="0" fontId="31" fillId="8" borderId="5" xfId="3" applyFill="1" applyBorder="1" applyAlignment="1" applyProtection="1">
      <alignment horizontal="left" vertical="center" wrapText="1"/>
      <protection locked="0"/>
    </xf>
    <xf numFmtId="0" fontId="53" fillId="8" borderId="6" xfId="0" applyFont="1" applyFill="1" applyBorder="1" applyAlignment="1" applyProtection="1">
      <alignment horizontal="left" vertical="center" wrapText="1"/>
      <protection locked="0"/>
    </xf>
    <xf numFmtId="44" fontId="0" fillId="0" borderId="5" xfId="1" applyFont="1" applyBorder="1" applyAlignment="1" applyProtection="1">
      <alignment horizontal="center" vertical="center"/>
      <protection locked="0"/>
    </xf>
    <xf numFmtId="0" fontId="149" fillId="0" borderId="5" xfId="0" applyFont="1" applyBorder="1" applyAlignment="1" applyProtection="1">
      <alignment horizontal="left" vertical="center" wrapText="1"/>
      <protection locked="0"/>
    </xf>
    <xf numFmtId="0" fontId="149" fillId="0" borderId="6" xfId="0" applyFont="1" applyBorder="1" applyAlignment="1" applyProtection="1">
      <alignment horizontal="left" vertical="center" wrapText="1"/>
      <protection locked="0"/>
    </xf>
    <xf numFmtId="0" fontId="149" fillId="0" borderId="5" xfId="0" applyFont="1" applyBorder="1" applyAlignment="1" applyProtection="1">
      <alignment horizontal="center" vertical="center" wrapText="1"/>
      <protection locked="0"/>
    </xf>
    <xf numFmtId="0" fontId="149" fillId="0" borderId="6" xfId="0" applyFont="1" applyBorder="1" applyAlignment="1" applyProtection="1">
      <alignment horizontal="center" vertical="center" wrapText="1"/>
      <protection locked="0"/>
    </xf>
    <xf numFmtId="17" fontId="149" fillId="0" borderId="5" xfId="1" applyNumberFormat="1" applyFont="1" applyBorder="1" applyAlignment="1" applyProtection="1">
      <alignment horizontal="center" vertical="center"/>
      <protection locked="0"/>
    </xf>
    <xf numFmtId="44" fontId="149" fillId="0" borderId="6" xfId="1" applyFont="1" applyBorder="1" applyAlignment="1" applyProtection="1">
      <alignment horizontal="center" vertical="center"/>
      <protection locked="0"/>
    </xf>
    <xf numFmtId="44" fontId="149" fillId="8" borderId="5" xfId="1" applyFont="1" applyFill="1" applyBorder="1" applyAlignment="1" applyProtection="1">
      <alignment horizontal="center" vertical="center"/>
      <protection locked="0"/>
    </xf>
    <xf numFmtId="44" fontId="149" fillId="8" borderId="6" xfId="1" applyFont="1" applyFill="1" applyBorder="1" applyAlignment="1" applyProtection="1">
      <alignment horizontal="center" vertical="center"/>
      <protection locked="0"/>
    </xf>
    <xf numFmtId="44" fontId="149" fillId="0" borderId="5" xfId="1" applyFont="1" applyBorder="1" applyAlignment="1" applyProtection="1">
      <alignment horizontal="center" vertical="center"/>
      <protection locked="0"/>
    </xf>
    <xf numFmtId="172" fontId="69" fillId="0" borderId="5" xfId="0" applyNumberFormat="1" applyFont="1" applyBorder="1" applyAlignment="1" applyProtection="1">
      <alignment horizontal="center" vertical="center" wrapText="1"/>
      <protection locked="0"/>
    </xf>
    <xf numFmtId="172" fontId="69" fillId="0" borderId="6" xfId="0" applyNumberFormat="1" applyFont="1" applyBorder="1" applyAlignment="1" applyProtection="1">
      <alignment horizontal="center" vertical="center" wrapText="1"/>
      <protection locked="0"/>
    </xf>
    <xf numFmtId="17" fontId="16" fillId="8" borderId="5" xfId="0" applyNumberFormat="1" applyFont="1" applyFill="1" applyBorder="1" applyAlignment="1">
      <alignment horizontal="center" vertical="center" wrapText="1"/>
    </xf>
    <xf numFmtId="17" fontId="16" fillId="8" borderId="6" xfId="0" applyNumberFormat="1" applyFont="1" applyFill="1" applyBorder="1" applyAlignment="1">
      <alignment horizontal="center" vertical="center" wrapText="1"/>
    </xf>
    <xf numFmtId="0" fontId="16" fillId="0" borderId="5"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17" fontId="149" fillId="8" borderId="5" xfId="0" applyNumberFormat="1" applyFont="1" applyFill="1" applyBorder="1" applyAlignment="1" applyProtection="1">
      <alignment horizontal="center" vertical="center" wrapText="1"/>
      <protection locked="0"/>
    </xf>
    <xf numFmtId="17" fontId="149" fillId="8" borderId="6" xfId="0" applyNumberFormat="1" applyFont="1" applyFill="1" applyBorder="1" applyAlignment="1" applyProtection="1">
      <alignment horizontal="center" vertical="center" wrapText="1"/>
      <protection locked="0"/>
    </xf>
    <xf numFmtId="44" fontId="113" fillId="8" borderId="5" xfId="1" applyFont="1" applyFill="1" applyBorder="1" applyAlignment="1" applyProtection="1">
      <alignment horizontal="center" vertical="center"/>
      <protection locked="0"/>
    </xf>
    <xf numFmtId="44" fontId="113" fillId="8" borderId="6" xfId="1" applyFont="1" applyFill="1" applyBorder="1" applyAlignment="1" applyProtection="1">
      <alignment horizontal="center" vertical="center"/>
      <protection locked="0"/>
    </xf>
    <xf numFmtId="44" fontId="0" fillId="0" borderId="5" xfId="1" applyFont="1" applyBorder="1" applyAlignment="1">
      <alignment horizontal="center" vertical="center"/>
    </xf>
    <xf numFmtId="44" fontId="0" fillId="0" borderId="6" xfId="1" applyFont="1" applyBorder="1" applyAlignment="1">
      <alignment horizontal="center" vertical="center"/>
    </xf>
    <xf numFmtId="0" fontId="31" fillId="8" borderId="6" xfId="3" applyFill="1" applyBorder="1" applyAlignment="1" applyProtection="1">
      <alignment horizontal="left" vertical="center" wrapText="1"/>
      <protection locked="0"/>
    </xf>
    <xf numFmtId="0" fontId="0" fillId="42" borderId="5" xfId="0" applyFill="1" applyBorder="1" applyAlignment="1" applyProtection="1">
      <alignment horizontal="left" vertical="center" wrapText="1"/>
      <protection locked="0"/>
    </xf>
    <xf numFmtId="0" fontId="0" fillId="42" borderId="6" xfId="0" applyFill="1" applyBorder="1" applyAlignment="1" applyProtection="1">
      <alignment horizontal="left" vertical="center" wrapText="1"/>
      <protection locked="0"/>
    </xf>
    <xf numFmtId="17" fontId="0" fillId="0" borderId="6" xfId="1" applyNumberFormat="1" applyFont="1" applyBorder="1" applyAlignment="1" applyProtection="1">
      <alignment horizontal="center" vertical="center"/>
      <protection locked="0"/>
    </xf>
    <xf numFmtId="0" fontId="149" fillId="8" borderId="5" xfId="0" applyFont="1" applyFill="1" applyBorder="1" applyAlignment="1" applyProtection="1">
      <alignment horizontal="center" vertical="center"/>
      <protection locked="0"/>
    </xf>
    <xf numFmtId="0" fontId="149" fillId="8" borderId="6" xfId="0" applyFont="1" applyFill="1" applyBorder="1" applyAlignment="1" applyProtection="1">
      <alignment horizontal="center" vertical="center"/>
      <protection locked="0"/>
    </xf>
    <xf numFmtId="0" fontId="149" fillId="8" borderId="5" xfId="0" applyFont="1" applyFill="1" applyBorder="1" applyAlignment="1" applyProtection="1">
      <alignment horizontal="left" vertical="center" wrapText="1"/>
      <protection locked="0"/>
    </xf>
    <xf numFmtId="0" fontId="149" fillId="8" borderId="6" xfId="0" applyFont="1" applyFill="1" applyBorder="1" applyAlignment="1" applyProtection="1">
      <alignment horizontal="left" vertical="center" wrapText="1"/>
      <protection locked="0"/>
    </xf>
    <xf numFmtId="17" fontId="69" fillId="0" borderId="5" xfId="1" applyNumberFormat="1" applyFont="1" applyBorder="1" applyAlignment="1" applyProtection="1">
      <alignment horizontal="center" vertical="center"/>
      <protection locked="0"/>
    </xf>
    <xf numFmtId="44" fontId="69" fillId="0" borderId="6" xfId="1" applyFont="1" applyBorder="1" applyAlignment="1" applyProtection="1">
      <alignment horizontal="center" vertical="center"/>
      <protection locked="0"/>
    </xf>
    <xf numFmtId="44" fontId="69" fillId="0" borderId="5" xfId="1" applyFont="1" applyBorder="1" applyAlignment="1" applyProtection="1">
      <alignment horizontal="center" vertical="center"/>
      <protection locked="0"/>
    </xf>
    <xf numFmtId="0" fontId="69" fillId="0" borderId="5" xfId="0" applyFont="1" applyBorder="1" applyAlignment="1" applyProtection="1">
      <alignment horizontal="left" vertical="center" wrapText="1"/>
      <protection locked="0"/>
    </xf>
    <xf numFmtId="0" fontId="69" fillId="0" borderId="6" xfId="0" applyFont="1" applyBorder="1" applyAlignment="1" applyProtection="1">
      <alignment horizontal="left" vertical="center" wrapText="1"/>
      <protection locked="0"/>
    </xf>
    <xf numFmtId="0" fontId="69" fillId="42" borderId="5" xfId="0" applyFont="1" applyFill="1" applyBorder="1" applyAlignment="1" applyProtection="1">
      <alignment horizontal="left" vertical="center" wrapText="1"/>
      <protection locked="0"/>
    </xf>
    <xf numFmtId="0" fontId="69" fillId="42" borderId="6" xfId="0" applyFont="1" applyFill="1" applyBorder="1" applyAlignment="1" applyProtection="1">
      <alignment horizontal="left" vertical="center" wrapText="1"/>
      <protection locked="0"/>
    </xf>
    <xf numFmtId="0" fontId="69" fillId="10" borderId="5" xfId="0" applyFont="1" applyFill="1" applyBorder="1" applyAlignment="1" applyProtection="1">
      <alignment horizontal="center" vertical="center" wrapText="1"/>
      <protection locked="0"/>
    </xf>
    <xf numFmtId="0" fontId="69" fillId="10" borderId="6" xfId="0" applyFont="1" applyFill="1" applyBorder="1" applyAlignment="1" applyProtection="1">
      <alignment horizontal="center" vertical="center" wrapText="1"/>
      <protection locked="0"/>
    </xf>
    <xf numFmtId="44" fontId="69" fillId="44" borderId="5" xfId="1" applyFont="1" applyFill="1" applyBorder="1" applyAlignment="1" applyProtection="1">
      <alignment horizontal="center" vertical="center"/>
      <protection locked="0"/>
    </xf>
    <xf numFmtId="44" fontId="69" fillId="44" borderId="6" xfId="1" applyFont="1" applyFill="1" applyBorder="1" applyAlignment="1" applyProtection="1">
      <alignment horizontal="center" vertical="center"/>
      <protection locked="0"/>
    </xf>
    <xf numFmtId="0" fontId="0" fillId="70" borderId="5" xfId="0" applyFill="1" applyBorder="1" applyAlignment="1">
      <alignment horizontal="center" vertical="center"/>
    </xf>
    <xf numFmtId="44" fontId="0" fillId="70" borderId="5" xfId="1" applyFont="1" applyFill="1" applyBorder="1" applyAlignment="1" applyProtection="1">
      <alignment horizontal="center" vertical="center"/>
    </xf>
    <xf numFmtId="44" fontId="0" fillId="70" borderId="6" xfId="1" applyFont="1" applyFill="1" applyBorder="1" applyAlignment="1" applyProtection="1">
      <alignment horizontal="center" vertical="center"/>
    </xf>
    <xf numFmtId="0" fontId="150" fillId="0" borderId="5" xfId="3" applyFont="1" applyBorder="1" applyAlignment="1" applyProtection="1">
      <alignment horizontal="left" vertical="center" wrapText="1"/>
      <protection locked="0"/>
    </xf>
    <xf numFmtId="0" fontId="150" fillId="0" borderId="6" xfId="3" applyFont="1" applyBorder="1" applyAlignment="1" applyProtection="1">
      <alignment horizontal="left" vertical="center" wrapText="1"/>
      <protection locked="0"/>
    </xf>
    <xf numFmtId="0" fontId="31" fillId="0" borderId="5" xfId="3" applyFill="1" applyBorder="1" applyAlignment="1" applyProtection="1">
      <alignment horizontal="left" vertical="center" wrapText="1"/>
      <protection locked="0"/>
    </xf>
    <xf numFmtId="0" fontId="31" fillId="0" borderId="6" xfId="3" applyFill="1" applyBorder="1" applyAlignment="1" applyProtection="1">
      <alignment horizontal="left" vertical="center" wrapText="1"/>
      <protection locked="0"/>
    </xf>
    <xf numFmtId="0" fontId="149" fillId="8" borderId="5" xfId="0" applyFont="1" applyFill="1" applyBorder="1" applyAlignment="1" applyProtection="1">
      <alignment horizontal="center" vertical="center" wrapText="1"/>
      <protection locked="0"/>
    </xf>
    <xf numFmtId="0" fontId="149" fillId="8" borderId="6" xfId="0" applyFont="1" applyFill="1" applyBorder="1" applyAlignment="1" applyProtection="1">
      <alignment horizontal="center" vertical="center" wrapText="1"/>
      <protection locked="0"/>
    </xf>
    <xf numFmtId="0" fontId="88" fillId="8" borderId="5" xfId="3" applyFont="1" applyFill="1" applyBorder="1" applyAlignment="1" applyProtection="1">
      <alignment horizontal="left" vertical="center" wrapText="1"/>
      <protection locked="0"/>
    </xf>
    <xf numFmtId="0" fontId="88" fillId="8" borderId="6" xfId="0" applyFont="1" applyFill="1" applyBorder="1" applyAlignment="1" applyProtection="1">
      <alignment horizontal="left" vertical="center" wrapText="1"/>
      <protection locked="0"/>
    </xf>
    <xf numFmtId="0" fontId="69" fillId="8" borderId="5" xfId="0" applyFont="1" applyFill="1" applyBorder="1" applyAlignment="1" applyProtection="1">
      <alignment horizontal="center" vertical="center"/>
      <protection locked="0"/>
    </xf>
    <xf numFmtId="0" fontId="69" fillId="8" borderId="6" xfId="0" applyFont="1" applyFill="1" applyBorder="1" applyAlignment="1" applyProtection="1">
      <alignment horizontal="center" vertical="center"/>
      <protection locked="0"/>
    </xf>
    <xf numFmtId="0" fontId="69" fillId="8" borderId="5" xfId="0" applyFont="1" applyFill="1" applyBorder="1" applyAlignment="1" applyProtection="1">
      <alignment horizontal="left" vertical="center" wrapText="1"/>
      <protection locked="0"/>
    </xf>
    <xf numFmtId="0" fontId="69" fillId="8" borderId="6" xfId="0" applyFont="1" applyFill="1" applyBorder="1" applyAlignment="1" applyProtection="1">
      <alignment horizontal="left" vertical="center" wrapText="1"/>
      <protection locked="0"/>
    </xf>
    <xf numFmtId="0" fontId="0" fillId="0" borderId="6" xfId="2" applyNumberFormat="1" applyFont="1" applyBorder="1" applyAlignment="1" applyProtection="1">
      <alignment horizontal="center" vertical="center"/>
      <protection locked="0"/>
    </xf>
    <xf numFmtId="9" fontId="112" fillId="0" borderId="5" xfId="2" applyFont="1" applyBorder="1" applyAlignment="1" applyProtection="1">
      <alignment horizontal="center" vertical="center"/>
      <protection locked="0"/>
    </xf>
    <xf numFmtId="9" fontId="112" fillId="0" borderId="6" xfId="2" applyFont="1" applyBorder="1" applyAlignment="1" applyProtection="1">
      <alignment horizontal="center" vertical="center"/>
      <protection locked="0"/>
    </xf>
    <xf numFmtId="44" fontId="52" fillId="0" borderId="5" xfId="1" applyFont="1" applyBorder="1" applyAlignment="1" applyProtection="1">
      <alignment horizontal="center" vertical="center"/>
    </xf>
    <xf numFmtId="44" fontId="52" fillId="0" borderId="6" xfId="1" applyFont="1" applyBorder="1" applyAlignment="1" applyProtection="1">
      <alignment horizontal="center" vertical="center"/>
    </xf>
    <xf numFmtId="9" fontId="70" fillId="8" borderId="5" xfId="2" applyFont="1" applyFill="1" applyBorder="1" applyAlignment="1" applyProtection="1">
      <alignment horizontal="center" vertical="center"/>
      <protection locked="0"/>
    </xf>
    <xf numFmtId="9" fontId="70" fillId="8" borderId="6" xfId="2" applyFont="1" applyFill="1" applyBorder="1" applyAlignment="1" applyProtection="1">
      <alignment horizontal="center" vertical="center"/>
      <protection locked="0"/>
    </xf>
    <xf numFmtId="44" fontId="112" fillId="67" borderId="5" xfId="1" applyFont="1" applyFill="1" applyBorder="1" applyAlignment="1" applyProtection="1">
      <alignment horizontal="center" vertical="center"/>
      <protection locked="0"/>
    </xf>
    <xf numFmtId="44" fontId="112" fillId="67" borderId="6" xfId="1" applyFont="1" applyFill="1" applyBorder="1" applyAlignment="1" applyProtection="1">
      <alignment horizontal="center" vertical="center"/>
      <protection locked="0"/>
    </xf>
    <xf numFmtId="0" fontId="143" fillId="0" borderId="5" xfId="3" applyFont="1" applyBorder="1" applyAlignment="1" applyProtection="1">
      <alignment horizontal="left" vertical="center" wrapText="1"/>
      <protection locked="0"/>
    </xf>
    <xf numFmtId="0" fontId="143" fillId="0" borderId="6" xfId="0" applyFont="1" applyBorder="1" applyAlignment="1" applyProtection="1">
      <alignment horizontal="left" vertical="center" wrapText="1"/>
      <protection locked="0"/>
    </xf>
    <xf numFmtId="44" fontId="0" fillId="67" borderId="5" xfId="1" applyFont="1" applyFill="1" applyBorder="1" applyAlignment="1" applyProtection="1">
      <alignment horizontal="center" vertical="center"/>
      <protection locked="0"/>
    </xf>
    <xf numFmtId="44" fontId="0" fillId="67" borderId="6" xfId="1" applyFont="1" applyFill="1" applyBorder="1" applyAlignment="1" applyProtection="1">
      <alignment horizontal="center" vertical="center"/>
      <protection locked="0"/>
    </xf>
    <xf numFmtId="0" fontId="143" fillId="8" borderId="5" xfId="3" applyFont="1" applyFill="1" applyBorder="1" applyAlignment="1" applyProtection="1">
      <alignment horizontal="left" vertical="center" wrapText="1"/>
      <protection locked="0"/>
    </xf>
    <xf numFmtId="0" fontId="143" fillId="8" borderId="6" xfId="0" applyFont="1" applyFill="1" applyBorder="1" applyAlignment="1" applyProtection="1">
      <alignment horizontal="left" vertical="center" wrapText="1"/>
      <protection locked="0"/>
    </xf>
    <xf numFmtId="44" fontId="69" fillId="8" borderId="5" xfId="1" applyFont="1" applyFill="1" applyBorder="1" applyAlignment="1" applyProtection="1">
      <alignment horizontal="center" vertical="center"/>
      <protection locked="0"/>
    </xf>
    <xf numFmtId="44" fontId="69" fillId="8" borderId="6" xfId="1" applyFont="1" applyFill="1" applyBorder="1" applyAlignment="1" applyProtection="1">
      <alignment horizontal="center" vertical="center"/>
      <protection locked="0"/>
    </xf>
    <xf numFmtId="44" fontId="0" fillId="67" borderId="5" xfId="1" applyFont="1" applyFill="1" applyBorder="1" applyAlignment="1">
      <alignment horizontal="center" vertical="center"/>
    </xf>
    <xf numFmtId="44" fontId="0" fillId="67" borderId="6" xfId="1" applyFont="1" applyFill="1" applyBorder="1" applyAlignment="1">
      <alignment horizontal="center" vertical="center"/>
    </xf>
    <xf numFmtId="0" fontId="0" fillId="8" borderId="11" xfId="0" applyFill="1" applyBorder="1" applyAlignment="1" applyProtection="1">
      <alignment horizontal="left" vertical="center"/>
      <protection locked="0"/>
    </xf>
    <xf numFmtId="0" fontId="0" fillId="8" borderId="13" xfId="0" applyFill="1" applyBorder="1" applyAlignment="1" applyProtection="1">
      <alignment horizontal="left" vertical="center"/>
      <protection locked="0"/>
    </xf>
    <xf numFmtId="0" fontId="0" fillId="8" borderId="44" xfId="0" applyFill="1" applyBorder="1" applyAlignment="1" applyProtection="1">
      <alignment horizontal="left" vertical="center"/>
      <protection locked="0"/>
    </xf>
    <xf numFmtId="44" fontId="0" fillId="0" borderId="111" xfId="0" applyNumberFormat="1" applyBorder="1" applyAlignment="1" applyProtection="1">
      <alignment horizontal="center" vertical="center"/>
      <protection locked="0"/>
    </xf>
    <xf numFmtId="0" fontId="0" fillId="0" borderId="0" xfId="0" applyAlignment="1" applyProtection="1">
      <alignment horizontal="center" vertical="center"/>
      <protection locked="0"/>
    </xf>
    <xf numFmtId="0" fontId="34" fillId="6" borderId="27" xfId="0" applyFont="1" applyFill="1" applyBorder="1" applyAlignment="1" applyProtection="1">
      <alignment horizontal="center" vertical="center" wrapText="1"/>
      <protection locked="0"/>
    </xf>
    <xf numFmtId="0" fontId="34" fillId="6" borderId="28" xfId="0" applyFont="1" applyFill="1" applyBorder="1" applyAlignment="1" applyProtection="1">
      <alignment horizontal="center" vertical="center" wrapText="1"/>
      <protection locked="0"/>
    </xf>
    <xf numFmtId="0" fontId="2" fillId="0" borderId="0" xfId="0" applyFont="1" applyAlignment="1">
      <alignment horizontal="center" vertical="center" wrapText="1"/>
    </xf>
    <xf numFmtId="0" fontId="0" fillId="0" borderId="0" xfId="0"/>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center" vertical="center" wrapText="1"/>
    </xf>
    <xf numFmtId="0" fontId="3" fillId="2" borderId="0" xfId="0" applyFont="1" applyFill="1"/>
    <xf numFmtId="0" fontId="0" fillId="0" borderId="1" xfId="0" applyBorder="1"/>
    <xf numFmtId="0" fontId="6" fillId="5" borderId="0" xfId="0" applyFont="1" applyFill="1"/>
    <xf numFmtId="0" fontId="6" fillId="2" borderId="4" xfId="0" applyFont="1" applyFill="1" applyBorder="1" applyAlignment="1">
      <alignment horizontal="left"/>
    </xf>
    <xf numFmtId="0" fontId="6" fillId="4" borderId="0" xfId="0" applyFont="1" applyFill="1"/>
    <xf numFmtId="0" fontId="6" fillId="2" borderId="0" xfId="0" applyFont="1" applyFill="1"/>
    <xf numFmtId="0" fontId="43" fillId="25" borderId="33" xfId="0" applyFont="1" applyFill="1" applyBorder="1" applyAlignment="1" applyProtection="1">
      <alignment horizontal="center" vertical="center"/>
      <protection locked="0"/>
    </xf>
    <xf numFmtId="0" fontId="44" fillId="9" borderId="23" xfId="0" applyFont="1" applyFill="1" applyBorder="1" applyProtection="1">
      <protection locked="0"/>
    </xf>
    <xf numFmtId="0" fontId="6" fillId="13" borderId="35" xfId="0" applyFont="1" applyFill="1" applyBorder="1" applyAlignment="1" applyProtection="1">
      <alignment horizontal="center" vertical="center"/>
      <protection locked="0"/>
    </xf>
    <xf numFmtId="0" fontId="6" fillId="13" borderId="24" xfId="0" applyFont="1" applyFill="1" applyBorder="1" applyAlignment="1" applyProtection="1">
      <alignment horizontal="center" vertical="center"/>
      <protection locked="0"/>
    </xf>
    <xf numFmtId="0" fontId="6" fillId="13" borderId="36" xfId="0" applyFont="1" applyFill="1" applyBorder="1" applyAlignment="1" applyProtection="1">
      <alignment horizontal="center" vertical="center"/>
      <protection locked="0"/>
    </xf>
    <xf numFmtId="0" fontId="18" fillId="20" borderId="15" xfId="0" applyFont="1" applyFill="1" applyBorder="1" applyAlignment="1" applyProtection="1">
      <alignment horizontal="center" vertical="center"/>
      <protection locked="0"/>
    </xf>
    <xf numFmtId="0" fontId="17" fillId="14" borderId="45" xfId="0" applyFont="1" applyFill="1" applyBorder="1" applyAlignment="1" applyProtection="1">
      <alignment horizontal="center" vertical="center"/>
      <protection locked="0"/>
    </xf>
    <xf numFmtId="0" fontId="17" fillId="14" borderId="46" xfId="0" applyFont="1" applyFill="1" applyBorder="1" applyAlignment="1" applyProtection="1">
      <alignment horizontal="center" vertical="center"/>
      <protection locked="0"/>
    </xf>
    <xf numFmtId="0" fontId="30" fillId="63" borderId="57" xfId="0" applyFont="1" applyFill="1" applyBorder="1" applyAlignment="1" applyProtection="1">
      <alignment horizontal="center" vertical="center"/>
      <protection locked="0"/>
    </xf>
    <xf numFmtId="0" fontId="30" fillId="63" borderId="75" xfId="0" applyFont="1" applyFill="1" applyBorder="1" applyAlignment="1" applyProtection="1">
      <alignment horizontal="center" vertical="center"/>
      <protection locked="0"/>
    </xf>
    <xf numFmtId="0" fontId="30" fillId="63" borderId="54" xfId="0" applyFont="1" applyFill="1" applyBorder="1" applyAlignment="1" applyProtection="1">
      <alignment horizontal="center" vertical="center"/>
      <protection locked="0"/>
    </xf>
    <xf numFmtId="0" fontId="36" fillId="6" borderId="25" xfId="0" applyFont="1" applyFill="1" applyBorder="1" applyAlignment="1" applyProtection="1">
      <alignment horizontal="center" vertical="center" wrapText="1"/>
      <protection locked="0"/>
    </xf>
    <xf numFmtId="0" fontId="36" fillId="6" borderId="53" xfId="0" applyFont="1" applyFill="1" applyBorder="1" applyAlignment="1" applyProtection="1">
      <alignment horizontal="center" vertical="center" wrapText="1"/>
      <protection locked="0"/>
    </xf>
    <xf numFmtId="0" fontId="6" fillId="25" borderId="25" xfId="0" applyFont="1" applyFill="1" applyBorder="1" applyAlignment="1" applyProtection="1">
      <alignment horizontal="center" vertical="center"/>
      <protection locked="0"/>
    </xf>
    <xf numFmtId="42" fontId="45" fillId="0" borderId="116" xfId="1" applyNumberFormat="1" applyFont="1" applyBorder="1" applyAlignment="1" applyProtection="1">
      <alignment horizontal="center" vertical="center"/>
      <protection locked="0"/>
    </xf>
    <xf numFmtId="42" fontId="45" fillId="0" borderId="122" xfId="1" applyNumberFormat="1" applyFont="1" applyBorder="1" applyAlignment="1" applyProtection="1">
      <alignment horizontal="center" vertical="center"/>
      <protection locked="0"/>
    </xf>
    <xf numFmtId="42" fontId="45" fillId="0" borderId="123" xfId="1" applyNumberFormat="1" applyFont="1" applyBorder="1" applyAlignment="1" applyProtection="1">
      <alignment horizontal="center" vertical="center"/>
      <protection locked="0"/>
    </xf>
    <xf numFmtId="164" fontId="151" fillId="0" borderId="116" xfId="0" applyNumberFormat="1" applyFont="1" applyBorder="1" applyAlignment="1">
      <alignment horizontal="center" vertical="center"/>
    </xf>
    <xf numFmtId="164" fontId="151" fillId="0" borderId="122" xfId="0" applyNumberFormat="1" applyFont="1" applyBorder="1" applyAlignment="1">
      <alignment horizontal="center" vertical="center"/>
    </xf>
    <xf numFmtId="164" fontId="151" fillId="0" borderId="123" xfId="0" applyNumberFormat="1" applyFont="1" applyBorder="1" applyAlignment="1">
      <alignment horizontal="center" vertical="center"/>
    </xf>
    <xf numFmtId="0" fontId="21" fillId="0" borderId="66" xfId="0" applyFont="1" applyBorder="1" applyAlignment="1" applyProtection="1">
      <alignment horizontal="center" vertical="center"/>
      <protection locked="0"/>
    </xf>
    <xf numFmtId="0" fontId="21" fillId="0" borderId="70" xfId="0" applyFont="1" applyBorder="1" applyAlignment="1" applyProtection="1">
      <alignment horizontal="center" vertical="center"/>
      <protection locked="0"/>
    </xf>
    <xf numFmtId="0" fontId="21" fillId="0" borderId="20" xfId="0" applyFont="1" applyBorder="1" applyAlignment="1" applyProtection="1">
      <alignment horizontal="center" vertical="center"/>
      <protection locked="0"/>
    </xf>
    <xf numFmtId="0" fontId="21" fillId="0" borderId="0" xfId="0" applyFont="1" applyAlignment="1" applyProtection="1">
      <alignment horizontal="center" vertical="center"/>
      <protection locked="0"/>
    </xf>
    <xf numFmtId="0" fontId="21" fillId="0" borderId="68" xfId="0" applyFont="1" applyBorder="1" applyAlignment="1" applyProtection="1">
      <alignment horizontal="center" vertical="center"/>
      <protection locked="0"/>
    </xf>
    <xf numFmtId="0" fontId="21" fillId="0" borderId="71" xfId="0" applyFont="1" applyBorder="1" applyAlignment="1" applyProtection="1">
      <alignment horizontal="center" vertical="center"/>
      <protection locked="0"/>
    </xf>
    <xf numFmtId="0" fontId="115" fillId="21" borderId="72" xfId="0" applyFont="1" applyFill="1" applyBorder="1" applyAlignment="1" applyProtection="1">
      <alignment horizontal="left" vertical="center" wrapText="1"/>
      <protection locked="0"/>
    </xf>
    <xf numFmtId="0" fontId="115" fillId="21" borderId="73" xfId="0" applyFont="1" applyFill="1" applyBorder="1" applyAlignment="1" applyProtection="1">
      <alignment horizontal="left" vertical="center" wrapText="1"/>
      <protection locked="0"/>
    </xf>
    <xf numFmtId="0" fontId="115" fillId="22" borderId="57" xfId="0" applyFont="1" applyFill="1" applyBorder="1" applyAlignment="1" applyProtection="1">
      <alignment horizontal="left" vertical="center" wrapText="1"/>
      <protection locked="0"/>
    </xf>
    <xf numFmtId="0" fontId="115" fillId="22" borderId="54" xfId="0" applyFont="1" applyFill="1" applyBorder="1" applyAlignment="1" applyProtection="1">
      <alignment horizontal="left" vertical="center" wrapText="1"/>
      <protection locked="0"/>
    </xf>
    <xf numFmtId="0" fontId="124" fillId="11" borderId="57" xfId="0" applyFont="1" applyFill="1" applyBorder="1" applyAlignment="1" applyProtection="1">
      <alignment horizontal="left" vertical="center" wrapText="1"/>
      <protection locked="0"/>
    </xf>
    <xf numFmtId="0" fontId="124" fillId="11" borderId="54" xfId="0" applyFont="1" applyFill="1" applyBorder="1" applyAlignment="1" applyProtection="1">
      <alignment horizontal="left" vertical="center" wrapText="1"/>
      <protection locked="0"/>
    </xf>
    <xf numFmtId="44" fontId="29" fillId="0" borderId="111" xfId="1" applyFont="1" applyBorder="1" applyAlignment="1" applyProtection="1">
      <alignment horizontal="center" vertical="center"/>
      <protection locked="0"/>
    </xf>
    <xf numFmtId="44" fontId="29" fillId="0" borderId="60" xfId="1" applyFont="1" applyBorder="1" applyAlignment="1" applyProtection="1">
      <alignment horizontal="center" vertical="center"/>
      <protection locked="0"/>
    </xf>
    <xf numFmtId="44" fontId="29" fillId="0" borderId="0" xfId="1" applyFont="1" applyBorder="1" applyAlignment="1" applyProtection="1">
      <alignment horizontal="center" vertical="center"/>
      <protection locked="0"/>
    </xf>
    <xf numFmtId="44" fontId="29" fillId="0" borderId="61" xfId="1" applyFont="1" applyBorder="1" applyAlignment="1" applyProtection="1">
      <alignment horizontal="center" vertical="center"/>
      <protection locked="0"/>
    </xf>
    <xf numFmtId="44" fontId="29" fillId="0" borderId="16" xfId="1" applyFont="1" applyBorder="1" applyAlignment="1" applyProtection="1">
      <alignment horizontal="center" vertical="center"/>
      <protection locked="0"/>
    </xf>
    <xf numFmtId="44" fontId="29" fillId="0" borderId="62" xfId="1" applyFont="1" applyBorder="1" applyAlignment="1" applyProtection="1">
      <alignment horizontal="center" vertical="center"/>
      <protection locked="0"/>
    </xf>
    <xf numFmtId="10" fontId="25" fillId="0" borderId="66" xfId="2" applyNumberFormat="1" applyFont="1" applyBorder="1" applyAlignment="1" applyProtection="1">
      <alignment horizontal="center" vertical="center"/>
      <protection locked="0"/>
    </xf>
    <xf numFmtId="10" fontId="25" fillId="0" borderId="67" xfId="2" applyNumberFormat="1" applyFont="1" applyBorder="1" applyAlignment="1" applyProtection="1">
      <alignment horizontal="center" vertical="center"/>
      <protection locked="0"/>
    </xf>
    <xf numFmtId="10" fontId="25" fillId="0" borderId="20" xfId="2" applyNumberFormat="1" applyFont="1" applyBorder="1" applyAlignment="1" applyProtection="1">
      <alignment horizontal="center" vertical="center"/>
      <protection locked="0"/>
    </xf>
    <xf numFmtId="10" fontId="25" fillId="0" borderId="64" xfId="2" applyNumberFormat="1" applyFont="1" applyBorder="1" applyAlignment="1" applyProtection="1">
      <alignment horizontal="center" vertical="center"/>
      <protection locked="0"/>
    </xf>
    <xf numFmtId="10" fontId="25" fillId="0" borderId="68" xfId="2" applyNumberFormat="1" applyFont="1" applyBorder="1" applyAlignment="1" applyProtection="1">
      <alignment horizontal="center" vertical="center"/>
      <protection locked="0"/>
    </xf>
    <xf numFmtId="10" fontId="25" fillId="0" borderId="69" xfId="2" applyNumberFormat="1" applyFont="1" applyBorder="1" applyAlignment="1" applyProtection="1">
      <alignment horizontal="center" vertical="center"/>
      <protection locked="0"/>
    </xf>
    <xf numFmtId="166" fontId="20" fillId="0" borderId="116" xfId="1" applyNumberFormat="1" applyFont="1" applyBorder="1" applyAlignment="1" applyProtection="1">
      <alignment horizontal="center" vertical="center"/>
      <protection locked="0"/>
    </xf>
    <xf numFmtId="166" fontId="20" fillId="0" borderId="122" xfId="1" applyNumberFormat="1" applyFont="1" applyBorder="1" applyAlignment="1" applyProtection="1">
      <alignment horizontal="center" vertical="center"/>
      <protection locked="0"/>
    </xf>
    <xf numFmtId="166" fontId="20" fillId="0" borderId="123" xfId="1" applyNumberFormat="1" applyFont="1" applyBorder="1" applyAlignment="1" applyProtection="1">
      <alignment horizontal="center" vertical="center"/>
      <protection locked="0"/>
    </xf>
    <xf numFmtId="164" fontId="79" fillId="0" borderId="116" xfId="0" applyNumberFormat="1" applyFont="1" applyBorder="1" applyAlignment="1">
      <alignment horizontal="center" vertical="center"/>
    </xf>
    <xf numFmtId="164" fontId="79" fillId="0" borderId="122" xfId="0" applyNumberFormat="1" applyFont="1" applyBorder="1" applyAlignment="1">
      <alignment horizontal="center" vertical="center"/>
    </xf>
    <xf numFmtId="164" fontId="79" fillId="0" borderId="123" xfId="0" applyNumberFormat="1" applyFont="1" applyBorder="1" applyAlignment="1">
      <alignment horizontal="center" vertical="center"/>
    </xf>
    <xf numFmtId="44" fontId="25" fillId="0" borderId="59" xfId="1" applyFont="1" applyBorder="1" applyAlignment="1" applyProtection="1">
      <alignment horizontal="center" vertical="center"/>
      <protection locked="0"/>
    </xf>
    <xf numFmtId="44" fontId="25" fillId="0" borderId="26" xfId="1" applyFont="1" applyBorder="1" applyAlignment="1" applyProtection="1">
      <alignment horizontal="center" vertical="center"/>
      <protection locked="0"/>
    </xf>
    <xf numFmtId="44" fontId="25" fillId="0" borderId="39" xfId="1" applyFont="1" applyBorder="1" applyAlignment="1" applyProtection="1">
      <alignment horizontal="center" vertical="center"/>
      <protection locked="0"/>
    </xf>
    <xf numFmtId="44" fontId="137" fillId="10" borderId="116" xfId="1" applyFont="1" applyFill="1" applyBorder="1" applyAlignment="1">
      <alignment horizontal="center" vertical="center"/>
    </xf>
    <xf numFmtId="44" fontId="137" fillId="10" borderId="122" xfId="1" applyFont="1" applyFill="1" applyBorder="1" applyAlignment="1">
      <alignment horizontal="center" vertical="center"/>
    </xf>
    <xf numFmtId="44" fontId="137" fillId="10" borderId="123" xfId="1" applyFont="1" applyFill="1" applyBorder="1" applyAlignment="1">
      <alignment horizontal="center" vertical="center"/>
    </xf>
    <xf numFmtId="0" fontId="89" fillId="23" borderId="11" xfId="0" applyFont="1" applyFill="1" applyBorder="1" applyAlignment="1">
      <alignment horizontal="center"/>
    </xf>
    <xf numFmtId="0" fontId="89" fillId="23" borderId="44" xfId="0" applyFont="1" applyFill="1" applyBorder="1" applyAlignment="1">
      <alignment horizontal="center"/>
    </xf>
    <xf numFmtId="165" fontId="35" fillId="10" borderId="27" xfId="0" applyNumberFormat="1" applyFont="1" applyFill="1" applyBorder="1" applyAlignment="1" applyProtection="1">
      <alignment horizontal="center" vertical="center"/>
      <protection locked="0"/>
    </xf>
    <xf numFmtId="165" fontId="35" fillId="10" borderId="38" xfId="0" applyNumberFormat="1" applyFont="1" applyFill="1" applyBorder="1" applyAlignment="1" applyProtection="1">
      <alignment horizontal="center" vertical="center"/>
      <protection locked="0"/>
    </xf>
    <xf numFmtId="165" fontId="35" fillId="10" borderId="28" xfId="0" applyNumberFormat="1" applyFont="1" applyFill="1" applyBorder="1" applyAlignment="1" applyProtection="1">
      <alignment horizontal="center" vertical="center"/>
      <protection locked="0"/>
    </xf>
    <xf numFmtId="165" fontId="35" fillId="10" borderId="51" xfId="0" applyNumberFormat="1" applyFont="1" applyFill="1" applyBorder="1" applyAlignment="1" applyProtection="1">
      <alignment horizontal="center" vertical="center"/>
      <protection locked="0"/>
    </xf>
    <xf numFmtId="165" fontId="35" fillId="10" borderId="52" xfId="0" applyNumberFormat="1" applyFont="1" applyFill="1" applyBorder="1" applyAlignment="1" applyProtection="1">
      <alignment horizontal="center" vertical="center"/>
      <protection locked="0"/>
    </xf>
    <xf numFmtId="165" fontId="35" fillId="10" borderId="50" xfId="0" applyNumberFormat="1" applyFont="1" applyFill="1" applyBorder="1" applyAlignment="1" applyProtection="1">
      <alignment horizontal="center" vertical="center"/>
      <protection locked="0"/>
    </xf>
    <xf numFmtId="165" fontId="35" fillId="10" borderId="32" xfId="0" applyNumberFormat="1" applyFont="1" applyFill="1" applyBorder="1" applyAlignment="1" applyProtection="1">
      <alignment horizontal="center" vertical="center"/>
      <protection locked="0"/>
    </xf>
    <xf numFmtId="0" fontId="0" fillId="10" borderId="11" xfId="0" applyFill="1" applyBorder="1" applyAlignment="1">
      <alignment horizontal="left" vertical="center"/>
    </xf>
    <xf numFmtId="0" fontId="0" fillId="10" borderId="44" xfId="0" applyFill="1" applyBorder="1" applyAlignment="1">
      <alignment horizontal="left" vertical="center"/>
    </xf>
    <xf numFmtId="0" fontId="0" fillId="11" borderId="11" xfId="0" applyFill="1" applyBorder="1" applyAlignment="1">
      <alignment horizontal="left" vertical="center"/>
    </xf>
    <xf numFmtId="0" fontId="0" fillId="11" borderId="44" xfId="0" applyFill="1" applyBorder="1" applyAlignment="1">
      <alignment horizontal="left" vertical="center"/>
    </xf>
    <xf numFmtId="165" fontId="35" fillId="10" borderId="124" xfId="0" applyNumberFormat="1" applyFont="1" applyFill="1" applyBorder="1" applyAlignment="1">
      <alignment horizontal="center" vertical="center"/>
    </xf>
    <xf numFmtId="165" fontId="35" fillId="10" borderId="125" xfId="0" applyNumberFormat="1" applyFont="1" applyFill="1" applyBorder="1" applyAlignment="1">
      <alignment horizontal="center" vertical="center"/>
    </xf>
    <xf numFmtId="0" fontId="0" fillId="0" borderId="111" xfId="0" applyBorder="1" applyAlignment="1" applyProtection="1">
      <alignment horizontal="center"/>
      <protection locked="0"/>
    </xf>
    <xf numFmtId="0" fontId="0" fillId="0" borderId="0" xfId="0" applyAlignment="1" applyProtection="1">
      <alignment horizontal="center"/>
      <protection locked="0"/>
    </xf>
    <xf numFmtId="0" fontId="34" fillId="6" borderId="51" xfId="0" applyFont="1" applyFill="1" applyBorder="1" applyAlignment="1" applyProtection="1">
      <alignment horizontal="center" vertical="center" wrapText="1"/>
      <protection locked="0"/>
    </xf>
    <xf numFmtId="0" fontId="34" fillId="6" borderId="115" xfId="0" applyFont="1" applyFill="1" applyBorder="1" applyAlignment="1" applyProtection="1">
      <alignment horizontal="center" vertical="center" wrapText="1"/>
      <protection locked="0"/>
    </xf>
    <xf numFmtId="0" fontId="6" fillId="25" borderId="112" xfId="0" applyFont="1" applyFill="1" applyBorder="1" applyAlignment="1" applyProtection="1">
      <alignment horizontal="center" vertical="center"/>
      <protection locked="0"/>
    </xf>
    <xf numFmtId="0" fontId="6" fillId="25" borderId="113" xfId="0" applyFont="1" applyFill="1" applyBorder="1" applyAlignment="1" applyProtection="1">
      <alignment horizontal="center" vertical="center"/>
      <protection locked="0"/>
    </xf>
    <xf numFmtId="0" fontId="6" fillId="12" borderId="10" xfId="0" applyFont="1" applyFill="1" applyBorder="1" applyAlignment="1" applyProtection="1">
      <alignment horizontal="center" vertical="center"/>
      <protection locked="0"/>
    </xf>
    <xf numFmtId="0" fontId="6" fillId="12" borderId="114" xfId="0" applyFont="1" applyFill="1" applyBorder="1" applyAlignment="1" applyProtection="1">
      <alignment horizontal="center" vertical="center"/>
      <protection locked="0"/>
    </xf>
    <xf numFmtId="9" fontId="132" fillId="0" borderId="5" xfId="2" applyFont="1" applyBorder="1" applyAlignment="1" applyProtection="1">
      <alignment horizontal="center" vertical="center"/>
      <protection locked="0"/>
    </xf>
    <xf numFmtId="9" fontId="132" fillId="0" borderId="6" xfId="2" applyFont="1" applyBorder="1" applyAlignment="1" applyProtection="1">
      <alignment horizontal="center" vertical="center"/>
      <protection locked="0"/>
    </xf>
    <xf numFmtId="9" fontId="132" fillId="8" borderId="5" xfId="2" applyFont="1" applyFill="1" applyBorder="1" applyAlignment="1" applyProtection="1">
      <alignment horizontal="center" vertical="center"/>
      <protection locked="0"/>
    </xf>
    <xf numFmtId="9" fontId="132" fillId="8" borderId="6" xfId="2" applyFont="1" applyFill="1" applyBorder="1" applyAlignment="1" applyProtection="1">
      <alignment horizontal="center" vertical="center"/>
      <protection locked="0"/>
    </xf>
    <xf numFmtId="14" fontId="69" fillId="0" borderId="5" xfId="2" applyNumberFormat="1" applyFont="1" applyBorder="1" applyAlignment="1" applyProtection="1">
      <alignment horizontal="center" vertical="center"/>
      <protection locked="0"/>
    </xf>
    <xf numFmtId="9" fontId="69" fillId="0" borderId="6" xfId="2" applyFont="1" applyBorder="1" applyAlignment="1" applyProtection="1">
      <alignment horizontal="center" vertical="center"/>
      <protection locked="0"/>
    </xf>
    <xf numFmtId="14" fontId="69" fillId="8" borderId="5" xfId="2" applyNumberFormat="1" applyFont="1" applyFill="1" applyBorder="1" applyAlignment="1" applyProtection="1">
      <alignment horizontal="center" vertical="center"/>
      <protection locked="0"/>
    </xf>
    <xf numFmtId="9" fontId="69" fillId="8" borderId="6" xfId="2" applyFont="1" applyFill="1" applyBorder="1" applyAlignment="1" applyProtection="1">
      <alignment horizontal="center" vertical="center"/>
      <protection locked="0"/>
    </xf>
    <xf numFmtId="9" fontId="52" fillId="0" borderId="5" xfId="2" applyFont="1" applyBorder="1" applyAlignment="1" applyProtection="1">
      <alignment horizontal="center" vertical="center"/>
      <protection locked="0"/>
    </xf>
    <xf numFmtId="9" fontId="52" fillId="0" borderId="6" xfId="2" applyFont="1" applyBorder="1" applyAlignment="1" applyProtection="1">
      <alignment horizontal="center" vertical="center"/>
      <protection locked="0"/>
    </xf>
    <xf numFmtId="9" fontId="52" fillId="8" borderId="5" xfId="2" applyFont="1" applyFill="1" applyBorder="1" applyAlignment="1" applyProtection="1">
      <alignment horizontal="center" vertical="center"/>
      <protection locked="0"/>
    </xf>
    <xf numFmtId="9" fontId="52" fillId="8" borderId="6" xfId="2" applyFont="1" applyFill="1" applyBorder="1" applyAlignment="1" applyProtection="1">
      <alignment horizontal="center" vertical="center"/>
      <protection locked="0"/>
    </xf>
    <xf numFmtId="14" fontId="69" fillId="0" borderId="5" xfId="2" applyNumberFormat="1" applyFont="1" applyFill="1" applyBorder="1" applyAlignment="1" applyProtection="1">
      <alignment horizontal="center" vertical="center"/>
      <protection locked="0"/>
    </xf>
    <xf numFmtId="9" fontId="69" fillId="0" borderId="6" xfId="2" applyFont="1" applyFill="1" applyBorder="1" applyAlignment="1" applyProtection="1">
      <alignment horizontal="center" vertical="center"/>
      <protection locked="0"/>
    </xf>
    <xf numFmtId="14" fontId="132" fillId="8" borderId="5" xfId="2" applyNumberFormat="1" applyFont="1" applyFill="1" applyBorder="1" applyAlignment="1" applyProtection="1">
      <alignment horizontal="center" vertical="center"/>
      <protection locked="0"/>
    </xf>
    <xf numFmtId="9" fontId="103" fillId="8" borderId="5" xfId="2" applyFont="1" applyFill="1" applyBorder="1" applyAlignment="1" applyProtection="1">
      <alignment horizontal="center" vertical="center" wrapText="1"/>
      <protection locked="0"/>
    </xf>
    <xf numFmtId="9" fontId="103" fillId="8" borderId="6" xfId="2" applyFont="1" applyFill="1" applyBorder="1" applyAlignment="1" applyProtection="1">
      <alignment horizontal="center" vertical="center" wrapText="1"/>
      <protection locked="0"/>
    </xf>
    <xf numFmtId="9" fontId="103" fillId="0" borderId="5" xfId="2" applyFont="1" applyBorder="1" applyAlignment="1" applyProtection="1">
      <alignment horizontal="center" vertical="center" wrapText="1"/>
      <protection locked="0"/>
    </xf>
    <xf numFmtId="9" fontId="103" fillId="0" borderId="6" xfId="2" applyFont="1" applyBorder="1" applyAlignment="1" applyProtection="1">
      <alignment horizontal="center" vertical="center"/>
      <protection locked="0"/>
    </xf>
    <xf numFmtId="9" fontId="103" fillId="8" borderId="6" xfId="2" applyFont="1" applyFill="1" applyBorder="1" applyAlignment="1" applyProtection="1">
      <alignment horizontal="center" vertical="center"/>
      <protection locked="0"/>
    </xf>
    <xf numFmtId="0" fontId="18" fillId="20" borderId="17" xfId="0" applyFont="1" applyFill="1" applyBorder="1" applyAlignment="1" applyProtection="1">
      <alignment horizontal="center" vertical="center"/>
      <protection locked="0"/>
    </xf>
    <xf numFmtId="0" fontId="18" fillId="20" borderId="18" xfId="0" applyFont="1" applyFill="1" applyBorder="1" applyAlignment="1" applyProtection="1">
      <alignment horizontal="center" vertical="center"/>
      <protection locked="0"/>
    </xf>
    <xf numFmtId="44" fontId="26" fillId="0" borderId="17" xfId="1" applyFont="1" applyBorder="1" applyAlignment="1">
      <alignment horizontal="center" vertical="center"/>
    </xf>
    <xf numFmtId="44" fontId="26" fillId="0" borderId="18" xfId="1" applyFont="1" applyBorder="1" applyAlignment="1">
      <alignment horizontal="center" vertical="center"/>
    </xf>
    <xf numFmtId="0" fontId="27" fillId="16" borderId="17" xfId="0" applyFont="1" applyFill="1" applyBorder="1" applyAlignment="1" applyProtection="1">
      <alignment horizontal="center" vertical="center"/>
      <protection locked="0"/>
    </xf>
    <xf numFmtId="0" fontId="27" fillId="16" borderId="10" xfId="0" applyFont="1" applyFill="1" applyBorder="1" applyAlignment="1" applyProtection="1">
      <alignment horizontal="center" vertical="center"/>
      <protection locked="0"/>
    </xf>
    <xf numFmtId="44" fontId="58" fillId="8" borderId="5" xfId="1" applyFont="1" applyFill="1" applyBorder="1" applyAlignment="1" applyProtection="1">
      <alignment horizontal="center" vertical="center"/>
      <protection locked="0"/>
    </xf>
    <xf numFmtId="44" fontId="58" fillId="8" borderId="6" xfId="1" applyFont="1" applyFill="1" applyBorder="1" applyAlignment="1" applyProtection="1">
      <alignment horizontal="center" vertical="center"/>
      <protection locked="0"/>
    </xf>
    <xf numFmtId="0" fontId="52" fillId="8" borderId="5" xfId="0" applyFont="1" applyFill="1" applyBorder="1" applyAlignment="1" applyProtection="1">
      <alignment horizontal="center" vertical="center"/>
      <protection locked="0"/>
    </xf>
    <xf numFmtId="0" fontId="52" fillId="8" borderId="6" xfId="0" applyFont="1" applyFill="1" applyBorder="1" applyAlignment="1" applyProtection="1">
      <alignment horizontal="center" vertical="center"/>
      <protection locked="0"/>
    </xf>
    <xf numFmtId="0" fontId="52" fillId="0" borderId="5" xfId="0" applyFont="1" applyBorder="1" applyAlignment="1" applyProtection="1">
      <alignment horizontal="center" vertical="center"/>
      <protection locked="0"/>
    </xf>
    <xf numFmtId="0" fontId="52" fillId="0" borderId="6" xfId="0" applyFont="1" applyBorder="1" applyAlignment="1" applyProtection="1">
      <alignment horizontal="center" vertical="center"/>
      <protection locked="0"/>
    </xf>
    <xf numFmtId="0" fontId="58" fillId="8" borderId="5" xfId="0" applyFont="1" applyFill="1" applyBorder="1" applyAlignment="1" applyProtection="1">
      <alignment horizontal="left" vertical="center" wrapText="1"/>
      <protection locked="0"/>
    </xf>
    <xf numFmtId="0" fontId="58" fillId="8" borderId="6" xfId="0" applyFont="1" applyFill="1" applyBorder="1" applyAlignment="1" applyProtection="1">
      <alignment horizontal="left" vertical="center" wrapText="1"/>
      <protection locked="0"/>
    </xf>
    <xf numFmtId="0" fontId="58" fillId="0" borderId="5" xfId="0" applyFont="1" applyBorder="1" applyAlignment="1" applyProtection="1">
      <alignment horizontal="left" vertical="center" wrapText="1"/>
      <protection locked="0"/>
    </xf>
    <xf numFmtId="0" fontId="58" fillId="0" borderId="6" xfId="0" applyFont="1" applyBorder="1" applyAlignment="1" applyProtection="1">
      <alignment horizontal="left" vertical="center" wrapText="1"/>
      <protection locked="0"/>
    </xf>
    <xf numFmtId="0" fontId="58" fillId="0" borderId="5" xfId="0" applyFont="1" applyBorder="1" applyAlignment="1" applyProtection="1">
      <alignment vertical="center" wrapText="1"/>
      <protection locked="0"/>
    </xf>
    <xf numFmtId="0" fontId="58" fillId="0" borderId="6" xfId="0" applyFont="1" applyBorder="1" applyAlignment="1" applyProtection="1">
      <alignment vertical="center" wrapText="1"/>
      <protection locked="0"/>
    </xf>
    <xf numFmtId="0" fontId="58" fillId="8" borderId="5" xfId="0" applyFont="1" applyFill="1" applyBorder="1" applyAlignment="1" applyProtection="1">
      <alignment horizontal="center" vertical="center"/>
      <protection locked="0"/>
    </xf>
    <xf numFmtId="0" fontId="58" fillId="8" borderId="6" xfId="0" applyFont="1" applyFill="1" applyBorder="1" applyAlignment="1" applyProtection="1">
      <alignment horizontal="center" vertical="center"/>
      <protection locked="0"/>
    </xf>
    <xf numFmtId="9" fontId="69" fillId="0" borderId="5" xfId="2" applyFont="1" applyBorder="1" applyAlignment="1" applyProtection="1">
      <alignment horizontal="center" vertical="center" wrapText="1"/>
      <protection locked="0"/>
    </xf>
    <xf numFmtId="44" fontId="52" fillId="0" borderId="5" xfId="1" applyFont="1" applyFill="1" applyBorder="1" applyAlignment="1" applyProtection="1">
      <alignment horizontal="center" vertical="center"/>
    </xf>
    <xf numFmtId="44" fontId="52" fillId="0" borderId="6" xfId="1" applyFont="1" applyFill="1" applyBorder="1" applyAlignment="1" applyProtection="1">
      <alignment horizontal="center" vertical="center"/>
    </xf>
    <xf numFmtId="44" fontId="58" fillId="0" borderId="5" xfId="1" applyFont="1" applyBorder="1" applyAlignment="1" applyProtection="1">
      <alignment horizontal="center" vertical="center"/>
      <protection locked="0"/>
    </xf>
    <xf numFmtId="44" fontId="58" fillId="0" borderId="6" xfId="1" applyFont="1" applyBorder="1" applyAlignment="1" applyProtection="1">
      <alignment horizontal="center" vertical="center"/>
      <protection locked="0"/>
    </xf>
    <xf numFmtId="0" fontId="58" fillId="0" borderId="5" xfId="0" applyFont="1" applyBorder="1" applyAlignment="1" applyProtection="1">
      <alignment horizontal="center" vertical="center"/>
      <protection locked="0"/>
    </xf>
    <xf numFmtId="0" fontId="58" fillId="0" borderId="6" xfId="0" applyFont="1" applyBorder="1" applyAlignment="1" applyProtection="1">
      <alignment horizontal="center" vertical="center"/>
      <protection locked="0"/>
    </xf>
    <xf numFmtId="44" fontId="1" fillId="8" borderId="5" xfId="1" applyFont="1" applyFill="1" applyBorder="1" applyAlignment="1" applyProtection="1">
      <alignment horizontal="center" vertical="center"/>
      <protection locked="0"/>
    </xf>
    <xf numFmtId="44" fontId="1" fillId="8" borderId="6" xfId="1" applyFont="1" applyFill="1" applyBorder="1" applyAlignment="1" applyProtection="1">
      <alignment horizontal="center" vertical="center"/>
      <protection locked="0"/>
    </xf>
    <xf numFmtId="44" fontId="132" fillId="0" borderId="5" xfId="1" applyFont="1" applyFill="1" applyBorder="1" applyAlignment="1" applyProtection="1">
      <alignment horizontal="center" vertical="center"/>
    </xf>
    <xf numFmtId="44" fontId="145" fillId="0" borderId="6" xfId="1" applyFont="1" applyFill="1" applyBorder="1" applyAlignment="1" applyProtection="1">
      <alignment horizontal="center" vertical="center"/>
    </xf>
    <xf numFmtId="17" fontId="132" fillId="0" borderId="5" xfId="0" applyNumberFormat="1" applyFont="1" applyBorder="1" applyAlignment="1">
      <alignment horizontal="center" vertical="center" wrapText="1"/>
    </xf>
    <xf numFmtId="17" fontId="145" fillId="0" borderId="6" xfId="0" applyNumberFormat="1" applyFont="1" applyBorder="1" applyAlignment="1">
      <alignment horizontal="center" vertical="center" wrapText="1"/>
    </xf>
    <xf numFmtId="0" fontId="58" fillId="8" borderId="5" xfId="0" applyFont="1" applyFill="1" applyBorder="1" applyAlignment="1" applyProtection="1">
      <alignment vertical="center" wrapText="1"/>
      <protection locked="0"/>
    </xf>
    <xf numFmtId="0" fontId="58" fillId="8" borderId="6" xfId="0" applyFont="1" applyFill="1" applyBorder="1" applyAlignment="1" applyProtection="1">
      <alignment vertical="center" wrapText="1"/>
      <protection locked="0"/>
    </xf>
    <xf numFmtId="0" fontId="52" fillId="18" borderId="5" xfId="0" applyFont="1" applyFill="1" applyBorder="1" applyAlignment="1">
      <alignment horizontal="center" vertical="center"/>
    </xf>
    <xf numFmtId="0" fontId="52" fillId="18" borderId="6" xfId="0" applyFont="1" applyFill="1" applyBorder="1" applyAlignment="1">
      <alignment horizontal="center" vertical="center"/>
    </xf>
    <xf numFmtId="0" fontId="52" fillId="0" borderId="5" xfId="0" applyFont="1" applyBorder="1" applyAlignment="1">
      <alignment horizontal="center" vertical="center"/>
    </xf>
    <xf numFmtId="0" fontId="52" fillId="0" borderId="6" xfId="0" applyFont="1" applyBorder="1" applyAlignment="1">
      <alignment horizontal="center" vertical="center"/>
    </xf>
    <xf numFmtId="0" fontId="68" fillId="0" borderId="5" xfId="0" applyFont="1" applyBorder="1" applyAlignment="1" applyProtection="1">
      <alignment vertical="center" wrapText="1"/>
      <protection locked="0"/>
    </xf>
    <xf numFmtId="0" fontId="68" fillId="0" borderId="6" xfId="0" applyFont="1" applyBorder="1" applyAlignment="1" applyProtection="1">
      <alignment vertical="center" wrapText="1"/>
      <protection locked="0"/>
    </xf>
    <xf numFmtId="44" fontId="1" fillId="0" borderId="5" xfId="1" applyFont="1" applyBorder="1" applyAlignment="1" applyProtection="1">
      <alignment horizontal="center" vertical="center"/>
      <protection locked="0"/>
    </xf>
    <xf numFmtId="44" fontId="1" fillId="0" borderId="6" xfId="1" applyFont="1" applyBorder="1" applyAlignment="1" applyProtection="1">
      <alignment horizontal="center" vertical="center"/>
      <protection locked="0"/>
    </xf>
    <xf numFmtId="17" fontId="58" fillId="8" borderId="5" xfId="0" applyNumberFormat="1" applyFont="1" applyFill="1" applyBorder="1" applyAlignment="1" applyProtection="1">
      <alignment horizontal="center" vertical="center" wrapText="1"/>
      <protection locked="0"/>
    </xf>
    <xf numFmtId="17" fontId="58" fillId="8" borderId="6" xfId="0" applyNumberFormat="1" applyFont="1" applyFill="1" applyBorder="1" applyAlignment="1" applyProtection="1">
      <alignment horizontal="center" vertical="center" wrapText="1"/>
      <protection locked="0"/>
    </xf>
    <xf numFmtId="44" fontId="52" fillId="0" borderId="5" xfId="1" applyFont="1" applyFill="1" applyBorder="1" applyAlignment="1">
      <alignment horizontal="center" vertical="center"/>
    </xf>
    <xf numFmtId="44" fontId="52" fillId="0" borderId="6" xfId="1" applyFont="1" applyFill="1" applyBorder="1" applyAlignment="1">
      <alignment horizontal="center" vertical="center"/>
    </xf>
    <xf numFmtId="44" fontId="52" fillId="8" borderId="5" xfId="1" applyFont="1" applyFill="1" applyBorder="1" applyAlignment="1">
      <alignment horizontal="center" vertical="center"/>
    </xf>
    <xf numFmtId="44" fontId="0" fillId="8" borderId="6" xfId="1" applyFont="1" applyFill="1" applyBorder="1" applyAlignment="1">
      <alignment horizontal="center" vertical="center"/>
    </xf>
    <xf numFmtId="9" fontId="58" fillId="8" borderId="5" xfId="2" applyFont="1" applyFill="1" applyBorder="1" applyAlignment="1" applyProtection="1">
      <alignment horizontal="center" vertical="center"/>
      <protection locked="0"/>
    </xf>
    <xf numFmtId="9" fontId="58" fillId="8" borderId="6" xfId="2" applyFont="1" applyFill="1" applyBorder="1" applyAlignment="1" applyProtection="1">
      <alignment horizontal="center" vertical="center"/>
      <protection locked="0"/>
    </xf>
    <xf numFmtId="0" fontId="16" fillId="67" borderId="5" xfId="0" applyFont="1" applyFill="1" applyBorder="1" applyAlignment="1">
      <alignment horizontal="center" vertical="center"/>
    </xf>
    <xf numFmtId="44" fontId="16" fillId="67" borderId="5" xfId="1" applyFont="1" applyFill="1" applyBorder="1" applyAlignment="1" applyProtection="1">
      <alignment horizontal="center" vertical="center"/>
    </xf>
    <xf numFmtId="17" fontId="52" fillId="18" borderId="5" xfId="0" applyNumberFormat="1" applyFont="1" applyFill="1" applyBorder="1" applyAlignment="1">
      <alignment horizontal="center" vertical="center" wrapText="1"/>
    </xf>
    <xf numFmtId="17" fontId="0" fillId="18" borderId="6" xfId="0" applyNumberFormat="1" applyFill="1" applyBorder="1" applyAlignment="1">
      <alignment horizontal="center" vertical="center" wrapText="1"/>
    </xf>
    <xf numFmtId="0" fontId="31" fillId="10" borderId="5" xfId="3" applyFill="1" applyBorder="1" applyAlignment="1" applyProtection="1">
      <alignment horizontal="left" vertical="center" wrapText="1"/>
      <protection locked="0"/>
    </xf>
    <xf numFmtId="0" fontId="53" fillId="10" borderId="6" xfId="0" applyFont="1" applyFill="1" applyBorder="1" applyAlignment="1" applyProtection="1">
      <alignment horizontal="left" vertical="center" wrapText="1"/>
      <protection locked="0"/>
    </xf>
    <xf numFmtId="0" fontId="0" fillId="10" borderId="5" xfId="0" applyFill="1" applyBorder="1" applyAlignment="1" applyProtection="1">
      <alignment horizontal="left" vertical="center" wrapText="1"/>
      <protection locked="0"/>
    </xf>
    <xf numFmtId="0" fontId="0" fillId="10" borderId="6" xfId="0" applyFill="1" applyBorder="1" applyAlignment="1" applyProtection="1">
      <alignment horizontal="left" vertical="center" wrapText="1"/>
      <protection locked="0"/>
    </xf>
    <xf numFmtId="0" fontId="0" fillId="10" borderId="5" xfId="0" applyFill="1" applyBorder="1" applyAlignment="1" applyProtection="1">
      <alignment horizontal="center" vertical="center" wrapText="1"/>
      <protection locked="0"/>
    </xf>
    <xf numFmtId="0" fontId="0" fillId="10" borderId="6" xfId="0" applyFill="1" applyBorder="1" applyAlignment="1" applyProtection="1">
      <alignment horizontal="center" vertical="center" wrapText="1"/>
      <protection locked="0"/>
    </xf>
    <xf numFmtId="17" fontId="0" fillId="10" borderId="5" xfId="1" applyNumberFormat="1" applyFont="1" applyFill="1" applyBorder="1" applyAlignment="1" applyProtection="1">
      <alignment horizontal="center" vertical="center"/>
      <protection locked="0"/>
    </xf>
    <xf numFmtId="17" fontId="69" fillId="10" borderId="5" xfId="1" applyNumberFormat="1" applyFont="1" applyFill="1" applyBorder="1" applyAlignment="1" applyProtection="1">
      <alignment horizontal="center" vertical="center"/>
      <protection locked="0"/>
    </xf>
    <xf numFmtId="44" fontId="69" fillId="10" borderId="6" xfId="1" applyFont="1" applyFill="1" applyBorder="1" applyAlignment="1" applyProtection="1">
      <alignment horizontal="center" vertical="center"/>
      <protection locked="0"/>
    </xf>
    <xf numFmtId="0" fontId="31" fillId="0" borderId="5" xfId="3" quotePrefix="1" applyBorder="1" applyAlignment="1" applyProtection="1">
      <alignment horizontal="left" vertical="center" wrapText="1"/>
      <protection locked="0"/>
    </xf>
    <xf numFmtId="0" fontId="88" fillId="0" borderId="6" xfId="0" applyFont="1" applyBorder="1" applyAlignment="1" applyProtection="1">
      <alignment horizontal="left" vertical="center" wrapText="1"/>
      <protection locked="0"/>
    </xf>
    <xf numFmtId="172" fontId="16" fillId="10" borderId="5" xfId="0" applyNumberFormat="1" applyFont="1" applyFill="1" applyBorder="1" applyAlignment="1" applyProtection="1">
      <alignment horizontal="center" vertical="center" wrapText="1"/>
      <protection locked="0"/>
    </xf>
    <xf numFmtId="172" fontId="16" fillId="10" borderId="6" xfId="0" applyNumberFormat="1" applyFont="1" applyFill="1" applyBorder="1" applyAlignment="1" applyProtection="1">
      <alignment horizontal="center" vertical="center" wrapText="1"/>
      <protection locked="0"/>
    </xf>
    <xf numFmtId="0" fontId="91" fillId="8" borderId="6" xfId="0" applyFont="1" applyFill="1" applyBorder="1" applyAlignment="1" applyProtection="1">
      <alignment horizontal="left" vertical="center" wrapText="1"/>
      <protection locked="0"/>
    </xf>
    <xf numFmtId="0" fontId="68" fillId="8" borderId="5" xfId="0" applyFont="1" applyFill="1" applyBorder="1" applyAlignment="1" applyProtection="1">
      <alignment vertical="center" wrapText="1"/>
      <protection locked="0"/>
    </xf>
    <xf numFmtId="0" fontId="68" fillId="8" borderId="6" xfId="0" applyFont="1" applyFill="1" applyBorder="1" applyAlignment="1" applyProtection="1">
      <alignment vertical="center" wrapText="1"/>
      <protection locked="0"/>
    </xf>
    <xf numFmtId="0" fontId="68" fillId="8" borderId="5" xfId="0" applyFont="1" applyFill="1" applyBorder="1" applyAlignment="1" applyProtection="1">
      <alignment horizontal="left" vertical="center" wrapText="1"/>
      <protection locked="0"/>
    </xf>
    <xf numFmtId="0" fontId="68" fillId="8" borderId="6" xfId="0" applyFont="1" applyFill="1" applyBorder="1" applyAlignment="1" applyProtection="1">
      <alignment horizontal="left" vertical="center" wrapText="1"/>
      <protection locked="0"/>
    </xf>
    <xf numFmtId="0" fontId="132" fillId="8" borderId="5" xfId="0" applyFont="1" applyFill="1" applyBorder="1" applyAlignment="1" applyProtection="1">
      <alignment horizontal="center" vertical="center"/>
      <protection locked="0"/>
    </xf>
    <xf numFmtId="0" fontId="132" fillId="8" borderId="6" xfId="0" applyFont="1" applyFill="1" applyBorder="1" applyAlignment="1" applyProtection="1">
      <alignment horizontal="center" vertical="center"/>
      <protection locked="0"/>
    </xf>
    <xf numFmtId="9" fontId="58" fillId="0" borderId="5" xfId="2" applyFont="1" applyBorder="1" applyAlignment="1" applyProtection="1">
      <alignment horizontal="center" vertical="center"/>
      <protection locked="0"/>
    </xf>
    <xf numFmtId="9" fontId="58" fillId="0" borderId="6" xfId="2" applyFont="1" applyBorder="1" applyAlignment="1" applyProtection="1">
      <alignment horizontal="center" vertical="center"/>
      <protection locked="0"/>
    </xf>
    <xf numFmtId="0" fontId="0" fillId="10" borderId="0" xfId="0" applyFill="1" applyProtection="1">
      <protection locked="0"/>
    </xf>
    <xf numFmtId="44" fontId="69" fillId="10" borderId="5" xfId="1" applyFont="1" applyFill="1" applyBorder="1" applyAlignment="1" applyProtection="1">
      <alignment horizontal="center" vertical="center" wrapText="1"/>
      <protection locked="0"/>
    </xf>
    <xf numFmtId="44" fontId="69" fillId="10" borderId="6" xfId="1" applyFont="1" applyFill="1" applyBorder="1" applyAlignment="1" applyProtection="1">
      <alignment horizontal="center" vertical="center" wrapText="1"/>
      <protection locked="0"/>
    </xf>
    <xf numFmtId="9" fontId="69" fillId="0" borderId="5" xfId="2" applyFont="1" applyBorder="1" applyAlignment="1" applyProtection="1">
      <alignment horizontal="center" vertical="center"/>
      <protection locked="0"/>
    </xf>
    <xf numFmtId="44" fontId="52" fillId="8" borderId="5" xfId="1" applyFont="1" applyFill="1" applyBorder="1" applyAlignment="1" applyProtection="1">
      <alignment horizontal="center" vertical="center"/>
      <protection locked="0"/>
    </xf>
    <xf numFmtId="44" fontId="52" fillId="8" borderId="6" xfId="1" applyFont="1" applyFill="1" applyBorder="1" applyAlignment="1" applyProtection="1">
      <alignment horizontal="center" vertical="center"/>
      <protection locked="0"/>
    </xf>
    <xf numFmtId="0" fontId="132" fillId="74" borderId="5" xfId="0" applyFont="1" applyFill="1" applyBorder="1" applyAlignment="1">
      <alignment horizontal="center" vertical="center"/>
    </xf>
    <xf numFmtId="0" fontId="132" fillId="74" borderId="6" xfId="0" applyFont="1" applyFill="1" applyBorder="1" applyAlignment="1">
      <alignment horizontal="center" vertical="center"/>
    </xf>
    <xf numFmtId="44" fontId="132" fillId="74" borderId="5" xfId="1" applyFont="1" applyFill="1" applyBorder="1" applyAlignment="1" applyProtection="1">
      <alignment horizontal="center" vertical="center"/>
    </xf>
    <xf numFmtId="44" fontId="132" fillId="74" borderId="6" xfId="1" applyFont="1" applyFill="1" applyBorder="1" applyAlignment="1" applyProtection="1">
      <alignment horizontal="center" vertical="center"/>
    </xf>
    <xf numFmtId="0" fontId="52" fillId="8" borderId="5" xfId="0" applyFont="1" applyFill="1" applyBorder="1" applyAlignment="1">
      <alignment horizontal="center" vertical="center"/>
    </xf>
    <xf numFmtId="0" fontId="52" fillId="8" borderId="6" xfId="0" applyFont="1" applyFill="1" applyBorder="1" applyAlignment="1">
      <alignment horizontal="center" vertical="center"/>
    </xf>
    <xf numFmtId="9" fontId="95" fillId="0" borderId="5" xfId="2" applyFont="1" applyBorder="1" applyAlignment="1" applyProtection="1">
      <alignment horizontal="center" vertical="center"/>
      <protection locked="0"/>
    </xf>
    <xf numFmtId="9" fontId="95" fillId="0" borderId="6" xfId="2" applyFont="1" applyBorder="1" applyAlignment="1" applyProtection="1">
      <alignment horizontal="center" vertical="center"/>
      <protection locked="0"/>
    </xf>
    <xf numFmtId="9" fontId="1" fillId="0" borderId="5" xfId="2" applyFont="1" applyBorder="1" applyAlignment="1" applyProtection="1">
      <alignment horizontal="center" vertical="center"/>
      <protection locked="0"/>
    </xf>
    <xf numFmtId="9" fontId="1" fillId="0" borderId="6" xfId="2" applyFont="1" applyBorder="1" applyAlignment="1" applyProtection="1">
      <alignment horizontal="center" vertical="center"/>
      <protection locked="0"/>
    </xf>
    <xf numFmtId="9" fontId="52" fillId="0" borderId="5" xfId="2" applyFont="1" applyFill="1" applyBorder="1" applyAlignment="1" applyProtection="1">
      <alignment horizontal="center" vertical="center"/>
      <protection locked="0"/>
    </xf>
    <xf numFmtId="9" fontId="52" fillId="0" borderId="6" xfId="2" applyFont="1" applyFill="1" applyBorder="1" applyAlignment="1" applyProtection="1">
      <alignment horizontal="center" vertical="center"/>
      <protection locked="0"/>
    </xf>
    <xf numFmtId="0" fontId="0" fillId="8" borderId="6" xfId="0" applyFill="1" applyBorder="1" applyAlignment="1">
      <alignment horizontal="center" vertical="center"/>
    </xf>
    <xf numFmtId="0" fontId="52" fillId="8" borderId="5" xfId="2" applyNumberFormat="1" applyFont="1" applyFill="1" applyBorder="1" applyAlignment="1" applyProtection="1">
      <alignment horizontal="center" vertical="center"/>
      <protection locked="0"/>
    </xf>
    <xf numFmtId="0" fontId="52" fillId="8" borderId="6" xfId="2" applyNumberFormat="1" applyFont="1" applyFill="1" applyBorder="1" applyAlignment="1" applyProtection="1">
      <alignment horizontal="center" vertical="center"/>
      <protection locked="0"/>
    </xf>
    <xf numFmtId="14" fontId="132" fillId="0" borderId="5" xfId="2" applyNumberFormat="1" applyFont="1" applyBorder="1" applyAlignment="1" applyProtection="1">
      <alignment horizontal="center" vertical="center"/>
      <protection locked="0"/>
    </xf>
    <xf numFmtId="9" fontId="0" fillId="0" borderId="5" xfId="2" applyFont="1" applyFill="1" applyBorder="1" applyAlignment="1" applyProtection="1">
      <alignment horizontal="center" vertical="center"/>
      <protection locked="0"/>
    </xf>
    <xf numFmtId="9" fontId="0" fillId="0" borderId="6" xfId="2" applyFont="1" applyFill="1" applyBorder="1" applyAlignment="1" applyProtection="1">
      <alignment horizontal="center" vertical="center"/>
      <protection locked="0"/>
    </xf>
    <xf numFmtId="0" fontId="11" fillId="9" borderId="4" xfId="0" applyFont="1" applyFill="1" applyBorder="1" applyAlignment="1" applyProtection="1">
      <alignment horizontal="center"/>
      <protection locked="0"/>
    </xf>
    <xf numFmtId="17" fontId="0" fillId="0" borderId="5" xfId="0" applyNumberFormat="1" applyBorder="1" applyAlignment="1" applyProtection="1">
      <alignment horizontal="center" vertical="center" wrapText="1"/>
      <protection locked="0"/>
    </xf>
    <xf numFmtId="17" fontId="0" fillId="0" borderId="6" xfId="0" applyNumberFormat="1" applyBorder="1" applyAlignment="1" applyProtection="1">
      <alignment horizontal="center" vertical="center" wrapText="1"/>
      <protection locked="0"/>
    </xf>
    <xf numFmtId="172" fontId="144" fillId="0" borderId="5" xfId="0" applyNumberFormat="1" applyFont="1" applyBorder="1" applyAlignment="1" applyProtection="1">
      <alignment horizontal="center" vertical="center" wrapText="1"/>
      <protection locked="0"/>
    </xf>
    <xf numFmtId="172" fontId="144" fillId="0" borderId="6" xfId="0" applyNumberFormat="1" applyFont="1" applyBorder="1" applyAlignment="1" applyProtection="1">
      <alignment horizontal="center" vertical="center" wrapText="1"/>
      <protection locked="0"/>
    </xf>
    <xf numFmtId="0" fontId="144" fillId="10" borderId="5" xfId="0" applyFont="1" applyFill="1" applyBorder="1" applyAlignment="1" applyProtection="1">
      <alignment horizontal="center" vertical="center" wrapText="1"/>
      <protection locked="0"/>
    </xf>
    <xf numFmtId="0" fontId="144" fillId="10" borderId="6" xfId="0" applyFont="1" applyFill="1" applyBorder="1" applyAlignment="1" applyProtection="1">
      <alignment horizontal="center" vertical="center" wrapText="1"/>
      <protection locked="0"/>
    </xf>
    <xf numFmtId="17" fontId="113" fillId="0" borderId="5" xfId="0" applyNumberFormat="1" applyFont="1" applyBorder="1" applyAlignment="1" applyProtection="1">
      <alignment horizontal="center" vertical="center" wrapText="1"/>
      <protection locked="0"/>
    </xf>
    <xf numFmtId="17" fontId="113" fillId="0" borderId="6" xfId="0" applyNumberFormat="1" applyFont="1" applyBorder="1" applyAlignment="1" applyProtection="1">
      <alignment horizontal="center" vertical="center" wrapText="1"/>
      <protection locked="0"/>
    </xf>
    <xf numFmtId="44" fontId="58" fillId="10" borderId="5" xfId="1" applyFont="1" applyFill="1" applyBorder="1" applyAlignment="1" applyProtection="1">
      <alignment horizontal="center" vertical="center"/>
      <protection locked="0"/>
    </xf>
    <xf numFmtId="44" fontId="58" fillId="10" borderId="6" xfId="1" applyFont="1" applyFill="1" applyBorder="1" applyAlignment="1" applyProtection="1">
      <alignment horizontal="center" vertical="center"/>
      <protection locked="0"/>
    </xf>
    <xf numFmtId="10" fontId="26" fillId="0" borderId="17" xfId="2" applyNumberFormat="1" applyFont="1" applyBorder="1" applyAlignment="1" applyProtection="1">
      <alignment horizontal="center" vertical="center"/>
      <protection locked="0"/>
    </xf>
    <xf numFmtId="10" fontId="26" fillId="0" borderId="10" xfId="2" applyNumberFormat="1" applyFont="1" applyBorder="1" applyAlignment="1" applyProtection="1">
      <alignment horizontal="center" vertical="center"/>
      <protection locked="0"/>
    </xf>
    <xf numFmtId="0" fontId="17" fillId="14" borderId="17" xfId="0" applyFont="1" applyFill="1" applyBorder="1" applyAlignment="1" applyProtection="1">
      <alignment horizontal="center" vertical="center"/>
      <protection locked="0"/>
    </xf>
    <xf numFmtId="0" fontId="17" fillId="14" borderId="18" xfId="0" applyFont="1" applyFill="1" applyBorder="1" applyAlignment="1" applyProtection="1">
      <alignment horizontal="center" vertical="center"/>
      <protection locked="0"/>
    </xf>
    <xf numFmtId="0" fontId="17" fillId="14" borderId="59" xfId="0" applyFont="1" applyFill="1" applyBorder="1" applyAlignment="1" applyProtection="1">
      <alignment horizontal="center" vertical="center"/>
      <protection locked="0"/>
    </xf>
    <xf numFmtId="0" fontId="17" fillId="14" borderId="60" xfId="0" applyFont="1" applyFill="1" applyBorder="1" applyAlignment="1" applyProtection="1">
      <alignment horizontal="center" vertical="center"/>
      <protection locked="0"/>
    </xf>
    <xf numFmtId="0" fontId="64" fillId="11" borderId="39" xfId="0" applyFont="1" applyFill="1" applyBorder="1" applyAlignment="1" applyProtection="1">
      <alignment horizontal="center" vertical="center"/>
      <protection locked="0"/>
    </xf>
    <xf numFmtId="0" fontId="64" fillId="11" borderId="16" xfId="0" applyFont="1" applyFill="1" applyBorder="1" applyAlignment="1" applyProtection="1">
      <alignment horizontal="center" vertical="center"/>
      <protection locked="0"/>
    </xf>
    <xf numFmtId="0" fontId="64" fillId="11" borderId="62" xfId="0" applyFont="1" applyFill="1" applyBorder="1" applyAlignment="1" applyProtection="1">
      <alignment horizontal="center" vertical="center"/>
      <protection locked="0"/>
    </xf>
    <xf numFmtId="0" fontId="68" fillId="56" borderId="5" xfId="0" applyFont="1" applyFill="1" applyBorder="1" applyAlignment="1" applyProtection="1">
      <alignment vertical="center" wrapText="1"/>
      <protection locked="0"/>
    </xf>
    <xf numFmtId="0" fontId="68" fillId="56" borderId="6" xfId="0" applyFont="1" applyFill="1" applyBorder="1" applyAlignment="1" applyProtection="1">
      <alignment vertical="center" wrapText="1"/>
      <protection locked="0"/>
    </xf>
    <xf numFmtId="164" fontId="140" fillId="0" borderId="15" xfId="0" applyNumberFormat="1" applyFont="1" applyBorder="1" applyAlignment="1" applyProtection="1">
      <alignment horizontal="center" vertical="center"/>
      <protection locked="0"/>
    </xf>
    <xf numFmtId="165" fontId="35" fillId="10" borderId="27" xfId="0" applyNumberFormat="1" applyFont="1" applyFill="1" applyBorder="1" applyAlignment="1">
      <alignment horizontal="center" vertical="center"/>
    </xf>
    <xf numFmtId="165" fontId="35" fillId="10" borderId="28" xfId="0" applyNumberFormat="1" applyFont="1" applyFill="1" applyBorder="1" applyAlignment="1">
      <alignment horizontal="center" vertical="center"/>
    </xf>
    <xf numFmtId="0" fontId="0" fillId="10" borderId="5" xfId="0" applyFill="1" applyBorder="1" applyAlignment="1" applyProtection="1">
      <alignment horizontal="center" vertical="center"/>
      <protection locked="0"/>
    </xf>
    <xf numFmtId="0" fontId="0" fillId="10" borderId="6" xfId="0" applyFill="1" applyBorder="1" applyAlignment="1" applyProtection="1">
      <alignment horizontal="center" vertical="center"/>
      <protection locked="0"/>
    </xf>
    <xf numFmtId="0" fontId="68" fillId="10" borderId="5" xfId="0" applyFont="1" applyFill="1" applyBorder="1" applyAlignment="1" applyProtection="1">
      <alignment vertical="center" wrapText="1"/>
      <protection locked="0"/>
    </xf>
    <xf numFmtId="0" fontId="68" fillId="10" borderId="6" xfId="0" applyFont="1" applyFill="1" applyBorder="1" applyAlignment="1" applyProtection="1">
      <alignment vertical="center" wrapText="1"/>
      <protection locked="0"/>
    </xf>
    <xf numFmtId="0" fontId="147" fillId="0" borderId="5" xfId="3" applyFont="1" applyBorder="1" applyAlignment="1" applyProtection="1">
      <alignment horizontal="left" vertical="center" wrapText="1"/>
      <protection locked="0"/>
    </xf>
    <xf numFmtId="0" fontId="147" fillId="0" borderId="6" xfId="0" applyFont="1" applyBorder="1" applyAlignment="1" applyProtection="1">
      <alignment horizontal="left" vertical="center" wrapText="1"/>
      <protection locked="0"/>
    </xf>
    <xf numFmtId="0" fontId="52" fillId="10" borderId="5" xfId="0" applyFont="1" applyFill="1" applyBorder="1" applyAlignment="1" applyProtection="1">
      <alignment horizontal="center" vertical="center"/>
      <protection locked="0"/>
    </xf>
    <xf numFmtId="0" fontId="52" fillId="10" borderId="6" xfId="0" applyFont="1" applyFill="1" applyBorder="1" applyAlignment="1" applyProtection="1">
      <alignment horizontal="center" vertical="center"/>
      <protection locked="0"/>
    </xf>
    <xf numFmtId="0" fontId="0" fillId="10" borderId="5" xfId="0" applyFill="1" applyBorder="1" applyAlignment="1" applyProtection="1">
      <alignment vertical="center" wrapText="1"/>
      <protection locked="0"/>
    </xf>
    <xf numFmtId="0" fontId="0" fillId="10" borderId="6" xfId="0" applyFill="1" applyBorder="1" applyAlignment="1" applyProtection="1">
      <alignment vertical="center" wrapText="1"/>
      <protection locked="0"/>
    </xf>
    <xf numFmtId="0" fontId="148" fillId="0" borderId="5" xfId="0" applyFont="1" applyBorder="1" applyAlignment="1" applyProtection="1">
      <alignment horizontal="center" vertical="center"/>
      <protection locked="0"/>
    </xf>
    <xf numFmtId="0" fontId="148" fillId="0" borderId="6" xfId="0" applyFont="1" applyBorder="1" applyAlignment="1" applyProtection="1">
      <alignment horizontal="center" vertical="center"/>
      <protection locked="0"/>
    </xf>
    <xf numFmtId="0" fontId="0" fillId="56" borderId="5" xfId="0" applyFill="1" applyBorder="1" applyAlignment="1" applyProtection="1">
      <alignment vertical="center" wrapText="1"/>
      <protection locked="0"/>
    </xf>
    <xf numFmtId="0" fontId="0" fillId="56" borderId="6" xfId="0" applyFill="1" applyBorder="1" applyAlignment="1" applyProtection="1">
      <alignment vertical="center" wrapText="1"/>
      <protection locked="0"/>
    </xf>
    <xf numFmtId="0" fontId="132" fillId="0" borderId="5" xfId="0" applyFont="1" applyBorder="1" applyAlignment="1" applyProtection="1">
      <alignment horizontal="center" vertical="center"/>
      <protection locked="0"/>
    </xf>
    <xf numFmtId="0" fontId="132" fillId="0" borderId="6" xfId="0" applyFont="1" applyBorder="1" applyAlignment="1" applyProtection="1">
      <alignment horizontal="center" vertical="center"/>
      <protection locked="0"/>
    </xf>
    <xf numFmtId="9" fontId="0" fillId="0" borderId="5" xfId="2" applyFont="1" applyBorder="1" applyAlignment="1" applyProtection="1">
      <alignment horizontal="center" vertical="center" wrapText="1"/>
      <protection locked="0"/>
    </xf>
    <xf numFmtId="9" fontId="0" fillId="0" borderId="6" xfId="2" applyFont="1" applyBorder="1" applyAlignment="1" applyProtection="1">
      <alignment horizontal="center" vertical="center" wrapText="1"/>
      <protection locked="0"/>
    </xf>
    <xf numFmtId="0" fontId="53" fillId="0" borderId="5" xfId="3" applyFont="1" applyBorder="1" applyAlignment="1" applyProtection="1">
      <alignment horizontal="left" vertical="center" wrapText="1"/>
      <protection locked="0"/>
    </xf>
    <xf numFmtId="0" fontId="113" fillId="0" borderId="5" xfId="0" applyFont="1" applyBorder="1" applyAlignment="1" applyProtection="1">
      <alignment vertical="center" wrapText="1"/>
      <protection locked="0"/>
    </xf>
    <xf numFmtId="0" fontId="113" fillId="0" borderId="6" xfId="0" applyFont="1" applyBorder="1" applyAlignment="1" applyProtection="1">
      <alignment vertical="center" wrapText="1"/>
      <protection locked="0"/>
    </xf>
    <xf numFmtId="0" fontId="113" fillId="0" borderId="5" xfId="0" applyFont="1" applyBorder="1" applyAlignment="1" applyProtection="1">
      <alignment horizontal="left" vertical="center" wrapText="1"/>
      <protection locked="0"/>
    </xf>
    <xf numFmtId="0" fontId="113" fillId="0" borderId="6" xfId="0" applyFont="1" applyBorder="1" applyAlignment="1" applyProtection="1">
      <alignment horizontal="left" vertical="center" wrapText="1"/>
      <protection locked="0"/>
    </xf>
    <xf numFmtId="0" fontId="113" fillId="0" borderId="5" xfId="0" applyFont="1" applyBorder="1" applyAlignment="1" applyProtection="1">
      <alignment horizontal="center" vertical="center" wrapText="1"/>
      <protection locked="0"/>
    </xf>
    <xf numFmtId="0" fontId="113" fillId="0" borderId="6" xfId="0" applyFont="1" applyBorder="1" applyAlignment="1" applyProtection="1">
      <alignment horizontal="center" vertical="center" wrapText="1"/>
      <protection locked="0"/>
    </xf>
    <xf numFmtId="17" fontId="0" fillId="0" borderId="5" xfId="1" applyNumberFormat="1" applyFont="1" applyFill="1" applyBorder="1" applyAlignment="1" applyProtection="1">
      <alignment horizontal="center" vertical="center"/>
      <protection locked="0"/>
    </xf>
    <xf numFmtId="44" fontId="0" fillId="0" borderId="6" xfId="1" applyFont="1" applyFill="1" applyBorder="1" applyAlignment="1" applyProtection="1">
      <alignment horizontal="center" vertical="center"/>
      <protection locked="0"/>
    </xf>
    <xf numFmtId="175" fontId="0" fillId="8" borderId="5" xfId="1" applyNumberFormat="1" applyFont="1" applyFill="1" applyBorder="1" applyAlignment="1" applyProtection="1">
      <alignment horizontal="center" vertical="center"/>
      <protection locked="0"/>
    </xf>
    <xf numFmtId="175" fontId="0" fillId="8" borderId="6" xfId="1" applyNumberFormat="1" applyFont="1" applyFill="1" applyBorder="1" applyAlignment="1" applyProtection="1">
      <alignment horizontal="center" vertical="center"/>
      <protection locked="0"/>
    </xf>
    <xf numFmtId="0" fontId="117" fillId="8" borderId="5" xfId="0" applyFont="1" applyFill="1" applyBorder="1" applyAlignment="1" applyProtection="1">
      <alignment horizontal="center" vertical="center" wrapText="1"/>
      <protection locked="0"/>
    </xf>
    <xf numFmtId="0" fontId="117" fillId="8" borderId="6" xfId="0" applyFont="1" applyFill="1" applyBorder="1" applyAlignment="1" applyProtection="1">
      <alignment horizontal="center" vertical="center" wrapText="1"/>
      <protection locked="0"/>
    </xf>
    <xf numFmtId="17" fontId="58" fillId="0" borderId="5" xfId="0" applyNumberFormat="1" applyFont="1" applyBorder="1" applyAlignment="1" applyProtection="1">
      <alignment horizontal="center" vertical="center" wrapText="1"/>
      <protection locked="0"/>
    </xf>
    <xf numFmtId="17" fontId="58" fillId="0" borderId="6" xfId="0" applyNumberFormat="1" applyFont="1" applyBorder="1" applyAlignment="1" applyProtection="1">
      <alignment horizontal="center" vertical="center" wrapText="1"/>
      <protection locked="0"/>
    </xf>
    <xf numFmtId="44" fontId="113" fillId="0" borderId="5" xfId="1" applyFont="1" applyBorder="1" applyAlignment="1" applyProtection="1">
      <alignment horizontal="center" vertical="center"/>
      <protection locked="0"/>
    </xf>
    <xf numFmtId="44" fontId="113" fillId="0" borderId="6" xfId="1" applyFont="1" applyBorder="1" applyAlignment="1" applyProtection="1">
      <alignment horizontal="center" vertical="center"/>
      <protection locked="0"/>
    </xf>
    <xf numFmtId="44" fontId="0" fillId="0" borderId="5" xfId="1" applyFont="1" applyFill="1" applyBorder="1" applyAlignment="1" applyProtection="1">
      <alignment horizontal="center" vertical="center"/>
      <protection locked="0"/>
    </xf>
    <xf numFmtId="44" fontId="1" fillId="74" borderId="5" xfId="1" applyFont="1" applyFill="1" applyBorder="1" applyAlignment="1" applyProtection="1">
      <alignment horizontal="center" vertical="center"/>
      <protection locked="0"/>
    </xf>
    <xf numFmtId="44" fontId="1" fillId="74" borderId="6" xfId="1" applyFont="1" applyFill="1" applyBorder="1" applyAlignment="1" applyProtection="1">
      <alignment horizontal="center" vertical="center"/>
      <protection locked="0"/>
    </xf>
    <xf numFmtId="44" fontId="113" fillId="10" borderId="5" xfId="1" applyFont="1" applyFill="1" applyBorder="1" applyAlignment="1" applyProtection="1">
      <alignment horizontal="center" vertical="center"/>
      <protection locked="0"/>
    </xf>
    <xf numFmtId="44" fontId="113" fillId="10" borderId="6" xfId="1" applyFont="1" applyFill="1" applyBorder="1" applyAlignment="1" applyProtection="1">
      <alignment horizontal="center" vertical="center"/>
      <protection locked="0"/>
    </xf>
    <xf numFmtId="9" fontId="0" fillId="10" borderId="5" xfId="2" applyFont="1" applyFill="1" applyBorder="1" applyAlignment="1" applyProtection="1">
      <alignment horizontal="center" vertical="center"/>
      <protection locked="0"/>
    </xf>
    <xf numFmtId="9" fontId="0" fillId="10" borderId="6" xfId="2" applyFont="1" applyFill="1" applyBorder="1" applyAlignment="1" applyProtection="1">
      <alignment horizontal="center" vertical="center"/>
      <protection locked="0"/>
    </xf>
    <xf numFmtId="9" fontId="142" fillId="0" borderId="5" xfId="2" applyFont="1" applyBorder="1" applyAlignment="1" applyProtection="1">
      <alignment horizontal="center" vertical="center"/>
      <protection locked="0"/>
    </xf>
    <xf numFmtId="9" fontId="142" fillId="0" borderId="6" xfId="2" applyFont="1" applyBorder="1" applyAlignment="1" applyProtection="1">
      <alignment horizontal="center" vertical="center"/>
      <protection locked="0"/>
    </xf>
    <xf numFmtId="44" fontId="69" fillId="10" borderId="5" xfId="1" applyFont="1" applyFill="1" applyBorder="1" applyAlignment="1" applyProtection="1">
      <alignment horizontal="center" vertical="center"/>
      <protection locked="0"/>
    </xf>
    <xf numFmtId="9" fontId="132" fillId="0" borderId="5" xfId="2" applyFont="1" applyFill="1" applyBorder="1" applyAlignment="1" applyProtection="1">
      <alignment horizontal="center" vertical="center"/>
      <protection locked="0"/>
    </xf>
    <xf numFmtId="9" fontId="132" fillId="0" borderId="6" xfId="2" applyFont="1" applyFill="1" applyBorder="1" applyAlignment="1" applyProtection="1">
      <alignment horizontal="center" vertical="center"/>
      <protection locked="0"/>
    </xf>
    <xf numFmtId="9" fontId="52" fillId="10" borderId="5" xfId="2" applyFont="1" applyFill="1" applyBorder="1" applyAlignment="1" applyProtection="1">
      <alignment horizontal="center" vertical="center"/>
      <protection locked="0"/>
    </xf>
    <xf numFmtId="9" fontId="52" fillId="10" borderId="6" xfId="2" applyFont="1" applyFill="1" applyBorder="1" applyAlignment="1" applyProtection="1">
      <alignment horizontal="center" vertical="center"/>
      <protection locked="0"/>
    </xf>
    <xf numFmtId="0" fontId="11" fillId="9" borderId="4" xfId="0" applyFont="1" applyFill="1" applyBorder="1" applyAlignment="1" applyProtection="1">
      <alignment horizontal="center" vertical="center"/>
      <protection locked="0"/>
    </xf>
    <xf numFmtId="0" fontId="0" fillId="42" borderId="5" xfId="0" applyFill="1" applyBorder="1" applyAlignment="1">
      <alignment horizontal="center" vertical="center"/>
    </xf>
    <xf numFmtId="0" fontId="0" fillId="42" borderId="6" xfId="0" applyFill="1" applyBorder="1" applyAlignment="1">
      <alignment horizontal="center" vertical="center"/>
    </xf>
    <xf numFmtId="44" fontId="0" fillId="8" borderId="5" xfId="1" applyFont="1" applyFill="1" applyBorder="1" applyAlignment="1" applyProtection="1">
      <alignment horizontal="center" vertical="center"/>
    </xf>
    <xf numFmtId="0" fontId="69" fillId="8" borderId="6" xfId="2" applyNumberFormat="1" applyFont="1" applyFill="1" applyBorder="1" applyAlignment="1" applyProtection="1">
      <alignment horizontal="center" vertical="center"/>
      <protection locked="0"/>
    </xf>
    <xf numFmtId="44" fontId="0" fillId="67" borderId="5" xfId="1" applyFont="1" applyFill="1" applyBorder="1" applyAlignment="1" applyProtection="1">
      <alignment horizontal="center" vertical="center"/>
    </xf>
    <xf numFmtId="44" fontId="16" fillId="67" borderId="5" xfId="1" applyFont="1" applyFill="1" applyBorder="1" applyAlignment="1">
      <alignment horizontal="center" vertical="center"/>
    </xf>
    <xf numFmtId="44" fontId="52" fillId="0" borderId="5" xfId="1" applyFont="1" applyBorder="1" applyAlignment="1">
      <alignment horizontal="center" vertical="center"/>
    </xf>
    <xf numFmtId="44" fontId="52" fillId="0" borderId="6" xfId="1" applyFont="1" applyBorder="1" applyAlignment="1">
      <alignment horizontal="center" vertical="center"/>
    </xf>
    <xf numFmtId="0" fontId="144" fillId="0" borderId="5" xfId="0" applyFont="1" applyBorder="1" applyAlignment="1">
      <alignment horizontal="center" vertical="center"/>
    </xf>
    <xf numFmtId="0" fontId="144" fillId="0" borderId="6" xfId="0" applyFont="1" applyBorder="1" applyAlignment="1">
      <alignment horizontal="center" vertical="center"/>
    </xf>
    <xf numFmtId="44" fontId="144" fillId="0" borderId="5" xfId="1" applyFont="1" applyFill="1" applyBorder="1" applyAlignment="1">
      <alignment horizontal="center" vertical="center"/>
    </xf>
    <xf numFmtId="44" fontId="144" fillId="0" borderId="6" xfId="1" applyFont="1" applyFill="1" applyBorder="1" applyAlignment="1">
      <alignment horizontal="center" vertical="center"/>
    </xf>
    <xf numFmtId="0" fontId="134" fillId="0" borderId="66" xfId="0" applyFont="1" applyBorder="1" applyAlignment="1" applyProtection="1">
      <alignment horizontal="center" vertical="center"/>
      <protection locked="0"/>
    </xf>
    <xf numFmtId="0" fontId="134" fillId="0" borderId="67" xfId="0" applyFont="1" applyBorder="1" applyAlignment="1" applyProtection="1">
      <alignment horizontal="center" vertical="center"/>
      <protection locked="0"/>
    </xf>
    <xf numFmtId="0" fontId="134" fillId="0" borderId="20" xfId="0" applyFont="1" applyBorder="1" applyAlignment="1" applyProtection="1">
      <alignment horizontal="center" vertical="center"/>
      <protection locked="0"/>
    </xf>
    <xf numFmtId="0" fontId="134" fillId="0" borderId="64" xfId="0" applyFont="1" applyBorder="1" applyAlignment="1" applyProtection="1">
      <alignment horizontal="center" vertical="center"/>
      <protection locked="0"/>
    </xf>
    <xf numFmtId="0" fontId="134" fillId="0" borderId="68" xfId="0" applyFont="1" applyBorder="1" applyAlignment="1" applyProtection="1">
      <alignment horizontal="center" vertical="center"/>
      <protection locked="0"/>
    </xf>
    <xf numFmtId="0" fontId="134" fillId="0" borderId="69" xfId="0" applyFont="1" applyBorder="1" applyAlignment="1" applyProtection="1">
      <alignment horizontal="center" vertical="center"/>
      <protection locked="0"/>
    </xf>
    <xf numFmtId="44" fontId="52" fillId="8" borderId="6" xfId="1" applyFont="1" applyFill="1" applyBorder="1" applyAlignment="1" applyProtection="1">
      <alignment horizontal="center" vertical="center"/>
    </xf>
    <xf numFmtId="9" fontId="15" fillId="0" borderId="5" xfId="2" applyFont="1" applyBorder="1" applyAlignment="1" applyProtection="1">
      <alignment horizontal="center" vertical="center"/>
      <protection locked="0"/>
    </xf>
    <xf numFmtId="9" fontId="15" fillId="0" borderId="6" xfId="2" applyFont="1" applyBorder="1" applyAlignment="1" applyProtection="1">
      <alignment horizontal="center" vertical="center"/>
      <protection locked="0"/>
    </xf>
    <xf numFmtId="0" fontId="15" fillId="8" borderId="5" xfId="0" applyFont="1" applyFill="1" applyBorder="1" applyAlignment="1" applyProtection="1">
      <alignment horizontal="center" vertical="center"/>
      <protection locked="0"/>
    </xf>
    <xf numFmtId="0" fontId="15" fillId="8" borderId="6" xfId="0" applyFont="1" applyFill="1" applyBorder="1" applyAlignment="1" applyProtection="1">
      <alignment horizontal="center" vertical="center"/>
      <protection locked="0"/>
    </xf>
    <xf numFmtId="0" fontId="170" fillId="8" borderId="5" xfId="0" applyFont="1" applyFill="1" applyBorder="1" applyAlignment="1" applyProtection="1">
      <alignment horizontal="center" vertical="center"/>
      <protection locked="0"/>
    </xf>
    <xf numFmtId="0" fontId="170" fillId="8" borderId="6" xfId="0" applyFont="1" applyFill="1" applyBorder="1" applyAlignment="1" applyProtection="1">
      <alignment horizontal="center" vertical="center"/>
      <protection locked="0"/>
    </xf>
    <xf numFmtId="0" fontId="15" fillId="8" borderId="5" xfId="0" applyFont="1" applyFill="1" applyBorder="1" applyAlignment="1" applyProtection="1">
      <alignment vertical="center" wrapText="1"/>
      <protection locked="0"/>
    </xf>
    <xf numFmtId="0" fontId="15" fillId="8" borderId="6" xfId="0" applyFont="1" applyFill="1" applyBorder="1" applyAlignment="1" applyProtection="1">
      <alignment vertical="center" wrapText="1"/>
      <protection locked="0"/>
    </xf>
    <xf numFmtId="0" fontId="175" fillId="8" borderId="5" xfId="3" applyFont="1" applyFill="1" applyBorder="1" applyAlignment="1" applyProtection="1">
      <alignment horizontal="left" vertical="center" wrapText="1"/>
      <protection locked="0"/>
    </xf>
    <xf numFmtId="0" fontId="162" fillId="8" borderId="6" xfId="0" applyFont="1" applyFill="1" applyBorder="1" applyAlignment="1" applyProtection="1">
      <alignment horizontal="left" vertical="center" wrapText="1"/>
      <protection locked="0"/>
    </xf>
    <xf numFmtId="0" fontId="15" fillId="8" borderId="5" xfId="0" applyFont="1" applyFill="1" applyBorder="1" applyAlignment="1" applyProtection="1">
      <alignment horizontal="left" vertical="center" wrapText="1"/>
      <protection locked="0"/>
    </xf>
    <xf numFmtId="0" fontId="15" fillId="8" borderId="6" xfId="0" applyFont="1" applyFill="1" applyBorder="1" applyAlignment="1" applyProtection="1">
      <alignment horizontal="left" vertical="center" wrapText="1"/>
      <protection locked="0"/>
    </xf>
    <xf numFmtId="0" fontId="15" fillId="8" borderId="5" xfId="0" applyFont="1" applyFill="1" applyBorder="1" applyAlignment="1" applyProtection="1">
      <alignment horizontal="center" vertical="center" wrapText="1"/>
      <protection locked="0"/>
    </xf>
    <xf numFmtId="0" fontId="15" fillId="8" borderId="6" xfId="0" applyFont="1" applyFill="1" applyBorder="1" applyAlignment="1" applyProtection="1">
      <alignment horizontal="center" vertical="center" wrapText="1"/>
      <protection locked="0"/>
    </xf>
    <xf numFmtId="17" fontId="15" fillId="8" borderId="5" xfId="0" applyNumberFormat="1" applyFont="1" applyFill="1" applyBorder="1" applyAlignment="1" applyProtection="1">
      <alignment horizontal="center" vertical="center" wrapText="1"/>
      <protection locked="0"/>
    </xf>
    <xf numFmtId="17" fontId="15" fillId="8" borderId="6" xfId="0" applyNumberFormat="1" applyFont="1" applyFill="1" applyBorder="1" applyAlignment="1" applyProtection="1">
      <alignment horizontal="center" vertical="center" wrapText="1"/>
      <protection locked="0"/>
    </xf>
    <xf numFmtId="44" fontId="15" fillId="8" borderId="5" xfId="1" applyFont="1" applyFill="1" applyBorder="1" applyAlignment="1" applyProtection="1">
      <alignment horizontal="center" vertical="center"/>
      <protection locked="0"/>
    </xf>
    <xf numFmtId="44" fontId="15" fillId="8" borderId="6" xfId="1" applyFont="1" applyFill="1" applyBorder="1" applyAlignment="1" applyProtection="1">
      <alignment horizontal="center" vertical="center"/>
      <protection locked="0"/>
    </xf>
    <xf numFmtId="172" fontId="172" fillId="8" borderId="5" xfId="0" applyNumberFormat="1" applyFont="1" applyFill="1" applyBorder="1" applyAlignment="1" applyProtection="1">
      <alignment horizontal="center" vertical="center" wrapText="1"/>
      <protection locked="0"/>
    </xf>
    <xf numFmtId="172" fontId="172" fillId="8" borderId="6" xfId="0" applyNumberFormat="1" applyFont="1" applyFill="1" applyBorder="1" applyAlignment="1" applyProtection="1">
      <alignment horizontal="center" vertical="center" wrapText="1"/>
      <protection locked="0"/>
    </xf>
    <xf numFmtId="0" fontId="172" fillId="8" borderId="5" xfId="0" applyFont="1" applyFill="1" applyBorder="1" applyAlignment="1" applyProtection="1">
      <alignment horizontal="center" vertical="center" wrapText="1"/>
      <protection locked="0"/>
    </xf>
    <xf numFmtId="0" fontId="172" fillId="8" borderId="6" xfId="0" applyFont="1" applyFill="1" applyBorder="1" applyAlignment="1" applyProtection="1">
      <alignment horizontal="center" vertical="center" wrapText="1"/>
      <protection locked="0"/>
    </xf>
    <xf numFmtId="17" fontId="170" fillId="8" borderId="5" xfId="0" applyNumberFormat="1" applyFont="1" applyFill="1" applyBorder="1" applyAlignment="1">
      <alignment horizontal="center" vertical="center" wrapText="1"/>
    </xf>
    <xf numFmtId="17" fontId="15" fillId="8" borderId="6" xfId="0" applyNumberFormat="1" applyFont="1" applyFill="1" applyBorder="1" applyAlignment="1">
      <alignment horizontal="center" vertical="center" wrapText="1"/>
    </xf>
    <xf numFmtId="44" fontId="170" fillId="8" borderId="5" xfId="1" applyFont="1" applyFill="1" applyBorder="1" applyAlignment="1" applyProtection="1">
      <alignment horizontal="center" vertical="center"/>
    </xf>
    <xf numFmtId="44" fontId="15" fillId="8" borderId="6" xfId="1" applyFont="1" applyFill="1" applyBorder="1" applyAlignment="1" applyProtection="1">
      <alignment horizontal="center" vertical="center"/>
    </xf>
    <xf numFmtId="9" fontId="15" fillId="8" borderId="5" xfId="2" applyFont="1" applyFill="1" applyBorder="1" applyAlignment="1" applyProtection="1">
      <alignment horizontal="center" vertical="center"/>
      <protection locked="0"/>
    </xf>
    <xf numFmtId="9" fontId="15" fillId="8" borderId="6" xfId="2" applyFont="1" applyFill="1" applyBorder="1" applyAlignment="1" applyProtection="1">
      <alignment horizontal="center" vertical="center"/>
      <protection locked="0"/>
    </xf>
    <xf numFmtId="9" fontId="170" fillId="0" borderId="5" xfId="2" applyFont="1" applyBorder="1" applyAlignment="1" applyProtection="1">
      <alignment horizontal="center" vertical="center"/>
      <protection locked="0"/>
    </xf>
    <xf numFmtId="9" fontId="170" fillId="0" borderId="6" xfId="2" applyFont="1" applyBorder="1" applyAlignment="1" applyProtection="1">
      <alignment horizontal="center" vertical="center"/>
      <protection locked="0"/>
    </xf>
    <xf numFmtId="0" fontId="170" fillId="0" borderId="5" xfId="2" applyNumberFormat="1" applyFont="1" applyBorder="1" applyAlignment="1" applyProtection="1">
      <alignment horizontal="center" vertical="center"/>
      <protection locked="0"/>
    </xf>
    <xf numFmtId="0" fontId="170" fillId="0" borderId="6" xfId="2" applyNumberFormat="1" applyFont="1" applyBorder="1" applyAlignment="1" applyProtection="1">
      <alignment horizontal="center" vertical="center"/>
      <protection locked="0"/>
    </xf>
    <xf numFmtId="172" fontId="172" fillId="0" borderId="5" xfId="0" applyNumberFormat="1" applyFont="1" applyBorder="1" applyAlignment="1" applyProtection="1">
      <alignment horizontal="center" vertical="center" wrapText="1"/>
      <protection locked="0"/>
    </xf>
    <xf numFmtId="172" fontId="172" fillId="0" borderId="6" xfId="0" applyNumberFormat="1" applyFont="1" applyBorder="1" applyAlignment="1" applyProtection="1">
      <alignment horizontal="center" vertical="center" wrapText="1"/>
      <protection locked="0"/>
    </xf>
    <xf numFmtId="0" fontId="172" fillId="10" borderId="5" xfId="0" applyFont="1" applyFill="1" applyBorder="1" applyAlignment="1" applyProtection="1">
      <alignment horizontal="center" vertical="center" wrapText="1"/>
      <protection locked="0"/>
    </xf>
    <xf numFmtId="0" fontId="172" fillId="10" borderId="6" xfId="0" applyFont="1" applyFill="1" applyBorder="1" applyAlignment="1" applyProtection="1">
      <alignment horizontal="center" vertical="center" wrapText="1"/>
      <protection locked="0"/>
    </xf>
    <xf numFmtId="44" fontId="15" fillId="10" borderId="5" xfId="1" applyFont="1" applyFill="1" applyBorder="1" applyAlignment="1" applyProtection="1">
      <alignment horizontal="center" vertical="center"/>
      <protection locked="0"/>
    </xf>
    <xf numFmtId="44" fontId="15" fillId="10" borderId="6" xfId="1" applyFont="1" applyFill="1" applyBorder="1" applyAlignment="1" applyProtection="1">
      <alignment horizontal="center" vertical="center"/>
      <protection locked="0"/>
    </xf>
    <xf numFmtId="0" fontId="15" fillId="0" borderId="5" xfId="0" applyFont="1" applyBorder="1" applyAlignment="1">
      <alignment horizontal="center" vertical="center"/>
    </xf>
    <xf numFmtId="0" fontId="15" fillId="0" borderId="6" xfId="0" applyFont="1" applyBorder="1" applyAlignment="1">
      <alignment horizontal="center" vertical="center"/>
    </xf>
    <xf numFmtId="44" fontId="15" fillId="0" borderId="5" xfId="1" applyFont="1" applyBorder="1" applyAlignment="1" applyProtection="1">
      <alignment horizontal="center" vertical="center"/>
    </xf>
    <xf numFmtId="44" fontId="15" fillId="0" borderId="6" xfId="1" applyFont="1" applyBorder="1" applyAlignment="1" applyProtection="1">
      <alignment horizontal="center" vertical="center"/>
    </xf>
    <xf numFmtId="9" fontId="170" fillId="8" borderId="5" xfId="2" applyFont="1" applyFill="1" applyBorder="1" applyAlignment="1" applyProtection="1">
      <alignment horizontal="center" vertical="center"/>
      <protection locked="0"/>
    </xf>
    <xf numFmtId="9" fontId="170" fillId="8" borderId="6" xfId="2" applyFont="1" applyFill="1" applyBorder="1" applyAlignment="1" applyProtection="1">
      <alignment horizontal="center" vertical="center"/>
      <protection locked="0"/>
    </xf>
    <xf numFmtId="0" fontId="170" fillId="8" borderId="5" xfId="2" applyNumberFormat="1" applyFont="1" applyFill="1" applyBorder="1" applyAlignment="1" applyProtection="1">
      <alignment horizontal="center" vertical="center"/>
      <protection locked="0"/>
    </xf>
    <xf numFmtId="0" fontId="170" fillId="8" borderId="6" xfId="2" applyNumberFormat="1" applyFont="1" applyFill="1" applyBorder="1" applyAlignment="1" applyProtection="1">
      <alignment horizontal="center" vertical="center"/>
      <protection locked="0"/>
    </xf>
    <xf numFmtId="16" fontId="170" fillId="0" borderId="5" xfId="2" applyNumberFormat="1" applyFont="1" applyBorder="1" applyAlignment="1" applyProtection="1">
      <alignment horizontal="center" vertical="center"/>
      <protection locked="0"/>
    </xf>
    <xf numFmtId="16" fontId="170" fillId="8" borderId="5" xfId="2" applyNumberFormat="1" applyFont="1" applyFill="1" applyBorder="1" applyAlignment="1" applyProtection="1">
      <alignment horizontal="center" vertical="center"/>
      <protection locked="0"/>
    </xf>
    <xf numFmtId="44" fontId="15" fillId="18" borderId="5" xfId="1" applyFont="1" applyFill="1" applyBorder="1" applyAlignment="1" applyProtection="1">
      <alignment horizontal="center" vertical="center"/>
      <protection locked="0"/>
    </xf>
    <xf numFmtId="44" fontId="15" fillId="18" borderId="6" xfId="1" applyFont="1" applyFill="1" applyBorder="1" applyAlignment="1" applyProtection="1">
      <alignment horizontal="center" vertical="center"/>
      <protection locked="0"/>
    </xf>
    <xf numFmtId="0" fontId="15" fillId="0" borderId="5" xfId="0" applyFont="1" applyBorder="1" applyAlignment="1" applyProtection="1">
      <alignment horizontal="center" vertical="center"/>
      <protection locked="0"/>
    </xf>
    <xf numFmtId="0" fontId="15" fillId="0" borderId="6" xfId="0" applyFont="1" applyBorder="1" applyAlignment="1" applyProtection="1">
      <alignment horizontal="center" vertical="center"/>
      <protection locked="0"/>
    </xf>
    <xf numFmtId="0" fontId="15" fillId="0" borderId="5" xfId="0" applyFont="1" applyBorder="1" applyAlignment="1" applyProtection="1">
      <alignment vertical="center" wrapText="1"/>
      <protection locked="0"/>
    </xf>
    <xf numFmtId="0" fontId="15" fillId="0" borderId="6" xfId="0" applyFont="1" applyBorder="1" applyAlignment="1" applyProtection="1">
      <alignment vertical="center" wrapText="1"/>
      <protection locked="0"/>
    </xf>
    <xf numFmtId="0" fontId="15" fillId="0" borderId="5" xfId="0" applyFont="1" applyBorder="1" applyAlignment="1" applyProtection="1">
      <alignment horizontal="left" vertical="center" wrapText="1"/>
      <protection locked="0"/>
    </xf>
    <xf numFmtId="0" fontId="15" fillId="0" borderId="6" xfId="0" applyFont="1" applyBorder="1" applyAlignment="1" applyProtection="1">
      <alignment horizontal="left" vertical="center" wrapText="1"/>
      <protection locked="0"/>
    </xf>
    <xf numFmtId="0" fontId="15" fillId="0" borderId="5" xfId="0" applyFont="1" applyBorder="1" applyAlignment="1" applyProtection="1">
      <alignment horizontal="center" vertical="center" wrapText="1"/>
      <protection locked="0"/>
    </xf>
    <xf numFmtId="0" fontId="15" fillId="0" borderId="6" xfId="0" applyFont="1" applyBorder="1" applyAlignment="1" applyProtection="1">
      <alignment horizontal="center" vertical="center" wrapText="1"/>
      <protection locked="0"/>
    </xf>
    <xf numFmtId="17" fontId="15" fillId="0" borderId="5" xfId="1" applyNumberFormat="1" applyFont="1" applyBorder="1" applyAlignment="1" applyProtection="1">
      <alignment horizontal="center" vertical="center"/>
      <protection locked="0"/>
    </xf>
    <xf numFmtId="44" fontId="15" fillId="0" borderId="6" xfId="1" applyFont="1" applyBorder="1" applyAlignment="1" applyProtection="1">
      <alignment horizontal="center" vertical="center"/>
      <protection locked="0"/>
    </xf>
    <xf numFmtId="44" fontId="15" fillId="0" borderId="5" xfId="1" applyFont="1" applyBorder="1" applyAlignment="1" applyProtection="1">
      <alignment horizontal="center" vertical="center"/>
      <protection locked="0"/>
    </xf>
    <xf numFmtId="0" fontId="175" fillId="0" borderId="5" xfId="3" applyFont="1" applyBorder="1" applyAlignment="1" applyProtection="1">
      <alignment horizontal="left" vertical="center" wrapText="1"/>
      <protection locked="0"/>
    </xf>
    <xf numFmtId="0" fontId="162" fillId="0" borderId="6" xfId="0" applyFont="1" applyBorder="1" applyAlignment="1" applyProtection="1">
      <alignment horizontal="left" vertical="center" wrapText="1"/>
      <protection locked="0"/>
    </xf>
    <xf numFmtId="9" fontId="172" fillId="0" borderId="5" xfId="2" applyFont="1" applyBorder="1" applyAlignment="1" applyProtection="1">
      <alignment horizontal="center" vertical="center"/>
      <protection locked="0"/>
    </xf>
    <xf numFmtId="9" fontId="172" fillId="0" borderId="6" xfId="2" applyFont="1" applyBorder="1" applyAlignment="1" applyProtection="1">
      <alignment horizontal="center" vertical="center"/>
      <protection locked="0"/>
    </xf>
    <xf numFmtId="9" fontId="172" fillId="8" borderId="5" xfId="2" applyFont="1" applyFill="1" applyBorder="1" applyAlignment="1" applyProtection="1">
      <alignment horizontal="center" vertical="center"/>
      <protection locked="0"/>
    </xf>
    <xf numFmtId="9" fontId="172" fillId="8" borderId="6" xfId="2" applyFont="1" applyFill="1" applyBorder="1" applyAlignment="1" applyProtection="1">
      <alignment horizontal="center" vertical="center"/>
      <protection locked="0"/>
    </xf>
    <xf numFmtId="16" fontId="103" fillId="8" borderId="5" xfId="2" applyNumberFormat="1" applyFont="1" applyFill="1" applyBorder="1" applyAlignment="1" applyProtection="1">
      <alignment horizontal="center" vertical="center"/>
      <protection locked="0"/>
    </xf>
    <xf numFmtId="0" fontId="103" fillId="8" borderId="6" xfId="2" applyNumberFormat="1" applyFont="1" applyFill="1" applyBorder="1" applyAlignment="1" applyProtection="1">
      <alignment horizontal="center" vertical="center"/>
      <protection locked="0"/>
    </xf>
    <xf numFmtId="16" fontId="103" fillId="0" borderId="5" xfId="2" applyNumberFormat="1" applyFont="1" applyBorder="1" applyAlignment="1" applyProtection="1">
      <alignment horizontal="center" vertical="center"/>
      <protection locked="0"/>
    </xf>
    <xf numFmtId="0" fontId="103" fillId="0" borderId="6" xfId="2" applyNumberFormat="1" applyFont="1" applyBorder="1" applyAlignment="1" applyProtection="1">
      <alignment horizontal="center" vertical="center"/>
      <protection locked="0"/>
    </xf>
    <xf numFmtId="0" fontId="103" fillId="10" borderId="5" xfId="0" applyFont="1" applyFill="1" applyBorder="1" applyAlignment="1" applyProtection="1">
      <alignment horizontal="center" vertical="center" wrapText="1"/>
      <protection locked="0"/>
    </xf>
    <xf numFmtId="0" fontId="103" fillId="10" borderId="6" xfId="0" applyFont="1" applyFill="1" applyBorder="1" applyAlignment="1" applyProtection="1">
      <alignment horizontal="center" vertical="center" wrapText="1"/>
      <protection locked="0"/>
    </xf>
    <xf numFmtId="0" fontId="170" fillId="74" borderId="5" xfId="2" applyNumberFormat="1" applyFont="1" applyFill="1" applyBorder="1" applyAlignment="1" applyProtection="1">
      <alignment horizontal="center" vertical="center"/>
      <protection locked="0"/>
    </xf>
    <xf numFmtId="0" fontId="170" fillId="74" borderId="6" xfId="2" applyNumberFormat="1" applyFont="1" applyFill="1" applyBorder="1" applyAlignment="1" applyProtection="1">
      <alignment horizontal="center" vertical="center"/>
      <protection locked="0"/>
    </xf>
    <xf numFmtId="0" fontId="158" fillId="2" borderId="14" xfId="0" applyFont="1" applyFill="1" applyBorder="1" applyAlignment="1" applyProtection="1">
      <alignment horizontal="center"/>
      <protection locked="0"/>
    </xf>
    <xf numFmtId="0" fontId="158" fillId="2" borderId="14" xfId="0" applyFont="1" applyFill="1" applyBorder="1" applyAlignment="1" applyProtection="1">
      <alignment horizontal="left"/>
      <protection locked="0"/>
    </xf>
    <xf numFmtId="9" fontId="158" fillId="2" borderId="0" xfId="2" applyFont="1" applyFill="1" applyBorder="1" applyAlignment="1" applyProtection="1">
      <alignment horizontal="left" vertical="center"/>
      <protection locked="0"/>
    </xf>
    <xf numFmtId="0" fontId="158" fillId="13" borderId="0" xfId="0" applyFont="1" applyFill="1" applyAlignment="1" applyProtection="1">
      <alignment horizontal="center" vertical="center"/>
      <protection locked="0"/>
    </xf>
    <xf numFmtId="0" fontId="158" fillId="12" borderId="0" xfId="0" applyFont="1" applyFill="1" applyAlignment="1" applyProtection="1">
      <alignment horizontal="center" vertical="center"/>
      <protection locked="0"/>
    </xf>
    <xf numFmtId="0" fontId="164" fillId="6" borderId="85" xfId="0" applyFont="1" applyFill="1" applyBorder="1" applyAlignment="1" applyProtection="1">
      <alignment horizontal="center" vertical="center"/>
      <protection locked="0"/>
    </xf>
    <xf numFmtId="0" fontId="164" fillId="6" borderId="0" xfId="0" applyFont="1" applyFill="1" applyAlignment="1" applyProtection="1">
      <alignment horizontal="center" vertical="center"/>
      <protection locked="0"/>
    </xf>
    <xf numFmtId="172" fontId="103" fillId="8" borderId="5" xfId="0" applyNumberFormat="1" applyFont="1" applyFill="1" applyBorder="1" applyAlignment="1" applyProtection="1">
      <alignment horizontal="center" vertical="center" wrapText="1"/>
      <protection locked="0"/>
    </xf>
    <xf numFmtId="172" fontId="103" fillId="8" borderId="6" xfId="0" applyNumberFormat="1" applyFont="1" applyFill="1" applyBorder="1" applyAlignment="1" applyProtection="1">
      <alignment horizontal="center" vertical="center" wrapText="1"/>
      <protection locked="0"/>
    </xf>
    <xf numFmtId="172" fontId="103" fillId="0" borderId="5" xfId="0" applyNumberFormat="1" applyFont="1" applyBorder="1" applyAlignment="1" applyProtection="1">
      <alignment horizontal="center" vertical="center" wrapText="1"/>
      <protection locked="0"/>
    </xf>
    <xf numFmtId="172" fontId="103" fillId="0" borderId="6" xfId="0" applyNumberFormat="1" applyFont="1" applyBorder="1" applyAlignment="1" applyProtection="1">
      <alignment horizontal="center" vertical="center" wrapText="1"/>
      <protection locked="0"/>
    </xf>
    <xf numFmtId="0" fontId="103" fillId="8" borderId="5" xfId="0" applyFont="1" applyFill="1" applyBorder="1" applyAlignment="1" applyProtection="1">
      <alignment horizontal="center" vertical="center" wrapText="1"/>
      <protection locked="0"/>
    </xf>
    <xf numFmtId="0" fontId="103" fillId="8" borderId="6" xfId="0" applyFont="1" applyFill="1" applyBorder="1" applyAlignment="1" applyProtection="1">
      <alignment horizontal="center" vertical="center" wrapText="1"/>
      <protection locked="0"/>
    </xf>
    <xf numFmtId="44" fontId="170" fillId="8" borderId="6" xfId="1" applyFont="1" applyFill="1" applyBorder="1" applyAlignment="1" applyProtection="1">
      <alignment horizontal="center" vertical="center"/>
    </xf>
    <xf numFmtId="9" fontId="103" fillId="8" borderId="5" xfId="2" applyFont="1" applyFill="1" applyBorder="1" applyAlignment="1" applyProtection="1">
      <alignment horizontal="center" vertical="center"/>
      <protection locked="0"/>
    </xf>
    <xf numFmtId="9" fontId="170" fillId="0" borderId="5" xfId="2" applyFont="1" applyBorder="1" applyAlignment="1" applyProtection="1">
      <alignment horizontal="center" vertical="center" wrapText="1"/>
      <protection locked="0"/>
    </xf>
    <xf numFmtId="44" fontId="15" fillId="10" borderId="5" xfId="1" applyFont="1" applyFill="1" applyBorder="1" applyAlignment="1" applyProtection="1">
      <alignment horizontal="center" vertical="center" wrapText="1"/>
      <protection locked="0"/>
    </xf>
    <xf numFmtId="44" fontId="15" fillId="10" borderId="6" xfId="1" applyFont="1" applyFill="1" applyBorder="1" applyAlignment="1" applyProtection="1">
      <alignment horizontal="center" vertical="center" wrapText="1"/>
      <protection locked="0"/>
    </xf>
    <xf numFmtId="9" fontId="15" fillId="8" borderId="5" xfId="2" applyFont="1" applyFill="1" applyBorder="1" applyAlignment="1" applyProtection="1">
      <alignment horizontal="center" vertical="center" wrapText="1"/>
      <protection locked="0"/>
    </xf>
    <xf numFmtId="9" fontId="15" fillId="8" borderId="6" xfId="2" applyFont="1" applyFill="1" applyBorder="1" applyAlignment="1" applyProtection="1">
      <alignment horizontal="center" vertical="center" wrapText="1"/>
      <protection locked="0"/>
    </xf>
    <xf numFmtId="44" fontId="15" fillId="8" borderId="5" xfId="1" applyFont="1" applyFill="1" applyBorder="1" applyAlignment="1" applyProtection="1">
      <alignment horizontal="center" vertical="center" wrapText="1"/>
      <protection locked="0"/>
    </xf>
    <xf numFmtId="44" fontId="15" fillId="8" borderId="6" xfId="1" applyFont="1" applyFill="1" applyBorder="1" applyAlignment="1" applyProtection="1">
      <alignment horizontal="center" vertical="center" wrapText="1"/>
      <protection locked="0"/>
    </xf>
    <xf numFmtId="9" fontId="15" fillId="0" borderId="5" xfId="2" applyFont="1" applyFill="1" applyBorder="1" applyAlignment="1" applyProtection="1">
      <alignment horizontal="center" vertical="center"/>
      <protection locked="0"/>
    </xf>
    <xf numFmtId="9" fontId="15" fillId="0" borderId="6" xfId="2" applyFont="1" applyFill="1" applyBorder="1" applyAlignment="1" applyProtection="1">
      <alignment horizontal="center" vertical="center"/>
      <protection locked="0"/>
    </xf>
    <xf numFmtId="44" fontId="15" fillId="0" borderId="5" xfId="1" applyFont="1" applyFill="1" applyBorder="1" applyAlignment="1" applyProtection="1">
      <alignment horizontal="center" vertical="center" wrapText="1"/>
      <protection locked="0"/>
    </xf>
    <xf numFmtId="44" fontId="15" fillId="0" borderId="6" xfId="1" applyFont="1" applyFill="1" applyBorder="1" applyAlignment="1" applyProtection="1">
      <alignment horizontal="center" vertical="center" wrapText="1"/>
      <protection locked="0"/>
    </xf>
    <xf numFmtId="0" fontId="103" fillId="0" borderId="5" xfId="0" applyFont="1" applyBorder="1" applyAlignment="1" applyProtection="1">
      <alignment horizontal="center" vertical="center"/>
      <protection locked="0"/>
    </xf>
    <xf numFmtId="0" fontId="103" fillId="0" borderId="6" xfId="0" applyFont="1" applyBorder="1" applyAlignment="1" applyProtection="1">
      <alignment horizontal="center" vertical="center"/>
      <protection locked="0"/>
    </xf>
    <xf numFmtId="9" fontId="103" fillId="0" borderId="5" xfId="2" applyFont="1" applyBorder="1" applyAlignment="1" applyProtection="1">
      <alignment horizontal="center" vertical="center"/>
      <protection locked="0"/>
    </xf>
    <xf numFmtId="44" fontId="103" fillId="10" borderId="5" xfId="1" applyFont="1" applyFill="1" applyBorder="1" applyAlignment="1" applyProtection="1">
      <alignment horizontal="center" vertical="center" wrapText="1"/>
      <protection locked="0"/>
    </xf>
    <xf numFmtId="44" fontId="103" fillId="10" borderId="6" xfId="1" applyFont="1" applyFill="1" applyBorder="1" applyAlignment="1" applyProtection="1">
      <alignment horizontal="center" vertical="center" wrapText="1"/>
      <protection locked="0"/>
    </xf>
    <xf numFmtId="0" fontId="158" fillId="2" borderId="4" xfId="0" applyFont="1" applyFill="1" applyBorder="1" applyAlignment="1" applyProtection="1">
      <alignment horizontal="center"/>
      <protection locked="0"/>
    </xf>
    <xf numFmtId="0" fontId="93" fillId="8" borderId="5" xfId="0" applyFont="1" applyFill="1" applyBorder="1" applyAlignment="1" applyProtection="1">
      <alignment horizontal="center" vertical="center" wrapText="1"/>
      <protection locked="0"/>
    </xf>
    <xf numFmtId="0" fontId="93" fillId="8" borderId="6" xfId="0" applyFont="1" applyFill="1" applyBorder="1" applyAlignment="1" applyProtection="1">
      <alignment horizontal="center" vertical="center" wrapText="1"/>
      <protection locked="0"/>
    </xf>
    <xf numFmtId="9" fontId="93" fillId="8" borderId="5" xfId="2" applyFont="1" applyFill="1" applyBorder="1" applyAlignment="1" applyProtection="1">
      <alignment horizontal="center" vertical="center" wrapText="1"/>
      <protection locked="0"/>
    </xf>
    <xf numFmtId="9" fontId="93" fillId="8" borderId="6" xfId="2" applyFont="1" applyFill="1" applyBorder="1" applyAlignment="1" applyProtection="1">
      <alignment horizontal="center" vertical="center" wrapText="1"/>
      <protection locked="0"/>
    </xf>
    <xf numFmtId="44" fontId="93" fillId="8" borderId="5" xfId="1" applyFont="1" applyFill="1" applyBorder="1" applyAlignment="1" applyProtection="1">
      <alignment horizontal="center" vertical="center" wrapText="1"/>
      <protection locked="0"/>
    </xf>
    <xf numFmtId="44" fontId="93" fillId="8" borderId="6" xfId="1" applyFont="1" applyFill="1" applyBorder="1" applyAlignment="1" applyProtection="1">
      <alignment horizontal="center" vertical="center" wrapText="1"/>
      <protection locked="0"/>
    </xf>
    <xf numFmtId="9" fontId="93" fillId="8" borderId="5" xfId="2" applyFont="1" applyFill="1" applyBorder="1" applyAlignment="1" applyProtection="1">
      <alignment horizontal="center" vertical="center"/>
      <protection locked="0"/>
    </xf>
    <xf numFmtId="9" fontId="93" fillId="8" borderId="6" xfId="2" applyFont="1" applyFill="1" applyBorder="1" applyAlignment="1" applyProtection="1">
      <alignment horizontal="center" vertical="center"/>
      <protection locked="0"/>
    </xf>
    <xf numFmtId="17" fontId="170" fillId="8" borderId="6" xfId="0" applyNumberFormat="1" applyFont="1" applyFill="1" applyBorder="1" applyAlignment="1">
      <alignment horizontal="center" vertical="center" wrapText="1"/>
    </xf>
    <xf numFmtId="44" fontId="170" fillId="74" borderId="5" xfId="1" applyFont="1" applyFill="1" applyBorder="1" applyAlignment="1" applyProtection="1">
      <alignment horizontal="center" vertical="center"/>
    </xf>
    <xf numFmtId="44" fontId="170" fillId="74" borderId="6" xfId="1" applyFont="1" applyFill="1" applyBorder="1" applyAlignment="1" applyProtection="1">
      <alignment horizontal="center" vertical="center"/>
    </xf>
    <xf numFmtId="44" fontId="15" fillId="67" borderId="5" xfId="1" applyFont="1" applyFill="1" applyBorder="1" applyAlignment="1">
      <alignment horizontal="center" vertical="center"/>
    </xf>
    <xf numFmtId="44" fontId="15" fillId="0" borderId="6" xfId="1" applyFont="1" applyBorder="1" applyAlignment="1">
      <alignment horizontal="center" vertical="center"/>
    </xf>
    <xf numFmtId="44" fontId="170" fillId="0" borderId="5" xfId="1" applyFont="1" applyBorder="1" applyAlignment="1" applyProtection="1">
      <alignment horizontal="center" vertical="center"/>
    </xf>
    <xf numFmtId="44" fontId="170" fillId="0" borderId="6" xfId="1" applyFont="1" applyBorder="1" applyAlignment="1" applyProtection="1">
      <alignment horizontal="center" vertical="center"/>
    </xf>
    <xf numFmtId="44" fontId="177" fillId="67" borderId="5" xfId="1" applyFont="1" applyFill="1" applyBorder="1" applyAlignment="1" applyProtection="1">
      <alignment horizontal="center" vertical="center"/>
    </xf>
    <xf numFmtId="44" fontId="177" fillId="8" borderId="6" xfId="1" applyFont="1" applyFill="1" applyBorder="1" applyAlignment="1" applyProtection="1">
      <alignment horizontal="center" vertical="center"/>
    </xf>
    <xf numFmtId="17" fontId="170" fillId="0" borderId="5" xfId="0" applyNumberFormat="1" applyFont="1" applyBorder="1" applyAlignment="1">
      <alignment horizontal="center" vertical="center" wrapText="1"/>
    </xf>
    <xf numFmtId="17" fontId="170" fillId="0" borderId="6" xfId="0" applyNumberFormat="1" applyFont="1" applyBorder="1" applyAlignment="1">
      <alignment horizontal="center" vertical="center" wrapText="1"/>
    </xf>
    <xf numFmtId="0" fontId="170" fillId="0" borderId="5" xfId="0" applyFont="1" applyBorder="1" applyAlignment="1">
      <alignment horizontal="center" vertical="center"/>
    </xf>
    <xf numFmtId="0" fontId="170" fillId="0" borderId="6" xfId="0" applyFont="1" applyBorder="1" applyAlignment="1">
      <alignment horizontal="center" vertical="center"/>
    </xf>
    <xf numFmtId="0" fontId="170" fillId="67" borderId="5" xfId="0" applyFont="1" applyFill="1" applyBorder="1" applyAlignment="1">
      <alignment horizontal="center" vertical="center"/>
    </xf>
    <xf numFmtId="0" fontId="170" fillId="62" borderId="6" xfId="0" applyFont="1" applyFill="1" applyBorder="1" applyAlignment="1">
      <alignment horizontal="center" vertical="center"/>
    </xf>
    <xf numFmtId="44" fontId="15" fillId="67" borderId="5" xfId="1" applyFont="1" applyFill="1" applyBorder="1" applyAlignment="1" applyProtection="1">
      <alignment horizontal="center" vertical="center"/>
      <protection locked="0"/>
    </xf>
    <xf numFmtId="44" fontId="15" fillId="0" borderId="6" xfId="1" applyFont="1" applyFill="1" applyBorder="1" applyAlignment="1" applyProtection="1">
      <alignment horizontal="center" vertical="center"/>
      <protection locked="0"/>
    </xf>
    <xf numFmtId="0" fontId="172" fillId="74" borderId="5" xfId="2" applyNumberFormat="1" applyFont="1" applyFill="1" applyBorder="1" applyAlignment="1" applyProtection="1">
      <alignment horizontal="center" vertical="center"/>
      <protection locked="0"/>
    </xf>
    <xf numFmtId="0" fontId="172" fillId="74" borderId="6" xfId="2" applyNumberFormat="1" applyFont="1" applyFill="1" applyBorder="1" applyAlignment="1" applyProtection="1">
      <alignment horizontal="center" vertical="center"/>
      <protection locked="0"/>
    </xf>
    <xf numFmtId="44" fontId="103" fillId="8" borderId="5" xfId="1" applyFont="1" applyFill="1" applyBorder="1" applyAlignment="1" applyProtection="1">
      <alignment horizontal="center" vertical="center"/>
    </xf>
    <xf numFmtId="44" fontId="103" fillId="8" borderId="6" xfId="1" applyFont="1" applyFill="1" applyBorder="1" applyAlignment="1" applyProtection="1">
      <alignment horizontal="center" vertical="center"/>
    </xf>
    <xf numFmtId="0" fontId="177" fillId="67" borderId="5" xfId="0" applyFont="1" applyFill="1" applyBorder="1" applyAlignment="1">
      <alignment horizontal="center" vertical="center"/>
    </xf>
    <xf numFmtId="0" fontId="177" fillId="0" borderId="6" xfId="0" applyFont="1" applyBorder="1" applyAlignment="1">
      <alignment horizontal="center" vertical="center"/>
    </xf>
    <xf numFmtId="44" fontId="177" fillId="0" borderId="6" xfId="1" applyFont="1" applyBorder="1" applyAlignment="1" applyProtection="1">
      <alignment horizontal="center" vertical="center"/>
    </xf>
    <xf numFmtId="44" fontId="103" fillId="10" borderId="5" xfId="1" applyFont="1" applyFill="1" applyBorder="1" applyAlignment="1" applyProtection="1">
      <alignment horizontal="center" vertical="center"/>
      <protection locked="0"/>
    </xf>
    <xf numFmtId="44" fontId="103" fillId="10" borderId="6" xfId="1" applyFont="1" applyFill="1" applyBorder="1" applyAlignment="1" applyProtection="1">
      <alignment horizontal="center" vertical="center"/>
      <protection locked="0"/>
    </xf>
    <xf numFmtId="17" fontId="177" fillId="67" borderId="5" xfId="0" applyNumberFormat="1" applyFont="1" applyFill="1" applyBorder="1" applyAlignment="1">
      <alignment horizontal="center" vertical="center" wrapText="1"/>
    </xf>
    <xf numFmtId="17" fontId="177" fillId="8" borderId="6" xfId="0" applyNumberFormat="1" applyFont="1" applyFill="1" applyBorder="1" applyAlignment="1">
      <alignment horizontal="center" vertical="center" wrapText="1"/>
    </xf>
    <xf numFmtId="0" fontId="103" fillId="10" borderId="5" xfId="0" applyFont="1" applyFill="1" applyBorder="1" applyAlignment="1">
      <alignment horizontal="center" vertical="center"/>
    </xf>
    <xf numFmtId="0" fontId="103" fillId="10" borderId="6" xfId="0" applyFont="1" applyFill="1" applyBorder="1" applyAlignment="1">
      <alignment horizontal="center" vertical="center"/>
    </xf>
    <xf numFmtId="44" fontId="15" fillId="42" borderId="5" xfId="1" applyFont="1" applyFill="1" applyBorder="1" applyAlignment="1" applyProtection="1">
      <alignment horizontal="center" vertical="center"/>
      <protection locked="0"/>
    </xf>
    <xf numFmtId="44" fontId="15" fillId="42" borderId="6" xfId="1" applyFont="1" applyFill="1" applyBorder="1" applyAlignment="1" applyProtection="1">
      <alignment horizontal="center" vertical="center"/>
      <protection locked="0"/>
    </xf>
    <xf numFmtId="44" fontId="93" fillId="8" borderId="5" xfId="1" applyFont="1" applyFill="1" applyBorder="1" applyAlignment="1" applyProtection="1">
      <alignment horizontal="center" vertical="center"/>
      <protection locked="0"/>
    </xf>
    <xf numFmtId="44" fontId="93" fillId="8" borderId="6" xfId="1" applyFont="1" applyFill="1" applyBorder="1" applyAlignment="1" applyProtection="1">
      <alignment horizontal="center" vertical="center"/>
      <protection locked="0"/>
    </xf>
    <xf numFmtId="44" fontId="103" fillId="0" borderId="5" xfId="1" applyFont="1" applyBorder="1" applyAlignment="1" applyProtection="1">
      <alignment horizontal="center" vertical="center"/>
      <protection locked="0"/>
    </xf>
    <xf numFmtId="44" fontId="103" fillId="0" borderId="6" xfId="1" applyFont="1" applyBorder="1" applyAlignment="1" applyProtection="1">
      <alignment horizontal="center" vertical="center"/>
      <protection locked="0"/>
    </xf>
    <xf numFmtId="44" fontId="172" fillId="77" borderId="5" xfId="1" applyFont="1" applyFill="1" applyBorder="1" applyAlignment="1" applyProtection="1">
      <alignment horizontal="center" vertical="center"/>
    </xf>
    <xf numFmtId="44" fontId="172" fillId="77" borderId="6" xfId="1" applyFont="1" applyFill="1" applyBorder="1" applyAlignment="1" applyProtection="1">
      <alignment horizontal="center" vertical="center"/>
    </xf>
    <xf numFmtId="17" fontId="103" fillId="8" borderId="5" xfId="0" applyNumberFormat="1" applyFont="1" applyFill="1" applyBorder="1" applyAlignment="1">
      <alignment horizontal="center" vertical="center" wrapText="1"/>
    </xf>
    <xf numFmtId="17" fontId="103" fillId="8" borderId="6" xfId="0" applyNumberFormat="1" applyFont="1" applyFill="1" applyBorder="1" applyAlignment="1">
      <alignment horizontal="center" vertical="center" wrapText="1"/>
    </xf>
    <xf numFmtId="44" fontId="15" fillId="74" borderId="5" xfId="1" applyFont="1" applyFill="1" applyBorder="1" applyAlignment="1" applyProtection="1">
      <alignment horizontal="center" vertical="center"/>
      <protection locked="0"/>
    </xf>
    <xf numFmtId="44" fontId="15" fillId="74" borderId="6" xfId="1" applyFont="1" applyFill="1" applyBorder="1" applyAlignment="1" applyProtection="1">
      <alignment horizontal="center" vertical="center"/>
      <protection locked="0"/>
    </xf>
    <xf numFmtId="17" fontId="93" fillId="8" borderId="5" xfId="0" applyNumberFormat="1" applyFont="1" applyFill="1" applyBorder="1" applyAlignment="1" applyProtection="1">
      <alignment horizontal="center" vertical="center" wrapText="1"/>
      <protection locked="0"/>
    </xf>
    <xf numFmtId="17" fontId="93" fillId="8" borderId="6" xfId="0" applyNumberFormat="1" applyFont="1" applyFill="1" applyBorder="1" applyAlignment="1" applyProtection="1">
      <alignment horizontal="center" vertical="center" wrapText="1"/>
      <protection locked="0"/>
    </xf>
    <xf numFmtId="0" fontId="103" fillId="0" borderId="5" xfId="0" applyFont="1" applyBorder="1" applyAlignment="1">
      <alignment horizontal="center" vertical="center"/>
    </xf>
    <xf numFmtId="0" fontId="103" fillId="0" borderId="6" xfId="0" applyFont="1" applyBorder="1" applyAlignment="1">
      <alignment horizontal="center" vertical="center"/>
    </xf>
    <xf numFmtId="44" fontId="93" fillId="18" borderId="5" xfId="1" applyFont="1" applyFill="1" applyBorder="1" applyAlignment="1" applyProtection="1">
      <alignment horizontal="center" vertical="center"/>
      <protection locked="0"/>
    </xf>
    <xf numFmtId="44" fontId="93" fillId="18" borderId="6" xfId="1" applyFont="1" applyFill="1" applyBorder="1" applyAlignment="1" applyProtection="1">
      <alignment horizontal="center" vertical="center"/>
      <protection locked="0"/>
    </xf>
    <xf numFmtId="17" fontId="93" fillId="8" borderId="6" xfId="0" applyNumberFormat="1" applyFont="1" applyFill="1" applyBorder="1" applyAlignment="1">
      <alignment horizontal="center" vertical="center" wrapText="1"/>
    </xf>
    <xf numFmtId="17" fontId="103" fillId="0" borderId="5" xfId="1" applyNumberFormat="1" applyFont="1" applyBorder="1" applyAlignment="1" applyProtection="1">
      <alignment horizontal="center" vertical="center"/>
      <protection locked="0"/>
    </xf>
    <xf numFmtId="44" fontId="66" fillId="10" borderId="17" xfId="0" applyNumberFormat="1" applyFont="1" applyFill="1" applyBorder="1" applyAlignment="1" applyProtection="1">
      <alignment horizontal="left"/>
      <protection locked="0"/>
    </xf>
    <xf numFmtId="44" fontId="66" fillId="10" borderId="10" xfId="0" applyNumberFormat="1" applyFont="1" applyFill="1" applyBorder="1" applyAlignment="1" applyProtection="1">
      <alignment horizontal="left"/>
      <protection locked="0"/>
    </xf>
    <xf numFmtId="44" fontId="66" fillId="10" borderId="18" xfId="0" applyNumberFormat="1" applyFont="1" applyFill="1" applyBorder="1" applyAlignment="1" applyProtection="1">
      <alignment horizontal="left"/>
      <protection locked="0"/>
    </xf>
    <xf numFmtId="44" fontId="66" fillId="6" borderId="17" xfId="0" applyNumberFormat="1" applyFont="1" applyFill="1" applyBorder="1" applyAlignment="1" applyProtection="1">
      <alignment horizontal="left"/>
      <protection locked="0"/>
    </xf>
    <xf numFmtId="44" fontId="66" fillId="6" borderId="10" xfId="0" applyNumberFormat="1" applyFont="1" applyFill="1" applyBorder="1" applyAlignment="1" applyProtection="1">
      <alignment horizontal="left"/>
      <protection locked="0"/>
    </xf>
    <xf numFmtId="44" fontId="66" fillId="6" borderId="18" xfId="0" applyNumberFormat="1" applyFont="1" applyFill="1" applyBorder="1" applyAlignment="1" applyProtection="1">
      <alignment horizontal="left"/>
      <protection locked="0"/>
    </xf>
    <xf numFmtId="44" fontId="93" fillId="8" borderId="6" xfId="1" applyFont="1" applyFill="1" applyBorder="1" applyAlignment="1" applyProtection="1">
      <alignment horizontal="center" vertical="center"/>
    </xf>
    <xf numFmtId="0" fontId="83" fillId="11" borderId="88" xfId="0" applyFont="1" applyFill="1" applyBorder="1" applyAlignment="1" applyProtection="1">
      <alignment horizontal="center" vertical="center"/>
      <protection locked="0"/>
    </xf>
    <xf numFmtId="0" fontId="83" fillId="11" borderId="89" xfId="0" applyFont="1" applyFill="1" applyBorder="1" applyAlignment="1" applyProtection="1">
      <alignment horizontal="center" vertical="center"/>
      <protection locked="0"/>
    </xf>
    <xf numFmtId="0" fontId="83" fillId="11" borderId="90" xfId="0" applyFont="1" applyFill="1" applyBorder="1" applyAlignment="1" applyProtection="1">
      <alignment horizontal="center" vertical="center"/>
      <protection locked="0"/>
    </xf>
    <xf numFmtId="0" fontId="110" fillId="46" borderId="86" xfId="0" applyFont="1" applyFill="1" applyBorder="1" applyAlignment="1" applyProtection="1">
      <alignment horizontal="center"/>
      <protection locked="0"/>
    </xf>
    <xf numFmtId="0" fontId="110" fillId="46" borderId="87" xfId="0" applyFont="1" applyFill="1" applyBorder="1" applyAlignment="1" applyProtection="1">
      <alignment horizontal="center"/>
      <protection locked="0"/>
    </xf>
    <xf numFmtId="0" fontId="171" fillId="0" borderId="53" xfId="0" applyFont="1" applyBorder="1" applyAlignment="1">
      <alignment horizontal="center" vertical="center"/>
    </xf>
    <xf numFmtId="0" fontId="171" fillId="0" borderId="118" xfId="0" applyFont="1" applyBorder="1" applyAlignment="1">
      <alignment horizontal="center" vertical="center"/>
    </xf>
    <xf numFmtId="0" fontId="171" fillId="0" borderId="74" xfId="0" applyFont="1" applyBorder="1" applyAlignment="1">
      <alignment horizontal="center" vertical="center"/>
    </xf>
    <xf numFmtId="0" fontId="103" fillId="0" borderId="5" xfId="0" applyFont="1" applyBorder="1" applyAlignment="1" applyProtection="1">
      <alignment horizontal="left" vertical="center" wrapText="1"/>
      <protection locked="0"/>
    </xf>
    <xf numFmtId="0" fontId="103" fillId="0" borderId="6" xfId="0" applyFont="1" applyBorder="1" applyAlignment="1" applyProtection="1">
      <alignment horizontal="left" vertical="center" wrapText="1"/>
      <protection locked="0"/>
    </xf>
    <xf numFmtId="0" fontId="157" fillId="14" borderId="17" xfId="0" applyFont="1" applyFill="1" applyBorder="1" applyAlignment="1">
      <alignment horizontal="center" vertical="center"/>
    </xf>
    <xf numFmtId="0" fontId="157" fillId="14" borderId="10" xfId="0" applyFont="1" applyFill="1" applyBorder="1" applyAlignment="1">
      <alignment horizontal="center" vertical="center"/>
    </xf>
    <xf numFmtId="10" fontId="170" fillId="0" borderId="17" xfId="2" applyNumberFormat="1" applyFont="1" applyBorder="1" applyAlignment="1" applyProtection="1">
      <alignment horizontal="center" vertical="center"/>
    </xf>
    <xf numFmtId="10" fontId="170" fillId="0" borderId="10" xfId="2" applyNumberFormat="1" applyFont="1" applyBorder="1" applyAlignment="1" applyProtection="1">
      <alignment horizontal="center" vertical="center"/>
    </xf>
    <xf numFmtId="0" fontId="174" fillId="8" borderId="5" xfId="3" applyFont="1" applyFill="1" applyBorder="1" applyAlignment="1" applyProtection="1">
      <alignment horizontal="left" vertical="center" wrapText="1"/>
      <protection locked="0"/>
    </xf>
    <xf numFmtId="0" fontId="174" fillId="8" borderId="6" xfId="0" applyFont="1" applyFill="1" applyBorder="1" applyAlignment="1" applyProtection="1">
      <alignment horizontal="left" vertical="center" wrapText="1"/>
      <protection locked="0"/>
    </xf>
    <xf numFmtId="0" fontId="103" fillId="8" borderId="5" xfId="0" applyFont="1" applyFill="1" applyBorder="1" applyAlignment="1" applyProtection="1">
      <alignment horizontal="center" vertical="center"/>
      <protection locked="0"/>
    </xf>
    <xf numFmtId="0" fontId="103" fillId="8" borderId="6" xfId="0" applyFont="1" applyFill="1" applyBorder="1" applyAlignment="1" applyProtection="1">
      <alignment horizontal="center" vertical="center"/>
      <protection locked="0"/>
    </xf>
    <xf numFmtId="0" fontId="15" fillId="6" borderId="94" xfId="0" applyFont="1" applyFill="1" applyBorder="1" applyAlignment="1" applyProtection="1">
      <alignment horizontal="center" vertical="center" wrapText="1"/>
      <protection locked="0"/>
    </xf>
    <xf numFmtId="0" fontId="15" fillId="6" borderId="95" xfId="0" applyFont="1" applyFill="1" applyBorder="1" applyAlignment="1" applyProtection="1">
      <alignment horizontal="center" vertical="center" wrapText="1"/>
      <protection locked="0"/>
    </xf>
    <xf numFmtId="0" fontId="158" fillId="16" borderId="17" xfId="0" applyFont="1" applyFill="1" applyBorder="1" applyAlignment="1">
      <alignment horizontal="center" vertical="center"/>
    </xf>
    <xf numFmtId="0" fontId="158" fillId="16" borderId="10" xfId="0" applyFont="1" applyFill="1" applyBorder="1" applyAlignment="1">
      <alignment horizontal="center" vertical="center"/>
    </xf>
    <xf numFmtId="164" fontId="170" fillId="0" borderId="17" xfId="0" applyNumberFormat="1" applyFont="1" applyBorder="1" applyAlignment="1">
      <alignment horizontal="center" vertical="center"/>
    </xf>
    <xf numFmtId="164" fontId="170" fillId="0" borderId="18" xfId="0" applyNumberFormat="1" applyFont="1" applyBorder="1" applyAlignment="1">
      <alignment horizontal="center" vertical="center"/>
    </xf>
    <xf numFmtId="165" fontId="169" fillId="10" borderId="100" xfId="0" applyNumberFormat="1" applyFont="1" applyFill="1" applyBorder="1" applyAlignment="1" applyProtection="1">
      <alignment horizontal="center" vertical="center"/>
      <protection locked="0"/>
    </xf>
    <xf numFmtId="165" fontId="169" fillId="10" borderId="117" xfId="0" applyNumberFormat="1" applyFont="1" applyFill="1" applyBorder="1" applyAlignment="1" applyProtection="1">
      <alignment horizontal="center" vertical="center"/>
      <protection locked="0"/>
    </xf>
    <xf numFmtId="0" fontId="15" fillId="6" borderId="27" xfId="0" applyFont="1" applyFill="1" applyBorder="1" applyAlignment="1" applyProtection="1">
      <alignment horizontal="center" vertical="center" wrapText="1"/>
      <protection locked="0"/>
    </xf>
    <xf numFmtId="0" fontId="15" fillId="6" borderId="28" xfId="0" applyFont="1" applyFill="1" applyBorder="1" applyAlignment="1" applyProtection="1">
      <alignment horizontal="center" vertical="center" wrapText="1"/>
      <protection locked="0"/>
    </xf>
    <xf numFmtId="0" fontId="15" fillId="6" borderId="51" xfId="0" applyFont="1" applyFill="1" applyBorder="1" applyAlignment="1" applyProtection="1">
      <alignment horizontal="center" vertical="center" wrapText="1"/>
      <protection locked="0"/>
    </xf>
    <xf numFmtId="0" fontId="15" fillId="6" borderId="115" xfId="0" applyFont="1" applyFill="1" applyBorder="1" applyAlignment="1" applyProtection="1">
      <alignment horizontal="center" vertical="center" wrapText="1"/>
      <protection locked="0"/>
    </xf>
    <xf numFmtId="165" fontId="169" fillId="10" borderId="94" xfId="0" applyNumberFormat="1" applyFont="1" applyFill="1" applyBorder="1" applyAlignment="1" applyProtection="1">
      <alignment horizontal="center" vertical="center"/>
      <protection locked="0"/>
    </xf>
    <xf numFmtId="165" fontId="169" fillId="10" borderId="95" xfId="0" applyNumberFormat="1" applyFont="1" applyFill="1" applyBorder="1" applyAlignment="1" applyProtection="1">
      <alignment horizontal="center" vertical="center"/>
      <protection locked="0"/>
    </xf>
    <xf numFmtId="165" fontId="169" fillId="10" borderId="51" xfId="0" applyNumberFormat="1" applyFont="1" applyFill="1" applyBorder="1" applyAlignment="1">
      <alignment horizontal="center" vertical="center"/>
    </xf>
    <xf numFmtId="165" fontId="169" fillId="10" borderId="115" xfId="0" applyNumberFormat="1" applyFont="1" applyFill="1" applyBorder="1" applyAlignment="1">
      <alignment horizontal="center" vertical="center"/>
    </xf>
    <xf numFmtId="0" fontId="103" fillId="0" borderId="5" xfId="0" applyFont="1" applyBorder="1" applyAlignment="1" applyProtection="1">
      <alignment vertical="center" wrapText="1"/>
      <protection locked="0"/>
    </xf>
    <xf numFmtId="0" fontId="103" fillId="0" borderId="5" xfId="0" applyFont="1" applyBorder="1" applyAlignment="1" applyProtection="1">
      <alignment horizontal="center" vertical="center" wrapText="1"/>
      <protection locked="0"/>
    </xf>
    <xf numFmtId="0" fontId="103" fillId="0" borderId="6" xfId="0" applyFont="1" applyBorder="1" applyAlignment="1" applyProtection="1">
      <alignment horizontal="center" vertical="center" wrapText="1"/>
      <protection locked="0"/>
    </xf>
    <xf numFmtId="0" fontId="103" fillId="8" borderId="5" xfId="0" applyFont="1" applyFill="1" applyBorder="1" applyAlignment="1" applyProtection="1">
      <alignment vertical="center" wrapText="1"/>
      <protection locked="0"/>
    </xf>
    <xf numFmtId="0" fontId="93" fillId="8" borderId="6" xfId="0" applyFont="1" applyFill="1" applyBorder="1" applyAlignment="1" applyProtection="1">
      <alignment vertical="center" wrapText="1"/>
      <protection locked="0"/>
    </xf>
    <xf numFmtId="0" fontId="93" fillId="8" borderId="5" xfId="0" applyFont="1" applyFill="1" applyBorder="1" applyAlignment="1" applyProtection="1">
      <alignment horizontal="left" vertical="center" wrapText="1"/>
      <protection locked="0"/>
    </xf>
    <xf numFmtId="0" fontId="93" fillId="8" borderId="6" xfId="0" applyFont="1" applyFill="1" applyBorder="1" applyAlignment="1" applyProtection="1">
      <alignment horizontal="left" vertical="center" wrapText="1"/>
      <protection locked="0"/>
    </xf>
    <xf numFmtId="0" fontId="158" fillId="20" borderId="17" xfId="0" applyFont="1" applyFill="1" applyBorder="1" applyAlignment="1">
      <alignment horizontal="center" vertical="center"/>
    </xf>
    <xf numFmtId="0" fontId="158" fillId="20" borderId="18" xfId="0" applyFont="1" applyFill="1" applyBorder="1" applyAlignment="1">
      <alignment horizontal="center" vertical="center"/>
    </xf>
    <xf numFmtId="164" fontId="169" fillId="0" borderId="15" xfId="0" applyNumberFormat="1" applyFont="1" applyBorder="1" applyAlignment="1">
      <alignment horizontal="center" vertical="center"/>
    </xf>
    <xf numFmtId="0" fontId="93" fillId="8" borderId="5" xfId="0" applyFont="1" applyFill="1" applyBorder="1" applyAlignment="1" applyProtection="1">
      <alignment horizontal="center" vertical="center"/>
      <protection locked="0"/>
    </xf>
    <xf numFmtId="0" fontId="93" fillId="8" borderId="6" xfId="0" applyFont="1" applyFill="1" applyBorder="1" applyAlignment="1" applyProtection="1">
      <alignment horizontal="center" vertical="center"/>
      <protection locked="0"/>
    </xf>
    <xf numFmtId="0" fontId="93" fillId="8" borderId="5" xfId="0" applyFont="1" applyFill="1" applyBorder="1" applyAlignment="1" applyProtection="1">
      <alignment vertical="center" wrapText="1"/>
      <protection locked="0"/>
    </xf>
    <xf numFmtId="0" fontId="175" fillId="0" borderId="6" xfId="3" applyFont="1" applyBorder="1" applyAlignment="1" applyProtection="1">
      <alignment horizontal="left" vertical="center" wrapText="1"/>
      <protection locked="0"/>
    </xf>
    <xf numFmtId="0" fontId="170" fillId="0" borderId="5" xfId="0" applyFont="1" applyBorder="1" applyAlignment="1" applyProtection="1">
      <alignment vertical="center" wrapText="1"/>
      <protection locked="0"/>
    </xf>
    <xf numFmtId="0" fontId="170" fillId="0" borderId="6" xfId="0" applyFont="1" applyBorder="1" applyAlignment="1" applyProtection="1">
      <alignment vertical="center" wrapText="1"/>
      <protection locked="0"/>
    </xf>
    <xf numFmtId="0" fontId="103" fillId="0" borderId="6" xfId="0" applyFont="1" applyBorder="1" applyAlignment="1" applyProtection="1">
      <alignment vertical="center" wrapText="1"/>
      <protection locked="0"/>
    </xf>
    <xf numFmtId="0" fontId="176" fillId="0" borderId="5" xfId="3" applyFont="1" applyBorder="1" applyAlignment="1" applyProtection="1">
      <alignment horizontal="left" vertical="center" wrapText="1"/>
      <protection locked="0"/>
    </xf>
    <xf numFmtId="0" fontId="176" fillId="0" borderId="6" xfId="0" applyFont="1" applyBorder="1" applyAlignment="1" applyProtection="1">
      <alignment horizontal="left" vertical="center" wrapText="1"/>
      <protection locked="0"/>
    </xf>
    <xf numFmtId="0" fontId="170" fillId="8" borderId="5" xfId="0" applyFont="1" applyFill="1" applyBorder="1" applyAlignment="1" applyProtection="1">
      <alignment vertical="center" wrapText="1"/>
      <protection locked="0"/>
    </xf>
    <xf numFmtId="0" fontId="170" fillId="8" borderId="6" xfId="0" applyFont="1" applyFill="1" applyBorder="1" applyAlignment="1" applyProtection="1">
      <alignment vertical="center" wrapText="1"/>
      <protection locked="0"/>
    </xf>
    <xf numFmtId="0" fontId="178" fillId="0" borderId="5" xfId="3" applyFont="1" applyBorder="1" applyAlignment="1" applyProtection="1">
      <alignment horizontal="left" vertical="center" wrapText="1"/>
      <protection locked="0"/>
    </xf>
    <xf numFmtId="0" fontId="175" fillId="8" borderId="6" xfId="3" applyFont="1" applyFill="1" applyBorder="1" applyAlignment="1" applyProtection="1">
      <alignment horizontal="left" vertical="center" wrapText="1"/>
      <protection locked="0"/>
    </xf>
    <xf numFmtId="44" fontId="15" fillId="67" borderId="5" xfId="1" applyFont="1" applyFill="1" applyBorder="1" applyAlignment="1" applyProtection="1">
      <alignment horizontal="center" vertical="center"/>
    </xf>
    <xf numFmtId="44" fontId="170" fillId="67" borderId="5" xfId="1" applyFont="1" applyFill="1" applyBorder="1" applyAlignment="1" applyProtection="1">
      <alignment horizontal="center" vertical="center"/>
    </xf>
    <xf numFmtId="44" fontId="170" fillId="0" borderId="6" xfId="1" applyFont="1" applyFill="1" applyBorder="1" applyAlignment="1" applyProtection="1">
      <alignment horizontal="center" vertical="center"/>
    </xf>
    <xf numFmtId="44" fontId="15" fillId="10" borderId="6" xfId="1" applyFont="1" applyFill="1" applyBorder="1" applyAlignment="1">
      <alignment horizontal="center" vertical="center"/>
    </xf>
    <xf numFmtId="44" fontId="15" fillId="0" borderId="111" xfId="0" applyNumberFormat="1"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67" borderId="5" xfId="0" applyFont="1" applyFill="1" applyBorder="1" applyAlignment="1">
      <alignment horizontal="center" vertical="center"/>
    </xf>
    <xf numFmtId="17" fontId="0" fillId="8" borderId="5" xfId="0" applyNumberFormat="1" applyFill="1" applyBorder="1" applyAlignment="1">
      <alignment horizontal="center" vertical="center" wrapText="1"/>
    </xf>
    <xf numFmtId="14" fontId="52" fillId="0" borderId="5" xfId="2" applyNumberFormat="1" applyFont="1" applyBorder="1" applyAlignment="1" applyProtection="1">
      <alignment horizontal="center" vertical="center"/>
      <protection locked="0"/>
    </xf>
    <xf numFmtId="14" fontId="52" fillId="0" borderId="6" xfId="2" applyNumberFormat="1" applyFont="1" applyBorder="1" applyAlignment="1" applyProtection="1">
      <alignment horizontal="center" vertical="center"/>
      <protection locked="0"/>
    </xf>
    <xf numFmtId="44" fontId="69" fillId="43" borderId="5" xfId="1" applyFont="1" applyFill="1" applyBorder="1" applyAlignment="1" applyProtection="1">
      <alignment horizontal="center" vertical="center"/>
      <protection locked="0"/>
    </xf>
    <xf numFmtId="44" fontId="69" fillId="43" borderId="6" xfId="1" applyFont="1" applyFill="1" applyBorder="1" applyAlignment="1" applyProtection="1">
      <alignment horizontal="center" vertical="center"/>
      <protection locked="0"/>
    </xf>
    <xf numFmtId="44" fontId="0" fillId="75" borderId="5" xfId="1" applyFont="1" applyFill="1" applyBorder="1" applyAlignment="1" applyProtection="1">
      <alignment horizontal="center" vertical="center"/>
      <protection locked="0"/>
    </xf>
    <xf numFmtId="44" fontId="0" fillId="75" borderId="6" xfId="1" applyFont="1" applyFill="1" applyBorder="1" applyAlignment="1" applyProtection="1">
      <alignment horizontal="center" vertical="center"/>
      <protection locked="0"/>
    </xf>
    <xf numFmtId="17" fontId="0" fillId="55" borderId="5" xfId="0" applyNumberFormat="1" applyFill="1" applyBorder="1" applyAlignment="1">
      <alignment horizontal="center" vertical="center" wrapText="1"/>
    </xf>
    <xf numFmtId="17" fontId="0" fillId="55" borderId="6" xfId="0" applyNumberFormat="1" applyFill="1" applyBorder="1" applyAlignment="1">
      <alignment horizontal="center" vertical="center" wrapText="1"/>
    </xf>
    <xf numFmtId="0" fontId="52" fillId="67" borderId="5" xfId="0" applyFont="1" applyFill="1" applyBorder="1" applyAlignment="1">
      <alignment horizontal="center" vertical="center"/>
    </xf>
    <xf numFmtId="0" fontId="52" fillId="67" borderId="6" xfId="0" applyFont="1" applyFill="1" applyBorder="1" applyAlignment="1">
      <alignment horizontal="center" vertical="center"/>
    </xf>
    <xf numFmtId="14" fontId="52" fillId="8" borderId="5" xfId="2" applyNumberFormat="1" applyFont="1" applyFill="1" applyBorder="1" applyAlignment="1" applyProtection="1">
      <alignment horizontal="center" vertical="center"/>
      <protection locked="0"/>
    </xf>
    <xf numFmtId="14" fontId="52" fillId="8" borderId="6" xfId="2" applyNumberFormat="1" applyFont="1" applyFill="1" applyBorder="1" applyAlignment="1" applyProtection="1">
      <alignment horizontal="center" vertical="center"/>
      <protection locked="0"/>
    </xf>
    <xf numFmtId="9" fontId="52" fillId="8" borderId="5" xfId="2" applyFont="1" applyFill="1" applyBorder="1" applyAlignment="1" applyProtection="1">
      <alignment horizontal="center" vertical="center" wrapText="1"/>
      <protection locked="0"/>
    </xf>
    <xf numFmtId="9" fontId="52" fillId="8" borderId="6" xfId="2" applyFont="1" applyFill="1" applyBorder="1" applyAlignment="1" applyProtection="1">
      <alignment horizontal="center" vertical="center" wrapText="1"/>
      <protection locked="0"/>
    </xf>
    <xf numFmtId="9" fontId="52" fillId="0" borderId="5" xfId="2" applyFont="1" applyBorder="1" applyAlignment="1" applyProtection="1">
      <alignment horizontal="center" vertical="center" wrapText="1"/>
      <protection locked="0"/>
    </xf>
    <xf numFmtId="44" fontId="52" fillId="67" borderId="5" xfId="1" applyFont="1" applyFill="1" applyBorder="1" applyAlignment="1" applyProtection="1">
      <alignment horizontal="center" vertical="center"/>
    </xf>
    <xf numFmtId="0" fontId="0" fillId="10" borderId="5" xfId="0" applyFill="1" applyBorder="1" applyAlignment="1">
      <alignment horizontal="center" vertical="center"/>
    </xf>
    <xf numFmtId="0" fontId="0" fillId="10" borderId="6" xfId="0" applyFill="1" applyBorder="1" applyAlignment="1">
      <alignment horizontal="center" vertical="center"/>
    </xf>
    <xf numFmtId="0" fontId="6" fillId="2" borderId="14" xfId="0" applyFont="1" applyFill="1" applyBorder="1" applyAlignment="1" applyProtection="1">
      <alignment horizontal="left"/>
      <protection locked="0"/>
    </xf>
    <xf numFmtId="9" fontId="0" fillId="0" borderId="5" xfId="2" applyFont="1" applyFill="1" applyBorder="1" applyAlignment="1" applyProtection="1">
      <alignment horizontal="center" vertical="center" wrapText="1"/>
      <protection locked="0"/>
    </xf>
    <xf numFmtId="9" fontId="0" fillId="0" borderId="6" xfId="2" applyFont="1" applyFill="1" applyBorder="1" applyAlignment="1" applyProtection="1">
      <alignment horizontal="center" vertical="center" wrapText="1"/>
      <protection locked="0"/>
    </xf>
    <xf numFmtId="0" fontId="64" fillId="11" borderId="58" xfId="0" applyFont="1" applyFill="1" applyBorder="1" applyAlignment="1" applyProtection="1">
      <alignment horizontal="center" vertical="center"/>
      <protection locked="0"/>
    </xf>
    <xf numFmtId="44" fontId="62" fillId="68" borderId="15" xfId="0" applyNumberFormat="1" applyFont="1" applyFill="1" applyBorder="1" applyAlignment="1" applyProtection="1">
      <alignment horizontal="left"/>
      <protection locked="0"/>
    </xf>
    <xf numFmtId="165" fontId="35" fillId="10" borderId="100" xfId="0" applyNumberFormat="1" applyFont="1" applyFill="1" applyBorder="1" applyAlignment="1" applyProtection="1">
      <alignment horizontal="center" vertical="center"/>
      <protection locked="0"/>
    </xf>
    <xf numFmtId="165" fontId="35" fillId="10" borderId="117" xfId="0" applyNumberFormat="1" applyFont="1" applyFill="1" applyBorder="1" applyAlignment="1" applyProtection="1">
      <alignment horizontal="center" vertical="center"/>
      <protection locked="0"/>
    </xf>
    <xf numFmtId="0" fontId="34" fillId="6" borderId="119" xfId="0" applyFont="1" applyFill="1" applyBorder="1" applyAlignment="1" applyProtection="1">
      <alignment horizontal="center" vertical="center" wrapText="1"/>
      <protection locked="0"/>
    </xf>
    <xf numFmtId="0" fontId="34" fillId="6" borderId="99" xfId="0" applyFont="1" applyFill="1" applyBorder="1" applyAlignment="1" applyProtection="1">
      <alignment horizontal="center" vertical="center" wrapText="1"/>
      <protection locked="0"/>
    </xf>
    <xf numFmtId="165" fontId="35" fillId="10" borderId="119" xfId="0" applyNumberFormat="1" applyFont="1" applyFill="1" applyBorder="1" applyAlignment="1" applyProtection="1">
      <alignment horizontal="center" vertical="center"/>
      <protection locked="0"/>
    </xf>
    <xf numFmtId="165" fontId="35" fillId="10" borderId="99" xfId="0" applyNumberFormat="1" applyFont="1" applyFill="1" applyBorder="1" applyAlignment="1" applyProtection="1">
      <alignment horizontal="center" vertical="center"/>
      <protection locked="0"/>
    </xf>
    <xf numFmtId="44" fontId="62" fillId="68" borderId="17" xfId="0" applyNumberFormat="1" applyFont="1" applyFill="1" applyBorder="1" applyAlignment="1" applyProtection="1">
      <alignment horizontal="left"/>
      <protection locked="0"/>
    </xf>
    <xf numFmtId="44" fontId="62" fillId="68" borderId="10" xfId="0" applyNumberFormat="1" applyFont="1" applyFill="1" applyBorder="1" applyAlignment="1" applyProtection="1">
      <alignment horizontal="left"/>
      <protection locked="0"/>
    </xf>
    <xf numFmtId="44" fontId="62" fillId="68" borderId="18" xfId="0" applyNumberFormat="1" applyFont="1" applyFill="1" applyBorder="1" applyAlignment="1" applyProtection="1">
      <alignment horizontal="left"/>
      <protection locked="0"/>
    </xf>
    <xf numFmtId="17" fontId="0" fillId="0" borderId="5" xfId="0" applyNumberFormat="1" applyBorder="1" applyAlignment="1">
      <alignment horizontal="center" vertical="center" wrapText="1"/>
    </xf>
    <xf numFmtId="44" fontId="0" fillId="0" borderId="5" xfId="1" applyFont="1" applyFill="1" applyBorder="1" applyAlignment="1">
      <alignment horizontal="center" vertical="center"/>
    </xf>
    <xf numFmtId="44" fontId="0" fillId="0" borderId="6" xfId="1" applyFont="1" applyFill="1" applyBorder="1" applyAlignment="1">
      <alignment horizontal="center" vertical="center"/>
    </xf>
    <xf numFmtId="9" fontId="52" fillId="0" borderId="6" xfId="2" applyFont="1" applyBorder="1" applyAlignment="1" applyProtection="1">
      <alignment horizontal="center" vertical="center" wrapText="1"/>
      <protection locked="0"/>
    </xf>
    <xf numFmtId="44" fontId="0" fillId="0" borderId="5" xfId="1" applyFont="1" applyFill="1" applyBorder="1" applyAlignment="1" applyProtection="1">
      <alignment horizontal="center" vertical="center"/>
    </xf>
    <xf numFmtId="44" fontId="0" fillId="0" borderId="6" xfId="1" applyFont="1" applyFill="1" applyBorder="1" applyAlignment="1" applyProtection="1">
      <alignment horizontal="center" vertical="center"/>
    </xf>
    <xf numFmtId="17" fontId="0" fillId="10" borderId="5" xfId="0" applyNumberFormat="1" applyFill="1" applyBorder="1" applyAlignment="1">
      <alignment horizontal="center" vertical="center" wrapText="1"/>
    </xf>
    <xf numFmtId="17" fontId="0" fillId="10" borderId="6" xfId="0" applyNumberFormat="1" applyFill="1" applyBorder="1" applyAlignment="1">
      <alignment horizontal="center" vertical="center" wrapText="1"/>
    </xf>
    <xf numFmtId="44" fontId="0" fillId="10" borderId="5" xfId="1" applyFont="1" applyFill="1" applyBorder="1" applyAlignment="1" applyProtection="1">
      <alignment horizontal="center" vertical="center"/>
    </xf>
    <xf numFmtId="44" fontId="0" fillId="10" borderId="6" xfId="1" applyFont="1" applyFill="1" applyBorder="1" applyAlignment="1" applyProtection="1">
      <alignment horizontal="center" vertical="center"/>
    </xf>
    <xf numFmtId="172" fontId="0" fillId="10" borderId="5" xfId="0" applyNumberFormat="1" applyFill="1" applyBorder="1" applyAlignment="1" applyProtection="1">
      <alignment horizontal="center" vertical="center" wrapText="1"/>
      <protection locked="0"/>
    </xf>
    <xf numFmtId="172" fontId="0" fillId="10" borderId="6" xfId="0" applyNumberFormat="1" applyFill="1" applyBorder="1" applyAlignment="1" applyProtection="1">
      <alignment horizontal="center" vertical="center" wrapText="1"/>
      <protection locked="0"/>
    </xf>
    <xf numFmtId="17" fontId="0" fillId="8" borderId="5" xfId="1" applyNumberFormat="1" applyFont="1" applyFill="1" applyBorder="1" applyAlignment="1" applyProtection="1">
      <alignment horizontal="center" vertical="center"/>
      <protection locked="0"/>
    </xf>
    <xf numFmtId="17" fontId="0" fillId="67" borderId="5" xfId="0" applyNumberFormat="1" applyFill="1" applyBorder="1" applyAlignment="1">
      <alignment horizontal="center" vertical="center" wrapText="1"/>
    </xf>
    <xf numFmtId="17" fontId="0" fillId="67" borderId="6" xfId="0" applyNumberFormat="1" applyFill="1" applyBorder="1" applyAlignment="1">
      <alignment horizontal="center" vertical="center" wrapText="1"/>
    </xf>
    <xf numFmtId="44" fontId="0" fillId="55" borderId="6" xfId="1" applyFont="1" applyFill="1" applyBorder="1" applyAlignment="1" applyProtection="1">
      <alignment horizontal="center" vertical="center"/>
    </xf>
    <xf numFmtId="44" fontId="1" fillId="0" borderId="5" xfId="1" applyFont="1" applyFill="1" applyBorder="1" applyAlignment="1" applyProtection="1">
      <alignment horizontal="center" vertical="center"/>
      <protection locked="0"/>
    </xf>
    <xf numFmtId="44" fontId="1" fillId="0" borderId="6" xfId="1" applyFont="1" applyFill="1" applyBorder="1" applyAlignment="1" applyProtection="1">
      <alignment horizontal="center" vertical="center"/>
      <protection locked="0"/>
    </xf>
    <xf numFmtId="17" fontId="0" fillId="10" borderId="5" xfId="0" applyNumberFormat="1" applyFill="1" applyBorder="1" applyAlignment="1" applyProtection="1">
      <alignment horizontal="center" vertical="center" wrapText="1"/>
      <protection locked="0"/>
    </xf>
    <xf numFmtId="17" fontId="0" fillId="10" borderId="6" xfId="0" applyNumberFormat="1" applyFill="1" applyBorder="1" applyAlignment="1" applyProtection="1">
      <alignment horizontal="center" vertical="center" wrapText="1"/>
      <protection locked="0"/>
    </xf>
    <xf numFmtId="44" fontId="55" fillId="10" borderId="5" xfId="1" applyFont="1" applyFill="1" applyBorder="1" applyAlignment="1" applyProtection="1">
      <alignment horizontal="center" vertical="center"/>
      <protection locked="0"/>
    </xf>
    <xf numFmtId="44" fontId="55" fillId="10" borderId="6" xfId="1" applyFont="1" applyFill="1" applyBorder="1" applyAlignment="1" applyProtection="1">
      <alignment horizontal="center" vertical="center"/>
      <protection locked="0"/>
    </xf>
    <xf numFmtId="44" fontId="0" fillId="55" borderId="5" xfId="1" applyFont="1" applyFill="1" applyBorder="1" applyAlignment="1" applyProtection="1">
      <alignment horizontal="center" vertical="center"/>
    </xf>
    <xf numFmtId="44" fontId="0" fillId="0" borderId="5" xfId="1" applyFont="1" applyFill="1" applyBorder="1" applyAlignment="1" applyProtection="1">
      <alignment horizontal="center" vertical="center" wrapText="1"/>
      <protection locked="0"/>
    </xf>
    <xf numFmtId="44" fontId="0" fillId="0" borderId="6" xfId="1" applyFont="1" applyFill="1" applyBorder="1" applyAlignment="1" applyProtection="1">
      <alignment horizontal="center" vertical="center" wrapText="1"/>
      <protection locked="0"/>
    </xf>
    <xf numFmtId="0" fontId="17" fillId="14" borderId="10" xfId="0" applyFont="1" applyFill="1" applyBorder="1" applyAlignment="1">
      <alignment horizontal="center" vertical="center"/>
    </xf>
    <xf numFmtId="44" fontId="58" fillId="0" borderId="5" xfId="1" applyFont="1" applyFill="1" applyBorder="1" applyAlignment="1" applyProtection="1">
      <alignment horizontal="center" vertical="center"/>
      <protection locked="0"/>
    </xf>
    <xf numFmtId="44" fontId="58" fillId="0" borderId="6" xfId="1" applyFont="1" applyFill="1" applyBorder="1" applyAlignment="1" applyProtection="1">
      <alignment horizontal="center" vertical="center"/>
      <protection locked="0"/>
    </xf>
    <xf numFmtId="0" fontId="154" fillId="10" borderId="5" xfId="0" applyFont="1" applyFill="1" applyBorder="1" applyAlignment="1">
      <alignment horizontal="center" vertical="center"/>
    </xf>
    <xf numFmtId="0" fontId="154" fillId="10" borderId="6" xfId="0" applyFont="1" applyFill="1" applyBorder="1" applyAlignment="1">
      <alignment horizontal="center" vertical="center"/>
    </xf>
    <xf numFmtId="44" fontId="154" fillId="0" borderId="5" xfId="1" applyFont="1" applyBorder="1" applyAlignment="1">
      <alignment horizontal="center" vertical="center"/>
    </xf>
    <xf numFmtId="44" fontId="154" fillId="0" borderId="6" xfId="1" applyFont="1" applyBorder="1" applyAlignment="1">
      <alignment horizontal="center" vertical="center"/>
    </xf>
    <xf numFmtId="0" fontId="134" fillId="0" borderId="121" xfId="0" applyFont="1" applyBorder="1" applyAlignment="1">
      <alignment horizontal="center" vertical="center"/>
    </xf>
    <xf numFmtId="0" fontId="134" fillId="0" borderId="122" xfId="0" applyFont="1" applyBorder="1" applyAlignment="1">
      <alignment horizontal="center" vertical="center"/>
    </xf>
    <xf numFmtId="0" fontId="134" fillId="0" borderId="123" xfId="0" applyFont="1" applyBorder="1" applyAlignment="1">
      <alignment horizontal="center" vertical="center"/>
    </xf>
    <xf numFmtId="164" fontId="26" fillId="0" borderId="17" xfId="0" applyNumberFormat="1" applyFont="1" applyBorder="1" applyAlignment="1">
      <alignment horizontal="center" vertical="center"/>
    </xf>
    <xf numFmtId="164" fontId="26" fillId="0" borderId="18" xfId="0" applyNumberFormat="1" applyFont="1" applyBorder="1" applyAlignment="1">
      <alignment horizontal="center" vertical="center"/>
    </xf>
    <xf numFmtId="10" fontId="25" fillId="0" borderId="10" xfId="2" applyNumberFormat="1" applyFont="1" applyBorder="1" applyAlignment="1" applyProtection="1">
      <alignment horizontal="center" vertical="center"/>
    </xf>
    <xf numFmtId="44" fontId="0" fillId="0" borderId="5" xfId="1" applyFont="1" applyBorder="1" applyAlignment="1" applyProtection="1">
      <alignment horizontal="center" vertical="center" wrapText="1"/>
      <protection locked="0"/>
    </xf>
    <xf numFmtId="44" fontId="0" fillId="0" borderId="6" xfId="1" applyFont="1" applyBorder="1" applyAlignment="1" applyProtection="1">
      <alignment horizontal="center" vertical="center" wrapText="1"/>
      <protection locked="0"/>
    </xf>
    <xf numFmtId="0" fontId="0" fillId="0" borderId="5" xfId="0" applyBorder="1" applyAlignment="1">
      <alignment horizontal="center" vertical="center" wrapText="1"/>
    </xf>
    <xf numFmtId="0" fontId="0" fillId="0" borderId="6" xfId="0" applyBorder="1" applyAlignment="1">
      <alignment horizontal="center" vertical="center" wrapText="1"/>
    </xf>
    <xf numFmtId="44" fontId="0" fillId="0" borderId="5" xfId="1" applyFont="1" applyBorder="1" applyAlignment="1">
      <alignment horizontal="center" vertical="center" wrapText="1"/>
    </xf>
    <xf numFmtId="44" fontId="0" fillId="0" borderId="6" xfId="1" applyFont="1" applyBorder="1" applyAlignment="1">
      <alignment horizontal="center" vertical="center" wrapText="1"/>
    </xf>
    <xf numFmtId="0" fontId="0" fillId="0" borderId="5" xfId="1" applyNumberFormat="1" applyFont="1" applyBorder="1" applyAlignment="1" applyProtection="1">
      <alignment horizontal="center" vertical="center" wrapText="1"/>
      <protection locked="0"/>
    </xf>
    <xf numFmtId="0" fontId="0" fillId="0" borderId="6" xfId="1" applyNumberFormat="1" applyFont="1" applyBorder="1" applyAlignment="1" applyProtection="1">
      <alignment horizontal="center" vertical="center" wrapText="1"/>
      <protection locked="0"/>
    </xf>
    <xf numFmtId="0" fontId="0" fillId="8" borderId="5" xfId="0" applyFill="1" applyBorder="1" applyAlignment="1">
      <alignment horizontal="center" vertical="center" wrapText="1"/>
    </xf>
    <xf numFmtId="0" fontId="0" fillId="8" borderId="6" xfId="0" applyFill="1" applyBorder="1" applyAlignment="1">
      <alignment horizontal="center" vertical="center" wrapText="1"/>
    </xf>
    <xf numFmtId="44" fontId="0" fillId="8" borderId="5" xfId="1" applyFont="1" applyFill="1" applyBorder="1" applyAlignment="1">
      <alignment horizontal="center" vertical="center" wrapText="1"/>
    </xf>
    <xf numFmtId="44" fontId="0" fillId="8" borderId="6" xfId="1" applyFont="1" applyFill="1" applyBorder="1" applyAlignment="1">
      <alignment horizontal="center" vertical="center" wrapText="1"/>
    </xf>
    <xf numFmtId="0" fontId="0" fillId="8" borderId="5" xfId="1" applyNumberFormat="1" applyFont="1" applyFill="1" applyBorder="1" applyAlignment="1" applyProtection="1">
      <alignment horizontal="center" vertical="center" wrapText="1"/>
      <protection locked="0"/>
    </xf>
    <xf numFmtId="0" fontId="0" fillId="8" borderId="6" xfId="1" applyNumberFormat="1" applyFont="1" applyFill="1" applyBorder="1" applyAlignment="1" applyProtection="1">
      <alignment horizontal="center" vertical="center" wrapText="1"/>
      <protection locked="0"/>
    </xf>
    <xf numFmtId="0" fontId="31" fillId="8" borderId="5" xfId="3" applyFill="1" applyBorder="1" applyAlignment="1">
      <alignment horizontal="center" vertical="center" wrapText="1"/>
    </xf>
    <xf numFmtId="0" fontId="31" fillId="8" borderId="6" xfId="3" applyFill="1" applyBorder="1" applyAlignment="1">
      <alignment horizontal="center" vertical="center" wrapText="1"/>
    </xf>
    <xf numFmtId="0" fontId="6" fillId="2" borderId="4" xfId="0" applyFont="1" applyFill="1" applyBorder="1" applyAlignment="1" applyProtection="1">
      <alignment horizontal="left"/>
      <protection locked="0"/>
    </xf>
    <xf numFmtId="0" fontId="6" fillId="12" borderId="16" xfId="0" applyFont="1" applyFill="1" applyBorder="1" applyAlignment="1">
      <alignment horizontal="center" vertical="center"/>
    </xf>
    <xf numFmtId="0" fontId="24" fillId="10" borderId="0" xfId="0" applyFont="1" applyFill="1" applyAlignment="1">
      <alignment horizontal="center"/>
    </xf>
    <xf numFmtId="164" fontId="19" fillId="0" borderId="15" xfId="0" applyNumberFormat="1" applyFont="1" applyBorder="1" applyAlignment="1">
      <alignment horizontal="center" vertical="center"/>
    </xf>
    <xf numFmtId="164" fontId="20" fillId="0" borderId="15" xfId="0" applyNumberFormat="1" applyFont="1" applyBorder="1" applyAlignment="1">
      <alignment horizontal="center" vertical="center"/>
    </xf>
    <xf numFmtId="164" fontId="26" fillId="0" borderId="15" xfId="0" applyNumberFormat="1" applyFont="1" applyBorder="1" applyAlignment="1">
      <alignment horizontal="center" vertical="center"/>
    </xf>
    <xf numFmtId="10" fontId="25" fillId="0" borderId="15" xfId="2" applyNumberFormat="1" applyFont="1" applyBorder="1" applyAlignment="1">
      <alignment horizontal="center" vertical="center"/>
    </xf>
    <xf numFmtId="10" fontId="0" fillId="0" borderId="15" xfId="2" applyNumberFormat="1" applyFont="1" applyBorder="1" applyAlignment="1"/>
    <xf numFmtId="0" fontId="21" fillId="0" borderId="15" xfId="0" applyFont="1" applyBorder="1" applyAlignment="1">
      <alignment horizontal="center" vertical="center"/>
    </xf>
    <xf numFmtId="0" fontId="0" fillId="0" borderId="15" xfId="0" applyBorder="1"/>
    <xf numFmtId="0" fontId="17" fillId="14" borderId="15" xfId="0" applyFont="1" applyFill="1" applyBorder="1" applyAlignment="1">
      <alignment horizontal="center" vertical="center"/>
    </xf>
    <xf numFmtId="0" fontId="17" fillId="15" borderId="15" xfId="0" applyFont="1" applyFill="1" applyBorder="1" applyAlignment="1">
      <alignment horizontal="center" vertical="center"/>
    </xf>
    <xf numFmtId="0" fontId="27" fillId="16" borderId="15" xfId="0" applyFont="1" applyFill="1" applyBorder="1" applyAlignment="1">
      <alignment horizontal="center" vertical="center"/>
    </xf>
    <xf numFmtId="0" fontId="0" fillId="0" borderId="0" xfId="0" applyProtection="1">
      <protection locked="0"/>
    </xf>
    <xf numFmtId="0" fontId="16" fillId="0" borderId="0" xfId="0" applyFont="1" applyProtection="1">
      <protection locked="0"/>
    </xf>
    <xf numFmtId="0" fontId="0" fillId="0" borderId="0" xfId="0" applyAlignment="1">
      <alignment horizontal="center"/>
    </xf>
    <xf numFmtId="0" fontId="0" fillId="0" borderId="0" xfId="0" applyAlignment="1">
      <alignment horizontal="center" vertical="center" textRotation="90"/>
    </xf>
    <xf numFmtId="10" fontId="25" fillId="0" borderId="15" xfId="2" applyNumberFormat="1" applyFont="1" applyBorder="1" applyAlignment="1" applyProtection="1">
      <alignment horizontal="center" vertical="center"/>
    </xf>
    <xf numFmtId="10" fontId="0" fillId="0" borderId="15" xfId="2" applyNumberFormat="1" applyFont="1" applyBorder="1" applyAlignment="1" applyProtection="1"/>
    <xf numFmtId="0" fontId="31" fillId="8" borderId="5" xfId="3" applyFill="1" applyBorder="1" applyAlignment="1" applyProtection="1">
      <alignment horizontal="center" vertical="center" wrapText="1"/>
    </xf>
    <xf numFmtId="0" fontId="31" fillId="8" borderId="6" xfId="3" applyFill="1" applyBorder="1" applyAlignment="1" applyProtection="1">
      <alignment horizontal="center" vertical="center" wrapText="1"/>
    </xf>
    <xf numFmtId="44" fontId="0" fillId="8" borderId="5" xfId="1" applyFont="1" applyFill="1" applyBorder="1" applyAlignment="1" applyProtection="1">
      <alignment horizontal="center" vertical="center" wrapText="1"/>
    </xf>
    <xf numFmtId="44" fontId="0" fillId="8" borderId="6" xfId="1" applyFont="1" applyFill="1" applyBorder="1" applyAlignment="1" applyProtection="1">
      <alignment horizontal="center" vertical="center" wrapText="1"/>
    </xf>
    <xf numFmtId="44" fontId="0" fillId="0" borderId="5" xfId="1" applyFont="1" applyBorder="1" applyAlignment="1" applyProtection="1">
      <alignment horizontal="center" vertical="center" wrapText="1"/>
    </xf>
    <xf numFmtId="44" fontId="0" fillId="0" borderId="6" xfId="1" applyFont="1" applyBorder="1" applyAlignment="1" applyProtection="1">
      <alignment horizontal="center" vertical="center" wrapText="1"/>
    </xf>
    <xf numFmtId="0" fontId="50" fillId="6" borderId="80" xfId="0" applyFont="1" applyFill="1" applyBorder="1" applyAlignment="1" applyProtection="1">
      <alignment horizontal="center" vertical="center"/>
      <protection locked="0"/>
    </xf>
    <xf numFmtId="0" fontId="50" fillId="6" borderId="81" xfId="0" applyFont="1" applyFill="1" applyBorder="1" applyAlignment="1" applyProtection="1">
      <alignment horizontal="center" vertical="center"/>
      <protection locked="0"/>
    </xf>
    <xf numFmtId="0" fontId="50" fillId="6" borderId="82" xfId="0" applyFont="1" applyFill="1" applyBorder="1" applyAlignment="1" applyProtection="1">
      <alignment horizontal="center" vertical="center"/>
      <protection locked="0"/>
    </xf>
    <xf numFmtId="164" fontId="19" fillId="0" borderId="15" xfId="0" applyNumberFormat="1" applyFont="1" applyBorder="1" applyAlignment="1" applyProtection="1">
      <alignment horizontal="center" vertical="center"/>
      <protection locked="0"/>
    </xf>
    <xf numFmtId="164" fontId="20" fillId="0" borderId="15" xfId="0" applyNumberFormat="1" applyFont="1" applyBorder="1" applyAlignment="1" applyProtection="1">
      <alignment horizontal="center" vertical="center"/>
      <protection locked="0"/>
    </xf>
    <xf numFmtId="164" fontId="29" fillId="0" borderId="15" xfId="0" applyNumberFormat="1" applyFont="1" applyBorder="1" applyAlignment="1" applyProtection="1">
      <alignment horizontal="center" vertical="center"/>
      <protection locked="0"/>
    </xf>
    <xf numFmtId="164" fontId="26" fillId="0" borderId="15" xfId="0" applyNumberFormat="1" applyFont="1" applyBorder="1" applyAlignment="1" applyProtection="1">
      <alignment horizontal="center" vertical="center"/>
      <protection locked="0"/>
    </xf>
    <xf numFmtId="10" fontId="25" fillId="0" borderId="17" xfId="2" applyNumberFormat="1" applyFont="1" applyBorder="1" applyAlignment="1" applyProtection="1">
      <alignment horizontal="center" vertical="center"/>
      <protection locked="0"/>
    </xf>
    <xf numFmtId="10" fontId="25" fillId="0" borderId="18" xfId="2" applyNumberFormat="1" applyFont="1" applyBorder="1" applyAlignment="1" applyProtection="1">
      <alignment horizontal="center" vertical="center"/>
      <protection locked="0"/>
    </xf>
    <xf numFmtId="0" fontId="21" fillId="0" borderId="17" xfId="0" applyFont="1" applyBorder="1" applyAlignment="1" applyProtection="1">
      <alignment horizontal="center" vertical="center"/>
      <protection locked="0"/>
    </xf>
    <xf numFmtId="0" fontId="21" fillId="0" borderId="18" xfId="0" applyFont="1" applyBorder="1" applyAlignment="1" applyProtection="1">
      <alignment horizontal="center" vertical="center"/>
      <protection locked="0"/>
    </xf>
    <xf numFmtId="0" fontId="17" fillId="14" borderId="15" xfId="0" applyFont="1" applyFill="1" applyBorder="1" applyAlignment="1" applyProtection="1">
      <alignment horizontal="center" vertical="center"/>
      <protection locked="0"/>
    </xf>
    <xf numFmtId="0" fontId="17" fillId="15" borderId="15" xfId="0" applyFont="1" applyFill="1" applyBorder="1" applyAlignment="1" applyProtection="1">
      <alignment horizontal="center" vertical="center"/>
      <protection locked="0"/>
    </xf>
    <xf numFmtId="0" fontId="27" fillId="16" borderId="15" xfId="0" applyFont="1" applyFill="1" applyBorder="1" applyAlignment="1" applyProtection="1">
      <alignment horizontal="center" vertical="center"/>
      <protection locked="0"/>
    </xf>
    <xf numFmtId="0" fontId="6" fillId="12" borderId="16" xfId="0" applyFont="1" applyFill="1" applyBorder="1" applyAlignment="1" applyProtection="1">
      <alignment horizontal="center" vertical="center"/>
      <protection locked="0"/>
    </xf>
    <xf numFmtId="0" fontId="6" fillId="25" borderId="29" xfId="0" applyFont="1" applyFill="1" applyBorder="1" applyAlignment="1" applyProtection="1">
      <alignment horizontal="center" vertical="center"/>
      <protection locked="0"/>
    </xf>
    <xf numFmtId="0" fontId="6" fillId="25" borderId="30" xfId="0" applyFont="1" applyFill="1" applyBorder="1" applyAlignment="1" applyProtection="1">
      <alignment horizontal="center" vertical="center"/>
      <protection locked="0"/>
    </xf>
    <xf numFmtId="0" fontId="6" fillId="25" borderId="31" xfId="0" applyFont="1" applyFill="1" applyBorder="1" applyAlignment="1" applyProtection="1">
      <alignment horizontal="center" vertical="center"/>
      <protection locked="0"/>
    </xf>
    <xf numFmtId="171" fontId="65" fillId="0" borderId="79" xfId="0" applyNumberFormat="1" applyFont="1" applyBorder="1" applyAlignment="1" applyProtection="1">
      <alignment horizontal="center" vertical="center"/>
      <protection locked="0"/>
    </xf>
    <xf numFmtId="171" fontId="65" fillId="0" borderId="0" xfId="0" applyNumberFormat="1" applyFont="1" applyAlignment="1" applyProtection="1">
      <alignment horizontal="center" vertical="center"/>
      <protection locked="0"/>
    </xf>
    <xf numFmtId="0" fontId="0" fillId="8" borderId="5" xfId="0" applyFill="1" applyBorder="1" applyAlignment="1">
      <alignment horizontal="center" vertical="center"/>
    </xf>
    <xf numFmtId="0" fontId="53" fillId="8" borderId="5" xfId="0" applyFont="1" applyFill="1" applyBorder="1" applyAlignment="1" applyProtection="1">
      <alignment horizontal="left" vertical="center" wrapText="1"/>
      <protection locked="0"/>
    </xf>
    <xf numFmtId="0" fontId="53" fillId="0" borderId="5" xfId="0" applyFont="1" applyBorder="1" applyAlignment="1" applyProtection="1">
      <alignment horizontal="left" vertical="center" wrapText="1"/>
      <protection locked="0"/>
    </xf>
    <xf numFmtId="0" fontId="0" fillId="10" borderId="11" xfId="0" applyFill="1" applyBorder="1" applyAlignment="1" applyProtection="1">
      <alignment horizontal="left" vertical="center"/>
      <protection locked="0"/>
    </xf>
    <xf numFmtId="0" fontId="0" fillId="10" borderId="13" xfId="0" applyFill="1" applyBorder="1" applyAlignment="1" applyProtection="1">
      <alignment horizontal="left" vertical="center"/>
      <protection locked="0"/>
    </xf>
    <xf numFmtId="0" fontId="0" fillId="10" borderId="44" xfId="0" applyFill="1" applyBorder="1" applyAlignment="1" applyProtection="1">
      <alignment horizontal="left" vertical="center"/>
      <protection locked="0"/>
    </xf>
    <xf numFmtId="0" fontId="69" fillId="8" borderId="11" xfId="0" applyFont="1" applyFill="1" applyBorder="1" applyAlignment="1" applyProtection="1">
      <alignment horizontal="left" vertical="center"/>
      <protection locked="0"/>
    </xf>
    <xf numFmtId="0" fontId="69" fillId="8" borderId="13" xfId="0" applyFont="1" applyFill="1" applyBorder="1" applyAlignment="1" applyProtection="1">
      <alignment horizontal="left" vertical="center"/>
      <protection locked="0"/>
    </xf>
    <xf numFmtId="0" fontId="69" fillId="8" borderId="44" xfId="0" applyFont="1" applyFill="1" applyBorder="1" applyAlignment="1" applyProtection="1">
      <alignment horizontal="left" vertical="center"/>
      <protection locked="0"/>
    </xf>
    <xf numFmtId="0" fontId="69" fillId="10" borderId="11" xfId="0" applyFont="1" applyFill="1" applyBorder="1" applyAlignment="1" applyProtection="1">
      <alignment horizontal="left" vertical="center"/>
      <protection locked="0"/>
    </xf>
    <xf numFmtId="0" fontId="69" fillId="10" borderId="13" xfId="0" applyFont="1" applyFill="1" applyBorder="1" applyAlignment="1" applyProtection="1">
      <alignment horizontal="left" vertical="center"/>
      <protection locked="0"/>
    </xf>
    <xf numFmtId="0" fontId="69" fillId="10" borderId="44" xfId="0" applyFont="1" applyFill="1" applyBorder="1" applyAlignment="1" applyProtection="1">
      <alignment horizontal="left" vertical="center"/>
      <protection locked="0"/>
    </xf>
    <xf numFmtId="14" fontId="52" fillId="0" borderId="138" xfId="2" applyNumberFormat="1" applyFont="1" applyBorder="1" applyAlignment="1" applyProtection="1">
      <alignment horizontal="center" vertical="center"/>
      <protection locked="0"/>
    </xf>
    <xf numFmtId="14" fontId="52" fillId="0" borderId="142" xfId="2" applyNumberFormat="1" applyFont="1" applyBorder="1" applyAlignment="1" applyProtection="1">
      <alignment horizontal="center" vertical="center"/>
      <protection locked="0"/>
    </xf>
    <xf numFmtId="14" fontId="69" fillId="8" borderId="6" xfId="2" applyNumberFormat="1" applyFont="1" applyFill="1" applyBorder="1" applyAlignment="1" applyProtection="1">
      <alignment horizontal="center" vertical="center"/>
      <protection locked="0"/>
    </xf>
    <xf numFmtId="14" fontId="69" fillId="0" borderId="6" xfId="2" applyNumberFormat="1" applyFont="1" applyBorder="1" applyAlignment="1" applyProtection="1">
      <alignment horizontal="center" vertical="center"/>
      <protection locked="0"/>
    </xf>
    <xf numFmtId="9" fontId="52" fillId="0" borderId="98" xfId="2" applyFont="1" applyBorder="1" applyAlignment="1" applyProtection="1">
      <alignment horizontal="center" vertical="center" wrapText="1"/>
      <protection locked="0"/>
    </xf>
    <xf numFmtId="0" fontId="134" fillId="0" borderId="53" xfId="0" applyFont="1" applyBorder="1" applyAlignment="1">
      <alignment horizontal="center" vertical="center"/>
    </xf>
    <xf numFmtId="0" fontId="134" fillId="0" borderId="118" xfId="0" applyFont="1" applyBorder="1" applyAlignment="1">
      <alignment horizontal="center" vertical="center"/>
    </xf>
    <xf numFmtId="0" fontId="134" fillId="0" borderId="74" xfId="0" applyFont="1" applyBorder="1" applyAlignment="1">
      <alignment horizontal="center" vertical="center"/>
    </xf>
    <xf numFmtId="10" fontId="26" fillId="0" borderId="15" xfId="2" applyNumberFormat="1" applyFont="1" applyBorder="1" applyAlignment="1" applyProtection="1">
      <alignment horizontal="center" vertical="center"/>
      <protection locked="0"/>
    </xf>
    <xf numFmtId="0" fontId="0" fillId="10" borderId="11" xfId="0" applyFill="1" applyBorder="1" applyAlignment="1" applyProtection="1">
      <alignment horizontal="center" vertical="center"/>
      <protection locked="0"/>
    </xf>
    <xf numFmtId="0" fontId="0" fillId="10" borderId="44" xfId="0" applyFill="1" applyBorder="1" applyAlignment="1" applyProtection="1">
      <alignment horizontal="center" vertical="center"/>
      <protection locked="0"/>
    </xf>
    <xf numFmtId="0" fontId="128" fillId="8" borderId="11" xfId="0" applyFont="1" applyFill="1" applyBorder="1" applyAlignment="1" applyProtection="1">
      <alignment horizontal="center" vertical="center"/>
      <protection locked="0"/>
    </xf>
    <xf numFmtId="0" fontId="128" fillId="8" borderId="44" xfId="0" applyFont="1" applyFill="1" applyBorder="1" applyAlignment="1" applyProtection="1">
      <alignment horizontal="center" vertical="center"/>
      <protection locked="0"/>
    </xf>
    <xf numFmtId="0" fontId="0" fillId="8" borderId="11" xfId="0" applyFill="1" applyBorder="1" applyAlignment="1" applyProtection="1">
      <alignment horizontal="center" vertical="center"/>
      <protection locked="0"/>
    </xf>
    <xf numFmtId="0" fontId="0" fillId="8" borderId="44" xfId="0" applyFill="1" applyBorder="1" applyAlignment="1" applyProtection="1">
      <alignment horizontal="center" vertical="center"/>
      <protection locked="0"/>
    </xf>
    <xf numFmtId="9" fontId="0" fillId="8" borderId="137" xfId="2" applyFont="1" applyFill="1" applyBorder="1" applyAlignment="1" applyProtection="1">
      <alignment horizontal="center" vertical="center"/>
      <protection locked="0"/>
    </xf>
    <xf numFmtId="9" fontId="0" fillId="8" borderId="140" xfId="2" applyFont="1" applyFill="1" applyBorder="1" applyAlignment="1" applyProtection="1">
      <alignment horizontal="center" vertical="center"/>
      <protection locked="0"/>
    </xf>
    <xf numFmtId="44" fontId="0" fillId="71" borderId="5" xfId="1" applyFont="1" applyFill="1" applyBorder="1" applyAlignment="1" applyProtection="1">
      <alignment horizontal="center" vertical="center"/>
      <protection locked="0"/>
    </xf>
    <xf numFmtId="172" fontId="16" fillId="8" borderId="145" xfId="0" applyNumberFormat="1" applyFont="1" applyFill="1" applyBorder="1" applyAlignment="1" applyProtection="1">
      <alignment horizontal="center" vertical="center" wrapText="1"/>
      <protection locked="0"/>
    </xf>
    <xf numFmtId="172" fontId="16" fillId="8" borderId="146" xfId="0" applyNumberFormat="1" applyFont="1" applyFill="1" applyBorder="1" applyAlignment="1" applyProtection="1">
      <alignment horizontal="center" vertical="center" wrapText="1"/>
      <protection locked="0"/>
    </xf>
    <xf numFmtId="9" fontId="52" fillId="0" borderId="137" xfId="2" applyFont="1" applyBorder="1" applyAlignment="1" applyProtection="1">
      <alignment horizontal="center" vertical="center" wrapText="1"/>
      <protection locked="0"/>
    </xf>
    <xf numFmtId="9" fontId="52" fillId="0" borderId="141" xfId="2" applyFont="1" applyBorder="1" applyAlignment="1" applyProtection="1">
      <alignment horizontal="center" vertical="center"/>
      <protection locked="0"/>
    </xf>
    <xf numFmtId="14" fontId="52" fillId="0" borderId="98" xfId="2" applyNumberFormat="1" applyFont="1" applyBorder="1" applyAlignment="1" applyProtection="1">
      <alignment horizontal="center" vertical="center"/>
      <protection locked="0"/>
    </xf>
    <xf numFmtId="17" fontId="16" fillId="60" borderId="6" xfId="0" applyNumberFormat="1" applyFont="1" applyFill="1" applyBorder="1" applyAlignment="1">
      <alignment horizontal="center" vertical="center" wrapText="1"/>
    </xf>
    <xf numFmtId="44" fontId="94" fillId="0" borderId="5" xfId="1" applyFont="1" applyBorder="1" applyAlignment="1" applyProtection="1">
      <alignment horizontal="center" vertical="center"/>
      <protection locked="0"/>
    </xf>
    <xf numFmtId="44" fontId="52" fillId="8" borderId="5" xfId="1" applyFont="1" applyFill="1" applyBorder="1" applyAlignment="1" applyProtection="1">
      <alignment horizontal="center" vertical="center" wrapText="1"/>
    </xf>
    <xf numFmtId="172" fontId="67" fillId="10" borderId="5" xfId="0" applyNumberFormat="1" applyFont="1" applyFill="1" applyBorder="1" applyAlignment="1" applyProtection="1">
      <alignment horizontal="center" vertical="center" wrapText="1"/>
      <protection locked="0"/>
    </xf>
    <xf numFmtId="9" fontId="52" fillId="0" borderId="98" xfId="2" applyFont="1" applyBorder="1" applyAlignment="1" applyProtection="1">
      <alignment horizontal="center" vertical="center"/>
      <protection locked="0"/>
    </xf>
    <xf numFmtId="0" fontId="31" fillId="8" borderId="8" xfId="3" applyFill="1" applyBorder="1" applyAlignment="1" applyProtection="1">
      <alignment horizontal="left" vertical="center" wrapText="1"/>
      <protection locked="0"/>
    </xf>
    <xf numFmtId="0" fontId="34" fillId="6" borderId="126" xfId="0" applyFont="1" applyFill="1" applyBorder="1" applyAlignment="1" applyProtection="1">
      <alignment horizontal="center" vertical="center" wrapText="1"/>
      <protection locked="0"/>
    </xf>
    <xf numFmtId="0" fontId="34" fillId="6" borderId="93" xfId="0" applyFont="1" applyFill="1" applyBorder="1" applyAlignment="1" applyProtection="1">
      <alignment horizontal="center" vertical="center" wrapText="1"/>
      <protection locked="0"/>
    </xf>
    <xf numFmtId="44" fontId="52" fillId="0" borderId="5" xfId="1" applyFont="1" applyBorder="1" applyAlignment="1">
      <alignment horizontal="center" vertical="center" wrapText="1"/>
    </xf>
    <xf numFmtId="165" fontId="35" fillId="10" borderId="127" xfId="0" applyNumberFormat="1" applyFont="1" applyFill="1" applyBorder="1" applyAlignment="1" applyProtection="1">
      <alignment horizontal="center" vertical="center"/>
      <protection locked="0"/>
    </xf>
    <xf numFmtId="165" fontId="35" fillId="10" borderId="128" xfId="0" applyNumberFormat="1" applyFont="1" applyFill="1" applyBorder="1" applyAlignment="1" applyProtection="1">
      <alignment horizontal="center" vertical="center"/>
      <protection locked="0"/>
    </xf>
    <xf numFmtId="0" fontId="51" fillId="0" borderId="5" xfId="0" applyFont="1" applyBorder="1" applyAlignment="1" applyProtection="1">
      <alignment vertical="center" wrapText="1"/>
      <protection locked="0"/>
    </xf>
    <xf numFmtId="0" fontId="0" fillId="10" borderId="98" xfId="0" applyFill="1" applyBorder="1" applyAlignment="1" applyProtection="1">
      <alignment vertical="center" wrapText="1"/>
      <protection locked="0"/>
    </xf>
    <xf numFmtId="0" fontId="0" fillId="8" borderId="129" xfId="0" applyFill="1" applyBorder="1" applyAlignment="1" applyProtection="1">
      <alignment vertical="center" wrapText="1"/>
      <protection locked="0"/>
    </xf>
    <xf numFmtId="0" fontId="0" fillId="8" borderId="130" xfId="0" applyFill="1" applyBorder="1" applyAlignment="1" applyProtection="1">
      <alignment vertical="center" wrapText="1"/>
      <protection locked="0"/>
    </xf>
    <xf numFmtId="0" fontId="31" fillId="8" borderId="5" xfId="3" applyFill="1" applyBorder="1" applyAlignment="1" applyProtection="1">
      <alignment horizontal="left" vertical="center" wrapText="1" indent="1"/>
      <protection locked="0"/>
    </xf>
    <xf numFmtId="0" fontId="31" fillId="8" borderId="5" xfId="4" applyFill="1" applyBorder="1" applyAlignment="1" applyProtection="1">
      <alignment horizontal="left" vertical="center" wrapText="1" indent="1"/>
      <protection locked="0"/>
    </xf>
    <xf numFmtId="0" fontId="0" fillId="0" borderId="131" xfId="0" applyBorder="1" applyAlignment="1" applyProtection="1">
      <alignment vertical="center" wrapText="1"/>
      <protection locked="0"/>
    </xf>
    <xf numFmtId="0" fontId="0" fillId="0" borderId="133" xfId="0" applyBorder="1" applyAlignment="1" applyProtection="1">
      <alignment vertical="center" wrapText="1"/>
      <protection locked="0"/>
    </xf>
    <xf numFmtId="0" fontId="114" fillId="8" borderId="5" xfId="0" applyFont="1" applyFill="1" applyBorder="1" applyAlignment="1" applyProtection="1">
      <alignment horizontal="left" vertical="center" wrapText="1"/>
      <protection locked="0"/>
    </xf>
    <xf numFmtId="0" fontId="114" fillId="8" borderId="98" xfId="0" applyFont="1" applyFill="1" applyBorder="1" applyAlignment="1" applyProtection="1">
      <alignment horizontal="left" vertical="center" wrapText="1"/>
      <protection locked="0"/>
    </xf>
    <xf numFmtId="0" fontId="0" fillId="8" borderId="98" xfId="0" applyFill="1" applyBorder="1" applyAlignment="1" applyProtection="1">
      <alignment horizontal="left" vertical="center" wrapText="1"/>
      <protection locked="0"/>
    </xf>
    <xf numFmtId="0" fontId="0" fillId="0" borderId="96"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8" borderId="96" xfId="0" applyFill="1" applyBorder="1" applyAlignment="1" applyProtection="1">
      <alignment horizontal="center" vertical="center"/>
      <protection locked="0"/>
    </xf>
    <xf numFmtId="0" fontId="31" fillId="8" borderId="98" xfId="3" applyFill="1" applyBorder="1" applyAlignment="1" applyProtection="1">
      <alignment horizontal="left" vertical="center" wrapText="1"/>
      <protection locked="0"/>
    </xf>
    <xf numFmtId="0" fontId="0" fillId="8" borderId="98" xfId="0" applyFill="1" applyBorder="1" applyAlignment="1" applyProtection="1">
      <alignment vertical="center" wrapText="1"/>
      <protection locked="0"/>
    </xf>
    <xf numFmtId="0" fontId="31" fillId="0" borderId="129" xfId="3" applyBorder="1" applyAlignment="1" applyProtection="1">
      <alignment horizontal="left" vertical="center" wrapText="1"/>
      <protection locked="0"/>
    </xf>
    <xf numFmtId="0" fontId="31" fillId="0" borderId="134" xfId="3" applyBorder="1" applyAlignment="1" applyProtection="1">
      <alignment horizontal="left" vertical="center" wrapText="1"/>
      <protection locked="0"/>
    </xf>
    <xf numFmtId="0" fontId="0" fillId="0" borderId="132" xfId="0" applyBorder="1" applyAlignment="1" applyProtection="1">
      <alignment horizontal="left" vertical="center" wrapText="1"/>
      <protection locked="0"/>
    </xf>
    <xf numFmtId="0" fontId="0" fillId="0" borderId="135" xfId="0" applyBorder="1" applyAlignment="1" applyProtection="1">
      <alignment horizontal="left" vertical="center" wrapText="1"/>
      <protection locked="0"/>
    </xf>
    <xf numFmtId="0" fontId="119" fillId="2" borderId="0" xfId="0" applyFont="1" applyFill="1" applyAlignment="1" applyProtection="1">
      <alignment horizontal="center"/>
      <protection locked="0"/>
    </xf>
    <xf numFmtId="0" fontId="119" fillId="2" borderId="14" xfId="0" applyFont="1" applyFill="1" applyBorder="1" applyAlignment="1" applyProtection="1">
      <alignment horizontal="left"/>
      <protection locked="0"/>
    </xf>
    <xf numFmtId="0" fontId="96" fillId="0" borderId="5" xfId="0" applyFont="1" applyBorder="1" applyAlignment="1" applyProtection="1">
      <alignment vertical="center" wrapText="1"/>
      <protection locked="0"/>
    </xf>
    <xf numFmtId="0" fontId="31" fillId="8" borderId="5" xfId="4" applyFill="1" applyBorder="1" applyAlignment="1" applyProtection="1">
      <alignment horizontal="left" vertical="center" wrapText="1"/>
      <protection locked="0"/>
    </xf>
    <xf numFmtId="44" fontId="52" fillId="8" borderId="137" xfId="1" applyFont="1" applyFill="1" applyBorder="1" applyAlignment="1">
      <alignment horizontal="center" vertical="center"/>
    </xf>
    <xf numFmtId="44" fontId="52" fillId="8" borderId="141" xfId="1" applyFont="1" applyFill="1" applyBorder="1" applyAlignment="1">
      <alignment horizontal="center" vertical="center"/>
    </xf>
    <xf numFmtId="9" fontId="0" fillId="8" borderId="98" xfId="2" applyFont="1" applyFill="1" applyBorder="1" applyAlignment="1" applyProtection="1">
      <alignment horizontal="center" vertical="center"/>
      <protection locked="0"/>
    </xf>
    <xf numFmtId="14" fontId="0" fillId="8" borderId="5" xfId="2" applyNumberFormat="1" applyFont="1" applyFill="1" applyBorder="1" applyAlignment="1" applyProtection="1">
      <alignment horizontal="center" vertical="center"/>
      <protection locked="0"/>
    </xf>
    <xf numFmtId="44" fontId="0" fillId="10" borderId="98" xfId="1" applyFont="1" applyFill="1" applyBorder="1" applyAlignment="1" applyProtection="1">
      <alignment horizontal="center" vertical="center"/>
      <protection locked="0"/>
    </xf>
    <xf numFmtId="172" fontId="16" fillId="10" borderId="98" xfId="0" applyNumberFormat="1" applyFont="1" applyFill="1" applyBorder="1" applyAlignment="1" applyProtection="1">
      <alignment horizontal="center" vertical="center" wrapText="1"/>
      <protection locked="0"/>
    </xf>
    <xf numFmtId="14" fontId="69" fillId="0" borderId="98" xfId="2" applyNumberFormat="1" applyFont="1" applyBorder="1" applyAlignment="1" applyProtection="1">
      <alignment horizontal="center" vertical="center"/>
      <protection locked="0"/>
    </xf>
    <xf numFmtId="17" fontId="0" fillId="8" borderId="98" xfId="0" applyNumberFormat="1" applyFill="1" applyBorder="1" applyAlignment="1" applyProtection="1">
      <alignment horizontal="center" vertical="center" wrapText="1"/>
      <protection locked="0"/>
    </xf>
    <xf numFmtId="17" fontId="52" fillId="8" borderId="98" xfId="0" applyNumberFormat="1" applyFont="1" applyFill="1" applyBorder="1" applyAlignment="1">
      <alignment horizontal="center" vertical="center" wrapText="1"/>
    </xf>
    <xf numFmtId="0" fontId="16" fillId="8" borderId="98" xfId="0" applyFont="1" applyFill="1" applyBorder="1" applyAlignment="1" applyProtection="1">
      <alignment horizontal="center" vertical="center" wrapText="1"/>
      <protection locked="0"/>
    </xf>
    <xf numFmtId="0" fontId="16" fillId="10" borderId="137" xfId="0" applyFont="1" applyFill="1" applyBorder="1" applyAlignment="1" applyProtection="1">
      <alignment horizontal="center" vertical="center" wrapText="1"/>
      <protection locked="0"/>
    </xf>
    <xf numFmtId="0" fontId="16" fillId="10" borderId="140" xfId="0" applyFont="1" applyFill="1" applyBorder="1" applyAlignment="1" applyProtection="1">
      <alignment horizontal="center" vertical="center" wrapText="1"/>
      <protection locked="0"/>
    </xf>
    <xf numFmtId="44" fontId="0" fillId="8" borderId="137" xfId="1" applyFont="1" applyFill="1" applyBorder="1" applyAlignment="1" applyProtection="1">
      <alignment horizontal="center" vertical="center"/>
      <protection locked="0"/>
    </xf>
    <xf numFmtId="44" fontId="0" fillId="8" borderId="140" xfId="1" applyFont="1" applyFill="1" applyBorder="1" applyAlignment="1" applyProtection="1">
      <alignment horizontal="center" vertical="center"/>
      <protection locked="0"/>
    </xf>
    <xf numFmtId="17" fontId="52" fillId="8" borderId="137" xfId="0" applyNumberFormat="1" applyFont="1" applyFill="1" applyBorder="1" applyAlignment="1">
      <alignment horizontal="center" vertical="center" wrapText="1"/>
    </xf>
    <xf numFmtId="17" fontId="52" fillId="8" borderId="140" xfId="0" applyNumberFormat="1" applyFont="1" applyFill="1" applyBorder="1" applyAlignment="1">
      <alignment horizontal="center" vertical="center" wrapText="1"/>
    </xf>
    <xf numFmtId="44" fontId="0" fillId="71" borderId="98" xfId="1" applyFont="1" applyFill="1" applyBorder="1" applyAlignment="1" applyProtection="1">
      <alignment horizontal="center" vertical="center"/>
      <protection locked="0"/>
    </xf>
    <xf numFmtId="9" fontId="0" fillId="8" borderId="8" xfId="2" applyFont="1" applyFill="1" applyBorder="1" applyAlignment="1" applyProtection="1">
      <alignment horizontal="center" vertical="center"/>
      <protection locked="0"/>
    </xf>
    <xf numFmtId="17" fontId="0" fillId="8" borderId="143" xfId="0" applyNumberFormat="1" applyFill="1" applyBorder="1" applyAlignment="1" applyProtection="1">
      <alignment horizontal="center" vertical="center" wrapText="1"/>
      <protection locked="0"/>
    </xf>
    <xf numFmtId="17" fontId="0" fillId="8" borderId="144" xfId="0" applyNumberFormat="1" applyFill="1" applyBorder="1" applyAlignment="1" applyProtection="1">
      <alignment horizontal="center" vertical="center" wrapText="1"/>
      <protection locked="0"/>
    </xf>
    <xf numFmtId="17" fontId="0" fillId="8" borderId="136" xfId="0" applyNumberFormat="1" applyFill="1" applyBorder="1" applyAlignment="1" applyProtection="1">
      <alignment horizontal="center" vertical="center" wrapText="1"/>
      <protection locked="0"/>
    </xf>
    <xf numFmtId="17" fontId="0" fillId="8" borderId="139" xfId="0" applyNumberFormat="1" applyFill="1" applyBorder="1" applyAlignment="1" applyProtection="1">
      <alignment horizontal="center" vertical="center" wrapText="1"/>
      <protection locked="0"/>
    </xf>
    <xf numFmtId="44" fontId="0" fillId="8" borderId="138" xfId="1" applyFont="1" applyFill="1" applyBorder="1" applyAlignment="1" applyProtection="1">
      <alignment horizontal="center" vertical="center"/>
      <protection locked="0"/>
    </xf>
    <xf numFmtId="44" fontId="0" fillId="8" borderId="148" xfId="1" applyFont="1" applyFill="1" applyBorder="1" applyAlignment="1" applyProtection="1">
      <alignment horizontal="center" vertical="center"/>
      <protection locked="0"/>
    </xf>
    <xf numFmtId="0" fontId="0" fillId="0" borderId="98" xfId="0" applyBorder="1" applyAlignment="1" applyProtection="1">
      <alignment horizontal="center" vertical="center"/>
      <protection locked="0"/>
    </xf>
    <xf numFmtId="0" fontId="52" fillId="8" borderId="96" xfId="0" applyFont="1" applyFill="1" applyBorder="1" applyAlignment="1" applyProtection="1">
      <alignment horizontal="center" vertical="center"/>
      <protection locked="0"/>
    </xf>
    <xf numFmtId="0" fontId="52" fillId="8" borderId="47" xfId="0" applyFont="1" applyFill="1" applyBorder="1" applyAlignment="1" applyProtection="1">
      <alignment horizontal="center" vertical="center"/>
      <protection locked="0"/>
    </xf>
    <xf numFmtId="0" fontId="0" fillId="0" borderId="131" xfId="0" applyBorder="1" applyAlignment="1" applyProtection="1">
      <alignment horizontal="center" vertical="center"/>
      <protection locked="0"/>
    </xf>
    <xf numFmtId="0" fontId="0" fillId="0" borderId="147" xfId="0" applyBorder="1" applyAlignment="1" applyProtection="1">
      <alignment horizontal="center" vertical="center"/>
      <protection locked="0"/>
    </xf>
    <xf numFmtId="0" fontId="0" fillId="8" borderId="98" xfId="0" applyFill="1" applyBorder="1" applyAlignment="1" applyProtection="1">
      <alignment horizontal="center" vertical="center" wrapText="1"/>
      <protection locked="0"/>
    </xf>
    <xf numFmtId="0" fontId="0" fillId="8" borderId="136" xfId="0" applyFill="1" applyBorder="1" applyAlignment="1" applyProtection="1">
      <alignment vertical="center" wrapText="1"/>
      <protection locked="0"/>
    </xf>
    <xf numFmtId="0" fontId="0" fillId="8" borderId="139" xfId="0" applyFill="1" applyBorder="1" applyAlignment="1" applyProtection="1">
      <alignment vertical="center" wrapText="1"/>
      <protection locked="0"/>
    </xf>
    <xf numFmtId="0" fontId="31" fillId="8" borderId="137" xfId="3" applyFill="1" applyBorder="1" applyAlignment="1" applyProtection="1">
      <alignment horizontal="left" vertical="center" wrapText="1"/>
      <protection locked="0"/>
    </xf>
    <xf numFmtId="0" fontId="31" fillId="8" borderId="140" xfId="3" applyFill="1" applyBorder="1" applyAlignment="1" applyProtection="1">
      <alignment horizontal="left" vertical="center" wrapText="1"/>
      <protection locked="0"/>
    </xf>
    <xf numFmtId="0" fontId="118" fillId="8" borderId="5" xfId="0" applyFont="1" applyFill="1" applyBorder="1" applyAlignment="1" applyProtection="1">
      <alignment vertical="center" wrapText="1"/>
      <protection locked="0"/>
    </xf>
    <xf numFmtId="0" fontId="0" fillId="8" borderId="137" xfId="0" applyFill="1" applyBorder="1" applyAlignment="1" applyProtection="1">
      <alignment horizontal="center" vertical="center" wrapText="1"/>
      <protection locked="0"/>
    </xf>
    <xf numFmtId="0" fontId="0" fillId="8" borderId="140" xfId="0" applyFill="1"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8" borderId="137" xfId="0" applyFill="1" applyBorder="1" applyAlignment="1" applyProtection="1">
      <alignment horizontal="left" vertical="center" wrapText="1"/>
      <protection locked="0"/>
    </xf>
    <xf numFmtId="0" fontId="0" fillId="8" borderId="140" xfId="0" applyFill="1" applyBorder="1" applyAlignment="1" applyProtection="1">
      <alignment horizontal="left" vertical="center" wrapText="1"/>
      <protection locked="0"/>
    </xf>
    <xf numFmtId="17" fontId="52" fillId="56" borderId="5" xfId="0" applyNumberFormat="1" applyFont="1" applyFill="1" applyBorder="1" applyAlignment="1">
      <alignment horizontal="center" vertical="center" wrapText="1"/>
    </xf>
    <xf numFmtId="17" fontId="0" fillId="56" borderId="6" xfId="0" applyNumberFormat="1" applyFill="1" applyBorder="1" applyAlignment="1">
      <alignment horizontal="center" vertical="center" wrapText="1"/>
    </xf>
    <xf numFmtId="44" fontId="0" fillId="42" borderId="5" xfId="1" applyFont="1" applyFill="1" applyBorder="1" applyAlignment="1" applyProtection="1">
      <alignment horizontal="center" vertical="center"/>
    </xf>
    <xf numFmtId="44" fontId="0" fillId="42" borderId="6" xfId="1" applyFont="1" applyFill="1" applyBorder="1" applyAlignment="1" applyProtection="1">
      <alignment horizontal="center" vertical="center"/>
    </xf>
    <xf numFmtId="0" fontId="82" fillId="0" borderId="5" xfId="0" applyFont="1" applyBorder="1" applyAlignment="1" applyProtection="1">
      <alignment horizontal="left" vertical="center" wrapText="1"/>
      <protection locked="0"/>
    </xf>
    <xf numFmtId="0" fontId="82" fillId="0" borderId="6" xfId="0" applyFont="1" applyBorder="1" applyAlignment="1" applyProtection="1">
      <alignment horizontal="left" vertical="center" wrapText="1"/>
      <protection locked="0"/>
    </xf>
    <xf numFmtId="0" fontId="82" fillId="8" borderId="5" xfId="3" applyFont="1" applyFill="1" applyBorder="1" applyAlignment="1" applyProtection="1">
      <alignment horizontal="left" vertical="center" wrapText="1"/>
      <protection locked="0"/>
    </xf>
    <xf numFmtId="0" fontId="82" fillId="8" borderId="6" xfId="0" applyFont="1" applyFill="1" applyBorder="1" applyAlignment="1" applyProtection="1">
      <alignment horizontal="left" vertical="center" wrapText="1"/>
      <protection locked="0"/>
    </xf>
    <xf numFmtId="0" fontId="0" fillId="56" borderId="5" xfId="0" applyFill="1" applyBorder="1" applyAlignment="1">
      <alignment horizontal="center" vertical="center"/>
    </xf>
    <xf numFmtId="0" fontId="0" fillId="56" borderId="6" xfId="0" applyFill="1" applyBorder="1" applyAlignment="1">
      <alignment horizontal="center" vertical="center"/>
    </xf>
    <xf numFmtId="172" fontId="16" fillId="43" borderId="5" xfId="0" applyNumberFormat="1" applyFont="1" applyFill="1" applyBorder="1" applyAlignment="1" applyProtection="1">
      <alignment horizontal="center" vertical="center" wrapText="1"/>
      <protection locked="0"/>
    </xf>
    <xf numFmtId="172" fontId="16" fillId="43" borderId="6" xfId="0" applyNumberFormat="1" applyFont="1" applyFill="1" applyBorder="1" applyAlignment="1" applyProtection="1">
      <alignment horizontal="center" vertical="center" wrapText="1"/>
      <protection locked="0"/>
    </xf>
    <xf numFmtId="17" fontId="52" fillId="42" borderId="5" xfId="0" applyNumberFormat="1" applyFont="1" applyFill="1" applyBorder="1" applyAlignment="1">
      <alignment horizontal="center" vertical="center" wrapText="1"/>
    </xf>
    <xf numFmtId="17" fontId="0" fillId="42" borderId="6" xfId="0" applyNumberFormat="1" applyFill="1" applyBorder="1" applyAlignment="1">
      <alignment horizontal="center" vertical="center" wrapText="1"/>
    </xf>
    <xf numFmtId="0" fontId="82" fillId="10" borderId="5" xfId="3" applyFont="1" applyFill="1" applyBorder="1" applyAlignment="1" applyProtection="1">
      <alignment horizontal="left" vertical="center" wrapText="1"/>
      <protection locked="0"/>
    </xf>
    <xf numFmtId="0" fontId="82" fillId="10" borderId="6" xfId="0" applyFont="1" applyFill="1" applyBorder="1" applyAlignment="1" applyProtection="1">
      <alignment horizontal="left" vertical="center" wrapText="1"/>
      <protection locked="0"/>
    </xf>
    <xf numFmtId="0" fontId="51" fillId="8" borderId="5" xfId="0" applyFont="1" applyFill="1" applyBorder="1" applyAlignment="1" applyProtection="1">
      <alignment vertical="center" wrapText="1"/>
      <protection locked="0"/>
    </xf>
    <xf numFmtId="44" fontId="52" fillId="42" borderId="5" xfId="1" applyFont="1" applyFill="1" applyBorder="1" applyAlignment="1" applyProtection="1">
      <alignment horizontal="center" vertical="center"/>
    </xf>
    <xf numFmtId="44" fontId="0" fillId="43" borderId="5" xfId="1" applyFont="1" applyFill="1" applyBorder="1" applyAlignment="1" applyProtection="1">
      <alignment horizontal="center" vertical="center"/>
      <protection locked="0"/>
    </xf>
    <xf numFmtId="44" fontId="0" fillId="43" borderId="6" xfId="1" applyFont="1" applyFill="1" applyBorder="1" applyAlignment="1" applyProtection="1">
      <alignment horizontal="center" vertical="center"/>
      <protection locked="0"/>
    </xf>
    <xf numFmtId="17" fontId="69" fillId="42" borderId="5" xfId="0" applyNumberFormat="1" applyFont="1" applyFill="1" applyBorder="1" applyAlignment="1">
      <alignment horizontal="center" vertical="center" wrapText="1"/>
    </xf>
    <xf numFmtId="17" fontId="69" fillId="42" borderId="6" xfId="0" applyNumberFormat="1" applyFont="1" applyFill="1" applyBorder="1" applyAlignment="1">
      <alignment horizontal="center" vertical="center" wrapText="1"/>
    </xf>
    <xf numFmtId="17" fontId="52" fillId="56" borderId="6" xfId="0" applyNumberFormat="1" applyFont="1" applyFill="1" applyBorder="1" applyAlignment="1">
      <alignment horizontal="center" vertical="center" wrapText="1"/>
    </xf>
    <xf numFmtId="17" fontId="52" fillId="10" borderId="5" xfId="0" applyNumberFormat="1" applyFont="1" applyFill="1" applyBorder="1" applyAlignment="1">
      <alignment horizontal="center" vertical="center" wrapText="1"/>
    </xf>
    <xf numFmtId="44" fontId="52" fillId="10" borderId="5" xfId="1" applyFont="1" applyFill="1" applyBorder="1" applyAlignment="1" applyProtection="1">
      <alignment horizontal="center" vertical="center"/>
    </xf>
    <xf numFmtId="44" fontId="0" fillId="0" borderId="5" xfId="1" quotePrefix="1" applyFont="1" applyBorder="1" applyAlignment="1" applyProtection="1">
      <alignment horizontal="center" vertical="center"/>
    </xf>
    <xf numFmtId="17" fontId="52" fillId="67" borderId="5" xfId="0" applyNumberFormat="1" applyFont="1" applyFill="1" applyBorder="1" applyAlignment="1">
      <alignment horizontal="center" vertical="center" wrapText="1"/>
    </xf>
    <xf numFmtId="44" fontId="0" fillId="67" borderId="6" xfId="1" applyFont="1" applyFill="1" applyBorder="1" applyAlignment="1" applyProtection="1">
      <alignment horizontal="center" vertical="center"/>
    </xf>
    <xf numFmtId="44" fontId="62" fillId="10" borderId="17" xfId="0" applyNumberFormat="1" applyFont="1" applyFill="1" applyBorder="1" applyAlignment="1" applyProtection="1">
      <alignment horizontal="left"/>
      <protection locked="0"/>
    </xf>
    <xf numFmtId="44" fontId="62" fillId="10" borderId="10" xfId="0" applyNumberFormat="1" applyFont="1" applyFill="1" applyBorder="1" applyAlignment="1" applyProtection="1">
      <alignment horizontal="left"/>
      <protection locked="0"/>
    </xf>
    <xf numFmtId="44" fontId="62" fillId="10" borderId="18" xfId="0" applyNumberFormat="1" applyFont="1" applyFill="1" applyBorder="1" applyAlignment="1" applyProtection="1">
      <alignment horizontal="left"/>
      <protection locked="0"/>
    </xf>
    <xf numFmtId="0" fontId="17" fillId="48" borderId="17" xfId="0" applyFont="1" applyFill="1" applyBorder="1" applyAlignment="1">
      <alignment horizontal="center" vertical="center"/>
    </xf>
    <xf numFmtId="0" fontId="17" fillId="48" borderId="18" xfId="0" applyFont="1" applyFill="1" applyBorder="1" applyAlignment="1">
      <alignment horizontal="center" vertical="center"/>
    </xf>
    <xf numFmtId="0" fontId="130" fillId="8" borderId="5" xfId="3" applyFont="1" applyFill="1" applyBorder="1" applyAlignment="1" applyProtection="1">
      <alignment horizontal="left" vertical="center" wrapText="1"/>
      <protection locked="0"/>
    </xf>
    <xf numFmtId="164" fontId="79" fillId="0" borderId="17" xfId="0" applyNumberFormat="1" applyFont="1" applyBorder="1" applyAlignment="1">
      <alignment horizontal="center" vertical="center"/>
    </xf>
    <xf numFmtId="164" fontId="79" fillId="0" borderId="18" xfId="0" applyNumberFormat="1" applyFont="1" applyBorder="1" applyAlignment="1">
      <alignment horizontal="center" vertical="center"/>
    </xf>
    <xf numFmtId="0" fontId="0" fillId="73" borderId="5" xfId="0" applyFill="1" applyBorder="1" applyAlignment="1" applyProtection="1">
      <alignment horizontal="center" vertical="center"/>
      <protection locked="0"/>
    </xf>
    <xf numFmtId="172" fontId="16" fillId="55" borderId="5" xfId="0" applyNumberFormat="1" applyFont="1" applyFill="1" applyBorder="1" applyAlignment="1" applyProtection="1">
      <alignment horizontal="center" vertical="center" wrapText="1"/>
      <protection locked="0"/>
    </xf>
    <xf numFmtId="172" fontId="16" fillId="55" borderId="6" xfId="0" applyNumberFormat="1" applyFont="1" applyFill="1" applyBorder="1" applyAlignment="1" applyProtection="1">
      <alignment horizontal="center" vertical="center" wrapText="1"/>
      <protection locked="0"/>
    </xf>
    <xf numFmtId="44" fontId="0" fillId="55" borderId="5" xfId="1" applyFont="1" applyFill="1" applyBorder="1" applyAlignment="1" applyProtection="1">
      <alignment horizontal="center" vertical="center"/>
      <protection locked="0"/>
    </xf>
    <xf numFmtId="44" fontId="0" fillId="55" borderId="6" xfId="1" applyFont="1" applyFill="1" applyBorder="1" applyAlignment="1" applyProtection="1">
      <alignment horizontal="center" vertical="center"/>
      <protection locked="0"/>
    </xf>
    <xf numFmtId="0" fontId="51" fillId="55" borderId="5" xfId="0" applyFont="1" applyFill="1" applyBorder="1" applyAlignment="1" applyProtection="1">
      <alignment vertical="center" wrapText="1"/>
      <protection locked="0"/>
    </xf>
    <xf numFmtId="0" fontId="0" fillId="55" borderId="6" xfId="0" applyFill="1" applyBorder="1" applyAlignment="1" applyProtection="1">
      <alignment vertical="center" wrapText="1"/>
      <protection locked="0"/>
    </xf>
    <xf numFmtId="0" fontId="31" fillId="55" borderId="5" xfId="3" applyFill="1" applyBorder="1" applyAlignment="1" applyProtection="1">
      <alignment horizontal="left" vertical="center" wrapText="1"/>
      <protection locked="0"/>
    </xf>
    <xf numFmtId="0" fontId="53" fillId="55" borderId="6" xfId="0" applyFont="1" applyFill="1" applyBorder="1" applyAlignment="1" applyProtection="1">
      <alignment horizontal="left" vertical="center" wrapText="1"/>
      <protection locked="0"/>
    </xf>
    <xf numFmtId="0" fontId="0" fillId="55" borderId="5" xfId="0" applyFill="1" applyBorder="1" applyAlignment="1" applyProtection="1">
      <alignment horizontal="center" vertical="center" wrapText="1"/>
      <protection locked="0"/>
    </xf>
    <xf numFmtId="0" fontId="0" fillId="55" borderId="6" xfId="0" applyFill="1" applyBorder="1" applyAlignment="1" applyProtection="1">
      <alignment horizontal="center" vertical="center" wrapText="1"/>
      <protection locked="0"/>
    </xf>
    <xf numFmtId="17" fontId="0" fillId="55" borderId="5" xfId="0" applyNumberFormat="1" applyFill="1" applyBorder="1" applyAlignment="1" applyProtection="1">
      <alignment horizontal="center" vertical="center" wrapText="1"/>
      <protection locked="0"/>
    </xf>
    <xf numFmtId="17" fontId="0" fillId="55" borderId="6" xfId="0" applyNumberFormat="1" applyFill="1" applyBorder="1" applyAlignment="1" applyProtection="1">
      <alignment horizontal="center" vertical="center" wrapText="1"/>
      <protection locked="0"/>
    </xf>
    <xf numFmtId="0" fontId="0" fillId="43" borderId="5" xfId="0" applyFill="1" applyBorder="1" applyAlignment="1" applyProtection="1">
      <alignment horizontal="center" vertical="center" wrapText="1"/>
      <protection locked="0"/>
    </xf>
    <xf numFmtId="0" fontId="0" fillId="43" borderId="6" xfId="0" applyFill="1" applyBorder="1" applyAlignment="1" applyProtection="1">
      <alignment horizontal="center" vertical="center" wrapText="1"/>
      <protection locked="0"/>
    </xf>
    <xf numFmtId="17" fontId="0" fillId="43" borderId="5" xfId="0" applyNumberFormat="1" applyFill="1" applyBorder="1" applyAlignment="1" applyProtection="1">
      <alignment horizontal="center" vertical="center" wrapText="1"/>
      <protection locked="0"/>
    </xf>
    <xf numFmtId="17" fontId="0" fillId="43" borderId="6" xfId="0" applyNumberFormat="1" applyFill="1" applyBorder="1" applyAlignment="1" applyProtection="1">
      <alignment horizontal="center" vertical="center" wrapText="1"/>
      <protection locked="0"/>
    </xf>
    <xf numFmtId="0" fontId="82" fillId="43" borderId="5" xfId="0" applyFont="1" applyFill="1" applyBorder="1" applyAlignment="1" applyProtection="1">
      <alignment horizontal="left" vertical="center" wrapText="1"/>
      <protection locked="0"/>
    </xf>
    <xf numFmtId="0" fontId="82" fillId="43" borderId="6" xfId="0" applyFont="1" applyFill="1" applyBorder="1" applyAlignment="1" applyProtection="1">
      <alignment horizontal="left" vertical="center" wrapText="1"/>
      <protection locked="0"/>
    </xf>
    <xf numFmtId="0" fontId="0" fillId="43" borderId="5" xfId="0" applyFill="1" applyBorder="1" applyAlignment="1" applyProtection="1">
      <alignment vertical="center" wrapText="1"/>
      <protection locked="0"/>
    </xf>
    <xf numFmtId="0" fontId="0" fillId="43" borderId="6" xfId="0" applyFill="1" applyBorder="1" applyAlignment="1" applyProtection="1">
      <alignment vertical="center" wrapText="1"/>
      <protection locked="0"/>
    </xf>
    <xf numFmtId="0" fontId="82" fillId="8" borderId="5" xfId="0" applyFont="1" applyFill="1" applyBorder="1" applyAlignment="1" applyProtection="1">
      <alignment horizontal="left" vertical="center" wrapText="1"/>
      <protection locked="0"/>
    </xf>
    <xf numFmtId="0" fontId="31" fillId="43" borderId="5" xfId="3" applyFill="1" applyBorder="1" applyAlignment="1" applyProtection="1">
      <alignment horizontal="left" vertical="center" wrapText="1"/>
      <protection locked="0"/>
    </xf>
    <xf numFmtId="0" fontId="53" fillId="43" borderId="6" xfId="0" applyFont="1" applyFill="1" applyBorder="1" applyAlignment="1" applyProtection="1">
      <alignment horizontal="left" vertical="center" wrapText="1"/>
      <protection locked="0"/>
    </xf>
    <xf numFmtId="0" fontId="82" fillId="10" borderId="5" xfId="0" applyFont="1" applyFill="1" applyBorder="1" applyAlignment="1" applyProtection="1">
      <alignment horizontal="left" vertical="center" wrapText="1"/>
      <protection locked="0"/>
    </xf>
    <xf numFmtId="44" fontId="0" fillId="62" borderId="5" xfId="1" applyFont="1" applyFill="1" applyBorder="1" applyAlignment="1" applyProtection="1">
      <alignment horizontal="center" vertical="center"/>
      <protection locked="0"/>
    </xf>
    <xf numFmtId="44" fontId="0" fillId="62" borderId="6" xfId="1" applyFont="1" applyFill="1" applyBorder="1" applyAlignment="1" applyProtection="1">
      <alignment horizontal="center" vertical="center"/>
      <protection locked="0"/>
    </xf>
    <xf numFmtId="0" fontId="0" fillId="56" borderId="5" xfId="0" applyFill="1" applyBorder="1" applyAlignment="1" applyProtection="1">
      <alignment horizontal="center" vertical="center"/>
      <protection locked="0"/>
    </xf>
    <xf numFmtId="0" fontId="130" fillId="10" borderId="5" xfId="3" applyFont="1" applyFill="1" applyBorder="1" applyAlignment="1" applyProtection="1">
      <alignment horizontal="left" vertical="center" wrapText="1"/>
      <protection locked="0"/>
    </xf>
    <xf numFmtId="0" fontId="130" fillId="10" borderId="6" xfId="3" applyFont="1" applyFill="1" applyBorder="1" applyAlignment="1" applyProtection="1">
      <alignment horizontal="left" vertical="center" wrapText="1"/>
      <protection locked="0"/>
    </xf>
    <xf numFmtId="0" fontId="82" fillId="43" borderId="5" xfId="3" applyFont="1" applyFill="1" applyBorder="1" applyAlignment="1" applyProtection="1">
      <alignment horizontal="left" vertical="center" wrapText="1"/>
      <protection locked="0"/>
    </xf>
    <xf numFmtId="0" fontId="0" fillId="73" borderId="6" xfId="0" applyFill="1" applyBorder="1" applyAlignment="1" applyProtection="1">
      <alignment horizontal="center" vertical="center"/>
      <protection locked="0"/>
    </xf>
    <xf numFmtId="0" fontId="51" fillId="43" borderId="5" xfId="0" applyFont="1" applyFill="1" applyBorder="1" applyAlignment="1" applyProtection="1">
      <alignment vertical="center" wrapText="1"/>
      <protection locked="0"/>
    </xf>
    <xf numFmtId="0" fontId="51" fillId="10" borderId="5" xfId="0" applyFont="1" applyFill="1" applyBorder="1" applyAlignment="1" applyProtection="1">
      <alignment vertical="center" wrapText="1"/>
      <protection locked="0"/>
    </xf>
    <xf numFmtId="0" fontId="31" fillId="43" borderId="6" xfId="3" applyFill="1" applyBorder="1" applyAlignment="1" applyProtection="1">
      <alignment horizontal="left" vertical="center" wrapText="1"/>
      <protection locked="0"/>
    </xf>
    <xf numFmtId="0" fontId="82" fillId="55" borderId="5" xfId="0" applyFont="1" applyFill="1" applyBorder="1" applyAlignment="1" applyProtection="1">
      <alignment horizontal="left" vertical="center" wrapText="1"/>
      <protection locked="0"/>
    </xf>
    <xf numFmtId="0" fontId="82" fillId="55" borderId="6" xfId="0" applyFont="1" applyFill="1" applyBorder="1" applyAlignment="1" applyProtection="1">
      <alignment horizontal="left" vertical="center" wrapText="1"/>
      <protection locked="0"/>
    </xf>
    <xf numFmtId="0" fontId="82" fillId="0" borderId="5" xfId="3" applyFont="1" applyBorder="1" applyAlignment="1" applyProtection="1">
      <alignment horizontal="left" vertical="center" wrapText="1"/>
      <protection locked="0"/>
    </xf>
    <xf numFmtId="172" fontId="69" fillId="8" borderId="5" xfId="0" applyNumberFormat="1" applyFont="1" applyFill="1" applyBorder="1" applyAlignment="1" applyProtection="1">
      <alignment horizontal="center" vertical="center" wrapText="1"/>
      <protection locked="0"/>
    </xf>
    <xf numFmtId="172" fontId="69" fillId="8" borderId="6" xfId="0" applyNumberFormat="1" applyFont="1" applyFill="1" applyBorder="1" applyAlignment="1" applyProtection="1">
      <alignment horizontal="center" vertical="center" wrapText="1"/>
      <protection locked="0"/>
    </xf>
    <xf numFmtId="172" fontId="16" fillId="62" borderId="5" xfId="0" applyNumberFormat="1" applyFont="1" applyFill="1" applyBorder="1" applyAlignment="1" applyProtection="1">
      <alignment horizontal="center" vertical="center" wrapText="1"/>
      <protection locked="0"/>
    </xf>
    <xf numFmtId="172" fontId="16" fillId="62" borderId="6" xfId="0" applyNumberFormat="1" applyFont="1" applyFill="1" applyBorder="1" applyAlignment="1" applyProtection="1">
      <alignment horizontal="center" vertical="center" wrapText="1"/>
      <protection locked="0"/>
    </xf>
    <xf numFmtId="0" fontId="155" fillId="42" borderId="5" xfId="0" applyFont="1" applyFill="1" applyBorder="1" applyAlignment="1">
      <alignment horizontal="center" vertical="center"/>
    </xf>
    <xf numFmtId="0" fontId="155" fillId="42" borderId="6" xfId="0" applyFont="1" applyFill="1" applyBorder="1" applyAlignment="1">
      <alignment horizontal="center" vertical="center"/>
    </xf>
    <xf numFmtId="44" fontId="0" fillId="0" borderId="16" xfId="0" applyNumberFormat="1" applyBorder="1" applyAlignment="1" applyProtection="1">
      <alignment horizontal="center" vertical="center"/>
      <protection locked="0"/>
    </xf>
    <xf numFmtId="164" fontId="29" fillId="0" borderId="17" xfId="0" applyNumberFormat="1" applyFont="1" applyBorder="1" applyAlignment="1">
      <alignment horizontal="center" vertical="center"/>
    </xf>
    <xf numFmtId="164" fontId="29" fillId="0" borderId="18" xfId="0" applyNumberFormat="1" applyFont="1" applyBorder="1" applyAlignment="1">
      <alignment horizontal="center" vertical="center"/>
    </xf>
    <xf numFmtId="0" fontId="6" fillId="49" borderId="91" xfId="0" applyFont="1" applyFill="1" applyBorder="1" applyAlignment="1">
      <alignment horizontal="center" vertical="center"/>
    </xf>
    <xf numFmtId="0" fontId="6" fillId="49" borderId="16" xfId="0" applyFont="1" applyFill="1" applyBorder="1" applyAlignment="1">
      <alignment horizontal="center" vertical="center"/>
    </xf>
    <xf numFmtId="44" fontId="0" fillId="10" borderId="5" xfId="1" applyFont="1" applyFill="1" applyBorder="1" applyAlignment="1" applyProtection="1">
      <alignment horizontal="center" vertical="center" wrapText="1"/>
    </xf>
    <xf numFmtId="44" fontId="0" fillId="10" borderId="6" xfId="1" applyFont="1" applyFill="1" applyBorder="1" applyAlignment="1" applyProtection="1">
      <alignment horizontal="center" vertical="center" wrapText="1"/>
    </xf>
    <xf numFmtId="164" fontId="19" fillId="0" borderId="17" xfId="0" applyNumberFormat="1" applyFont="1" applyBorder="1" applyAlignment="1">
      <alignment horizontal="center" vertical="center"/>
    </xf>
    <xf numFmtId="164" fontId="19" fillId="0" borderId="18" xfId="0" applyNumberFormat="1" applyFont="1" applyBorder="1" applyAlignment="1">
      <alignment horizontal="center" vertical="center"/>
    </xf>
    <xf numFmtId="164" fontId="20" fillId="0" borderId="17" xfId="0" applyNumberFormat="1" applyFont="1" applyBorder="1" applyAlignment="1">
      <alignment horizontal="center" vertical="center"/>
    </xf>
    <xf numFmtId="164" fontId="20" fillId="0" borderId="18" xfId="0" applyNumberFormat="1" applyFont="1" applyBorder="1" applyAlignment="1">
      <alignment horizontal="center" vertical="center"/>
    </xf>
    <xf numFmtId="0" fontId="102" fillId="8" borderId="5" xfId="0" applyFont="1" applyFill="1" applyBorder="1" applyAlignment="1" applyProtection="1">
      <alignment vertical="center" wrapText="1"/>
      <protection locked="0"/>
    </xf>
    <xf numFmtId="0" fontId="102" fillId="8" borderId="6" xfId="0" applyFont="1" applyFill="1" applyBorder="1" applyAlignment="1" applyProtection="1">
      <alignment vertical="center" wrapText="1"/>
      <protection locked="0"/>
    </xf>
    <xf numFmtId="0" fontId="16" fillId="8" borderId="5" xfId="0" applyFont="1" applyFill="1" applyBorder="1" applyAlignment="1" applyProtection="1">
      <alignment vertical="center" wrapText="1"/>
      <protection locked="0"/>
    </xf>
    <xf numFmtId="0" fontId="16" fillId="8" borderId="6" xfId="0" applyFont="1" applyFill="1" applyBorder="1" applyAlignment="1" applyProtection="1">
      <alignment vertical="center" wrapText="1"/>
      <protection locked="0"/>
    </xf>
    <xf numFmtId="17" fontId="51" fillId="8" borderId="5" xfId="1" applyNumberFormat="1" applyFont="1" applyFill="1" applyBorder="1" applyAlignment="1" applyProtection="1">
      <alignment horizontal="center" vertical="center" wrapText="1"/>
      <protection locked="0"/>
    </xf>
    <xf numFmtId="17" fontId="51" fillId="8" borderId="6" xfId="1" applyNumberFormat="1" applyFont="1" applyFill="1" applyBorder="1" applyAlignment="1" applyProtection="1">
      <alignment horizontal="center" vertical="center" wrapText="1"/>
      <protection locked="0"/>
    </xf>
    <xf numFmtId="0" fontId="51" fillId="8" borderId="5" xfId="0" applyFont="1" applyFill="1" applyBorder="1" applyAlignment="1" applyProtection="1">
      <alignment horizontal="left" vertical="center" wrapText="1"/>
      <protection locked="0"/>
    </xf>
    <xf numFmtId="0" fontId="51" fillId="8" borderId="6" xfId="0" applyFont="1" applyFill="1" applyBorder="1" applyAlignment="1" applyProtection="1">
      <alignment horizontal="left" vertical="center" wrapText="1"/>
      <protection locked="0"/>
    </xf>
    <xf numFmtId="44" fontId="51" fillId="0" borderId="5" xfId="1" applyFont="1" applyBorder="1" applyAlignment="1" applyProtection="1">
      <alignment horizontal="center" vertical="center" wrapText="1"/>
      <protection locked="0"/>
    </xf>
    <xf numFmtId="44" fontId="51" fillId="0" borderId="6" xfId="1" applyFont="1" applyBorder="1" applyAlignment="1" applyProtection="1">
      <alignment horizontal="center" vertical="center" wrapText="1"/>
      <protection locked="0"/>
    </xf>
    <xf numFmtId="17" fontId="51" fillId="0" borderId="5" xfId="1" applyNumberFormat="1" applyFont="1" applyBorder="1" applyAlignment="1" applyProtection="1">
      <alignment horizontal="center" vertical="center" wrapText="1"/>
      <protection locked="0"/>
    </xf>
    <xf numFmtId="17" fontId="51" fillId="0" borderId="6" xfId="1" applyNumberFormat="1" applyFont="1" applyBorder="1" applyAlignment="1" applyProtection="1">
      <alignment horizontal="center" vertical="center" wrapText="1"/>
      <protection locked="0"/>
    </xf>
    <xf numFmtId="0" fontId="51" fillId="0" borderId="5" xfId="0" applyFont="1" applyBorder="1" applyAlignment="1" applyProtection="1">
      <alignment horizontal="left" vertical="center" wrapText="1"/>
      <protection locked="0"/>
    </xf>
    <xf numFmtId="0" fontId="51" fillId="0" borderId="6" xfId="0" applyFont="1" applyBorder="1" applyAlignment="1" applyProtection="1">
      <alignment horizontal="left" vertical="center" wrapText="1"/>
      <protection locked="0"/>
    </xf>
    <xf numFmtId="0" fontId="51" fillId="0" borderId="6" xfId="0" applyFont="1" applyBorder="1" applyAlignment="1" applyProtection="1">
      <alignment vertical="center" wrapText="1"/>
      <protection locked="0"/>
    </xf>
    <xf numFmtId="44" fontId="0" fillId="0" borderId="5" xfId="1" applyFont="1" applyBorder="1" applyAlignment="1" applyProtection="1">
      <alignment horizontal="left" vertical="center"/>
      <protection locked="0"/>
    </xf>
    <xf numFmtId="44" fontId="0" fillId="0" borderId="6" xfId="1" applyFont="1" applyBorder="1" applyAlignment="1" applyProtection="1">
      <alignment horizontal="left" vertical="center"/>
      <protection locked="0"/>
    </xf>
    <xf numFmtId="164" fontId="19" fillId="54" borderId="17" xfId="0" applyNumberFormat="1" applyFont="1" applyFill="1" applyBorder="1" applyAlignment="1">
      <alignment horizontal="center" vertical="center"/>
    </xf>
    <xf numFmtId="164" fontId="19" fillId="54" borderId="18" xfId="0" applyNumberFormat="1" applyFont="1" applyFill="1" applyBorder="1" applyAlignment="1">
      <alignment horizontal="center" vertical="center"/>
    </xf>
    <xf numFmtId="164" fontId="20" fillId="54" borderId="17" xfId="0" applyNumberFormat="1" applyFont="1" applyFill="1" applyBorder="1" applyAlignment="1">
      <alignment horizontal="center" vertical="center"/>
    </xf>
    <xf numFmtId="164" fontId="20" fillId="54" borderId="18" xfId="0" applyNumberFormat="1" applyFont="1" applyFill="1" applyBorder="1" applyAlignment="1">
      <alignment horizontal="center" vertical="center"/>
    </xf>
    <xf numFmtId="164" fontId="79" fillId="54" borderId="17" xfId="0" applyNumberFormat="1" applyFont="1" applyFill="1" applyBorder="1" applyAlignment="1">
      <alignment horizontal="center" vertical="center"/>
    </xf>
    <xf numFmtId="164" fontId="79" fillId="54" borderId="18" xfId="0" applyNumberFormat="1" applyFont="1" applyFill="1" applyBorder="1" applyAlignment="1">
      <alignment horizontal="center" vertical="center"/>
    </xf>
    <xf numFmtId="164" fontId="29" fillId="54" borderId="17" xfId="0" applyNumberFormat="1" applyFont="1" applyFill="1" applyBorder="1" applyAlignment="1">
      <alignment horizontal="center" vertical="center"/>
    </xf>
    <xf numFmtId="164" fontId="29" fillId="54" borderId="18" xfId="0" applyNumberFormat="1" applyFont="1" applyFill="1" applyBorder="1" applyAlignment="1">
      <alignment horizontal="center" vertical="center"/>
    </xf>
    <xf numFmtId="164" fontId="26" fillId="54" borderId="17" xfId="0" applyNumberFormat="1" applyFont="1" applyFill="1" applyBorder="1" applyAlignment="1">
      <alignment horizontal="center" vertical="center"/>
    </xf>
    <xf numFmtId="164" fontId="26" fillId="54" borderId="10" xfId="0" applyNumberFormat="1" applyFont="1" applyFill="1" applyBorder="1" applyAlignment="1">
      <alignment horizontal="center" vertical="center"/>
    </xf>
    <xf numFmtId="164" fontId="26" fillId="54" borderId="18" xfId="0" applyNumberFormat="1" applyFont="1" applyFill="1" applyBorder="1" applyAlignment="1">
      <alignment horizontal="center" vertical="center"/>
    </xf>
    <xf numFmtId="10" fontId="25" fillId="54" borderId="17" xfId="2" applyNumberFormat="1" applyFont="1" applyFill="1" applyBorder="1" applyAlignment="1" applyProtection="1">
      <alignment horizontal="center" vertical="center"/>
    </xf>
    <xf numFmtId="10" fontId="25" fillId="54" borderId="10" xfId="2" applyNumberFormat="1" applyFont="1" applyFill="1" applyBorder="1" applyAlignment="1" applyProtection="1">
      <alignment horizontal="center" vertical="center"/>
    </xf>
    <xf numFmtId="10" fontId="25" fillId="54" borderId="18" xfId="2" applyNumberFormat="1" applyFont="1" applyFill="1" applyBorder="1" applyAlignment="1" applyProtection="1">
      <alignment horizontal="center" vertical="center"/>
    </xf>
    <xf numFmtId="0" fontId="21" fillId="54" borderId="17" xfId="0" applyFont="1" applyFill="1" applyBorder="1" applyAlignment="1">
      <alignment horizontal="center" vertical="center"/>
    </xf>
    <xf numFmtId="0" fontId="21" fillId="54" borderId="18" xfId="0" applyFont="1" applyFill="1" applyBorder="1" applyAlignment="1">
      <alignment horizontal="center" vertical="center"/>
    </xf>
    <xf numFmtId="17" fontId="0" fillId="42" borderId="5" xfId="1" applyNumberFormat="1" applyFont="1" applyFill="1" applyBorder="1" applyAlignment="1" applyProtection="1">
      <alignment horizontal="center" vertical="center"/>
      <protection locked="0"/>
    </xf>
    <xf numFmtId="17" fontId="0" fillId="42" borderId="6" xfId="1" applyNumberFormat="1" applyFont="1" applyFill="1" applyBorder="1" applyAlignment="1" applyProtection="1">
      <alignment horizontal="center" vertical="center"/>
      <protection locked="0"/>
    </xf>
    <xf numFmtId="44" fontId="0" fillId="42" borderId="5" xfId="1" applyFont="1" applyFill="1" applyBorder="1" applyAlignment="1" applyProtection="1">
      <alignment horizontal="center" vertical="center" wrapText="1"/>
      <protection locked="0"/>
    </xf>
    <xf numFmtId="17" fontId="0" fillId="0" borderId="5" xfId="1" applyNumberFormat="1" applyFont="1" applyBorder="1" applyAlignment="1" applyProtection="1">
      <alignment horizontal="center" vertical="center" wrapText="1"/>
      <protection locked="0"/>
    </xf>
    <xf numFmtId="17" fontId="0" fillId="0" borderId="6" xfId="1" applyNumberFormat="1" applyFont="1" applyBorder="1" applyAlignment="1" applyProtection="1">
      <alignment horizontal="center" vertical="center" wrapText="1"/>
      <protection locked="0"/>
    </xf>
    <xf numFmtId="0" fontId="0" fillId="42" borderId="5" xfId="0" applyFill="1" applyBorder="1" applyAlignment="1" applyProtection="1">
      <alignment vertical="center" wrapText="1"/>
      <protection locked="0"/>
    </xf>
    <xf numFmtId="0" fontId="0" fillId="42" borderId="6" xfId="0" applyFill="1" applyBorder="1" applyAlignment="1" applyProtection="1">
      <alignment vertical="center" wrapText="1"/>
      <protection locked="0"/>
    </xf>
    <xf numFmtId="44" fontId="45" fillId="0" borderId="59" xfId="1" applyFont="1" applyBorder="1" applyAlignment="1" applyProtection="1">
      <alignment horizontal="center" vertical="center"/>
      <protection locked="0"/>
    </xf>
    <xf numFmtId="44" fontId="45" fillId="0" borderId="60" xfId="1" applyFont="1" applyBorder="1" applyAlignment="1" applyProtection="1">
      <alignment horizontal="center" vertical="center"/>
      <protection locked="0"/>
    </xf>
    <xf numFmtId="44" fontId="45" fillId="0" borderId="26" xfId="1" applyFont="1" applyBorder="1" applyAlignment="1" applyProtection="1">
      <alignment horizontal="center" vertical="center"/>
      <protection locked="0"/>
    </xf>
    <xf numFmtId="44" fontId="45" fillId="0" borderId="61" xfId="1" applyFont="1" applyBorder="1" applyAlignment="1" applyProtection="1">
      <alignment horizontal="center" vertical="center"/>
      <protection locked="0"/>
    </xf>
    <xf numFmtId="44" fontId="45" fillId="0" borderId="39" xfId="1" applyFont="1" applyBorder="1" applyAlignment="1" applyProtection="1">
      <alignment horizontal="center" vertical="center"/>
      <protection locked="0"/>
    </xf>
    <xf numFmtId="44" fontId="45" fillId="0" borderId="62" xfId="1" applyFont="1" applyBorder="1" applyAlignment="1" applyProtection="1">
      <alignment horizontal="center" vertical="center"/>
      <protection locked="0"/>
    </xf>
    <xf numFmtId="166" fontId="20" fillId="0" borderId="59" xfId="1" applyNumberFormat="1" applyFont="1" applyBorder="1" applyAlignment="1" applyProtection="1">
      <alignment horizontal="center" vertical="center"/>
      <protection locked="0"/>
    </xf>
    <xf numFmtId="166" fontId="20" fillId="0" borderId="26" xfId="1" applyNumberFormat="1" applyFont="1" applyBorder="1" applyAlignment="1" applyProtection="1">
      <alignment horizontal="center" vertical="center"/>
      <protection locked="0"/>
    </xf>
    <xf numFmtId="166" fontId="20" fillId="0" borderId="39" xfId="1" applyNumberFormat="1" applyFont="1" applyBorder="1" applyAlignment="1" applyProtection="1">
      <alignment horizontal="center" vertical="center"/>
      <protection locked="0"/>
    </xf>
    <xf numFmtId="164" fontId="79" fillId="0" borderId="19" xfId="0" applyNumberFormat="1" applyFont="1" applyBorder="1" applyAlignment="1">
      <alignment horizontal="center" vertical="center"/>
    </xf>
    <xf numFmtId="164" fontId="79" fillId="0" borderId="84" xfId="0" applyNumberFormat="1" applyFont="1" applyBorder="1" applyAlignment="1">
      <alignment horizontal="center" vertical="center"/>
    </xf>
    <xf numFmtId="164" fontId="79" fillId="0" borderId="58" xfId="0" applyNumberFormat="1" applyFont="1" applyBorder="1" applyAlignment="1">
      <alignment horizontal="center" vertical="center"/>
    </xf>
    <xf numFmtId="44" fontId="29" fillId="0" borderId="59" xfId="1" applyFont="1" applyBorder="1" applyAlignment="1" applyProtection="1">
      <alignment horizontal="center" vertical="center"/>
      <protection locked="0"/>
    </xf>
    <xf numFmtId="44" fontId="29" fillId="0" borderId="26" xfId="1" applyFont="1" applyBorder="1" applyAlignment="1" applyProtection="1">
      <alignment horizontal="center" vertical="center"/>
      <protection locked="0"/>
    </xf>
    <xf numFmtId="44" fontId="29" fillId="0" borderId="39" xfId="1" applyFont="1" applyBorder="1" applyAlignment="1" applyProtection="1">
      <alignment horizontal="center" vertical="center"/>
      <protection locked="0"/>
    </xf>
    <xf numFmtId="44" fontId="25" fillId="0" borderId="63" xfId="1" applyFont="1" applyBorder="1" applyAlignment="1" applyProtection="1">
      <alignment horizontal="center" vertical="center"/>
      <protection locked="0"/>
    </xf>
    <xf numFmtId="44" fontId="25" fillId="0" borderId="64" xfId="1" applyFont="1" applyBorder="1" applyAlignment="1" applyProtection="1">
      <alignment horizontal="center" vertical="center"/>
      <protection locked="0"/>
    </xf>
    <xf numFmtId="44" fontId="25" fillId="0" borderId="65" xfId="1" applyFont="1" applyBorder="1" applyAlignment="1" applyProtection="1">
      <alignment horizontal="center" vertical="center"/>
      <protection locked="0"/>
    </xf>
    <xf numFmtId="0" fontId="46" fillId="58" borderId="0" xfId="0" applyFont="1" applyFill="1" applyAlignment="1">
      <alignment horizontal="center"/>
    </xf>
    <xf numFmtId="44" fontId="0" fillId="74" borderId="1" xfId="1" applyFont="1" applyFill="1" applyBorder="1" applyAlignment="1" applyProtection="1">
      <alignment horizontal="left" vertical="center"/>
    </xf>
    <xf numFmtId="44" fontId="0" fillId="74" borderId="1" xfId="1" applyFont="1" applyFill="1" applyBorder="1" applyAlignment="1">
      <alignment horizontal="left" vertical="center"/>
    </xf>
    <xf numFmtId="44" fontId="52" fillId="74" borderId="5" xfId="1" applyFont="1" applyFill="1" applyBorder="1" applyAlignment="1">
      <alignment horizontal="center" vertical="center"/>
    </xf>
    <xf numFmtId="44" fontId="52" fillId="74" borderId="6" xfId="1" applyFont="1" applyFill="1" applyBorder="1" applyAlignment="1">
      <alignment horizontal="center" vertical="center"/>
    </xf>
  </cellXfs>
  <cellStyles count="25">
    <cellStyle name="Hiperligação" xfId="3" builtinId="8"/>
    <cellStyle name="Hiperlink 2" xfId="5" xr:uid="{0BA13198-6A4A-4CD2-B88F-FE2F4AE20D6B}"/>
    <cellStyle name="Hyperlink" xfId="4" xr:uid="{00000000-000B-0000-0000-000008000000}"/>
    <cellStyle name="Moeda" xfId="1" builtinId="4"/>
    <cellStyle name="Moeda 2" xfId="6" xr:uid="{B9977D21-ACFA-42C0-BB66-A246698741E0}"/>
    <cellStyle name="Moeda 2 2" xfId="21" xr:uid="{BD9A9DD6-4BA2-4F31-B3EF-452785D6EAE4}"/>
    <cellStyle name="Moeda 3" xfId="7" xr:uid="{9FA0A5B7-B6A5-496C-88DE-71ADC26AF061}"/>
    <cellStyle name="Normal" xfId="0" builtinId="0"/>
    <cellStyle name="Normal 2" xfId="8" xr:uid="{7866CD48-65AF-47BE-8A93-78E79A08968F}"/>
    <cellStyle name="Normal 2 2" xfId="9" xr:uid="{4F243FD1-2C84-46B1-A945-8B34C687B41C}"/>
    <cellStyle name="Normal 3" xfId="10" xr:uid="{2EFE8C13-0521-49FC-BAE6-682173CEFFFE}"/>
    <cellStyle name="Normal 3 2" xfId="22" xr:uid="{8BFA9F3B-DE23-4055-85FE-5C7E58BCBCEF}"/>
    <cellStyle name="Normal 3 3" xfId="11" xr:uid="{0E687022-8623-44D9-A5C0-B63B3C59569C}"/>
    <cellStyle name="Normal 4" xfId="12" xr:uid="{934489B0-430A-459A-8968-AACBE27DC6BA}"/>
    <cellStyle name="Normal 4 2" xfId="23" xr:uid="{8912AC5C-48B1-4056-BAD8-A175E2A876DE}"/>
    <cellStyle name="Normal 5" xfId="13" xr:uid="{311157AA-195B-4CFD-963D-6B4FD31DB140}"/>
    <cellStyle name="Normalny 2" xfId="14" xr:uid="{111908D1-A480-45DB-990D-2893D71E48FE}"/>
    <cellStyle name="Percentagem" xfId="2" builtinId="5"/>
    <cellStyle name="Porcentagem 2" xfId="15" xr:uid="{12D9911A-DB6F-4C0E-8A5F-08AF14E12CEA}"/>
    <cellStyle name="Porcentagem 3" xfId="16" xr:uid="{E39186B0-762E-43BC-A0FD-5BC023081789}"/>
    <cellStyle name="Porcentagem 4" xfId="17" xr:uid="{86248A10-E43F-4148-8BF2-CC96B7757523}"/>
    <cellStyle name="Porcentagem 4 2" xfId="24" xr:uid="{4BFC3919-9B33-4640-80A1-A7EE978CE06C}"/>
    <cellStyle name="Porcentagem 5" xfId="18" xr:uid="{01E4CC39-461B-4FBE-9958-38D2852A1E95}"/>
    <cellStyle name="Vírgula 2" xfId="19" xr:uid="{EFF1D3A8-FBB8-4176-8D39-02A42BD7E487}"/>
    <cellStyle name="Vírgula 3" xfId="20" xr:uid="{519150CA-80B5-468E-8C63-9911DEBB8E98}"/>
  </cellStyles>
  <dxfs count="363">
    <dxf>
      <font>
        <b/>
        <i val="0"/>
        <color rgb="FFFF0000"/>
      </font>
    </dxf>
    <dxf>
      <font>
        <color rgb="FFFF0000"/>
      </font>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ont>
        <b/>
        <i val="0"/>
        <color rgb="FFFF0000"/>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val="0"/>
        <i val="0"/>
        <color theme="3" tint="-0.499984740745262"/>
      </font>
    </dxf>
    <dxf>
      <font>
        <b/>
        <i val="0"/>
        <color rgb="FF00B050"/>
      </font>
    </dxf>
    <dxf>
      <font>
        <b/>
        <i val="0"/>
        <color theme="9"/>
      </font>
    </dxf>
    <dxf>
      <font>
        <b/>
        <i val="0"/>
        <color rgb="FFFF0000"/>
      </font>
    </dxf>
    <dxf>
      <font>
        <b/>
        <i val="0"/>
        <color theme="9"/>
      </font>
    </dxf>
    <dxf>
      <font>
        <b/>
        <i val="0"/>
        <color rgb="FF0000FF"/>
      </font>
    </dxf>
    <dxf>
      <font>
        <b/>
        <i val="0"/>
        <color rgb="FF00B05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val="0"/>
        <i val="0"/>
        <color theme="3" tint="-0.499984740745262"/>
      </font>
    </dxf>
    <dxf>
      <font>
        <b/>
        <i val="0"/>
        <color rgb="FF00B050"/>
      </font>
    </dxf>
    <dxf>
      <font>
        <b/>
        <i val="0"/>
        <color theme="9"/>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i val="0"/>
        <color rgb="FFFF0000"/>
      </font>
    </dxf>
    <dxf>
      <font>
        <b/>
        <i val="0"/>
        <color theme="9"/>
      </font>
    </dxf>
    <dxf>
      <font>
        <b/>
        <i val="0"/>
        <color rgb="FF0000FF"/>
      </font>
    </dxf>
    <dxf>
      <font>
        <b/>
        <i val="0"/>
        <color rgb="FF00B050"/>
      </font>
    </dxf>
    <dxf>
      <font>
        <b val="0"/>
        <i val="0"/>
        <color theme="3" tint="-0.499984740745262"/>
      </font>
    </dxf>
    <dxf>
      <font>
        <b/>
        <i val="0"/>
        <color rgb="FF00B050"/>
      </font>
    </dxf>
    <dxf>
      <font>
        <b/>
        <i val="0"/>
        <color theme="9"/>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9"/>
      </font>
    </dxf>
    <dxf>
      <font>
        <b/>
        <i val="0"/>
        <color rgb="FF0000FF"/>
      </font>
    </dxf>
    <dxf>
      <font>
        <b/>
        <i val="0"/>
        <color rgb="FF00B050"/>
      </font>
    </dxf>
    <dxf>
      <font>
        <b/>
        <i val="0"/>
        <color rgb="FFFF0000"/>
      </font>
    </dxf>
    <dxf>
      <font>
        <b/>
        <i val="0"/>
        <color rgb="FF00B050"/>
      </font>
    </dxf>
    <dxf>
      <font>
        <b val="0"/>
        <i val="0"/>
        <color theme="3" tint="-0.499984740745262"/>
      </font>
    </dxf>
    <dxf>
      <font>
        <b/>
        <i val="0"/>
        <color rgb="FF00B050"/>
      </font>
    </dxf>
    <dxf>
      <font>
        <b/>
        <i val="0"/>
        <color theme="9" tint="-0.499984740745262"/>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i val="0"/>
        <color rgb="FFFF0000"/>
      </font>
    </dxf>
    <dxf>
      <font>
        <b/>
        <i val="0"/>
        <color theme="9"/>
      </font>
    </dxf>
    <dxf>
      <font>
        <b/>
        <i val="0"/>
        <color rgb="FF0000FF"/>
      </font>
    </dxf>
    <dxf>
      <font>
        <b/>
        <i val="0"/>
        <color rgb="FF00B050"/>
      </font>
    </dxf>
    <dxf>
      <font>
        <b val="0"/>
        <i val="0"/>
        <color theme="3" tint="-0.499984740745262"/>
      </font>
    </dxf>
    <dxf>
      <font>
        <b/>
        <i val="0"/>
        <color rgb="FF00B050"/>
      </font>
    </dxf>
    <dxf>
      <font>
        <b/>
        <i val="0"/>
        <color theme="9"/>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i val="0"/>
        <color rgb="FFFF0000"/>
      </font>
    </dxf>
    <dxf>
      <font>
        <b/>
        <i val="0"/>
        <color theme="9"/>
      </font>
    </dxf>
    <dxf>
      <font>
        <b/>
        <i val="0"/>
        <color rgb="FF0000FF"/>
      </font>
    </dxf>
    <dxf>
      <font>
        <b/>
        <i val="0"/>
        <color rgb="FF00B050"/>
      </font>
    </dxf>
    <dxf>
      <font>
        <b val="0"/>
        <i val="0"/>
        <color theme="3" tint="-0.499984740745262"/>
      </font>
    </dxf>
    <dxf>
      <font>
        <b/>
        <i val="0"/>
        <color rgb="FF00B050"/>
      </font>
    </dxf>
    <dxf>
      <font>
        <b/>
        <i val="0"/>
        <color theme="9"/>
      </font>
    </dxf>
    <dxf>
      <font>
        <color theme="1"/>
      </font>
    </dxf>
    <dxf>
      <font>
        <color rgb="FF00B050"/>
      </font>
    </dxf>
    <dxf>
      <font>
        <color rgb="FFFF0000"/>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theme="6" tint="-0.24994659260841701"/>
      </font>
    </dxf>
    <dxf>
      <font>
        <b/>
        <i val="0"/>
        <color rgb="FF00B050"/>
      </font>
    </dxf>
    <dxf>
      <font>
        <b/>
        <i val="0"/>
        <color rgb="FFFF0000"/>
      </font>
    </dxf>
    <dxf>
      <font>
        <b/>
        <i val="0"/>
        <color rgb="FFFF0000"/>
      </font>
    </dxf>
    <dxf>
      <font>
        <b/>
        <i val="0"/>
        <color theme="9"/>
      </font>
    </dxf>
    <dxf>
      <font>
        <b/>
        <i val="0"/>
        <color rgb="FF0000FF"/>
      </font>
    </dxf>
    <dxf>
      <font>
        <b/>
        <i val="0"/>
        <color rgb="FF00B050"/>
      </font>
    </dxf>
    <dxf>
      <font>
        <b/>
        <i val="0"/>
        <color rgb="FFFF0000"/>
      </font>
    </dxf>
    <dxf>
      <font>
        <b/>
        <i val="0"/>
        <color rgb="FF00B050"/>
      </font>
    </dxf>
    <dxf>
      <font>
        <b/>
        <i val="0"/>
        <color rgb="FF0000FF"/>
      </font>
      <fill>
        <patternFill patternType="gray0625">
          <fgColor theme="6" tint="0.39994506668294322"/>
        </patternFill>
      </fill>
    </dxf>
    <dxf>
      <font>
        <b/>
        <i val="0"/>
        <color rgb="FFFF0000"/>
      </font>
    </dxf>
    <dxf>
      <font>
        <b/>
        <i val="0"/>
        <color rgb="FF0000FF"/>
      </font>
      <fill>
        <patternFill patternType="gray0625">
          <fgColor theme="6" tint="0.39994506668294322"/>
        </patternFill>
      </fill>
    </dxf>
    <dxf>
      <font>
        <b/>
        <i val="0"/>
        <color rgb="FF0000FF"/>
      </font>
      <fill>
        <patternFill patternType="gray0625">
          <fgColor theme="6" tint="0.39994506668294322"/>
        </patternFill>
      </fill>
    </dxf>
    <dxf>
      <fill>
        <patternFill patternType="solid">
          <fgColor indexed="64"/>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border>
      <protection locked="0" hidden="0"/>
    </dxf>
    <dxf>
      <fill>
        <patternFill patternType="solid">
          <fgColor indexed="64"/>
          <bgColor theme="0"/>
        </patternFill>
      </fill>
      <border diagonalUp="0" diagonalDown="0" outline="0">
        <left style="thin">
          <color auto="1"/>
        </left>
        <right style="thin">
          <color auto="1"/>
        </right>
        <top style="thin">
          <color auto="1"/>
        </top>
        <bottom/>
      </border>
      <protection locked="0" hidden="0"/>
    </dxf>
    <dxf>
      <fill>
        <patternFill patternType="solid">
          <fgColor indexed="64"/>
          <bgColor theme="0"/>
        </patternFill>
      </fill>
      <border diagonalUp="0" diagonalDown="0" outline="0">
        <left style="thin">
          <color auto="1"/>
        </left>
        <right style="thin">
          <color auto="1"/>
        </right>
        <top style="thin">
          <color auto="1"/>
        </top>
        <bottom/>
      </border>
      <protection locked="0" hidden="0"/>
    </dxf>
    <dxf>
      <fill>
        <patternFill patternType="solid">
          <fgColor indexed="64"/>
          <bgColor theme="0"/>
        </patternFill>
      </fill>
      <border diagonalUp="0" diagonalDown="0" outline="0">
        <left style="thin">
          <color auto="1"/>
        </left>
        <right style="thin">
          <color auto="1"/>
        </right>
        <top style="thin">
          <color auto="1"/>
        </top>
        <bottom/>
      </border>
      <protection locked="0" hidden="0"/>
    </dxf>
    <dxf>
      <fill>
        <patternFill patternType="solid">
          <fgColor indexed="64"/>
          <bgColor theme="0"/>
        </patternFill>
      </fill>
      <border diagonalUp="0" diagonalDown="0" outline="0">
        <left style="thin">
          <color auto="1"/>
        </left>
        <right style="thin">
          <color auto="1"/>
        </right>
        <top style="thin">
          <color auto="1"/>
        </top>
        <bottom/>
      </border>
      <protection locked="0" hidden="0"/>
    </dxf>
    <dxf>
      <fill>
        <patternFill patternType="solid">
          <fgColor indexed="64"/>
          <bgColor theme="0"/>
        </patternFill>
      </fill>
      <border diagonalUp="0" diagonalDown="0" outline="0">
        <left/>
        <right style="thin">
          <color auto="1"/>
        </right>
        <top style="thin">
          <color auto="1"/>
        </top>
        <bottom/>
      </border>
      <protection locked="0" hidden="0"/>
    </dxf>
    <dxf>
      <fill>
        <patternFill patternType="solid">
          <fgColor theme="4" tint="0.79998168889431442"/>
          <bgColor theme="4" tint="0.79998168889431442"/>
        </patternFill>
      </fill>
      <border diagonalUp="0" diagonalDown="0">
        <left style="thin">
          <color auto="1"/>
        </left>
        <right/>
        <top style="thin">
          <color auto="1"/>
        </top>
        <bottom style="thin">
          <color indexed="64"/>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border diagonalUp="0" diagonalDown="0">
        <left/>
        <right style="thin">
          <color auto="1"/>
        </right>
        <top style="thin">
          <color auto="1"/>
        </top>
        <bottom style="thin">
          <color auto="1"/>
        </bottom>
        <vertical/>
        <horizontal/>
      </border>
      <protection locked="0" hidden="0"/>
    </dxf>
    <dxf>
      <border outline="0">
        <top style="thin">
          <color auto="1"/>
        </top>
      </border>
    </dxf>
    <dxf>
      <border outline="0">
        <left style="thin">
          <color auto="1"/>
        </left>
        <right style="thin">
          <color auto="1"/>
        </right>
        <top style="thin">
          <color auto="1"/>
        </top>
        <bottom style="thin">
          <color auto="1"/>
        </bottom>
      </border>
    </dxf>
    <dxf>
      <fill>
        <patternFill patternType="solid">
          <fgColor theme="4" tint="0.79998168889431442"/>
          <bgColor theme="4" tint="0.79998168889431442"/>
        </patternFill>
      </fill>
      <protection locked="0" hidden="0"/>
    </dxf>
    <dxf>
      <border outline="0">
        <bottom style="thin">
          <color auto="1"/>
        </bottom>
      </border>
    </dxf>
    <dxf>
      <font>
        <b/>
        <i val="0"/>
        <strike val="0"/>
        <condense val="0"/>
        <extend val="0"/>
        <outline val="0"/>
        <shadow val="0"/>
        <u val="none"/>
        <vertAlign val="baseline"/>
        <sz val="9"/>
        <color auto="1"/>
        <name val="Calibri"/>
        <family val="2"/>
        <scheme val="none"/>
      </font>
      <fill>
        <patternFill patternType="solid">
          <fgColor rgb="FFCCD7FF"/>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protection locked="0" hidden="0"/>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border diagonalUp="0" diagonalDown="0">
        <left/>
        <right style="thin">
          <color auto="1"/>
        </right>
        <top style="thin">
          <color auto="1"/>
        </top>
        <bottom style="thin">
          <color auto="1"/>
        </bottom>
        <vertical/>
        <horizontal/>
      </border>
      <protection locked="0" hidden="0"/>
    </dxf>
    <dxf>
      <border outline="0">
        <top style="thin">
          <color auto="1"/>
        </top>
      </border>
    </dxf>
    <dxf>
      <border outline="0">
        <left style="thin">
          <color auto="1"/>
        </left>
        <right style="thin">
          <color auto="1"/>
        </right>
        <top style="thin">
          <color auto="1"/>
        </top>
        <bottom style="thin">
          <color auto="1"/>
        </bottom>
      </border>
    </dxf>
    <dxf>
      <protection locked="0" hidden="0"/>
    </dxf>
    <dxf>
      <border outline="0">
        <bottom style="thin">
          <color auto="1"/>
        </bottom>
      </border>
    </dxf>
    <dxf>
      <font>
        <b/>
        <i val="0"/>
        <strike val="0"/>
        <condense val="0"/>
        <extend val="0"/>
        <outline val="0"/>
        <shadow val="0"/>
        <u val="none"/>
        <vertAlign val="baseline"/>
        <sz val="9"/>
        <color auto="1"/>
        <name val="Calibri"/>
        <family val="2"/>
        <scheme val="none"/>
      </font>
      <fill>
        <patternFill patternType="solid">
          <fgColor rgb="FFCCD7FF"/>
          <bgColor rgb="FFCCD7FF"/>
        </patternFill>
      </fill>
      <alignment horizontal="center" vertical="center" textRotation="0" wrapText="1" indent="0" justifyLastLine="0" shrinkToFit="0" readingOrder="0"/>
      <border diagonalUp="0" diagonalDown="0">
        <left style="thin">
          <color auto="1"/>
        </left>
        <right style="thin">
          <color auto="1"/>
        </right>
        <top/>
        <bottom/>
      </border>
      <protection locked="0" hidden="0"/>
    </dxf>
    <dxf>
      <fill>
        <patternFill patternType="solid">
          <fgColor rgb="FFFDE9D9"/>
          <bgColor rgb="FF000000"/>
        </patternFill>
      </fill>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alignment horizont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numFmt numFmtId="0" formatCode="General"/>
      <border diagonalUp="0" diagonalDown="0">
        <left style="thin">
          <color auto="1"/>
        </left>
        <right style="thin">
          <color auto="1"/>
        </right>
        <top style="thin">
          <color auto="1"/>
        </top>
        <bottom style="thin">
          <color auto="1"/>
        </bottom>
        <vertical/>
        <horizontal/>
      </border>
      <protection locked="0" hidden="0"/>
    </dxf>
    <dxf>
      <alignment horizont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border diagonalUp="0" diagonalDown="0">
        <left/>
        <right style="thin">
          <color auto="1"/>
        </right>
        <top style="thin">
          <color auto="1"/>
        </top>
        <bottom style="thin">
          <color auto="1"/>
        </bottom>
        <vertical/>
        <horizontal/>
      </border>
      <protection locked="0" hidden="0"/>
    </dxf>
    <dxf>
      <border outline="0">
        <top style="thin">
          <color auto="1"/>
        </top>
      </border>
    </dxf>
    <dxf>
      <border outline="0">
        <right style="thin">
          <color auto="1"/>
        </right>
      </border>
    </dxf>
    <dxf>
      <fill>
        <patternFill patternType="solid">
          <fgColor theme="4" tint="0.79998168889431442"/>
          <bgColor theme="4" tint="0.79998168889431442"/>
        </patternFill>
      </fill>
      <alignment horizontal="center" vertical="center" textRotation="0" wrapText="1" indent="0" justifyLastLine="0" shrinkToFit="0" readingOrder="0"/>
      <protection locked="0" hidden="0"/>
    </dxf>
    <dxf>
      <border outline="0">
        <bottom style="thin">
          <color auto="1"/>
        </bottom>
      </border>
    </dxf>
    <dxf>
      <font>
        <b/>
        <i val="0"/>
        <strike val="0"/>
        <condense val="0"/>
        <extend val="0"/>
        <outline val="0"/>
        <shadow val="0"/>
        <u val="none"/>
        <vertAlign val="baseline"/>
        <sz val="9"/>
        <color auto="1"/>
        <name val="Calibri"/>
        <family val="2"/>
        <scheme val="none"/>
      </font>
      <fill>
        <patternFill patternType="solid">
          <fgColor rgb="FFCCD7FF"/>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protection locked="0" hidden="0"/>
    </dxf>
    <dxf>
      <font>
        <strike val="0"/>
        <outline val="0"/>
        <shadow val="0"/>
        <vertAlign val="baseline"/>
        <sz val="10"/>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auto="1"/>
        </left>
        <right/>
        <top style="thin">
          <color auto="1"/>
        </top>
        <bottom style="thin">
          <color indexed="64"/>
        </bottom>
      </border>
      <protection locked="0" hidden="0"/>
    </dxf>
    <dxf>
      <font>
        <strike val="0"/>
        <outline val="0"/>
        <shadow val="0"/>
        <vertAlign val="baseline"/>
        <sz val="10"/>
        <name val="Calibri"/>
        <family val="2"/>
        <scheme val="minor"/>
      </font>
      <numFmt numFmtId="1" formatCode="0"/>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numFmt numFmtId="1" formatCode="0"/>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numFmt numFmtId="1" formatCode="0"/>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numFmt numFmtId="1" formatCode="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numFmt numFmtId="1" formatCode="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numFmt numFmtId="1" formatCode="0"/>
      <border diagonalUp="0" diagonalDown="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alignment horizontal="left"/>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alignment horizont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alignment horizont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alignment horizont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alignment horizontal="general" vertical="top" relativeIndent="-1"/>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10"/>
        <color theme="1"/>
        <name val="Calibri"/>
        <family val="2"/>
        <scheme val="minor"/>
      </font>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10"/>
        <color theme="1"/>
        <name val="Calibri"/>
        <family val="2"/>
        <scheme val="minor"/>
      </font>
      <alignment horizontal="left"/>
      <border diagonalUp="0" diagonalDown="0" outline="0">
        <left style="thin">
          <color auto="1"/>
        </left>
        <right style="thin">
          <color auto="1"/>
        </right>
        <top style="thin">
          <color auto="1"/>
        </top>
        <bottom style="thin">
          <color auto="1"/>
        </bottom>
      </border>
      <protection locked="0" hidden="0"/>
    </dxf>
    <dxf>
      <font>
        <strike val="0"/>
        <outline val="0"/>
        <shadow val="0"/>
        <vertAlign val="baseline"/>
        <sz val="10"/>
        <name val="Calibri"/>
        <family val="2"/>
        <scheme val="minor"/>
      </font>
      <border diagonalUp="0" diagonalDown="0" outline="0">
        <left/>
        <right style="thin">
          <color auto="1"/>
        </right>
        <top style="thin">
          <color auto="1"/>
        </top>
        <bottom style="thin">
          <color auto="1"/>
        </bottom>
      </border>
      <protection locked="0" hidden="0"/>
    </dxf>
    <dxf>
      <border outline="0">
        <top style="thin">
          <color auto="1"/>
        </top>
      </border>
    </dxf>
    <dxf>
      <border outline="0">
        <left style="thin">
          <color auto="1"/>
        </left>
        <right style="thin">
          <color auto="1"/>
        </right>
        <top style="thin">
          <color auto="1"/>
        </top>
        <bottom style="thin">
          <color auto="1"/>
        </bottom>
      </border>
    </dxf>
    <dxf>
      <font>
        <strike val="0"/>
        <outline val="0"/>
        <shadow val="0"/>
        <vertAlign val="baseline"/>
        <sz val="10"/>
        <name val="Calibri"/>
        <family val="2"/>
        <scheme val="minor"/>
      </font>
      <fill>
        <patternFill patternType="solid">
          <fgColor theme="4" tint="0.79998168889431442"/>
          <bgColor theme="4" tint="0.79998168889431442"/>
        </patternFill>
      </fill>
      <alignment horizontal="center" vertical="center" textRotation="0" wrapText="1" indent="0" justifyLastLine="0" shrinkToFit="0" readingOrder="0"/>
      <protection locked="0" hidden="0"/>
    </dxf>
    <dxf>
      <border outline="0">
        <bottom style="thin">
          <color auto="1"/>
        </bottom>
      </border>
    </dxf>
    <dxf>
      <font>
        <b/>
        <i val="0"/>
        <strike val="0"/>
        <condense val="0"/>
        <extend val="0"/>
        <outline val="0"/>
        <shadow val="0"/>
        <u val="none"/>
        <vertAlign val="baseline"/>
        <sz val="10"/>
        <color auto="1"/>
        <name val="Calibri"/>
        <family val="2"/>
        <scheme val="minor"/>
      </font>
      <fill>
        <patternFill patternType="solid">
          <fgColor rgb="FFCCD7FF"/>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protection locked="0" hidden="0"/>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ill>
        <patternFill>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ill>
        <patternFill>
          <bgColor theme="0"/>
        </patternFill>
      </fill>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border diagonalUp="0" diagonalDown="0">
        <left/>
        <right style="thin">
          <color auto="1"/>
        </right>
        <top style="thin">
          <color auto="1"/>
        </top>
        <bottom style="thin">
          <color auto="1"/>
        </bottom>
        <vertical/>
        <horizontal/>
      </border>
      <protection locked="0" hidden="0"/>
    </dxf>
    <dxf>
      <border outline="0">
        <top style="thin">
          <color auto="1"/>
        </top>
      </border>
    </dxf>
    <dxf>
      <border outline="0">
        <left style="thin">
          <color auto="1"/>
        </left>
        <right style="thin">
          <color auto="1"/>
        </right>
        <top style="thin">
          <color auto="1"/>
        </top>
        <bottom style="thin">
          <color auto="1"/>
        </bottom>
      </border>
    </dxf>
    <dxf>
      <protection locked="0" hidden="0"/>
    </dxf>
    <dxf>
      <border outline="0">
        <bottom style="thin">
          <color auto="1"/>
        </bottom>
      </border>
    </dxf>
    <dxf>
      <font>
        <b/>
        <i val="0"/>
        <strike val="0"/>
        <condense val="0"/>
        <extend val="0"/>
        <outline val="0"/>
        <shadow val="0"/>
        <u val="none"/>
        <vertAlign val="baseline"/>
        <sz val="9"/>
        <color auto="1"/>
        <name val="Calibri"/>
        <family val="2"/>
        <scheme val="none"/>
      </font>
      <fill>
        <patternFill patternType="solid">
          <fgColor rgb="FFCCD7FF"/>
          <bgColor rgb="FFCCD7FF"/>
        </patternFill>
      </fill>
      <alignment horizontal="center" vertical="center" textRotation="0" wrapText="1" indent="0" justifyLastLine="0" shrinkToFit="0" readingOrder="0"/>
      <border diagonalUp="0" diagonalDown="0">
        <left style="thin">
          <color auto="1"/>
        </left>
        <right style="thin">
          <color auto="1"/>
        </right>
        <top/>
        <bottom/>
      </border>
      <protection locked="0" hidden="0"/>
    </dxf>
    <dxf>
      <fill>
        <patternFill patternType="solid">
          <fgColor theme="4" tint="0.79998168889431442"/>
          <bgColor theme="4" tint="0.79998168889431442"/>
        </patternFill>
      </fill>
      <border diagonalUp="0" diagonalDown="0">
        <left style="thin">
          <color auto="1"/>
        </left>
        <right/>
        <top style="thin">
          <color auto="1"/>
        </top>
        <bottom style="thin">
          <color indexed="64"/>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alignment horizontal="left" textRotation="0" indent="0" justifyLastLine="0" shrinkToFit="0" readingOrder="0"/>
      <border diagonalUp="0" diagonalDown="0" outline="0">
        <left style="thin">
          <color auto="1"/>
        </left>
        <right style="thin">
          <color auto="1"/>
        </right>
        <top style="thin">
          <color auto="1"/>
        </top>
        <bottom style="thin">
          <color auto="1"/>
        </bottom>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alignment horizontal="general"/>
      <border diagonalUp="0" diagonalDown="0">
        <left style="thin">
          <color auto="1"/>
        </left>
        <right style="thin">
          <color auto="1"/>
        </right>
        <top style="thin">
          <color auto="1"/>
        </top>
        <bottom style="thin">
          <color auto="1"/>
        </bottom>
        <vertical/>
        <horizontal/>
      </border>
      <protection locked="0" hidden="0"/>
    </dxf>
    <dxf>
      <alignment horizontal="center"/>
      <border diagonalUp="0" diagonalDown="0">
        <left style="thin">
          <color auto="1"/>
        </left>
        <right style="thin">
          <color auto="1"/>
        </right>
        <top style="thin">
          <color auto="1"/>
        </top>
        <bottom style="thin">
          <color auto="1"/>
        </bottom>
        <vertical/>
        <horizontal/>
      </border>
      <protection locked="0" hidden="0"/>
    </dxf>
    <dxf>
      <alignment horizontal="center"/>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Calibri"/>
        <family val="2"/>
        <scheme val="minor"/>
      </font>
      <border diagonalUp="0" diagonalDown="0">
        <left style="thin">
          <color auto="1"/>
        </left>
        <right style="thin">
          <color auto="1"/>
        </right>
        <top style="thin">
          <color auto="1"/>
        </top>
        <bottom style="thin">
          <color auto="1"/>
        </bottom>
        <vertical/>
        <horizontal/>
      </border>
      <protection locked="0" hidden="0"/>
    </dxf>
    <dxf>
      <border diagonalUp="0" diagonalDown="0">
        <left/>
        <right style="thin">
          <color auto="1"/>
        </right>
        <top style="thin">
          <color auto="1"/>
        </top>
        <bottom style="thin">
          <color auto="1"/>
        </bottom>
        <vertical/>
        <horizontal/>
      </border>
      <protection locked="0" hidden="0"/>
    </dxf>
    <dxf>
      <border outline="0">
        <top style="thin">
          <color auto="1"/>
        </top>
      </border>
    </dxf>
    <dxf>
      <border outline="0">
        <left style="thin">
          <color auto="1"/>
        </left>
        <right style="thin">
          <color auto="1"/>
        </right>
        <top style="thin">
          <color auto="1"/>
        </top>
        <bottom style="thin">
          <color auto="1"/>
        </bottom>
      </border>
    </dxf>
    <dxf>
      <fill>
        <patternFill patternType="solid">
          <fgColor theme="4" tint="0.79998168889431442"/>
          <bgColor theme="4" tint="0.79998168889431442"/>
        </patternFill>
      </fill>
      <protection locked="0" hidden="0"/>
    </dxf>
    <dxf>
      <border outline="0">
        <bottom style="thin">
          <color auto="1"/>
        </bottom>
      </border>
    </dxf>
    <dxf>
      <font>
        <b/>
        <i val="0"/>
        <strike val="0"/>
        <condense val="0"/>
        <extend val="0"/>
        <outline val="0"/>
        <shadow val="0"/>
        <u val="none"/>
        <vertAlign val="baseline"/>
        <sz val="9"/>
        <color auto="1"/>
        <name val="Calibri"/>
        <family val="2"/>
        <scheme val="none"/>
      </font>
      <fill>
        <patternFill patternType="solid">
          <fgColor rgb="FFCCD7FF"/>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protection locked="0" hidden="0"/>
    </dxf>
  </dxfs>
  <tableStyles count="1" defaultTableStyle="TableStyleMedium9" defaultPivotStyle="PivotStyleLight16">
    <tableStyle name="Invisible" pivot="0" table="0" count="0" xr9:uid="{6CBC46EC-EBDB-4568-87BC-47EE65EACF1B}"/>
  </tableStyles>
  <colors>
    <mruColors>
      <color rgb="FFB482DA"/>
      <color rgb="FF00FF00"/>
      <color rgb="FF0000FF"/>
      <color rgb="FF009900"/>
      <color rgb="FFFFFF99"/>
      <color rgb="FF000099"/>
      <color rgb="FFCCECFF"/>
      <color rgb="FF66CCF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xml"/><Relationship Id="rId21" Type="http://schemas.openxmlformats.org/officeDocument/2006/relationships/worksheet" Target="worksheets/sheet21.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63" Type="http://schemas.openxmlformats.org/officeDocument/2006/relationships/externalLink" Target="externalLinks/externalLink39.xml"/><Relationship Id="rId68" Type="http://schemas.openxmlformats.org/officeDocument/2006/relationships/externalLink" Target="externalLinks/externalLink44.xml"/><Relationship Id="rId84" Type="http://schemas.openxmlformats.org/officeDocument/2006/relationships/customXml" Target="../customXml/item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74" Type="http://schemas.openxmlformats.org/officeDocument/2006/relationships/externalLink" Target="externalLinks/externalLink50.xml"/><Relationship Id="rId79"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7.xml"/><Relationship Id="rId82"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externalLink" Target="externalLinks/externalLink40.xml"/><Relationship Id="rId69" Type="http://schemas.openxmlformats.org/officeDocument/2006/relationships/externalLink" Target="externalLinks/externalLink45.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27.xml"/><Relationship Id="rId72" Type="http://schemas.openxmlformats.org/officeDocument/2006/relationships/externalLink" Target="externalLinks/externalLink48.xml"/><Relationship Id="rId80"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externalLink" Target="externalLinks/externalLink35.xml"/><Relationship Id="rId67" Type="http://schemas.openxmlformats.org/officeDocument/2006/relationships/externalLink" Target="externalLinks/externalLink43.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externalLink" Target="externalLinks/externalLink38.xml"/><Relationship Id="rId70" Type="http://schemas.openxmlformats.org/officeDocument/2006/relationships/externalLink" Target="externalLinks/externalLink46.xml"/><Relationship Id="rId75" Type="http://schemas.openxmlformats.org/officeDocument/2006/relationships/externalLink" Target="externalLinks/externalLink51.xml"/><Relationship Id="rId83"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externalLink" Target="externalLinks/externalLink36.xml"/><Relationship Id="rId65" Type="http://schemas.openxmlformats.org/officeDocument/2006/relationships/externalLink" Target="externalLinks/externalLink41.xml"/><Relationship Id="rId73" Type="http://schemas.openxmlformats.org/officeDocument/2006/relationships/externalLink" Target="externalLinks/externalLink49.xml"/><Relationship Id="rId78" Type="http://schemas.openxmlformats.org/officeDocument/2006/relationships/sharedStrings" Target="sharedStrings.xml"/><Relationship Id="rId8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5.xml"/><Relationship Id="rId34" Type="http://schemas.openxmlformats.org/officeDocument/2006/relationships/externalLink" Target="externalLinks/externalLink10.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47.xml"/><Relationship Id="rId2" Type="http://schemas.openxmlformats.org/officeDocument/2006/relationships/worksheet" Target="worksheets/sheet2.xml"/><Relationship Id="rId29" Type="http://schemas.openxmlformats.org/officeDocument/2006/relationships/externalLink" Target="externalLinks/externalLink5.xml"/><Relationship Id="rId24" Type="http://schemas.openxmlformats.org/officeDocument/2006/relationships/worksheet" Target="worksheets/sheet24.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66" Type="http://schemas.openxmlformats.org/officeDocument/2006/relationships/externalLink" Target="externalLinks/externalLink4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'5 Unidades  +'!$Q$12</c:f>
              <c:strCache>
                <c:ptCount val="1"/>
                <c:pt idx="0">
                  <c:v>Unidade</c:v>
                </c:pt>
              </c:strCache>
            </c:strRef>
          </c:tx>
          <c:spPr>
            <a:solidFill>
              <a:schemeClr val="accent3">
                <a:lumMod val="60000"/>
                <a:lumOff val="40000"/>
                <a:alpha val="70000"/>
              </a:schemeClr>
            </a:solidFill>
            <a:ln>
              <a:solidFill>
                <a:srgbClr val="92D050"/>
              </a:solidFill>
            </a:ln>
            <a:effectLst/>
          </c:spPr>
          <c:cat>
            <c:strRef>
              <c:f>'5 Unidades  +'!$P$13:$P$16</c:f>
              <c:strCache>
                <c:ptCount val="4"/>
                <c:pt idx="0">
                  <c:v>Produtividade e Controle</c:v>
                </c:pt>
                <c:pt idx="1">
                  <c:v>Documentos e Registro </c:v>
                </c:pt>
                <c:pt idx="2">
                  <c:v>Manutenção do Processo </c:v>
                </c:pt>
                <c:pt idx="3">
                  <c:v>Análise dos Dados </c:v>
                </c:pt>
              </c:strCache>
            </c:strRef>
          </c:cat>
          <c:val>
            <c:numRef>
              <c:f>'5 Unidades  +'!$Q$13:$Q$16</c:f>
              <c:numCache>
                <c:formatCode>0.00%</c:formatCode>
                <c:ptCount val="4"/>
                <c:pt idx="0">
                  <c:v>0.95</c:v>
                </c:pt>
                <c:pt idx="1">
                  <c:v>0.95</c:v>
                </c:pt>
                <c:pt idx="2">
                  <c:v>0.98333333333333317</c:v>
                </c:pt>
                <c:pt idx="3">
                  <c:v>1</c:v>
                </c:pt>
              </c:numCache>
            </c:numRef>
          </c:val>
          <c:extLst>
            <c:ext xmlns:c16="http://schemas.microsoft.com/office/drawing/2014/chart" uri="{C3380CC4-5D6E-409C-BE32-E72D297353CC}">
              <c16:uniqueId val="{00000000-A184-46AB-9DEB-AE02424B8B29}"/>
            </c:ext>
          </c:extLst>
        </c:ser>
        <c:ser>
          <c:idx val="1"/>
          <c:order val="1"/>
          <c:tx>
            <c:strRef>
              <c:f>'5 Unidades  +'!$R$12</c:f>
              <c:strCache>
                <c:ptCount val="1"/>
                <c:pt idx="0">
                  <c:v>Auditado</c:v>
                </c:pt>
              </c:strCache>
            </c:strRef>
          </c:tx>
          <c:spPr>
            <a:solidFill>
              <a:srgbClr val="00B050">
                <a:alpha val="47000"/>
              </a:srgbClr>
            </a:solidFill>
            <a:ln>
              <a:solidFill>
                <a:srgbClr val="92D050">
                  <a:alpha val="15000"/>
                </a:srgbClr>
              </a:solidFill>
              <a:prstDash val="dash"/>
            </a:ln>
            <a:effectLst/>
          </c:spPr>
          <c:cat>
            <c:strRef>
              <c:f>'5 Unidades  +'!$P$13:$P$16</c:f>
              <c:strCache>
                <c:ptCount val="4"/>
                <c:pt idx="0">
                  <c:v>Produtividade e Controle</c:v>
                </c:pt>
                <c:pt idx="1">
                  <c:v>Documentos e Registro </c:v>
                </c:pt>
                <c:pt idx="2">
                  <c:v>Manutenção do Processo </c:v>
                </c:pt>
                <c:pt idx="3">
                  <c:v>Análise dos Dados </c:v>
                </c:pt>
              </c:strCache>
            </c:strRef>
          </c:cat>
          <c:val>
            <c:numRef>
              <c:f>'5 Unidades  +'!$R$13:$R$16</c:f>
              <c:numCache>
                <c:formatCode>0.00%</c:formatCode>
                <c:ptCount val="4"/>
                <c:pt idx="0">
                  <c:v>0.9</c:v>
                </c:pt>
                <c:pt idx="1">
                  <c:v>0.85</c:v>
                </c:pt>
                <c:pt idx="2">
                  <c:v>0.96666666666666656</c:v>
                </c:pt>
                <c:pt idx="3">
                  <c:v>1</c:v>
                </c:pt>
              </c:numCache>
            </c:numRef>
          </c:val>
          <c:extLst>
            <c:ext xmlns:c16="http://schemas.microsoft.com/office/drawing/2014/chart" uri="{C3380CC4-5D6E-409C-BE32-E72D297353CC}">
              <c16:uniqueId val="{00000001-A184-46AB-9DEB-AE02424B8B29}"/>
            </c:ext>
          </c:extLst>
        </c:ser>
        <c:ser>
          <c:idx val="2"/>
          <c:order val="2"/>
          <c:tx>
            <c:strRef>
              <c:f>'5 Unidades  +'!$S$12</c:f>
              <c:strCache>
                <c:ptCount val="1"/>
                <c:pt idx="0">
                  <c:v>Meta</c:v>
                </c:pt>
              </c:strCache>
            </c:strRef>
          </c:tx>
          <c:spPr>
            <a:solidFill>
              <a:srgbClr val="92D050">
                <a:alpha val="20000"/>
              </a:srgbClr>
            </a:solidFill>
            <a:ln cmpd="thickThin">
              <a:solidFill>
                <a:srgbClr val="00B050"/>
              </a:solidFill>
              <a:prstDash val="dash"/>
            </a:ln>
            <a:effectLst/>
          </c:spPr>
          <c:cat>
            <c:strRef>
              <c:f>'5 Unidades  +'!$P$13:$P$16</c:f>
              <c:strCache>
                <c:ptCount val="4"/>
                <c:pt idx="0">
                  <c:v>Produtividade e Controle</c:v>
                </c:pt>
                <c:pt idx="1">
                  <c:v>Documentos e Registro </c:v>
                </c:pt>
                <c:pt idx="2">
                  <c:v>Manutenção do Processo </c:v>
                </c:pt>
                <c:pt idx="3">
                  <c:v>Análise dos Dados </c:v>
                </c:pt>
              </c:strCache>
            </c:strRef>
          </c:cat>
          <c:val>
            <c:numRef>
              <c:f>'5 Unidades  +'!$S$13:$S$16</c:f>
              <c:numCache>
                <c:formatCode>0%</c:formatCode>
                <c:ptCount val="4"/>
                <c:pt idx="0">
                  <c:v>1</c:v>
                </c:pt>
                <c:pt idx="1">
                  <c:v>1</c:v>
                </c:pt>
                <c:pt idx="2">
                  <c:v>1</c:v>
                </c:pt>
                <c:pt idx="3">
                  <c:v>1</c:v>
                </c:pt>
              </c:numCache>
            </c:numRef>
          </c:val>
          <c:extLst>
            <c:ext xmlns:c16="http://schemas.microsoft.com/office/drawing/2014/chart" uri="{C3380CC4-5D6E-409C-BE32-E72D297353CC}">
              <c16:uniqueId val="{00000002-A184-46AB-9DEB-AE02424B8B29}"/>
            </c:ext>
          </c:extLst>
        </c:ser>
        <c:dLbls>
          <c:showLegendKey val="0"/>
          <c:showVal val="0"/>
          <c:showCatName val="0"/>
          <c:showSerName val="0"/>
          <c:showPercent val="0"/>
          <c:showBubbleSize val="0"/>
        </c:dLbls>
        <c:axId val="880326991"/>
        <c:axId val="880337071"/>
      </c:radarChart>
      <c:catAx>
        <c:axId val="88032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880337071"/>
        <c:crosses val="autoZero"/>
        <c:auto val="1"/>
        <c:lblAlgn val="ctr"/>
        <c:lblOffset val="100"/>
        <c:noMultiLvlLbl val="0"/>
      </c:catAx>
      <c:valAx>
        <c:axId val="88033707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80326991"/>
        <c:crosses val="autoZero"/>
        <c:crossBetween val="between"/>
      </c:valAx>
      <c:spPr>
        <a:noFill/>
        <a:ln>
          <a:noFill/>
        </a:ln>
        <a:effectLst/>
      </c:spPr>
    </c:plotArea>
    <c:legend>
      <c:legendPos val="r"/>
      <c:layout>
        <c:manualLayout>
          <c:xMode val="edge"/>
          <c:yMode val="edge"/>
          <c:x val="8.5533540201231134E-2"/>
          <c:y val="0.7511912183977365"/>
          <c:w val="0.14408528088611991"/>
          <c:h val="0.1577755517611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rgbClr val="000099"/>
                </a:solidFill>
                <a:latin typeface="+mn-lt"/>
                <a:ea typeface="+mn-ea"/>
                <a:cs typeface="+mn-cs"/>
              </a:defRPr>
            </a:pPr>
            <a:r>
              <a:rPr lang="pt-BR" b="1"/>
              <a:t>Distribuição mensal de</a:t>
            </a:r>
            <a:r>
              <a:rPr lang="pt-BR" b="1" baseline="0"/>
              <a:t> projetos do Grupo Delga</a:t>
            </a:r>
            <a:r>
              <a:rPr lang="pt-BR" b="1"/>
              <a:t> </a:t>
            </a:r>
          </a:p>
        </c:rich>
      </c:tx>
      <c:overlay val="0"/>
      <c:spPr>
        <a:noFill/>
        <a:ln>
          <a:noFill/>
        </a:ln>
        <a:effectLst/>
      </c:spPr>
      <c:txPr>
        <a:bodyPr rot="0" spcFirstLastPara="1" vertOverflow="ellipsis" vert="horz" wrap="square" anchor="ctr" anchorCtr="1"/>
        <a:lstStyle/>
        <a:p>
          <a:pPr>
            <a:defRPr sz="1080" b="1"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'5 Unidades  +'!$V$56</c:f>
              <c:strCache>
                <c:ptCount val="1"/>
                <c:pt idx="0">
                  <c:v>Previsto</c:v>
                </c:pt>
              </c:strCache>
            </c:strRef>
          </c:tx>
          <c:spPr>
            <a:solidFill>
              <a:srgbClr val="8EB4E3"/>
            </a:solidFill>
            <a:ln>
              <a:solidFill>
                <a:srgbClr val="0000FF"/>
              </a:solidFill>
            </a:ln>
            <a:effectLst/>
          </c:spPr>
          <c:invertIfNegative val="1"/>
          <c:cat>
            <c:numRef>
              <c:f>'5 Unidades  +'!$W$55:$AH$55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 Unidades  +'!$W$56:$AH$56</c:f>
              <c:numCache>
                <c:formatCode>_("R$"* #,##0.00_);_("R$"* \(#,##0.00\);_("R$"* "-"??_);_(@_)</c:formatCode>
                <c:ptCount val="12"/>
                <c:pt idx="0">
                  <c:v>1727858.4254999999</c:v>
                </c:pt>
                <c:pt idx="1">
                  <c:v>1401255.8903670155</c:v>
                </c:pt>
                <c:pt idx="2">
                  <c:v>1847170.5104570156</c:v>
                </c:pt>
                <c:pt idx="3">
                  <c:v>1930171.6125125713</c:v>
                </c:pt>
                <c:pt idx="4">
                  <c:v>2108484.8612625711</c:v>
                </c:pt>
                <c:pt idx="5">
                  <c:v>2694845.5285005714</c:v>
                </c:pt>
                <c:pt idx="6">
                  <c:v>2949641.1501672384</c:v>
                </c:pt>
                <c:pt idx="7">
                  <c:v>3749259.1627897019</c:v>
                </c:pt>
                <c:pt idx="8">
                  <c:v>4047305.9802919021</c:v>
                </c:pt>
                <c:pt idx="9">
                  <c:v>5241748.4644131428</c:v>
                </c:pt>
                <c:pt idx="10">
                  <c:v>5633683.6294131419</c:v>
                </c:pt>
                <c:pt idx="11">
                  <c:v>7305948.1289585968</c:v>
                </c:pt>
              </c:numCache>
            </c:numRef>
          </c:val>
          <c:extLst>
            <c:ext xmlns:c14="http://schemas.microsoft.com/office/drawing/2007/8/2/chart" uri="{6F2FDCE9-48DA-4B69-8628-5D25D57E5C99}">
              <c14:invertSolidFillFmt>
                <c14:spPr xmlns:c14="http://schemas.microsoft.com/office/drawing/2007/8/2/chart">
                  <a:solidFill>
                    <a:srgbClr val="FF0000"/>
                  </a:solidFill>
                  <a:ln>
                    <a:solidFill>
                      <a:srgbClr val="0000FF"/>
                    </a:solidFill>
                  </a:ln>
                  <a:effectLst/>
                </c14:spPr>
              </c14:invertSolidFillFmt>
            </c:ext>
            <c:ext xmlns:c16="http://schemas.microsoft.com/office/drawing/2014/chart" uri="{C3380CC4-5D6E-409C-BE32-E72D297353CC}">
              <c16:uniqueId val="{00000000-D1A3-4998-8F39-F420D30AFDDE}"/>
            </c:ext>
          </c:extLst>
        </c:ser>
        <c:ser>
          <c:idx val="1"/>
          <c:order val="1"/>
          <c:tx>
            <c:strRef>
              <c:f>'5 Unidades  +'!$V$57</c:f>
              <c:strCache>
                <c:ptCount val="1"/>
                <c:pt idx="0">
                  <c:v>Real</c:v>
                </c:pt>
              </c:strCache>
            </c:strRef>
          </c:tx>
          <c:spPr>
            <a:solidFill>
              <a:srgbClr val="92D050"/>
            </a:solidFill>
            <a:ln>
              <a:solidFill>
                <a:srgbClr val="00B050"/>
              </a:solidFill>
            </a:ln>
            <a:effectLst/>
          </c:spPr>
          <c:invertIfNegative val="1"/>
          <c:cat>
            <c:numRef>
              <c:f>'5 Unidades  +'!$W$55:$AH$55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 Unidades  +'!$W$57:$AH$57</c:f>
              <c:numCache>
                <c:formatCode>_("R$"* #,##0.00_);_("R$"* \(#,##0.00\);_("R$"* "-"??_);_(@_)</c:formatCode>
                <c:ptCount val="12"/>
                <c:pt idx="0">
                  <c:v>823549.22</c:v>
                </c:pt>
                <c:pt idx="1">
                  <c:v>683834.98557206034</c:v>
                </c:pt>
                <c:pt idx="2">
                  <c:v>830718.24845604203</c:v>
                </c:pt>
                <c:pt idx="3">
                  <c:v>812633.96186837729</c:v>
                </c:pt>
                <c:pt idx="4">
                  <c:v>997294.15231917985</c:v>
                </c:pt>
                <c:pt idx="5">
                  <c:v>1132843.2191207234</c:v>
                </c:pt>
                <c:pt idx="6">
                  <c:v>325111.97273978213</c:v>
                </c:pt>
                <c:pt idx="7">
                  <c:v>17584</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0000"/>
                  </a:solidFill>
                  <a:ln>
                    <a:solidFill>
                      <a:srgbClr val="00B050"/>
                    </a:solidFill>
                  </a:ln>
                  <a:effectLst/>
                </c14:spPr>
              </c14:invertSolidFillFmt>
            </c:ext>
            <c:ext xmlns:c16="http://schemas.microsoft.com/office/drawing/2014/chart" uri="{C3380CC4-5D6E-409C-BE32-E72D297353CC}">
              <c16:uniqueId val="{00000001-D1A3-4998-8F39-F420D30AFDDE}"/>
            </c:ext>
          </c:extLst>
        </c:ser>
        <c:dLbls>
          <c:showLegendKey val="0"/>
          <c:showVal val="0"/>
          <c:showCatName val="0"/>
          <c:showSerName val="0"/>
          <c:showPercent val="0"/>
          <c:showBubbleSize val="0"/>
        </c:dLbls>
        <c:gapWidth val="219"/>
        <c:axId val="442705872"/>
        <c:axId val="442713552"/>
      </c:barChart>
      <c:lineChart>
        <c:grouping val="standard"/>
        <c:varyColors val="0"/>
        <c:ser>
          <c:idx val="3"/>
          <c:order val="3"/>
          <c:tx>
            <c:strRef>
              <c:f>'5 Unidades  +'!$V$59</c:f>
              <c:strCache>
                <c:ptCount val="1"/>
                <c:pt idx="0">
                  <c:v>Acumulado Previsto</c:v>
                </c:pt>
              </c:strCache>
            </c:strRef>
          </c:tx>
          <c:spPr>
            <a:ln w="28575" cap="rnd">
              <a:solidFill>
                <a:srgbClr val="00B050"/>
              </a:solidFill>
              <a:round/>
            </a:ln>
            <a:effectLst/>
          </c:spPr>
          <c:marker>
            <c:symbol val="none"/>
          </c:marker>
          <c:cat>
            <c:numRef>
              <c:f>'5 Unidades  +'!$W$55:$AH$55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 Unidades  +'!$W$59:$AH$59</c:f>
              <c:numCache>
                <c:formatCode>_("R$"* #,##0.00_);_("R$"* \(#,##0.00\);_("R$"* "-"??_);_(@_)</c:formatCode>
                <c:ptCount val="12"/>
                <c:pt idx="0">
                  <c:v>1727858.4254999999</c:v>
                </c:pt>
                <c:pt idx="1">
                  <c:v>3129114.3158670152</c:v>
                </c:pt>
                <c:pt idx="2">
                  <c:v>4976284.8263240308</c:v>
                </c:pt>
                <c:pt idx="3">
                  <c:v>6906456.4388366025</c:v>
                </c:pt>
                <c:pt idx="4">
                  <c:v>9014941.3000991736</c:v>
                </c:pt>
                <c:pt idx="5">
                  <c:v>11709786.828599745</c:v>
                </c:pt>
                <c:pt idx="6">
                  <c:v>14659427.978766983</c:v>
                </c:pt>
                <c:pt idx="7">
                  <c:v>18408687.141556684</c:v>
                </c:pt>
                <c:pt idx="8">
                  <c:v>22455993.121848587</c:v>
                </c:pt>
                <c:pt idx="9">
                  <c:v>27697741.586261731</c:v>
                </c:pt>
                <c:pt idx="10">
                  <c:v>33331425.215674873</c:v>
                </c:pt>
                <c:pt idx="11">
                  <c:v>40637373.344633467</c:v>
                </c:pt>
              </c:numCache>
            </c:numRef>
          </c:val>
          <c:smooth val="0"/>
          <c:extLst>
            <c:ext xmlns:c16="http://schemas.microsoft.com/office/drawing/2014/chart" uri="{C3380CC4-5D6E-409C-BE32-E72D297353CC}">
              <c16:uniqueId val="{00000002-D1A3-4998-8F39-F420D30AFDDE}"/>
            </c:ext>
          </c:extLst>
        </c:ser>
        <c:ser>
          <c:idx val="4"/>
          <c:order val="4"/>
          <c:tx>
            <c:strRef>
              <c:f>'5 Unidades  +'!$V$60</c:f>
              <c:strCache>
                <c:ptCount val="1"/>
                <c:pt idx="0">
                  <c:v>Acumulado Real</c:v>
                </c:pt>
              </c:strCache>
            </c:strRef>
          </c:tx>
          <c:spPr>
            <a:ln w="28575" cap="rnd">
              <a:solidFill>
                <a:srgbClr val="00FF00"/>
              </a:solidFill>
              <a:round/>
            </a:ln>
            <a:effectLst/>
          </c:spPr>
          <c:marker>
            <c:symbol val="none"/>
          </c:marker>
          <c:cat>
            <c:numRef>
              <c:f>'5 Unidades  +'!$W$55:$AH$55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 Unidades  +'!$W$60:$AH$60</c:f>
              <c:numCache>
                <c:formatCode>_("R$"* #,##0.00_);_("R$"* \(#,##0.00\);_("R$"* "-"??_);_(@_)</c:formatCode>
                <c:ptCount val="12"/>
                <c:pt idx="0">
                  <c:v>823549.22</c:v>
                </c:pt>
                <c:pt idx="1">
                  <c:v>1507384.2055720603</c:v>
                </c:pt>
                <c:pt idx="2">
                  <c:v>2338102.4540281026</c:v>
                </c:pt>
                <c:pt idx="3">
                  <c:v>3150736.41589648</c:v>
                </c:pt>
                <c:pt idx="4">
                  <c:v>4148030.5682156598</c:v>
                </c:pt>
                <c:pt idx="5">
                  <c:v>5280873.787336383</c:v>
                </c:pt>
                <c:pt idx="6">
                  <c:v>5605985.7600761652</c:v>
                </c:pt>
                <c:pt idx="7">
                  <c:v>5623569.7600761652</c:v>
                </c:pt>
                <c:pt idx="8">
                  <c:v>5623569.7600761652</c:v>
                </c:pt>
                <c:pt idx="9">
                  <c:v>5623569.7600761652</c:v>
                </c:pt>
                <c:pt idx="10">
                  <c:v>5623569.7600761652</c:v>
                </c:pt>
                <c:pt idx="11">
                  <c:v>5623569.7600761652</c:v>
                </c:pt>
              </c:numCache>
            </c:numRef>
          </c:val>
          <c:smooth val="0"/>
          <c:extLst>
            <c:ext xmlns:c16="http://schemas.microsoft.com/office/drawing/2014/chart" uri="{C3380CC4-5D6E-409C-BE32-E72D297353CC}">
              <c16:uniqueId val="{00000003-D1A3-4998-8F39-F420D30AFDDE}"/>
            </c:ext>
          </c:extLst>
        </c:ser>
        <c:ser>
          <c:idx val="5"/>
          <c:order val="5"/>
          <c:tx>
            <c:strRef>
              <c:f>'5 Unidades  +'!$V$61</c:f>
              <c:strCache>
                <c:ptCount val="1"/>
                <c:pt idx="0">
                  <c:v>Projeção da Meta</c:v>
                </c:pt>
              </c:strCache>
            </c:strRef>
          </c:tx>
          <c:spPr>
            <a:ln w="28575" cap="rnd">
              <a:solidFill>
                <a:srgbClr val="00B050"/>
              </a:solidFill>
              <a:prstDash val="sysDot"/>
              <a:round/>
            </a:ln>
            <a:effectLst/>
          </c:spPr>
          <c:marker>
            <c:symbol val="none"/>
          </c:marker>
          <c:cat>
            <c:numRef>
              <c:f>'5 Unidades  +'!$W$55:$AH$55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 Unidades  +'!$W$61:$AH$61</c:f>
              <c:numCache>
                <c:formatCode>_("R$"* #,##0.00_);_("R$"* \(#,##0.00\);_("R$"* "-"??_);_(@_)</c:formatCode>
                <c:ptCount val="12"/>
                <c:pt idx="0">
                  <c:v>823549.22</c:v>
                </c:pt>
                <c:pt idx="1">
                  <c:v>1507384.2055720603</c:v>
                </c:pt>
                <c:pt idx="2">
                  <c:v>2338102.4540281026</c:v>
                </c:pt>
                <c:pt idx="3">
                  <c:v>3150736.41589648</c:v>
                </c:pt>
                <c:pt idx="4">
                  <c:v>4148030.5682156598</c:v>
                </c:pt>
                <c:pt idx="5">
                  <c:v>5280873.787336383</c:v>
                </c:pt>
                <c:pt idx="6">
                  <c:v>5605985.7600761652</c:v>
                </c:pt>
                <c:pt idx="7">
                  <c:v>5623569.7600761652</c:v>
                </c:pt>
                <c:pt idx="8">
                  <c:v>16797677.320057124</c:v>
                </c:pt>
                <c:pt idx="9">
                  <c:v>27971784.880038083</c:v>
                </c:pt>
                <c:pt idx="10">
                  <c:v>39145892.440019041</c:v>
                </c:pt>
                <c:pt idx="11">
                  <c:v>50320000</c:v>
                </c:pt>
              </c:numCache>
            </c:numRef>
          </c:val>
          <c:smooth val="0"/>
          <c:extLst>
            <c:ext xmlns:c16="http://schemas.microsoft.com/office/drawing/2014/chart" uri="{C3380CC4-5D6E-409C-BE32-E72D297353CC}">
              <c16:uniqueId val="{00000004-D1A3-4998-8F39-F420D30AFDDE}"/>
            </c:ext>
          </c:extLst>
        </c:ser>
        <c:ser>
          <c:idx val="6"/>
          <c:order val="6"/>
          <c:tx>
            <c:strRef>
              <c:f>'5 Unidades  +'!$V$62</c:f>
              <c:strCache>
                <c:ptCount val="1"/>
                <c:pt idx="0">
                  <c:v>Acumulado prev.Custos</c:v>
                </c:pt>
              </c:strCache>
            </c:strRef>
          </c:tx>
          <c:spPr>
            <a:ln w="28575" cap="rnd">
              <a:solidFill>
                <a:schemeClr val="accent4"/>
              </a:solidFill>
              <a:round/>
            </a:ln>
            <a:effectLst/>
          </c:spPr>
          <c:marker>
            <c:symbol val="none"/>
          </c:marker>
          <c:cat>
            <c:numRef>
              <c:f>'5 Unidades  +'!$W$55:$AH$55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'5 Unidades  +'!$W$62:$AH$62</c:f>
              <c:numCache>
                <c:formatCode>_("R$"* #,##0.00_);_("R$"* \(#,##0.00\);_("R$"* "-"??_);_(@_)</c:formatCode>
                <c:ptCount val="12"/>
                <c:pt idx="0">
                  <c:v>886433.4254999999</c:v>
                </c:pt>
                <c:pt idx="1">
                  <c:v>1357922.2100407425</c:v>
                </c:pt>
                <c:pt idx="2">
                  <c:v>2131437.1265814854</c:v>
                </c:pt>
                <c:pt idx="3">
                  <c:v>2954336.8218444502</c:v>
                </c:pt>
                <c:pt idx="4">
                  <c:v>3889491.5808574152</c:v>
                </c:pt>
                <c:pt idx="5">
                  <c:v>5176381.8427275233</c:v>
                </c:pt>
                <c:pt idx="6">
                  <c:v>6575785.226264298</c:v>
                </c:pt>
                <c:pt idx="7">
                  <c:v>8109702.2458010726</c:v>
                </c:pt>
                <c:pt idx="8">
                  <c:v>9657948.6478378475</c:v>
                </c:pt>
                <c:pt idx="9">
                  <c:v>11668138.463207955</c:v>
                </c:pt>
                <c:pt idx="10">
                  <c:v>13678328.278578062</c:v>
                </c:pt>
                <c:pt idx="11">
                  <c:v>15701521.593493624</c:v>
                </c:pt>
              </c:numCache>
            </c:numRef>
          </c:val>
          <c:smooth val="0"/>
          <c:extLst>
            <c:ext xmlns:c16="http://schemas.microsoft.com/office/drawing/2014/chart" uri="{C3380CC4-5D6E-409C-BE32-E72D297353CC}">
              <c16:uniqueId val="{00000000-EDF0-4A14-8CE7-6589FA37A7B7}"/>
            </c:ext>
          </c:extLst>
        </c:ser>
        <c:dLbls>
          <c:showLegendKey val="0"/>
          <c:showVal val="0"/>
          <c:showCatName val="0"/>
          <c:showSerName val="0"/>
          <c:showPercent val="0"/>
          <c:showBubbleSize val="0"/>
        </c:dLbls>
        <c:marker val="1"/>
        <c:smooth val="0"/>
        <c:axId val="1383361104"/>
        <c:axId val="1383354384"/>
        <c:extLst>
          <c:ext xmlns:c15="http://schemas.microsoft.com/office/drawing/2012/chart" uri="{02D57815-91ED-43cb-92C2-25804820EDAC}">
            <c15:filteredLineSeries>
              <c15:ser>
                <c:idx val="2"/>
                <c:order val="2"/>
                <c:tx>
                  <c:strRef>
                    <c:extLst>
                      <c:ext uri="{02D57815-91ED-43cb-92C2-25804820EDAC}">
                        <c15:formulaRef>
                          <c15:sqref>'5 Unidades  +'!$V$58</c15:sqref>
                        </c15:formulaRef>
                      </c:ext>
                    </c:extLst>
                    <c:strCache>
                      <c:ptCount val="1"/>
                      <c:pt idx="0">
                        <c:v>Q. Projetos </c:v>
                      </c:pt>
                    </c:strCache>
                  </c:strRef>
                </c:tx>
                <c:spPr>
                  <a:ln w="12700" cap="rnd">
                    <a:solidFill>
                      <a:srgbClr val="FF0000"/>
                    </a:solidFill>
                    <a:prstDash val="dashDot"/>
                    <a:round/>
                  </a:ln>
                  <a:effectLst/>
                </c:spPr>
                <c:marker>
                  <c:symbol val="none"/>
                </c:marker>
                <c:cat>
                  <c:numRef>
                    <c:extLst>
                      <c:ext uri="{02D57815-91ED-43cb-92C2-25804820EDAC}">
                        <c15:formulaRef>
                          <c15:sqref>'5 Unidades  +'!$W$55:$AH$55</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extLst>
                      <c:ext uri="{02D57815-91ED-43cb-92C2-25804820EDAC}">
                        <c15:formulaRef>
                          <c15:sqref>'5 Unidades  +'!$W$58:$AH$58</c15:sqref>
                        </c15:formulaRef>
                      </c:ext>
                    </c:extLst>
                  </c:numRef>
                </c:val>
                <c:smooth val="0"/>
                <c:extLst>
                  <c:ext xmlns:c16="http://schemas.microsoft.com/office/drawing/2014/chart" uri="{C3380CC4-5D6E-409C-BE32-E72D297353CC}">
                    <c16:uniqueId val="{00000005-D1A3-4998-8F39-F420D30AFDDE}"/>
                  </c:ext>
                </c:extLst>
              </c15:ser>
            </c15:filteredLineSeries>
          </c:ext>
        </c:extLst>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60000"/>
          <a:lumOff val="40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1-8067-4669-BFB7-6770F4CAA5E7}"/>
              </c:ext>
            </c:extLst>
          </c:dPt>
          <c:dPt>
            <c:idx val="1"/>
            <c:bubble3D val="0"/>
            <c:spPr>
              <a:solidFill>
                <a:schemeClr val="accent6">
                  <a:lumMod val="40000"/>
                  <a:lumOff val="60000"/>
                </a:schemeClr>
              </a:solidFill>
              <a:ln w="19050">
                <a:noFill/>
              </a:ln>
              <a:effectLst/>
            </c:spPr>
            <c:extLst>
              <c:ext xmlns:c16="http://schemas.microsoft.com/office/drawing/2014/chart" uri="{C3380CC4-5D6E-409C-BE32-E72D297353CC}">
                <c16:uniqueId val="{00000004-8067-4669-BFB7-6770F4CAA5E7}"/>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3-8067-4669-BFB7-6770F4CAA5E7}"/>
              </c:ext>
            </c:extLst>
          </c:dPt>
          <c:dPt>
            <c:idx val="3"/>
            <c:bubble3D val="0"/>
            <c:spPr>
              <a:solidFill>
                <a:schemeClr val="accent2">
                  <a:lumMod val="40000"/>
                  <a:lumOff val="60000"/>
                </a:schemeClr>
              </a:solidFill>
              <a:ln w="19050">
                <a:noFill/>
              </a:ln>
              <a:effectLst/>
            </c:spPr>
            <c:extLst>
              <c:ext xmlns:c16="http://schemas.microsoft.com/office/drawing/2014/chart" uri="{C3380CC4-5D6E-409C-BE32-E72D297353CC}">
                <c16:uniqueId val="{00000002-8067-4669-BFB7-6770F4CAA5E7}"/>
              </c:ext>
            </c:extLst>
          </c:dPt>
          <c:dLbls>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36778445866859777"/>
                      <c:h val="0.11625878927046526"/>
                    </c:manualLayout>
                  </c15:layout>
                </c:ext>
                <c:ext xmlns:c16="http://schemas.microsoft.com/office/drawing/2014/chart" uri="{C3380CC4-5D6E-409C-BE32-E72D297353CC}">
                  <c16:uniqueId val="{00000001-8067-4669-BFB7-6770F4CAA5E7}"/>
                </c:ext>
              </c:extLst>
            </c:dLbl>
            <c:dLbl>
              <c:idx val="1"/>
              <c:layout>
                <c:manualLayout>
                  <c:x val="9.1056887252573521E-2"/>
                  <c:y val="-4.9273234011485513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9664626550252465"/>
                      <c:h val="0.11625878927046526"/>
                    </c:manualLayout>
                  </c15:layout>
                </c:ext>
                <c:ext xmlns:c16="http://schemas.microsoft.com/office/drawing/2014/chart" uri="{C3380CC4-5D6E-409C-BE32-E72D297353CC}">
                  <c16:uniqueId val="{00000004-8067-4669-BFB7-6770F4CAA5E7}"/>
                </c:ext>
              </c:extLst>
            </c:dLbl>
            <c:dLbl>
              <c:idx val="2"/>
              <c:dLblPos val="bestFit"/>
              <c:showLegendKey val="0"/>
              <c:showVal val="1"/>
              <c:showCatName val="0"/>
              <c:showSerName val="0"/>
              <c:showPercent val="0"/>
              <c:showBubbleSize val="0"/>
              <c:extLst>
                <c:ext xmlns:c15="http://schemas.microsoft.com/office/drawing/2012/chart" uri="{CE6537A1-D6FC-4f65-9D91-7224C49458BB}">
                  <c15:layout>
                    <c:manualLayout>
                      <c:w val="0.27957309914266715"/>
                      <c:h val="0.10402102197883734"/>
                    </c:manualLayout>
                  </c15:layout>
                </c:ext>
                <c:ext xmlns:c16="http://schemas.microsoft.com/office/drawing/2014/chart" uri="{C3380CC4-5D6E-409C-BE32-E72D297353CC}">
                  <c16:uniqueId val="{00000003-8067-4669-BFB7-6770F4CAA5E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00FF"/>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'5 Unidades  +'!$M$23:$M$26</c:f>
              <c:strCache>
                <c:ptCount val="4"/>
                <c:pt idx="0">
                  <c:v>VA</c:v>
                </c:pt>
                <c:pt idx="1">
                  <c:v>GGF</c:v>
                </c:pt>
                <c:pt idx="2">
                  <c:v>MA</c:v>
                </c:pt>
                <c:pt idx="3">
                  <c:v>Outros</c:v>
                </c:pt>
              </c:strCache>
            </c:strRef>
          </c:cat>
          <c:val>
            <c:numRef>
              <c:f>'5 Unidades  +'!$N$23:$N$26</c:f>
              <c:numCache>
                <c:formatCode>_("R$"* #,##0.00_);_("R$"* \(#,##0.00\);_("R$"* "-"??_);_(@_)</c:formatCode>
                <c:ptCount val="4"/>
                <c:pt idx="0">
                  <c:v>8370195.7537398376</c:v>
                </c:pt>
                <c:pt idx="1">
                  <c:v>4317459.2243333338</c:v>
                </c:pt>
                <c:pt idx="2">
                  <c:v>2303528.157875</c:v>
                </c:pt>
                <c:pt idx="3">
                  <c:v>706132</c:v>
                </c:pt>
              </c:numCache>
            </c:numRef>
          </c:val>
          <c:extLst>
            <c:ext xmlns:c16="http://schemas.microsoft.com/office/drawing/2014/chart" uri="{C3380CC4-5D6E-409C-BE32-E72D297353CC}">
              <c16:uniqueId val="{00000000-8067-4669-BFB7-6770F4CAA5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pt-BR" sz="1080" b="1" i="0" u="none" strike="noStrike" kern="1200" spc="0" baseline="0">
                <a:solidFill>
                  <a:srgbClr val="000099"/>
                </a:solidFill>
                <a:latin typeface="+mn-lt"/>
                <a:ea typeface="+mn-ea"/>
                <a:cs typeface="+mn-cs"/>
              </a:defRPr>
            </a:pPr>
            <a:r>
              <a:rPr lang="pt-BR" sz="1080" b="1" i="0" u="none" strike="noStrike" kern="1200" spc="0" baseline="0">
                <a:solidFill>
                  <a:srgbClr val="000099"/>
                </a:solidFill>
                <a:latin typeface="+mn-lt"/>
                <a:ea typeface="+mn-ea"/>
                <a:cs typeface="+mn-cs"/>
              </a:rPr>
              <a:t> Retorno até o momento por unidade</a:t>
            </a:r>
          </a:p>
        </c:rich>
      </c:tx>
      <c:layout>
        <c:manualLayout>
          <c:xMode val="edge"/>
          <c:yMode val="edge"/>
          <c:x val="0.37539892801482372"/>
          <c:y val="1.3223725654548388E-2"/>
        </c:manualLayout>
      </c:layout>
      <c:overlay val="0"/>
      <c:spPr>
        <a:noFill/>
        <a:ln>
          <a:noFill/>
        </a:ln>
        <a:effectLst/>
      </c:spPr>
      <c:txPr>
        <a:bodyPr rot="0" spcFirstLastPara="1" vertOverflow="ellipsis" vert="horz" wrap="square" anchor="ctr" anchorCtr="1"/>
        <a:lstStyle/>
        <a:p>
          <a:pPr algn="ctr" rtl="0">
            <a:defRPr lang="pt-BR" sz="1080" b="1" i="0" u="none" strike="noStrike" kern="1200" spc="0" baseline="0">
              <a:solidFill>
                <a:srgbClr val="000099"/>
              </a:solidFill>
              <a:latin typeface="+mn-lt"/>
              <a:ea typeface="+mn-ea"/>
              <a:cs typeface="+mn-cs"/>
            </a:defRPr>
          </a:pPr>
          <a:endParaRPr lang="pt-BR"/>
        </a:p>
      </c:txPr>
    </c:title>
    <c:autoTitleDeleted val="0"/>
    <c:plotArea>
      <c:layout>
        <c:manualLayout>
          <c:layoutTarget val="inner"/>
          <c:xMode val="edge"/>
          <c:yMode val="edge"/>
          <c:x val="0.10553822015982128"/>
          <c:y val="4.4369590984265156E-2"/>
          <c:w val="0.8941185204331713"/>
          <c:h val="0.7767116655126276"/>
        </c:manualLayout>
      </c:layout>
      <c:barChart>
        <c:barDir val="col"/>
        <c:grouping val="clustered"/>
        <c:varyColors val="0"/>
        <c:ser>
          <c:idx val="0"/>
          <c:order val="0"/>
          <c:tx>
            <c:strRef>
              <c:f>'5 Unidades  +'!$E$266</c:f>
              <c:strCache>
                <c:ptCount val="1"/>
                <c:pt idx="0">
                  <c:v>Previsto</c:v>
                </c:pt>
              </c:strCache>
            </c:strRef>
          </c:tx>
          <c:spPr>
            <a:solidFill>
              <a:schemeClr val="accent1">
                <a:lumMod val="40000"/>
                <a:lumOff val="60000"/>
              </a:schemeClr>
            </a:solidFill>
            <a:ln>
              <a:solidFill>
                <a:srgbClr val="0000FF"/>
              </a:solidFill>
            </a:ln>
            <a:effectLst/>
          </c:spPr>
          <c:invertIfNegative val="0"/>
          <c:cat>
            <c:strRef>
              <c:f>'5 Unidades  +'!$D$267:$D$272</c:f>
              <c:strCache>
                <c:ptCount val="6"/>
                <c:pt idx="0">
                  <c:v>Compras</c:v>
                </c:pt>
                <c:pt idx="1">
                  <c:v>Ferraz</c:v>
                </c:pt>
                <c:pt idx="2">
                  <c:v>São leopoldo</c:v>
                </c:pt>
                <c:pt idx="3">
                  <c:v>Diadema</c:v>
                </c:pt>
                <c:pt idx="4">
                  <c:v>Anchieta</c:v>
                </c:pt>
                <c:pt idx="5">
                  <c:v>Jarinu</c:v>
                </c:pt>
              </c:strCache>
            </c:strRef>
          </c:cat>
          <c:val>
            <c:numRef>
              <c:f>'5 Unidades  +'!$E$267:$E$272</c:f>
              <c:numCache>
                <c:formatCode>_("R$"* #,##0.00_);_("R$"* \(#,##0.00\);_("R$"* "-"??_);_(@_)</c:formatCode>
                <c:ptCount val="6"/>
                <c:pt idx="0">
                  <c:v>3358648.1900757565</c:v>
                </c:pt>
                <c:pt idx="1">
                  <c:v>1731364.5434949494</c:v>
                </c:pt>
                <c:pt idx="2">
                  <c:v>1044577.599141414</c:v>
                </c:pt>
                <c:pt idx="3">
                  <c:v>1179699.9151639636</c:v>
                </c:pt>
                <c:pt idx="4">
                  <c:v>348094.47742676776</c:v>
                </c:pt>
                <c:pt idx="5">
                  <c:v>1176931.5429879394</c:v>
                </c:pt>
              </c:numCache>
            </c:numRef>
          </c:val>
          <c:extLst>
            <c:ext xmlns:c16="http://schemas.microsoft.com/office/drawing/2014/chart" uri="{C3380CC4-5D6E-409C-BE32-E72D297353CC}">
              <c16:uniqueId val="{00000000-21C2-4550-B6AC-915644C85671}"/>
            </c:ext>
          </c:extLst>
        </c:ser>
        <c:ser>
          <c:idx val="1"/>
          <c:order val="1"/>
          <c:tx>
            <c:strRef>
              <c:f>'5 Unidades  +'!$F$266</c:f>
              <c:strCache>
                <c:ptCount val="1"/>
                <c:pt idx="0">
                  <c:v>Real</c:v>
                </c:pt>
              </c:strCache>
            </c:strRef>
          </c:tx>
          <c:spPr>
            <a:solidFill>
              <a:srgbClr val="92D050"/>
            </a:solidFill>
            <a:ln>
              <a:solidFill>
                <a:srgbClr val="00B050"/>
              </a:solidFill>
            </a:ln>
            <a:effectLst/>
          </c:spPr>
          <c:invertIfNegative val="1"/>
          <c:cat>
            <c:strRef>
              <c:f>'5 Unidades  +'!$D$267:$D$272</c:f>
              <c:strCache>
                <c:ptCount val="6"/>
                <c:pt idx="0">
                  <c:v>Compras</c:v>
                </c:pt>
                <c:pt idx="1">
                  <c:v>Ferraz</c:v>
                </c:pt>
                <c:pt idx="2">
                  <c:v>São leopoldo</c:v>
                </c:pt>
                <c:pt idx="3">
                  <c:v>Diadema</c:v>
                </c:pt>
                <c:pt idx="4">
                  <c:v>Anchieta</c:v>
                </c:pt>
                <c:pt idx="5">
                  <c:v>Jarinu</c:v>
                </c:pt>
              </c:strCache>
            </c:strRef>
          </c:cat>
          <c:val>
            <c:numRef>
              <c:f>'5 Unidades  +'!$F$267:$F$272</c:f>
              <c:numCache>
                <c:formatCode>_("R$"* #,##0.00_);_("R$"* \(#,##0.00\);_("R$"* "-"??_);_(@_)</c:formatCode>
                <c:ptCount val="6"/>
                <c:pt idx="0">
                  <c:v>1282436.3115068001</c:v>
                </c:pt>
                <c:pt idx="1">
                  <c:v>1892595.3699999999</c:v>
                </c:pt>
                <c:pt idx="2">
                  <c:v>1158700.6800000002</c:v>
                </c:pt>
                <c:pt idx="3">
                  <c:v>997266.68408181961</c:v>
                </c:pt>
                <c:pt idx="4">
                  <c:v>331443.94717433047</c:v>
                </c:pt>
                <c:pt idx="5">
                  <c:v>463507.44888796966</c:v>
                </c:pt>
              </c:numCache>
            </c:numRef>
          </c:val>
          <c:extLst>
            <c:ext xmlns:c14="http://schemas.microsoft.com/office/drawing/2007/8/2/chart" uri="{6F2FDCE9-48DA-4B69-8628-5D25D57E5C99}">
              <c14:invertSolidFillFmt>
                <c14:spPr xmlns:c14="http://schemas.microsoft.com/office/drawing/2007/8/2/chart">
                  <a:solidFill>
                    <a:srgbClr val="FF0000"/>
                  </a:solidFill>
                  <a:ln>
                    <a:solidFill>
                      <a:srgbClr val="00B050"/>
                    </a:solidFill>
                  </a:ln>
                  <a:effectLst/>
                </c14:spPr>
              </c14:invertSolidFillFmt>
            </c:ext>
            <c:ext xmlns:c16="http://schemas.microsoft.com/office/drawing/2014/chart" uri="{C3380CC4-5D6E-409C-BE32-E72D297353CC}">
              <c16:uniqueId val="{00000001-21C2-4550-B6AC-915644C85671}"/>
            </c:ext>
          </c:extLst>
        </c:ser>
        <c:dLbls>
          <c:showLegendKey val="0"/>
          <c:showVal val="0"/>
          <c:showCatName val="0"/>
          <c:showSerName val="0"/>
          <c:showPercent val="0"/>
          <c:showBubbleSize val="0"/>
        </c:dLbls>
        <c:gapWidth val="219"/>
        <c:overlap val="-27"/>
        <c:axId val="900261584"/>
        <c:axId val="900255344"/>
      </c:barChart>
      <c:catAx>
        <c:axId val="900261584"/>
        <c:scaling>
          <c:orientation val="minMax"/>
        </c:scaling>
        <c:delete val="1"/>
        <c:axPos val="b"/>
        <c:numFmt formatCode="General" sourceLinked="1"/>
        <c:majorTickMark val="none"/>
        <c:minorTickMark val="none"/>
        <c:tickLblPos val="nextTo"/>
        <c:crossAx val="900255344"/>
        <c:crosses val="autoZero"/>
        <c:auto val="1"/>
        <c:lblAlgn val="ctr"/>
        <c:lblOffset val="100"/>
        <c:noMultiLvlLbl val="0"/>
      </c:catAx>
      <c:valAx>
        <c:axId val="900255344"/>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700" b="0" i="0" u="none" strike="noStrike" kern="1200" baseline="0">
                <a:solidFill>
                  <a:srgbClr val="000099"/>
                </a:solidFill>
                <a:latin typeface="+mn-lt"/>
                <a:ea typeface="+mn-ea"/>
                <a:cs typeface="+mn-cs"/>
              </a:defRPr>
            </a:pPr>
            <a:endParaRPr lang="pt-BR"/>
          </a:p>
        </c:txPr>
        <c:crossAx val="900261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lgn="ctr" rtl="0">
              <a:defRPr lang="en-US" sz="105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pt-B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Diadema!$S$179</c:f>
              <c:strCache>
                <c:ptCount val="1"/>
                <c:pt idx="0">
                  <c:v>Previsto</c:v>
                </c:pt>
              </c:strCache>
            </c:strRef>
          </c:tx>
          <c:spPr>
            <a:solidFill>
              <a:schemeClr val="accent1">
                <a:lumMod val="40000"/>
                <a:lumOff val="60000"/>
              </a:schemeClr>
            </a:solidFill>
            <a:ln>
              <a:solidFill>
                <a:srgbClr val="0000FF"/>
              </a:solidFill>
            </a:ln>
            <a:effectLst/>
          </c:spPr>
          <c:invertIfNegative val="0"/>
          <c:cat>
            <c:numRef>
              <c:f>Diadema!$T$178:$AE$178</c:f>
              <c:numCache>
                <c:formatCode>mmm\-yy</c:formatCode>
                <c:ptCount val="6"/>
                <c:pt idx="0">
                  <c:v>46023</c:v>
                </c:pt>
                <c:pt idx="1">
                  <c:v>46235</c:v>
                </c:pt>
                <c:pt idx="2">
                  <c:v>46266</c:v>
                </c:pt>
                <c:pt idx="3">
                  <c:v>46296</c:v>
                </c:pt>
                <c:pt idx="4">
                  <c:v>46327</c:v>
                </c:pt>
                <c:pt idx="5">
                  <c:v>46357</c:v>
                </c:pt>
              </c:numCache>
            </c:numRef>
          </c:cat>
          <c:val>
            <c:numRef>
              <c:f>Diadema!$T$179:$AE$179</c:f>
              <c:numCache>
                <c:formatCode>_("R$"* #,##0.00_);_("R$"* \(#,##0.00\);_("R$"* "-"??_);_(@_)</c:formatCode>
                <c:ptCount val="6"/>
                <c:pt idx="0">
                  <c:v>41403.54</c:v>
                </c:pt>
                <c:pt idx="1">
                  <c:v>391961.28969504149</c:v>
                </c:pt>
                <c:pt idx="2">
                  <c:v>422861.2896972415</c:v>
                </c:pt>
                <c:pt idx="3">
                  <c:v>422861.2896972415</c:v>
                </c:pt>
                <c:pt idx="4">
                  <c:v>422861.2896972415</c:v>
                </c:pt>
                <c:pt idx="5">
                  <c:v>422861.2896972415</c:v>
                </c:pt>
              </c:numCache>
            </c:numRef>
          </c:val>
          <c:extLst>
            <c:ext xmlns:c16="http://schemas.microsoft.com/office/drawing/2014/chart" uri="{C3380CC4-5D6E-409C-BE32-E72D297353CC}">
              <c16:uniqueId val="{00000000-D0AB-45DF-995A-6C6A4F86497D}"/>
            </c:ext>
          </c:extLst>
        </c:ser>
        <c:ser>
          <c:idx val="1"/>
          <c:order val="1"/>
          <c:tx>
            <c:strRef>
              <c:f>Diadema!$S$180</c:f>
              <c:strCache>
                <c:ptCount val="1"/>
                <c:pt idx="0">
                  <c:v>Real</c:v>
                </c:pt>
              </c:strCache>
            </c:strRef>
          </c:tx>
          <c:spPr>
            <a:solidFill>
              <a:srgbClr val="92D050"/>
            </a:solidFill>
            <a:ln>
              <a:solidFill>
                <a:srgbClr val="00B050"/>
              </a:solidFill>
            </a:ln>
            <a:effectLst/>
          </c:spPr>
          <c:invertIfNegative val="1"/>
          <c:cat>
            <c:numRef>
              <c:f>Diadema!$T$178:$AE$178</c:f>
              <c:numCache>
                <c:formatCode>mmm\-yy</c:formatCode>
                <c:ptCount val="6"/>
                <c:pt idx="0">
                  <c:v>46023</c:v>
                </c:pt>
                <c:pt idx="1">
                  <c:v>46235</c:v>
                </c:pt>
                <c:pt idx="2">
                  <c:v>46266</c:v>
                </c:pt>
                <c:pt idx="3">
                  <c:v>46296</c:v>
                </c:pt>
                <c:pt idx="4">
                  <c:v>46327</c:v>
                </c:pt>
                <c:pt idx="5">
                  <c:v>46357</c:v>
                </c:pt>
              </c:numCache>
            </c:numRef>
          </c:cat>
          <c:val>
            <c:numRef>
              <c:f>Diadema!$T$180:$AE$180</c:f>
              <c:numCache>
                <c:formatCode>_("R$"* #,##0.00_);_("R$"* \(#,##0.00\);_("R$"* "-"??_);_(@_)</c:formatCode>
                <c:ptCount val="6"/>
                <c:pt idx="0">
                  <c:v>41403.54</c:v>
                </c:pt>
                <c:pt idx="1">
                  <c:v>0</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0000"/>
                  </a:solidFill>
                  <a:ln>
                    <a:solidFill>
                      <a:srgbClr val="00B050"/>
                    </a:solidFill>
                  </a:ln>
                  <a:effectLst/>
                </c14:spPr>
              </c14:invertSolidFillFmt>
            </c:ext>
            <c:ext xmlns:c16="http://schemas.microsoft.com/office/drawing/2014/chart" uri="{C3380CC4-5D6E-409C-BE32-E72D297353CC}">
              <c16:uniqueId val="{00000001-D0AB-45DF-995A-6C6A4F86497D}"/>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Diadema!$S$181</c:f>
              <c:strCache>
                <c:ptCount val="1"/>
                <c:pt idx="0">
                  <c:v>Q. Projetos </c:v>
                </c:pt>
              </c:strCache>
            </c:strRef>
          </c:tx>
          <c:spPr>
            <a:ln w="9525" cap="rnd">
              <a:solidFill>
                <a:srgbClr val="FF0000"/>
              </a:solidFill>
              <a:prstDash val="lgDashDot"/>
              <a:round/>
            </a:ln>
            <a:effectLst/>
          </c:spPr>
          <c:marker>
            <c:symbol val="none"/>
          </c:marker>
          <c:cat>
            <c:numRef>
              <c:f>Diadema!$T$178:$AE$178</c:f>
              <c:numCache>
                <c:formatCode>mmm\-yy</c:formatCode>
                <c:ptCount val="6"/>
                <c:pt idx="0">
                  <c:v>46023</c:v>
                </c:pt>
                <c:pt idx="1">
                  <c:v>46235</c:v>
                </c:pt>
                <c:pt idx="2">
                  <c:v>46266</c:v>
                </c:pt>
                <c:pt idx="3">
                  <c:v>46296</c:v>
                </c:pt>
                <c:pt idx="4">
                  <c:v>46327</c:v>
                </c:pt>
                <c:pt idx="5">
                  <c:v>46357</c:v>
                </c:pt>
              </c:numCache>
            </c:numRef>
          </c:cat>
          <c:val>
            <c:numRef>
              <c:f>Diadema!$T$181:$AE$181</c:f>
              <c:numCache>
                <c:formatCode>0</c:formatCode>
                <c:ptCount val="6"/>
                <c:pt idx="0">
                  <c:v>6</c:v>
                </c:pt>
                <c:pt idx="1">
                  <c:v>57</c:v>
                </c:pt>
                <c:pt idx="2">
                  <c:v>57</c:v>
                </c:pt>
                <c:pt idx="3">
                  <c:v>57</c:v>
                </c:pt>
                <c:pt idx="4">
                  <c:v>57</c:v>
                </c:pt>
                <c:pt idx="5">
                  <c:v>57</c:v>
                </c:pt>
              </c:numCache>
            </c:numRef>
          </c:val>
          <c:smooth val="0"/>
          <c:extLst>
            <c:ext xmlns:c16="http://schemas.microsoft.com/office/drawing/2014/chart" uri="{C3380CC4-5D6E-409C-BE32-E72D297353CC}">
              <c16:uniqueId val="{00000003-D0AB-45DF-995A-6C6A4F86497D}"/>
            </c:ext>
          </c:extLst>
        </c:ser>
        <c:ser>
          <c:idx val="3"/>
          <c:order val="3"/>
          <c:tx>
            <c:strRef>
              <c:f>Diadema!$S$182</c:f>
              <c:strCache>
                <c:ptCount val="1"/>
                <c:pt idx="0">
                  <c:v>Acumulado Previsto</c:v>
                </c:pt>
              </c:strCache>
            </c:strRef>
          </c:tx>
          <c:spPr>
            <a:ln w="28575" cap="rnd">
              <a:solidFill>
                <a:srgbClr val="92D050"/>
              </a:solidFill>
              <a:round/>
            </a:ln>
            <a:effectLst/>
          </c:spPr>
          <c:marker>
            <c:symbol val="none"/>
          </c:marker>
          <c:cat>
            <c:numRef>
              <c:f>Diadema!$T$178:$AE$178</c:f>
              <c:numCache>
                <c:formatCode>mmm\-yy</c:formatCode>
                <c:ptCount val="6"/>
                <c:pt idx="0">
                  <c:v>46023</c:v>
                </c:pt>
                <c:pt idx="1">
                  <c:v>46235</c:v>
                </c:pt>
                <c:pt idx="2">
                  <c:v>46266</c:v>
                </c:pt>
                <c:pt idx="3">
                  <c:v>46296</c:v>
                </c:pt>
                <c:pt idx="4">
                  <c:v>46327</c:v>
                </c:pt>
                <c:pt idx="5">
                  <c:v>46357</c:v>
                </c:pt>
              </c:numCache>
            </c:numRef>
          </c:cat>
          <c:val>
            <c:numRef>
              <c:f>Diadema!$T$182:$AE$182</c:f>
              <c:numCache>
                <c:formatCode>_("R$"* #,##0.00_);_("R$"* \(#,##0.00\);_("R$"* "-"??_);_(@_)</c:formatCode>
                <c:ptCount val="6"/>
                <c:pt idx="0">
                  <c:v>41403.54</c:v>
                </c:pt>
                <c:pt idx="1">
                  <c:v>1570821.2048590051</c:v>
                </c:pt>
                <c:pt idx="2">
                  <c:v>1993682.4945562466</c:v>
                </c:pt>
                <c:pt idx="3">
                  <c:v>2416543.7842534883</c:v>
                </c:pt>
                <c:pt idx="4">
                  <c:v>2839405.0739507298</c:v>
                </c:pt>
                <c:pt idx="5">
                  <c:v>3262266.3636479713</c:v>
                </c:pt>
              </c:numCache>
            </c:numRef>
          </c:val>
          <c:smooth val="0"/>
          <c:extLst>
            <c:ext xmlns:c16="http://schemas.microsoft.com/office/drawing/2014/chart" uri="{C3380CC4-5D6E-409C-BE32-E72D297353CC}">
              <c16:uniqueId val="{00000000-092B-4805-A84D-C2B7E71E6862}"/>
            </c:ext>
          </c:extLst>
        </c:ser>
        <c:ser>
          <c:idx val="4"/>
          <c:order val="4"/>
          <c:tx>
            <c:strRef>
              <c:f>Diadema!$S$183</c:f>
              <c:strCache>
                <c:ptCount val="1"/>
                <c:pt idx="0">
                  <c:v>Acumulado Real</c:v>
                </c:pt>
              </c:strCache>
            </c:strRef>
          </c:tx>
          <c:spPr>
            <a:ln w="28575" cap="rnd">
              <a:solidFill>
                <a:schemeClr val="accent5"/>
              </a:solidFill>
              <a:round/>
            </a:ln>
            <a:effectLst/>
          </c:spPr>
          <c:marker>
            <c:symbol val="none"/>
          </c:marker>
          <c:cat>
            <c:numRef>
              <c:f>Diadema!$T$178:$AE$178</c:f>
              <c:numCache>
                <c:formatCode>mmm\-yy</c:formatCode>
                <c:ptCount val="6"/>
                <c:pt idx="0">
                  <c:v>46023</c:v>
                </c:pt>
                <c:pt idx="1">
                  <c:v>46235</c:v>
                </c:pt>
                <c:pt idx="2">
                  <c:v>46266</c:v>
                </c:pt>
                <c:pt idx="3">
                  <c:v>46296</c:v>
                </c:pt>
                <c:pt idx="4">
                  <c:v>46327</c:v>
                </c:pt>
                <c:pt idx="5">
                  <c:v>46357</c:v>
                </c:pt>
              </c:numCache>
            </c:numRef>
          </c:cat>
          <c:val>
            <c:numRef>
              <c:f>Diadema!$T$183:$AE$183</c:f>
              <c:numCache>
                <c:formatCode>_("R$"* #,##0.00_);_("R$"* \(#,##0.00\);_("R$"* "-"??_);_(@_)</c:formatCode>
                <c:ptCount val="6"/>
                <c:pt idx="0">
                  <c:v>41403.54</c:v>
                </c:pt>
                <c:pt idx="1">
                  <c:v>1008795.9945070648</c:v>
                </c:pt>
                <c:pt idx="2">
                  <c:v>1008795.9945070648</c:v>
                </c:pt>
                <c:pt idx="3">
                  <c:v>1008795.9945070648</c:v>
                </c:pt>
                <c:pt idx="4">
                  <c:v>1008795.9945070648</c:v>
                </c:pt>
                <c:pt idx="5">
                  <c:v>1008795.9945070648</c:v>
                </c:pt>
              </c:numCache>
            </c:numRef>
          </c:val>
          <c:smooth val="0"/>
          <c:extLst>
            <c:ext xmlns:c16="http://schemas.microsoft.com/office/drawing/2014/chart" uri="{C3380CC4-5D6E-409C-BE32-E72D297353CC}">
              <c16:uniqueId val="{00000001-092B-4805-A84D-C2B7E71E6862}"/>
            </c:ext>
          </c:extLst>
        </c:ser>
        <c:ser>
          <c:idx val="5"/>
          <c:order val="5"/>
          <c:tx>
            <c:strRef>
              <c:f>Diadema!$S$184</c:f>
              <c:strCache>
                <c:ptCount val="1"/>
                <c:pt idx="0">
                  <c:v>Projeção da Meta</c:v>
                </c:pt>
              </c:strCache>
            </c:strRef>
          </c:tx>
          <c:spPr>
            <a:ln w="19050" cap="rnd">
              <a:solidFill>
                <a:srgbClr val="00B050"/>
              </a:solidFill>
              <a:prstDash val="sysDot"/>
              <a:round/>
            </a:ln>
            <a:effectLst/>
          </c:spPr>
          <c:marker>
            <c:symbol val="none"/>
          </c:marker>
          <c:cat>
            <c:numRef>
              <c:f>Diadema!$T$178:$AE$178</c:f>
              <c:numCache>
                <c:formatCode>mmm\-yy</c:formatCode>
                <c:ptCount val="6"/>
                <c:pt idx="0">
                  <c:v>46023</c:v>
                </c:pt>
                <c:pt idx="1">
                  <c:v>46235</c:v>
                </c:pt>
                <c:pt idx="2">
                  <c:v>46266</c:v>
                </c:pt>
                <c:pt idx="3">
                  <c:v>46296</c:v>
                </c:pt>
                <c:pt idx="4">
                  <c:v>46327</c:v>
                </c:pt>
                <c:pt idx="5">
                  <c:v>46357</c:v>
                </c:pt>
              </c:numCache>
            </c:numRef>
          </c:cat>
          <c:val>
            <c:numRef>
              <c:f>Diadema!$T$184:$AE$184</c:f>
              <c:numCache>
                <c:formatCode>_("R$"* #,##0.00_);_("R$"* \(#,##0.00\);_("R$"* "-"??_);_(@_)</c:formatCode>
                <c:ptCount val="6"/>
                <c:pt idx="0">
                  <c:v>41403.54</c:v>
                </c:pt>
                <c:pt idx="1">
                  <c:v>2196436.795605652</c:v>
                </c:pt>
                <c:pt idx="2">
                  <c:v>3384077.596704239</c:v>
                </c:pt>
                <c:pt idx="3">
                  <c:v>4571718.397802826</c:v>
                </c:pt>
                <c:pt idx="4">
                  <c:v>5759359.198901413</c:v>
                </c:pt>
                <c:pt idx="5">
                  <c:v>6947000</c:v>
                </c:pt>
              </c:numCache>
            </c:numRef>
          </c:val>
          <c:smooth val="0"/>
          <c:extLst>
            <c:ext xmlns:c16="http://schemas.microsoft.com/office/drawing/2014/chart" uri="{C3380CC4-5D6E-409C-BE32-E72D297353CC}">
              <c16:uniqueId val="{00000000-7894-4BE3-A7FA-E4B3828D85EB}"/>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542318340344441"/>
          <c:y val="0.12325603308504583"/>
          <c:w val="0.47291823967209579"/>
          <c:h val="0.77704575778100271"/>
        </c:manualLayout>
      </c:layout>
      <c:radarChart>
        <c:radarStyle val="marker"/>
        <c:varyColors val="0"/>
        <c:ser>
          <c:idx val="0"/>
          <c:order val="0"/>
          <c:tx>
            <c:strRef>
              <c:f>Diadema!$L$218</c:f>
              <c:strCache>
                <c:ptCount val="1"/>
                <c:pt idx="0">
                  <c:v>Unidade</c:v>
                </c:pt>
              </c:strCache>
            </c:strRef>
          </c:tx>
          <c:spPr>
            <a:ln w="28575" cap="rnd">
              <a:solidFill>
                <a:srgbClr val="0070C0"/>
              </a:solidFill>
              <a:prstDash val="dashDot"/>
              <a:round/>
            </a:ln>
            <a:effectLst/>
          </c:spPr>
          <c:marker>
            <c:symbol val="none"/>
          </c:marker>
          <c:cat>
            <c:strRef>
              <c:f>Diadema!$H$219:$H$222</c:f>
              <c:strCache>
                <c:ptCount val="4"/>
                <c:pt idx="0">
                  <c:v>Produtividade e Controle</c:v>
                </c:pt>
                <c:pt idx="1">
                  <c:v>Documentos e Registro </c:v>
                </c:pt>
                <c:pt idx="2">
                  <c:v>Manutenção do Processo </c:v>
                </c:pt>
                <c:pt idx="3">
                  <c:v>Análise dos Dados </c:v>
                </c:pt>
              </c:strCache>
            </c:strRef>
          </c:cat>
          <c:val>
            <c:numRef>
              <c:f>Diadema!$L$219:$L$222</c:f>
              <c:numCache>
                <c:formatCode>0%</c:formatCode>
                <c:ptCount val="4"/>
                <c:pt idx="0">
                  <c:v>1</c:v>
                </c:pt>
                <c:pt idx="1">
                  <c:v>1</c:v>
                </c:pt>
                <c:pt idx="2">
                  <c:v>1</c:v>
                </c:pt>
                <c:pt idx="3">
                  <c:v>1</c:v>
                </c:pt>
              </c:numCache>
            </c:numRef>
          </c:val>
          <c:extLst>
            <c:ext xmlns:c16="http://schemas.microsoft.com/office/drawing/2014/chart" uri="{C3380CC4-5D6E-409C-BE32-E72D297353CC}">
              <c16:uniqueId val="{00000000-212D-4E9C-8591-03484A025901}"/>
            </c:ext>
          </c:extLst>
        </c:ser>
        <c:ser>
          <c:idx val="1"/>
          <c:order val="1"/>
          <c:tx>
            <c:strRef>
              <c:f>Diadema!$M$218</c:f>
              <c:strCache>
                <c:ptCount val="1"/>
                <c:pt idx="0">
                  <c:v>Auditado</c:v>
                </c:pt>
              </c:strCache>
            </c:strRef>
          </c:tx>
          <c:spPr>
            <a:ln w="38100" cap="rnd">
              <a:solidFill>
                <a:srgbClr val="00B050"/>
              </a:solidFill>
              <a:prstDash val="sysDot"/>
              <a:round/>
            </a:ln>
            <a:effectLst/>
          </c:spPr>
          <c:marker>
            <c:symbol val="none"/>
          </c:marker>
          <c:cat>
            <c:strRef>
              <c:f>Diadema!$H$219:$H$222</c:f>
              <c:strCache>
                <c:ptCount val="4"/>
                <c:pt idx="0">
                  <c:v>Produtividade e Controle</c:v>
                </c:pt>
                <c:pt idx="1">
                  <c:v>Documentos e Registro </c:v>
                </c:pt>
                <c:pt idx="2">
                  <c:v>Manutenção do Processo </c:v>
                </c:pt>
                <c:pt idx="3">
                  <c:v>Análise dos Dados </c:v>
                </c:pt>
              </c:strCache>
            </c:strRef>
          </c:cat>
          <c:val>
            <c:numRef>
              <c:f>Diadema!$M$219:$M$222</c:f>
              <c:numCache>
                <c:formatCode>0%</c:formatCode>
                <c:ptCount val="4"/>
                <c:pt idx="0">
                  <c:v>0.75</c:v>
                </c:pt>
                <c:pt idx="1">
                  <c:v>0.75</c:v>
                </c:pt>
                <c:pt idx="2">
                  <c:v>1</c:v>
                </c:pt>
                <c:pt idx="3">
                  <c:v>1</c:v>
                </c:pt>
              </c:numCache>
            </c:numRef>
          </c:val>
          <c:extLst>
            <c:ext xmlns:c16="http://schemas.microsoft.com/office/drawing/2014/chart" uri="{C3380CC4-5D6E-409C-BE32-E72D297353CC}">
              <c16:uniqueId val="{00000001-212D-4E9C-8591-03484A025901}"/>
            </c:ext>
          </c:extLst>
        </c:ser>
        <c:ser>
          <c:idx val="2"/>
          <c:order val="2"/>
          <c:tx>
            <c:strRef>
              <c:f>Diadema!$N$218</c:f>
              <c:strCache>
                <c:ptCount val="1"/>
                <c:pt idx="0">
                  <c:v>Meta</c:v>
                </c:pt>
              </c:strCache>
            </c:strRef>
          </c:tx>
          <c:spPr>
            <a:ln w="28575" cap="rnd">
              <a:solidFill>
                <a:srgbClr val="FF0000"/>
              </a:solidFill>
              <a:prstDash val="dash"/>
              <a:round/>
            </a:ln>
            <a:effectLst/>
          </c:spPr>
          <c:marker>
            <c:symbol val="none"/>
          </c:marker>
          <c:cat>
            <c:strRef>
              <c:f>Diadema!$H$219:$H$222</c:f>
              <c:strCache>
                <c:ptCount val="4"/>
                <c:pt idx="0">
                  <c:v>Produtividade e Controle</c:v>
                </c:pt>
                <c:pt idx="1">
                  <c:v>Documentos e Registro </c:v>
                </c:pt>
                <c:pt idx="2">
                  <c:v>Manutenção do Processo </c:v>
                </c:pt>
                <c:pt idx="3">
                  <c:v>Análise dos Dados </c:v>
                </c:pt>
              </c:strCache>
            </c:strRef>
          </c:cat>
          <c:val>
            <c:numRef>
              <c:f>Diadema!$N$219:$N$222</c:f>
              <c:numCache>
                <c:formatCode>0%</c:formatCode>
                <c:ptCount val="4"/>
                <c:pt idx="0">
                  <c:v>1</c:v>
                </c:pt>
                <c:pt idx="1">
                  <c:v>1</c:v>
                </c:pt>
                <c:pt idx="2">
                  <c:v>1</c:v>
                </c:pt>
                <c:pt idx="3">
                  <c:v>1</c:v>
                </c:pt>
              </c:numCache>
            </c:numRef>
          </c:val>
          <c:extLst>
            <c:ext xmlns:c16="http://schemas.microsoft.com/office/drawing/2014/chart" uri="{C3380CC4-5D6E-409C-BE32-E72D297353CC}">
              <c16:uniqueId val="{00000002-212D-4E9C-8591-03484A025901}"/>
            </c:ext>
          </c:extLst>
        </c:ser>
        <c:dLbls>
          <c:showLegendKey val="0"/>
          <c:showVal val="0"/>
          <c:showCatName val="0"/>
          <c:showSerName val="0"/>
          <c:showPercent val="0"/>
          <c:showBubbleSize val="0"/>
        </c:dLbls>
        <c:axId val="2016394544"/>
        <c:axId val="2016404624"/>
      </c:radarChart>
      <c:catAx>
        <c:axId val="201639454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99"/>
                </a:solidFill>
                <a:latin typeface="+mn-lt"/>
                <a:ea typeface="+mn-ea"/>
                <a:cs typeface="+mn-cs"/>
              </a:defRPr>
            </a:pPr>
            <a:endParaRPr lang="pt-BR"/>
          </a:p>
        </c:txPr>
        <c:crossAx val="2016404624"/>
        <c:crosses val="autoZero"/>
        <c:auto val="1"/>
        <c:lblAlgn val="ctr"/>
        <c:lblOffset val="100"/>
        <c:noMultiLvlLbl val="0"/>
      </c:catAx>
      <c:valAx>
        <c:axId val="2016404624"/>
        <c:scaling>
          <c:orientation val="minMax"/>
          <c:max val="1"/>
          <c:min val="0"/>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16394544"/>
        <c:crosses val="autoZero"/>
        <c:crossBetween val="between"/>
      </c:valAx>
      <c:spPr>
        <a:noFill/>
        <a:ln w="25400">
          <a:noFill/>
        </a:ln>
        <a:effectLst/>
      </c:spPr>
    </c:plotArea>
    <c:legend>
      <c:legendPos val="r"/>
      <c:layout>
        <c:manualLayout>
          <c:xMode val="edge"/>
          <c:yMode val="edge"/>
          <c:x val="7.0402329845755595E-3"/>
          <c:y val="0.68256220652041955"/>
          <c:w val="0.20165875669650882"/>
          <c:h val="0.308032859374672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spPr>
            <a:ln w="6350">
              <a:solidFill>
                <a:srgbClr val="0000FF"/>
              </a:solidFill>
            </a:ln>
          </c:spPr>
          <c:explosion val="2"/>
          <c:dPt>
            <c:idx val="0"/>
            <c:bubble3D val="0"/>
            <c:spPr>
              <a:solidFill>
                <a:srgbClr val="0C00FF">
                  <a:alpha val="80000"/>
                </a:srgbClr>
              </a:solidFill>
              <a:ln w="6350">
                <a:solidFill>
                  <a:srgbClr val="0000FF"/>
                </a:solidFill>
              </a:ln>
              <a:effectLst/>
            </c:spPr>
            <c:extLst>
              <c:ext xmlns:c16="http://schemas.microsoft.com/office/drawing/2014/chart" uri="{C3380CC4-5D6E-409C-BE32-E72D297353CC}">
                <c16:uniqueId val="{00000001-CC36-4991-873D-46E79D649C3C}"/>
              </c:ext>
            </c:extLst>
          </c:dPt>
          <c:dPt>
            <c:idx val="1"/>
            <c:bubble3D val="0"/>
            <c:spPr>
              <a:solidFill>
                <a:schemeClr val="accent3">
                  <a:lumMod val="20000"/>
                  <a:lumOff val="80000"/>
                </a:schemeClr>
              </a:solidFill>
              <a:ln w="6350">
                <a:solidFill>
                  <a:srgbClr val="0000FF"/>
                </a:solidFill>
              </a:ln>
              <a:effectLst/>
            </c:spPr>
            <c:extLst>
              <c:ext xmlns:c16="http://schemas.microsoft.com/office/drawing/2014/chart" uri="{C3380CC4-5D6E-409C-BE32-E72D297353CC}">
                <c16:uniqueId val="{00000003-CC36-4991-873D-46E79D649C3C}"/>
              </c:ext>
            </c:extLst>
          </c:dPt>
          <c:dPt>
            <c:idx val="2"/>
            <c:bubble3D val="0"/>
            <c:spPr>
              <a:solidFill>
                <a:schemeClr val="accent3"/>
              </a:solidFill>
              <a:ln w="6350">
                <a:solidFill>
                  <a:srgbClr val="0000FF"/>
                </a:solidFill>
              </a:ln>
              <a:effectLst/>
            </c:spPr>
            <c:extLst>
              <c:ext xmlns:c16="http://schemas.microsoft.com/office/drawing/2014/chart" uri="{C3380CC4-5D6E-409C-BE32-E72D297353CC}">
                <c16:uniqueId val="{00000005-CC36-4991-873D-46E79D649C3C}"/>
              </c:ext>
            </c:extLst>
          </c:dPt>
          <c:dLbls>
            <c:dLbl>
              <c:idx val="0"/>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chemeClr val="bg1"/>
                      </a:solidFill>
                      <a:latin typeface="+mn-lt"/>
                      <a:ea typeface="+mn-ea"/>
                      <a:cs typeface="+mn-cs"/>
                    </a:defRPr>
                  </a:pPr>
                  <a:endParaRPr lang="pt-BR"/>
                </a:p>
              </c:txPr>
              <c:dLblPos val="bestFit"/>
              <c:showLegendKey val="0"/>
              <c:showVal val="1"/>
              <c:showCatName val="0"/>
              <c:showSerName val="0"/>
              <c:showPercent val="0"/>
              <c:showBubbleSize val="0"/>
              <c:extLst>
                <c:ext xmlns:c16="http://schemas.microsoft.com/office/drawing/2014/chart" uri="{C3380CC4-5D6E-409C-BE32-E72D297353CC}">
                  <c16:uniqueId val="{00000001-CC36-4991-873D-46E79D649C3C}"/>
                </c:ext>
              </c:extLst>
            </c:dLbl>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rgbClr val="0000FF"/>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Diadema!$I$179:$K$179</c:f>
              <c:strCache>
                <c:ptCount val="3"/>
                <c:pt idx="0">
                  <c:v>Mapeados</c:v>
                </c:pt>
                <c:pt idx="1">
                  <c:v>Comparados</c:v>
                </c:pt>
                <c:pt idx="2">
                  <c:v>Ajustados</c:v>
                </c:pt>
              </c:strCache>
            </c:strRef>
          </c:cat>
          <c:val>
            <c:numRef>
              <c:f>Diadema!$I$214:$K$214</c:f>
              <c:numCache>
                <c:formatCode>0%</c:formatCode>
                <c:ptCount val="3"/>
                <c:pt idx="0">
                  <c:v>0.51515151515151514</c:v>
                </c:pt>
                <c:pt idx="1">
                  <c:v>0.24242424242424243</c:v>
                </c:pt>
                <c:pt idx="2">
                  <c:v>0</c:v>
                </c:pt>
              </c:numCache>
            </c:numRef>
          </c:val>
          <c:extLst>
            <c:ext xmlns:c16="http://schemas.microsoft.com/office/drawing/2014/chart" uri="{C3380CC4-5D6E-409C-BE32-E72D297353CC}">
              <c16:uniqueId val="{00000006-CC36-4991-873D-46E79D649C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9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tx2">
                <a:lumMod val="60000"/>
                <a:lumOff val="40000"/>
              </a:schemeClr>
            </a:solidFill>
            <a:ln>
              <a:solidFill>
                <a:srgbClr val="0000FF"/>
              </a:solidFill>
            </a:ln>
            <a:effectLst/>
          </c:spPr>
          <c:invertIfNegative val="0"/>
          <c:dLbls>
            <c:dLbl>
              <c:idx val="0"/>
              <c:layout>
                <c:manualLayout>
                  <c:x val="-1.7967310106222899E-2"/>
                  <c:y val="0"/>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61636857319397587"/>
                      <c:h val="0.17739354372696847"/>
                    </c:manualLayout>
                  </c15:layout>
                </c:ext>
                <c:ext xmlns:c16="http://schemas.microsoft.com/office/drawing/2014/chart" uri="{C3380CC4-5D6E-409C-BE32-E72D297353CC}">
                  <c16:uniqueId val="{00000002-1524-4185-9AC9-893AC504795A}"/>
                </c:ext>
              </c:extLst>
            </c:dLbl>
            <c:dLbl>
              <c:idx val="1"/>
              <c:layout>
                <c:manualLayout>
                  <c:x val="0.16619761848256162"/>
                  <c:y val="-7.84413265532302E-1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52190544031050912"/>
                      <c:h val="0.17739354372696847"/>
                    </c:manualLayout>
                  </c15:layout>
                </c:ext>
                <c:ext xmlns:c16="http://schemas.microsoft.com/office/drawing/2014/chart" uri="{C3380CC4-5D6E-409C-BE32-E72D297353CC}">
                  <c16:uniqueId val="{00000001-1524-4185-9AC9-893AC504795A}"/>
                </c:ext>
              </c:extLst>
            </c:dLbl>
            <c:dLbl>
              <c:idx val="2"/>
              <c:layout>
                <c:manualLayout>
                  <c:x val="5.839375784522435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24-4185-9AC9-893AC504795A}"/>
                </c:ext>
              </c:extLst>
            </c:dLbl>
            <c:dLbl>
              <c:idx val="3"/>
              <c:layout>
                <c:manualLayout>
                  <c:x val="0.1732447670616681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F8D-426A-8D4C-7BD1EC239D24}"/>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00FF"/>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Diadema!$F$15:$F$18</c:f>
              <c:strCache>
                <c:ptCount val="4"/>
                <c:pt idx="0">
                  <c:v>VA</c:v>
                </c:pt>
                <c:pt idx="1">
                  <c:v>GGF</c:v>
                </c:pt>
                <c:pt idx="2">
                  <c:v>MA</c:v>
                </c:pt>
                <c:pt idx="3">
                  <c:v>Outros</c:v>
                </c:pt>
              </c:strCache>
            </c:strRef>
          </c:cat>
          <c:val>
            <c:numRef>
              <c:f>Diadema!$G$15:$G$18</c:f>
              <c:numCache>
                <c:formatCode>_("R$"* #,##0.00_);_("R$"* \(#,##0.00\);_("R$"* "-"??_);_(@_)</c:formatCode>
                <c:ptCount val="4"/>
                <c:pt idx="0">
                  <c:v>2225803.9020731715</c:v>
                </c:pt>
                <c:pt idx="1">
                  <c:v>605429.30000000005</c:v>
                </c:pt>
                <c:pt idx="2">
                  <c:v>0</c:v>
                </c:pt>
                <c:pt idx="3">
                  <c:v>46052</c:v>
                </c:pt>
              </c:numCache>
            </c:numRef>
          </c:val>
          <c:extLst>
            <c:ext xmlns:c16="http://schemas.microsoft.com/office/drawing/2014/chart" uri="{C3380CC4-5D6E-409C-BE32-E72D297353CC}">
              <c16:uniqueId val="{00000000-1524-4185-9AC9-893AC504795A}"/>
            </c:ext>
          </c:extLst>
        </c:ser>
        <c:dLbls>
          <c:dLblPos val="ctr"/>
          <c:showLegendKey val="0"/>
          <c:showVal val="1"/>
          <c:showCatName val="0"/>
          <c:showSerName val="0"/>
          <c:showPercent val="0"/>
          <c:showBubbleSize val="0"/>
        </c:dLbls>
        <c:gapWidth val="150"/>
        <c:overlap val="100"/>
        <c:axId val="204233840"/>
        <c:axId val="204234800"/>
      </c:barChart>
      <c:catAx>
        <c:axId val="20423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00FF"/>
                </a:solidFill>
                <a:latin typeface="+mn-lt"/>
                <a:ea typeface="+mn-ea"/>
                <a:cs typeface="+mn-cs"/>
              </a:defRPr>
            </a:pPr>
            <a:endParaRPr lang="pt-BR"/>
          </a:p>
        </c:txPr>
        <c:crossAx val="204234800"/>
        <c:crosses val="autoZero"/>
        <c:auto val="1"/>
        <c:lblAlgn val="ctr"/>
        <c:lblOffset val="100"/>
        <c:noMultiLvlLbl val="0"/>
      </c:catAx>
      <c:valAx>
        <c:axId val="204234800"/>
        <c:scaling>
          <c:orientation val="minMax"/>
        </c:scaling>
        <c:delete val="1"/>
        <c:axPos val="b"/>
        <c:numFmt formatCode="_(&quot;R$&quot;* #,##0.00_);_(&quot;R$&quot;* \(#,##0.00\);_(&quot;R$&quot;* &quot;-&quot;??_);_(@_)" sourceLinked="1"/>
        <c:majorTickMark val="none"/>
        <c:minorTickMark val="none"/>
        <c:tickLblPos val="nextTo"/>
        <c:crossAx val="20423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pt-BR" sz="1000"/>
              <a:t>SPD Diadema </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SPD!$A$2</c:f>
              <c:strCache>
                <c:ptCount val="1"/>
                <c:pt idx="0">
                  <c:v>Geral</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SPD!$B$2:$L$2</c15:sqref>
                  </c15:fullRef>
                </c:ext>
              </c:extLst>
              <c:f>SPD!$B$2:$I$2</c:f>
              <c:numCache>
                <c:formatCode>0%</c:formatCode>
                <c:ptCount val="8"/>
                <c:pt idx="0">
                  <c:v>0.61</c:v>
                </c:pt>
                <c:pt idx="1">
                  <c:v>0.61</c:v>
                </c:pt>
                <c:pt idx="2">
                  <c:v>0.64</c:v>
                </c:pt>
                <c:pt idx="3">
                  <c:v>0.64</c:v>
                </c:pt>
                <c:pt idx="4">
                  <c:v>0.6428571428571429</c:v>
                </c:pt>
                <c:pt idx="5">
                  <c:v>0</c:v>
                </c:pt>
                <c:pt idx="6">
                  <c:v>0.96</c:v>
                </c:pt>
                <c:pt idx="7">
                  <c:v>1</c:v>
                </c:pt>
              </c:numCache>
            </c:numRef>
          </c:val>
          <c:smooth val="0"/>
          <c:extLst>
            <c:ext xmlns:c16="http://schemas.microsoft.com/office/drawing/2014/chart" uri="{C3380CC4-5D6E-409C-BE32-E72D297353CC}">
              <c16:uniqueId val="{00000000-3A54-4F2B-AD99-E7D400288A44}"/>
            </c:ext>
          </c:extLst>
        </c:ser>
        <c:ser>
          <c:idx val="1"/>
          <c:order val="1"/>
          <c:tx>
            <c:strRef>
              <c:f>SPD!$A$3</c:f>
              <c:strCache>
                <c:ptCount val="1"/>
                <c:pt idx="0">
                  <c:v>G.Auditado</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SPD!$B$3:$L$3</c15:sqref>
                  </c15:fullRef>
                </c:ext>
              </c:extLst>
              <c:f>SPD!$B$3:$I$3</c:f>
              <c:numCache>
                <c:formatCode>0%</c:formatCode>
                <c:ptCount val="8"/>
                <c:pt idx="0">
                  <c:v>0.39</c:v>
                </c:pt>
                <c:pt idx="1">
                  <c:v>0.39</c:v>
                </c:pt>
                <c:pt idx="2">
                  <c:v>0.39</c:v>
                </c:pt>
                <c:pt idx="3">
                  <c:v>0.39</c:v>
                </c:pt>
                <c:pt idx="4">
                  <c:v>0.39285714285714285</c:v>
                </c:pt>
                <c:pt idx="5">
                  <c:v>0</c:v>
                </c:pt>
                <c:pt idx="6">
                  <c:v>0</c:v>
                </c:pt>
                <c:pt idx="7">
                  <c:v>0.92</c:v>
                </c:pt>
              </c:numCache>
            </c:numRef>
          </c:val>
          <c:smooth val="0"/>
          <c:extLst>
            <c:ext xmlns:c16="http://schemas.microsoft.com/office/drawing/2014/chart" uri="{C3380CC4-5D6E-409C-BE32-E72D297353CC}">
              <c16:uniqueId val="{00000001-3A54-4F2B-AD99-E7D400288A44}"/>
            </c:ext>
          </c:extLst>
        </c:ser>
        <c:ser>
          <c:idx val="2"/>
          <c:order val="2"/>
          <c:tx>
            <c:strRef>
              <c:f>SPD!$A$4</c:f>
              <c:strCache>
                <c:ptCount val="1"/>
                <c:pt idx="0">
                  <c:v>Fase 01</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SPD!$B$4:$L$4</c15:sqref>
                  </c15:fullRef>
                </c:ext>
              </c:extLst>
              <c:f>SPD!$B$4:$I$4</c:f>
              <c:numCache>
                <c:formatCode>0%</c:formatCode>
                <c:ptCount val="8"/>
                <c:pt idx="0">
                  <c:v>0.77</c:v>
                </c:pt>
                <c:pt idx="1">
                  <c:v>0.77</c:v>
                </c:pt>
                <c:pt idx="2">
                  <c:v>0.85</c:v>
                </c:pt>
                <c:pt idx="3">
                  <c:v>0.85</c:v>
                </c:pt>
                <c:pt idx="4">
                  <c:v>0.84615384615384615</c:v>
                </c:pt>
                <c:pt idx="5">
                  <c:v>0</c:v>
                </c:pt>
                <c:pt idx="6">
                  <c:v>1</c:v>
                </c:pt>
                <c:pt idx="7">
                  <c:v>1</c:v>
                </c:pt>
              </c:numCache>
            </c:numRef>
          </c:val>
          <c:smooth val="0"/>
          <c:extLst>
            <c:ext xmlns:c16="http://schemas.microsoft.com/office/drawing/2014/chart" uri="{C3380CC4-5D6E-409C-BE32-E72D297353CC}">
              <c16:uniqueId val="{00000002-3A54-4F2B-AD99-E7D400288A44}"/>
            </c:ext>
          </c:extLst>
        </c:ser>
        <c:ser>
          <c:idx val="3"/>
          <c:order val="3"/>
          <c:tx>
            <c:strRef>
              <c:f>SPD!$A$5</c:f>
              <c:strCache>
                <c:ptCount val="1"/>
                <c:pt idx="0">
                  <c:v>Fase 02</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SPD!$B$5:$L$5</c15:sqref>
                  </c15:fullRef>
                </c:ext>
              </c:extLst>
              <c:f>SPD!$B$5:$I$5</c:f>
              <c:numCache>
                <c:formatCode>0%</c:formatCode>
                <c:ptCount val="8"/>
                <c:pt idx="0">
                  <c:v>0.5</c:v>
                </c:pt>
                <c:pt idx="1">
                  <c:v>0.5</c:v>
                </c:pt>
                <c:pt idx="2">
                  <c:v>0.5</c:v>
                </c:pt>
                <c:pt idx="3">
                  <c:v>0.5</c:v>
                </c:pt>
                <c:pt idx="4">
                  <c:v>0.5</c:v>
                </c:pt>
                <c:pt idx="5">
                  <c:v>0</c:v>
                </c:pt>
                <c:pt idx="6">
                  <c:v>0.92</c:v>
                </c:pt>
                <c:pt idx="7">
                  <c:v>1</c:v>
                </c:pt>
              </c:numCache>
            </c:numRef>
          </c:val>
          <c:smooth val="0"/>
          <c:extLst>
            <c:ext xmlns:c16="http://schemas.microsoft.com/office/drawing/2014/chart" uri="{C3380CC4-5D6E-409C-BE32-E72D297353CC}">
              <c16:uniqueId val="{00000003-3A54-4F2B-AD99-E7D400288A44}"/>
            </c:ext>
          </c:extLst>
        </c:ser>
        <c:ser>
          <c:idx val="4"/>
          <c:order val="4"/>
          <c:tx>
            <c:strRef>
              <c:f>SPD!$A$6</c:f>
              <c:strCache>
                <c:ptCount val="1"/>
                <c:pt idx="0">
                  <c:v>Fase 03</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SPD!$B$6:$L$6</c15:sqref>
                  </c15:fullRef>
                </c:ext>
              </c:extLst>
              <c:f>SPD!$B$6:$I$6</c:f>
              <c:numCache>
                <c:formatCode>0%</c:formatCode>
                <c:ptCount val="8"/>
                <c:pt idx="0">
                  <c:v>0</c:v>
                </c:pt>
                <c:pt idx="1">
                  <c:v>0</c:v>
                </c:pt>
                <c:pt idx="2">
                  <c:v>0</c:v>
                </c:pt>
                <c:pt idx="3">
                  <c:v>0</c:v>
                </c:pt>
                <c:pt idx="4">
                  <c:v>0</c:v>
                </c:pt>
                <c:pt idx="5">
                  <c:v>0</c:v>
                </c:pt>
              </c:numCache>
            </c:numRef>
          </c:val>
          <c:smooth val="0"/>
          <c:extLst>
            <c:ext xmlns:c16="http://schemas.microsoft.com/office/drawing/2014/chart" uri="{C3380CC4-5D6E-409C-BE32-E72D297353CC}">
              <c16:uniqueId val="{00000004-3A54-4F2B-AD99-E7D400288A44}"/>
            </c:ext>
          </c:extLst>
        </c:ser>
        <c:dLbls>
          <c:showLegendKey val="0"/>
          <c:showVal val="0"/>
          <c:showCatName val="0"/>
          <c:showSerName val="0"/>
          <c:showPercent val="0"/>
          <c:showBubbleSize val="0"/>
        </c:dLbls>
        <c:smooth val="0"/>
        <c:axId val="1809023119"/>
        <c:axId val="1809019759"/>
      </c:lineChart>
      <c:dateAx>
        <c:axId val="1809023119"/>
        <c:scaling>
          <c:orientation val="minMax"/>
        </c:scaling>
        <c:delete val="1"/>
        <c:axPos val="b"/>
        <c:numFmt formatCode="d\-mmm" sourceLinked="1"/>
        <c:majorTickMark val="out"/>
        <c:minorTickMark val="none"/>
        <c:tickLblPos val="nextTo"/>
        <c:crossAx val="1809019759"/>
        <c:crosses val="autoZero"/>
        <c:auto val="1"/>
        <c:lblOffset val="100"/>
        <c:baseTimeUnit val="days"/>
      </c:dateAx>
      <c:valAx>
        <c:axId val="180901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1809023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spPr>
            <a:ln w="6350">
              <a:solidFill>
                <a:srgbClr val="0000FF"/>
              </a:solidFill>
            </a:ln>
          </c:spPr>
          <c:explosion val="21"/>
          <c:dPt>
            <c:idx val="0"/>
            <c:bubble3D val="0"/>
            <c:spPr>
              <a:solidFill>
                <a:srgbClr val="0C00FF">
                  <a:alpha val="80000"/>
                </a:srgbClr>
              </a:solidFill>
              <a:ln w="6350">
                <a:solidFill>
                  <a:srgbClr val="0000FF"/>
                </a:solidFill>
              </a:ln>
              <a:effectLst/>
            </c:spPr>
            <c:extLst>
              <c:ext xmlns:c16="http://schemas.microsoft.com/office/drawing/2014/chart" uri="{C3380CC4-5D6E-409C-BE32-E72D297353CC}">
                <c16:uniqueId val="{00000001-6E10-497B-8EAF-047097862519}"/>
              </c:ext>
            </c:extLst>
          </c:dPt>
          <c:dPt>
            <c:idx val="1"/>
            <c:bubble3D val="0"/>
            <c:spPr>
              <a:solidFill>
                <a:schemeClr val="accent3">
                  <a:lumMod val="20000"/>
                  <a:lumOff val="80000"/>
                </a:schemeClr>
              </a:solidFill>
              <a:ln w="6350">
                <a:solidFill>
                  <a:srgbClr val="0000FF"/>
                </a:solidFill>
              </a:ln>
              <a:effectLst/>
            </c:spPr>
            <c:extLst>
              <c:ext xmlns:c16="http://schemas.microsoft.com/office/drawing/2014/chart" uri="{C3380CC4-5D6E-409C-BE32-E72D297353CC}">
                <c16:uniqueId val="{00000003-6E10-497B-8EAF-047097862519}"/>
              </c:ext>
            </c:extLst>
          </c:dPt>
          <c:dPt>
            <c:idx val="2"/>
            <c:bubble3D val="0"/>
            <c:spPr>
              <a:solidFill>
                <a:schemeClr val="accent1">
                  <a:lumMod val="20000"/>
                  <a:lumOff val="80000"/>
                </a:schemeClr>
              </a:solidFill>
              <a:ln w="6350">
                <a:solidFill>
                  <a:srgbClr val="0000FF"/>
                </a:solidFill>
              </a:ln>
              <a:effectLst/>
            </c:spPr>
            <c:extLst>
              <c:ext xmlns:c16="http://schemas.microsoft.com/office/drawing/2014/chart" uri="{C3380CC4-5D6E-409C-BE32-E72D297353CC}">
                <c16:uniqueId val="{00000005-6E10-497B-8EAF-047097862519}"/>
              </c:ext>
            </c:extLst>
          </c:dPt>
          <c:dLbls>
            <c:dLbl>
              <c:idx val="0"/>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chemeClr val="bg1"/>
                      </a:solidFill>
                      <a:latin typeface="+mn-lt"/>
                      <a:ea typeface="+mn-ea"/>
                      <a:cs typeface="+mn-cs"/>
                    </a:defRPr>
                  </a:pPr>
                  <a:endParaRPr lang="pt-BR"/>
                </a:p>
              </c:txPr>
              <c:dLblPos val="bestFit"/>
              <c:showLegendKey val="0"/>
              <c:showVal val="1"/>
              <c:showCatName val="0"/>
              <c:showSerName val="0"/>
              <c:showPercent val="0"/>
              <c:showBubbleSize val="0"/>
              <c:extLst>
                <c:ext xmlns:c16="http://schemas.microsoft.com/office/drawing/2014/chart" uri="{C3380CC4-5D6E-409C-BE32-E72D297353CC}">
                  <c16:uniqueId val="{00000001-6E10-497B-8EAF-047097862519}"/>
                </c:ext>
              </c:extLst>
            </c:dLbl>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rgbClr val="000099"/>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Jarinu!$I$147:$K$147</c:f>
              <c:strCache>
                <c:ptCount val="3"/>
                <c:pt idx="0">
                  <c:v>Mapeados</c:v>
                </c:pt>
                <c:pt idx="1">
                  <c:v>Comparados</c:v>
                </c:pt>
                <c:pt idx="2">
                  <c:v>Ajustados</c:v>
                </c:pt>
              </c:strCache>
            </c:strRef>
          </c:cat>
          <c:val>
            <c:numRef>
              <c:f>Jarinu!$I$170:$K$170</c:f>
              <c:numCache>
                <c:formatCode>0%</c:formatCode>
                <c:ptCount val="3"/>
                <c:pt idx="0">
                  <c:v>1</c:v>
                </c:pt>
                <c:pt idx="1">
                  <c:v>0.3</c:v>
                </c:pt>
                <c:pt idx="2">
                  <c:v>0</c:v>
                </c:pt>
              </c:numCache>
            </c:numRef>
          </c:val>
          <c:extLst>
            <c:ext xmlns:c16="http://schemas.microsoft.com/office/drawing/2014/chart" uri="{C3380CC4-5D6E-409C-BE32-E72D297353CC}">
              <c16:uniqueId val="{00000006-6E10-497B-8EAF-04709786251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9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003870523877978"/>
          <c:y val="0.13604124091249634"/>
          <c:w val="0.47873278954630938"/>
          <c:h val="0.72557201949869599"/>
        </c:manualLayout>
      </c:layout>
      <c:radarChart>
        <c:radarStyle val="marker"/>
        <c:varyColors val="0"/>
        <c:ser>
          <c:idx val="0"/>
          <c:order val="0"/>
          <c:tx>
            <c:strRef>
              <c:f>Jarinu!$L$173</c:f>
              <c:strCache>
                <c:ptCount val="1"/>
                <c:pt idx="0">
                  <c:v>Unidade</c:v>
                </c:pt>
              </c:strCache>
            </c:strRef>
          </c:tx>
          <c:spPr>
            <a:ln w="28575" cap="rnd">
              <a:solidFill>
                <a:schemeClr val="accent1"/>
              </a:solidFill>
              <a:prstDash val="dash"/>
              <a:round/>
            </a:ln>
            <a:effectLst/>
          </c:spPr>
          <c:marker>
            <c:symbol val="none"/>
          </c:marker>
          <c:cat>
            <c:strRef>
              <c:f>Jarinu!$H$174:$H$177</c:f>
              <c:strCache>
                <c:ptCount val="4"/>
                <c:pt idx="0">
                  <c:v>Produtividade e Controle</c:v>
                </c:pt>
                <c:pt idx="1">
                  <c:v>Documentos e Registro </c:v>
                </c:pt>
                <c:pt idx="2">
                  <c:v>Manutenção do Processo </c:v>
                </c:pt>
                <c:pt idx="3">
                  <c:v>Análise dos Dados </c:v>
                </c:pt>
              </c:strCache>
            </c:strRef>
          </c:cat>
          <c:val>
            <c:numRef>
              <c:f>Jarinu!$L$174:$L$177</c:f>
              <c:numCache>
                <c:formatCode>0%</c:formatCode>
                <c:ptCount val="4"/>
                <c:pt idx="0">
                  <c:v>0.75</c:v>
                </c:pt>
                <c:pt idx="1">
                  <c:v>1</c:v>
                </c:pt>
                <c:pt idx="2">
                  <c:v>0.91666666666666663</c:v>
                </c:pt>
                <c:pt idx="3">
                  <c:v>1</c:v>
                </c:pt>
              </c:numCache>
            </c:numRef>
          </c:val>
          <c:extLst>
            <c:ext xmlns:c16="http://schemas.microsoft.com/office/drawing/2014/chart" uri="{C3380CC4-5D6E-409C-BE32-E72D297353CC}">
              <c16:uniqueId val="{00000000-A9C5-4ED2-B649-31EEEE0CBF11}"/>
            </c:ext>
          </c:extLst>
        </c:ser>
        <c:ser>
          <c:idx val="1"/>
          <c:order val="1"/>
          <c:tx>
            <c:strRef>
              <c:f>Jarinu!$M$173</c:f>
              <c:strCache>
                <c:ptCount val="1"/>
                <c:pt idx="0">
                  <c:v>Auditado</c:v>
                </c:pt>
              </c:strCache>
            </c:strRef>
          </c:tx>
          <c:spPr>
            <a:ln w="28575" cap="rnd">
              <a:solidFill>
                <a:srgbClr val="00B050"/>
              </a:solidFill>
              <a:prstDash val="sysDash"/>
              <a:round/>
            </a:ln>
            <a:effectLst/>
          </c:spPr>
          <c:marker>
            <c:symbol val="none"/>
          </c:marker>
          <c:cat>
            <c:strRef>
              <c:f>Jarinu!$H$174:$H$177</c:f>
              <c:strCache>
                <c:ptCount val="4"/>
                <c:pt idx="0">
                  <c:v>Produtividade e Controle</c:v>
                </c:pt>
                <c:pt idx="1">
                  <c:v>Documentos e Registro </c:v>
                </c:pt>
                <c:pt idx="2">
                  <c:v>Manutenção do Processo </c:v>
                </c:pt>
                <c:pt idx="3">
                  <c:v>Análise dos Dados </c:v>
                </c:pt>
              </c:strCache>
            </c:strRef>
          </c:cat>
          <c:val>
            <c:numRef>
              <c:f>Jarinu!$M$174:$M$177</c:f>
              <c:numCache>
                <c:formatCode>0%</c:formatCode>
                <c:ptCount val="4"/>
                <c:pt idx="0">
                  <c:v>0.75</c:v>
                </c:pt>
                <c:pt idx="1">
                  <c:v>1</c:v>
                </c:pt>
                <c:pt idx="2">
                  <c:v>0.91666666666666663</c:v>
                </c:pt>
                <c:pt idx="3">
                  <c:v>1</c:v>
                </c:pt>
              </c:numCache>
            </c:numRef>
          </c:val>
          <c:extLst>
            <c:ext xmlns:c16="http://schemas.microsoft.com/office/drawing/2014/chart" uri="{C3380CC4-5D6E-409C-BE32-E72D297353CC}">
              <c16:uniqueId val="{00000001-A9C5-4ED2-B649-31EEEE0CBF11}"/>
            </c:ext>
          </c:extLst>
        </c:ser>
        <c:ser>
          <c:idx val="2"/>
          <c:order val="2"/>
          <c:tx>
            <c:strRef>
              <c:f>Jarinu!$N$173</c:f>
              <c:strCache>
                <c:ptCount val="1"/>
                <c:pt idx="0">
                  <c:v>Meta</c:v>
                </c:pt>
              </c:strCache>
            </c:strRef>
          </c:tx>
          <c:spPr>
            <a:ln w="28575" cap="rnd">
              <a:solidFill>
                <a:srgbClr val="FF0000"/>
              </a:solidFill>
              <a:prstDash val="dashDot"/>
              <a:round/>
            </a:ln>
            <a:effectLst/>
          </c:spPr>
          <c:marker>
            <c:symbol val="none"/>
          </c:marker>
          <c:cat>
            <c:strRef>
              <c:f>Jarinu!$H$174:$H$177</c:f>
              <c:strCache>
                <c:ptCount val="4"/>
                <c:pt idx="0">
                  <c:v>Produtividade e Controle</c:v>
                </c:pt>
                <c:pt idx="1">
                  <c:v>Documentos e Registro </c:v>
                </c:pt>
                <c:pt idx="2">
                  <c:v>Manutenção do Processo </c:v>
                </c:pt>
                <c:pt idx="3">
                  <c:v>Análise dos Dados </c:v>
                </c:pt>
              </c:strCache>
            </c:strRef>
          </c:cat>
          <c:val>
            <c:numRef>
              <c:f>Jarinu!$N$174:$N$177</c:f>
              <c:numCache>
                <c:formatCode>0%</c:formatCode>
                <c:ptCount val="4"/>
                <c:pt idx="0">
                  <c:v>1</c:v>
                </c:pt>
                <c:pt idx="1">
                  <c:v>1</c:v>
                </c:pt>
                <c:pt idx="2">
                  <c:v>1</c:v>
                </c:pt>
                <c:pt idx="3">
                  <c:v>1</c:v>
                </c:pt>
              </c:numCache>
            </c:numRef>
          </c:val>
          <c:extLst>
            <c:ext xmlns:c16="http://schemas.microsoft.com/office/drawing/2014/chart" uri="{C3380CC4-5D6E-409C-BE32-E72D297353CC}">
              <c16:uniqueId val="{00000002-A9C5-4ED2-B649-31EEEE0CBF11}"/>
            </c:ext>
          </c:extLst>
        </c:ser>
        <c:dLbls>
          <c:showLegendKey val="0"/>
          <c:showVal val="0"/>
          <c:showCatName val="0"/>
          <c:showSerName val="0"/>
          <c:showPercent val="0"/>
          <c:showBubbleSize val="0"/>
        </c:dLbls>
        <c:axId val="817289663"/>
        <c:axId val="817277663"/>
      </c:radarChart>
      <c:catAx>
        <c:axId val="81728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00099"/>
                </a:solidFill>
                <a:latin typeface="+mn-lt"/>
                <a:ea typeface="+mn-ea"/>
                <a:cs typeface="+mn-cs"/>
              </a:defRPr>
            </a:pPr>
            <a:endParaRPr lang="pt-BR"/>
          </a:p>
        </c:txPr>
        <c:crossAx val="817277663"/>
        <c:crosses val="autoZero"/>
        <c:auto val="1"/>
        <c:lblAlgn val="ctr"/>
        <c:lblOffset val="100"/>
        <c:noMultiLvlLbl val="0"/>
      </c:catAx>
      <c:valAx>
        <c:axId val="81727766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17289663"/>
        <c:crosses val="autoZero"/>
        <c:crossBetween val="between"/>
      </c:valAx>
      <c:spPr>
        <a:noFill/>
        <a:ln>
          <a:noFill/>
        </a:ln>
        <a:effectLst/>
      </c:spPr>
    </c:plotArea>
    <c:legend>
      <c:legendPos val="r"/>
      <c:layout>
        <c:manualLayout>
          <c:xMode val="edge"/>
          <c:yMode val="edge"/>
          <c:x val="1.1747687397084325E-2"/>
          <c:y val="0.79687506337423852"/>
          <c:w val="0.17592591870339791"/>
          <c:h val="0.1862672443113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Jarinu!$R$147</c:f>
              <c:strCache>
                <c:ptCount val="1"/>
                <c:pt idx="0">
                  <c:v>Previsto</c:v>
                </c:pt>
              </c:strCache>
            </c:strRef>
          </c:tx>
          <c:spPr>
            <a:solidFill>
              <a:schemeClr val="accent1">
                <a:lumMod val="40000"/>
                <a:lumOff val="60000"/>
              </a:schemeClr>
            </a:solidFill>
            <a:ln>
              <a:solidFill>
                <a:srgbClr val="0000FF"/>
              </a:solidFill>
            </a:ln>
            <a:effectLst/>
          </c:spPr>
          <c:invertIfNegative val="0"/>
          <c:cat>
            <c:numRef>
              <c:f>Jarinu!$S$146:$AD$146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Jarinu!$S$147:$AD$147</c:f>
              <c:numCache>
                <c:formatCode>_("R$"* #,##0.00_);_("R$"* \(#,##0.00\);_("R$"* "-"??_);_(@_)</c:formatCode>
                <c:ptCount val="12"/>
                <c:pt idx="0">
                  <c:v>390000.00300000003</c:v>
                </c:pt>
                <c:pt idx="1">
                  <c:v>54545.454553545453</c:v>
                </c:pt>
                <c:pt idx="2">
                  <c:v>90445.454553545453</c:v>
                </c:pt>
                <c:pt idx="3">
                  <c:v>92346.960220212117</c:v>
                </c:pt>
                <c:pt idx="4">
                  <c:v>130596.96022021212</c:v>
                </c:pt>
                <c:pt idx="5">
                  <c:v>144596.96022021212</c:v>
                </c:pt>
                <c:pt idx="6">
                  <c:v>274399.75022021215</c:v>
                </c:pt>
                <c:pt idx="7">
                  <c:v>366139.02244267607</c:v>
                </c:pt>
                <c:pt idx="8">
                  <c:v>503235.27244267607</c:v>
                </c:pt>
                <c:pt idx="9">
                  <c:v>886512.02323058306</c:v>
                </c:pt>
                <c:pt idx="10">
                  <c:v>886512.02323058306</c:v>
                </c:pt>
                <c:pt idx="11">
                  <c:v>970119.73489724973</c:v>
                </c:pt>
              </c:numCache>
            </c:numRef>
          </c:val>
          <c:extLst>
            <c:ext xmlns:c16="http://schemas.microsoft.com/office/drawing/2014/chart" uri="{C3380CC4-5D6E-409C-BE32-E72D297353CC}">
              <c16:uniqueId val="{00000000-EDD9-478E-9A19-0D771CCEA333}"/>
            </c:ext>
          </c:extLst>
        </c:ser>
        <c:ser>
          <c:idx val="1"/>
          <c:order val="1"/>
          <c:tx>
            <c:strRef>
              <c:f>Jarinu!$R$148</c:f>
              <c:strCache>
                <c:ptCount val="1"/>
                <c:pt idx="0">
                  <c:v>Real</c:v>
                </c:pt>
              </c:strCache>
            </c:strRef>
          </c:tx>
          <c:spPr>
            <a:solidFill>
              <a:srgbClr val="92D050"/>
            </a:solidFill>
            <a:ln>
              <a:solidFill>
                <a:srgbClr val="00B050"/>
              </a:solidFill>
            </a:ln>
            <a:effectLst/>
          </c:spPr>
          <c:invertIfNegative val="0"/>
          <c:cat>
            <c:numRef>
              <c:f>Jarinu!$S$146:$AD$146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Jarinu!$S$148:$AD$148</c:f>
              <c:numCache>
                <c:formatCode>_("R$"* #,##0.00_);_("R$"* \(#,##0.00\);_("R$"* "-"??_);_(@_)</c:formatCode>
                <c:ptCount val="12"/>
                <c:pt idx="0">
                  <c:v>390000</c:v>
                </c:pt>
                <c:pt idx="1">
                  <c:v>0</c:v>
                </c:pt>
                <c:pt idx="2">
                  <c:v>0</c:v>
                </c:pt>
                <c:pt idx="3">
                  <c:v>1286.4375065712063</c:v>
                </c:pt>
                <c:pt idx="4">
                  <c:v>2010.7338235392103</c:v>
                </c:pt>
                <c:pt idx="5">
                  <c:v>15758.163002239207</c:v>
                </c:pt>
                <c:pt idx="6">
                  <c:v>36868.114555620021</c:v>
                </c:pt>
                <c:pt idx="7">
                  <c:v>17584</c:v>
                </c:pt>
                <c:pt idx="8">
                  <c:v>0</c:v>
                </c:pt>
                <c:pt idx="9">
                  <c:v>0</c:v>
                </c:pt>
                <c:pt idx="10">
                  <c:v>0</c:v>
                </c:pt>
                <c:pt idx="11">
                  <c:v>0</c:v>
                </c:pt>
              </c:numCache>
            </c:numRef>
          </c:val>
          <c:extLst>
            <c:ext xmlns:c16="http://schemas.microsoft.com/office/drawing/2014/chart" uri="{C3380CC4-5D6E-409C-BE32-E72D297353CC}">
              <c16:uniqueId val="{00000001-EDD9-478E-9A19-0D771CCEA333}"/>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Jarinu!$R$149</c:f>
              <c:strCache>
                <c:ptCount val="1"/>
                <c:pt idx="0">
                  <c:v>Q. Projetos </c:v>
                </c:pt>
              </c:strCache>
            </c:strRef>
          </c:tx>
          <c:spPr>
            <a:ln w="9525" cap="rnd">
              <a:solidFill>
                <a:srgbClr val="FF0000"/>
              </a:solidFill>
              <a:prstDash val="lgDashDot"/>
              <a:round/>
            </a:ln>
            <a:effectLst/>
          </c:spPr>
          <c:marker>
            <c:symbol val="none"/>
          </c:marker>
          <c:cat>
            <c:numRef>
              <c:f>Jarinu!$S$146:$AD$146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Jarinu!$S$149:$AD$149</c:f>
              <c:numCache>
                <c:formatCode>0</c:formatCode>
                <c:ptCount val="12"/>
                <c:pt idx="0">
                  <c:v>4</c:v>
                </c:pt>
                <c:pt idx="1">
                  <c:v>19</c:v>
                </c:pt>
                <c:pt idx="2">
                  <c:v>21</c:v>
                </c:pt>
                <c:pt idx="3">
                  <c:v>21</c:v>
                </c:pt>
                <c:pt idx="4">
                  <c:v>20</c:v>
                </c:pt>
                <c:pt idx="5">
                  <c:v>20</c:v>
                </c:pt>
                <c:pt idx="6">
                  <c:v>19</c:v>
                </c:pt>
                <c:pt idx="7">
                  <c:v>25</c:v>
                </c:pt>
                <c:pt idx="8">
                  <c:v>12</c:v>
                </c:pt>
                <c:pt idx="9">
                  <c:v>7</c:v>
                </c:pt>
                <c:pt idx="10">
                  <c:v>2</c:v>
                </c:pt>
                <c:pt idx="11">
                  <c:v>2</c:v>
                </c:pt>
              </c:numCache>
            </c:numRef>
          </c:val>
          <c:smooth val="0"/>
          <c:extLst>
            <c:ext xmlns:c16="http://schemas.microsoft.com/office/drawing/2014/chart" uri="{C3380CC4-5D6E-409C-BE32-E72D297353CC}">
              <c16:uniqueId val="{00000002-EDD9-478E-9A19-0D771CCEA333}"/>
            </c:ext>
          </c:extLst>
        </c:ser>
        <c:ser>
          <c:idx val="3"/>
          <c:order val="3"/>
          <c:tx>
            <c:strRef>
              <c:f>Jarinu!$R$150</c:f>
              <c:strCache>
                <c:ptCount val="1"/>
                <c:pt idx="0">
                  <c:v>Acumulado Previsto</c:v>
                </c:pt>
              </c:strCache>
            </c:strRef>
          </c:tx>
          <c:spPr>
            <a:ln w="28575" cap="rnd">
              <a:solidFill>
                <a:srgbClr val="92D050"/>
              </a:solidFill>
              <a:round/>
            </a:ln>
            <a:effectLst/>
          </c:spPr>
          <c:marker>
            <c:symbol val="none"/>
          </c:marker>
          <c:cat>
            <c:numRef>
              <c:f>Jarinu!$S$146:$AD$146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Jarinu!$S$150:$AD$150</c:f>
              <c:numCache>
                <c:formatCode>_("R$"* #,##0.00_);_("R$"* \(#,##0.00\);_("R$"* "-"??_);_(@_)</c:formatCode>
                <c:ptCount val="12"/>
                <c:pt idx="0">
                  <c:v>390000.00300000003</c:v>
                </c:pt>
                <c:pt idx="1">
                  <c:v>444545.45755354548</c:v>
                </c:pt>
                <c:pt idx="2">
                  <c:v>534990.91210709093</c:v>
                </c:pt>
                <c:pt idx="3">
                  <c:v>627337.87232730305</c:v>
                </c:pt>
                <c:pt idx="4">
                  <c:v>757934.83254751517</c:v>
                </c:pt>
                <c:pt idx="5">
                  <c:v>902531.79276772728</c:v>
                </c:pt>
                <c:pt idx="6">
                  <c:v>1176931.5429879394</c:v>
                </c:pt>
                <c:pt idx="7">
                  <c:v>1543070.5654306156</c:v>
                </c:pt>
                <c:pt idx="8">
                  <c:v>2046305.8378732917</c:v>
                </c:pt>
                <c:pt idx="9">
                  <c:v>2932817.8611038746</c:v>
                </c:pt>
                <c:pt idx="10">
                  <c:v>3819329.8843344576</c:v>
                </c:pt>
                <c:pt idx="11">
                  <c:v>4789449.6192317074</c:v>
                </c:pt>
              </c:numCache>
            </c:numRef>
          </c:val>
          <c:smooth val="0"/>
          <c:extLst>
            <c:ext xmlns:c16="http://schemas.microsoft.com/office/drawing/2014/chart" uri="{C3380CC4-5D6E-409C-BE32-E72D297353CC}">
              <c16:uniqueId val="{00000003-EDD9-478E-9A19-0D771CCEA333}"/>
            </c:ext>
          </c:extLst>
        </c:ser>
        <c:ser>
          <c:idx val="4"/>
          <c:order val="4"/>
          <c:tx>
            <c:strRef>
              <c:f>Jarinu!$R$151</c:f>
              <c:strCache>
                <c:ptCount val="1"/>
                <c:pt idx="0">
                  <c:v>Acumulado Real</c:v>
                </c:pt>
              </c:strCache>
            </c:strRef>
          </c:tx>
          <c:spPr>
            <a:ln w="28575" cap="rnd">
              <a:solidFill>
                <a:schemeClr val="accent5"/>
              </a:solidFill>
              <a:round/>
            </a:ln>
            <a:effectLst/>
          </c:spPr>
          <c:marker>
            <c:symbol val="none"/>
          </c:marker>
          <c:cat>
            <c:numRef>
              <c:f>Jarinu!$S$146:$AD$146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Jarinu!$S$151:$AD$151</c:f>
              <c:numCache>
                <c:formatCode>_("R$"* #,##0.00_);_("R$"* \(#,##0.00\);_("R$"* "-"??_);_(@_)</c:formatCode>
                <c:ptCount val="12"/>
                <c:pt idx="0">
                  <c:v>390000</c:v>
                </c:pt>
                <c:pt idx="1">
                  <c:v>390000</c:v>
                </c:pt>
                <c:pt idx="2">
                  <c:v>390000</c:v>
                </c:pt>
                <c:pt idx="3">
                  <c:v>391286.43750657118</c:v>
                </c:pt>
                <c:pt idx="4">
                  <c:v>393297.1713301104</c:v>
                </c:pt>
                <c:pt idx="5">
                  <c:v>409055.33433234959</c:v>
                </c:pt>
                <c:pt idx="6">
                  <c:v>445923.4488879696</c:v>
                </c:pt>
                <c:pt idx="7">
                  <c:v>463507.4488879696</c:v>
                </c:pt>
                <c:pt idx="8">
                  <c:v>463507.4488879696</c:v>
                </c:pt>
                <c:pt idx="9">
                  <c:v>463507.4488879696</c:v>
                </c:pt>
                <c:pt idx="10">
                  <c:v>463507.4488879696</c:v>
                </c:pt>
                <c:pt idx="11">
                  <c:v>463507.4488879696</c:v>
                </c:pt>
              </c:numCache>
            </c:numRef>
          </c:val>
          <c:smooth val="0"/>
          <c:extLst>
            <c:ext xmlns:c16="http://schemas.microsoft.com/office/drawing/2014/chart" uri="{C3380CC4-5D6E-409C-BE32-E72D297353CC}">
              <c16:uniqueId val="{00000004-EDD9-478E-9A19-0D771CCEA333}"/>
            </c:ext>
          </c:extLst>
        </c:ser>
        <c:ser>
          <c:idx val="5"/>
          <c:order val="5"/>
          <c:tx>
            <c:strRef>
              <c:f>Jarinu!$R$152</c:f>
              <c:strCache>
                <c:ptCount val="1"/>
                <c:pt idx="0">
                  <c:v>Projeção da Meta</c:v>
                </c:pt>
              </c:strCache>
            </c:strRef>
          </c:tx>
          <c:spPr>
            <a:ln w="19050" cap="rnd">
              <a:solidFill>
                <a:srgbClr val="00B050"/>
              </a:solidFill>
              <a:prstDash val="sysDot"/>
              <a:round/>
            </a:ln>
            <a:effectLst/>
          </c:spPr>
          <c:marker>
            <c:symbol val="none"/>
          </c:marker>
          <c:cat>
            <c:numRef>
              <c:f>Jarinu!$S$146:$AD$146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Jarinu!$S$152:$AD$152</c:f>
              <c:numCache>
                <c:formatCode>_("R$"* #,##0.00_);_("R$"* \(#,##0.00\);_("R$"* "-"??_);_(@_)</c:formatCode>
                <c:ptCount val="12"/>
                <c:pt idx="0">
                  <c:v>390000</c:v>
                </c:pt>
                <c:pt idx="1">
                  <c:v>0</c:v>
                </c:pt>
                <c:pt idx="2">
                  <c:v>0</c:v>
                </c:pt>
                <c:pt idx="3">
                  <c:v>0</c:v>
                </c:pt>
                <c:pt idx="4">
                  <c:v>0</c:v>
                </c:pt>
                <c:pt idx="5">
                  <c:v>0</c:v>
                </c:pt>
                <c:pt idx="6">
                  <c:v>0</c:v>
                </c:pt>
                <c:pt idx="7">
                  <c:v>0</c:v>
                </c:pt>
                <c:pt idx="8">
                  <c:v>1339000</c:v>
                </c:pt>
                <c:pt idx="9">
                  <c:v>2678000</c:v>
                </c:pt>
                <c:pt idx="10">
                  <c:v>4017000</c:v>
                </c:pt>
                <c:pt idx="11">
                  <c:v>5356000</c:v>
                </c:pt>
              </c:numCache>
            </c:numRef>
          </c:val>
          <c:smooth val="0"/>
          <c:extLst>
            <c:ext xmlns:c16="http://schemas.microsoft.com/office/drawing/2014/chart" uri="{C3380CC4-5D6E-409C-BE32-E72D297353CC}">
              <c16:uniqueId val="{00000000-FB6D-4945-ACF8-484CD0286D51}"/>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2">
                <a:lumMod val="20000"/>
                <a:lumOff val="80000"/>
              </a:schemeClr>
            </a:solidFill>
            <a:ln>
              <a:noFill/>
            </a:ln>
            <a:effectLst/>
          </c:spPr>
          <c:invertIfNegative val="0"/>
          <c:dLbls>
            <c:dLbl>
              <c:idx val="1"/>
              <c:layout>
                <c:manualLayout>
                  <c:x val="-9.9521011450317054E-2"/>
                  <c:y val="-4.1334378342276447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53459790037986998"/>
                      <c:h val="0.14862377139301036"/>
                    </c:manualLayout>
                  </c15:layout>
                </c:ext>
                <c:ext xmlns:c16="http://schemas.microsoft.com/office/drawing/2014/chart" uri="{C3380CC4-5D6E-409C-BE32-E72D297353CC}">
                  <c16:uniqueId val="{00000003-33D7-4A07-B0AA-FA35C3AA172F}"/>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56285856367819831"/>
                      <c:h val="0.14862377139301036"/>
                    </c:manualLayout>
                  </c15:layout>
                </c:ext>
                <c:ext xmlns:c16="http://schemas.microsoft.com/office/drawing/2014/chart" uri="{C3380CC4-5D6E-409C-BE32-E72D297353CC}">
                  <c16:uniqueId val="{00000002-33D7-4A07-B0AA-FA35C3AA172F}"/>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38901680496083496"/>
                      <c:h val="0.11749867738754706"/>
                    </c:manualLayout>
                  </c15:layout>
                </c:ext>
                <c:ext xmlns:c16="http://schemas.microsoft.com/office/drawing/2014/chart" uri="{C3380CC4-5D6E-409C-BE32-E72D297353CC}">
                  <c16:uniqueId val="{00000000-EF5B-40AF-85B8-D46CE5227DC1}"/>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55209953541329915"/>
                      <c:h val="0.14862377139301036"/>
                    </c:manualLayout>
                  </c15:layout>
                </c:ext>
                <c:ext xmlns:c16="http://schemas.microsoft.com/office/drawing/2014/chart" uri="{C3380CC4-5D6E-409C-BE32-E72D297353CC}">
                  <c16:uniqueId val="{00000001-33D7-4A07-B0AA-FA35C3AA17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FF"/>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Jarinu!$F$14:$F$18</c:f>
              <c:strCache>
                <c:ptCount val="5"/>
                <c:pt idx="1">
                  <c:v>VA</c:v>
                </c:pt>
                <c:pt idx="2">
                  <c:v>GGF</c:v>
                </c:pt>
                <c:pt idx="3">
                  <c:v>MA</c:v>
                </c:pt>
                <c:pt idx="4">
                  <c:v>Outros</c:v>
                </c:pt>
              </c:strCache>
            </c:strRef>
          </c:cat>
          <c:val>
            <c:numRef>
              <c:f>Jarinu!$G$14:$G$18</c:f>
              <c:numCache>
                <c:formatCode>_("R$"* #,##0.00_);_("R$"* \(#,##0.00\);_("R$"* "-"??_);_(@_)</c:formatCode>
                <c:ptCount val="5"/>
                <c:pt idx="1">
                  <c:v>1854110.4016666668</c:v>
                </c:pt>
                <c:pt idx="2">
                  <c:v>612421.18099999998</c:v>
                </c:pt>
                <c:pt idx="3">
                  <c:v>89081.02</c:v>
                </c:pt>
                <c:pt idx="4">
                  <c:v>390000</c:v>
                </c:pt>
              </c:numCache>
            </c:numRef>
          </c:val>
          <c:extLst>
            <c:ext xmlns:c16="http://schemas.microsoft.com/office/drawing/2014/chart" uri="{C3380CC4-5D6E-409C-BE32-E72D297353CC}">
              <c16:uniqueId val="{00000000-33D7-4A07-B0AA-FA35C3AA172F}"/>
            </c:ext>
          </c:extLst>
        </c:ser>
        <c:dLbls>
          <c:dLblPos val="outEnd"/>
          <c:showLegendKey val="0"/>
          <c:showVal val="1"/>
          <c:showCatName val="0"/>
          <c:showSerName val="0"/>
          <c:showPercent val="0"/>
          <c:showBubbleSize val="0"/>
        </c:dLbls>
        <c:gapWidth val="182"/>
        <c:axId val="782110976"/>
        <c:axId val="782105216"/>
      </c:barChart>
      <c:catAx>
        <c:axId val="78211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0000FF"/>
                </a:solidFill>
                <a:latin typeface="+mn-lt"/>
                <a:ea typeface="+mn-ea"/>
                <a:cs typeface="+mn-cs"/>
              </a:defRPr>
            </a:pPr>
            <a:endParaRPr lang="pt-BR"/>
          </a:p>
        </c:txPr>
        <c:crossAx val="782105216"/>
        <c:crosses val="autoZero"/>
        <c:auto val="1"/>
        <c:lblAlgn val="ctr"/>
        <c:lblOffset val="100"/>
        <c:noMultiLvlLbl val="0"/>
      </c:catAx>
      <c:valAx>
        <c:axId val="7821052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8211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SPD. Jarinu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SPD!$A$9</c:f>
              <c:strCache>
                <c:ptCount val="1"/>
                <c:pt idx="0">
                  <c:v>Geral</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SPD!$B$8:$L$8</c15:sqref>
                  </c15:fullRef>
                </c:ext>
              </c:extLst>
              <c:f>SPD!$B$8:$I$8</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SPD!$B$9:$L$9</c15:sqref>
                  </c15:fullRef>
                </c:ext>
              </c:extLst>
              <c:f>SPD!$B$9:$I$9</c:f>
              <c:numCache>
                <c:formatCode>0%</c:formatCode>
                <c:ptCount val="8"/>
                <c:pt idx="0">
                  <c:v>0.54</c:v>
                </c:pt>
                <c:pt idx="1">
                  <c:v>0.56999999999999995</c:v>
                </c:pt>
                <c:pt idx="2">
                  <c:v>0.61</c:v>
                </c:pt>
                <c:pt idx="3">
                  <c:v>0.68</c:v>
                </c:pt>
                <c:pt idx="4">
                  <c:v>0.6428571428571429</c:v>
                </c:pt>
                <c:pt idx="5">
                  <c:v>0.67</c:v>
                </c:pt>
                <c:pt idx="6">
                  <c:v>0.92</c:v>
                </c:pt>
                <c:pt idx="7">
                  <c:v>0.92</c:v>
                </c:pt>
              </c:numCache>
            </c:numRef>
          </c:val>
          <c:smooth val="0"/>
          <c:extLst>
            <c:ext xmlns:c16="http://schemas.microsoft.com/office/drawing/2014/chart" uri="{C3380CC4-5D6E-409C-BE32-E72D297353CC}">
              <c16:uniqueId val="{00000000-D091-4939-9CC2-27B1D5C2A143}"/>
            </c:ext>
          </c:extLst>
        </c:ser>
        <c:ser>
          <c:idx val="1"/>
          <c:order val="1"/>
          <c:tx>
            <c:strRef>
              <c:f>SPD!$A$10</c:f>
              <c:strCache>
                <c:ptCount val="1"/>
                <c:pt idx="0">
                  <c:v>G.Auditado</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SPD!$B$8:$L$8</c15:sqref>
                  </c15:fullRef>
                </c:ext>
              </c:extLst>
              <c:f>SPD!$B$8:$I$8</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SPD!$B$10:$L$10</c15:sqref>
                  </c15:fullRef>
                </c:ext>
              </c:extLst>
              <c:f>SPD!$B$10:$I$10</c:f>
              <c:numCache>
                <c:formatCode>0%</c:formatCode>
                <c:ptCount val="8"/>
                <c:pt idx="0">
                  <c:v>0.39</c:v>
                </c:pt>
                <c:pt idx="1">
                  <c:v>0.39</c:v>
                </c:pt>
                <c:pt idx="2">
                  <c:v>0.39</c:v>
                </c:pt>
                <c:pt idx="3">
                  <c:v>0.39</c:v>
                </c:pt>
                <c:pt idx="4">
                  <c:v>0.39285714285714285</c:v>
                </c:pt>
                <c:pt idx="5">
                  <c:v>0</c:v>
                </c:pt>
                <c:pt idx="6">
                  <c:v>0.92</c:v>
                </c:pt>
                <c:pt idx="7">
                  <c:v>0.92</c:v>
                </c:pt>
              </c:numCache>
            </c:numRef>
          </c:val>
          <c:smooth val="0"/>
          <c:extLst>
            <c:ext xmlns:c16="http://schemas.microsoft.com/office/drawing/2014/chart" uri="{C3380CC4-5D6E-409C-BE32-E72D297353CC}">
              <c16:uniqueId val="{00000001-D091-4939-9CC2-27B1D5C2A143}"/>
            </c:ext>
          </c:extLst>
        </c:ser>
        <c:ser>
          <c:idx val="2"/>
          <c:order val="2"/>
          <c:tx>
            <c:strRef>
              <c:f>SPD!$A$11</c:f>
              <c:strCache>
                <c:ptCount val="1"/>
                <c:pt idx="0">
                  <c:v>Fase 01</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SPD!$B$8:$L$8</c15:sqref>
                  </c15:fullRef>
                </c:ext>
              </c:extLst>
              <c:f>SPD!$B$8:$I$8</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SPD!$B$11:$L$11</c15:sqref>
                  </c15:fullRef>
                </c:ext>
              </c:extLst>
              <c:f>SPD!$B$11:$I$11</c:f>
              <c:numCache>
                <c:formatCode>0%</c:formatCode>
                <c:ptCount val="8"/>
                <c:pt idx="0">
                  <c:v>0.69</c:v>
                </c:pt>
                <c:pt idx="1">
                  <c:v>0.77</c:v>
                </c:pt>
                <c:pt idx="2">
                  <c:v>0.85</c:v>
                </c:pt>
                <c:pt idx="3">
                  <c:v>0.85</c:v>
                </c:pt>
                <c:pt idx="4">
                  <c:v>0.84615384615384615</c:v>
                </c:pt>
                <c:pt idx="5">
                  <c:v>0.75</c:v>
                </c:pt>
                <c:pt idx="6">
                  <c:v>0.92</c:v>
                </c:pt>
                <c:pt idx="7">
                  <c:v>0.92</c:v>
                </c:pt>
              </c:numCache>
            </c:numRef>
          </c:val>
          <c:smooth val="0"/>
          <c:extLst>
            <c:ext xmlns:c16="http://schemas.microsoft.com/office/drawing/2014/chart" uri="{C3380CC4-5D6E-409C-BE32-E72D297353CC}">
              <c16:uniqueId val="{00000002-D091-4939-9CC2-27B1D5C2A143}"/>
            </c:ext>
          </c:extLst>
        </c:ser>
        <c:ser>
          <c:idx val="3"/>
          <c:order val="3"/>
          <c:tx>
            <c:strRef>
              <c:f>SPD!$A$12</c:f>
              <c:strCache>
                <c:ptCount val="1"/>
                <c:pt idx="0">
                  <c:v>Fase 02</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SPD!$B$8:$L$8</c15:sqref>
                  </c15:fullRef>
                </c:ext>
              </c:extLst>
              <c:f>SPD!$B$8:$I$8</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SPD!$B$12:$L$12</c15:sqref>
                  </c15:fullRef>
                </c:ext>
              </c:extLst>
              <c:f>SPD!$B$12:$I$12</c:f>
              <c:numCache>
                <c:formatCode>0%</c:formatCode>
                <c:ptCount val="8"/>
                <c:pt idx="0">
                  <c:v>0.28999999999999998</c:v>
                </c:pt>
                <c:pt idx="1">
                  <c:v>0.28999999999999998</c:v>
                </c:pt>
                <c:pt idx="2">
                  <c:v>0.28999999999999998</c:v>
                </c:pt>
                <c:pt idx="3">
                  <c:v>0.35714285714285715</c:v>
                </c:pt>
                <c:pt idx="4">
                  <c:v>0.35714285714285715</c:v>
                </c:pt>
                <c:pt idx="5">
                  <c:v>0.57999999999999996</c:v>
                </c:pt>
                <c:pt idx="6">
                  <c:v>0.92</c:v>
                </c:pt>
                <c:pt idx="7">
                  <c:v>0.92</c:v>
                </c:pt>
              </c:numCache>
            </c:numRef>
          </c:val>
          <c:smooth val="0"/>
          <c:extLst>
            <c:ext xmlns:c16="http://schemas.microsoft.com/office/drawing/2014/chart" uri="{C3380CC4-5D6E-409C-BE32-E72D297353CC}">
              <c16:uniqueId val="{00000003-D091-4939-9CC2-27B1D5C2A143}"/>
            </c:ext>
          </c:extLst>
        </c:ser>
        <c:ser>
          <c:idx val="4"/>
          <c:order val="4"/>
          <c:tx>
            <c:strRef>
              <c:f>SPD!$A$13</c:f>
              <c:strCache>
                <c:ptCount val="1"/>
                <c:pt idx="0">
                  <c:v>Fase 03</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SPD!$B$8:$L$8</c15:sqref>
                  </c15:fullRef>
                </c:ext>
              </c:extLst>
              <c:f>SPD!$B$8:$I$8</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SPD!$B$13:$L$13</c15:sqref>
                  </c15:fullRef>
                </c:ext>
              </c:extLst>
              <c:f>SPD!$B$13:$I$13</c:f>
              <c:numCache>
                <c:formatCode>0%</c:formatCode>
                <c:ptCount val="8"/>
                <c:pt idx="0">
                  <c:v>1</c:v>
                </c:pt>
                <c:pt idx="1">
                  <c:v>1</c:v>
                </c:pt>
                <c:pt idx="2">
                  <c:v>1</c:v>
                </c:pt>
                <c:pt idx="3">
                  <c:v>1</c:v>
                </c:pt>
                <c:pt idx="4">
                  <c:v>1</c:v>
                </c:pt>
                <c:pt idx="5">
                  <c:v>0</c:v>
                </c:pt>
              </c:numCache>
            </c:numRef>
          </c:val>
          <c:smooth val="0"/>
          <c:extLst>
            <c:ext xmlns:c16="http://schemas.microsoft.com/office/drawing/2014/chart" uri="{C3380CC4-5D6E-409C-BE32-E72D297353CC}">
              <c16:uniqueId val="{00000004-D091-4939-9CC2-27B1D5C2A143}"/>
            </c:ext>
          </c:extLst>
        </c:ser>
        <c:dLbls>
          <c:showLegendKey val="0"/>
          <c:showVal val="0"/>
          <c:showCatName val="0"/>
          <c:showSerName val="0"/>
          <c:showPercent val="0"/>
          <c:showBubbleSize val="0"/>
        </c:dLbls>
        <c:smooth val="0"/>
        <c:axId val="1643272191"/>
        <c:axId val="1643264991"/>
      </c:lineChart>
      <c:dateAx>
        <c:axId val="1643272191"/>
        <c:scaling>
          <c:orientation val="minMax"/>
        </c:scaling>
        <c:delete val="1"/>
        <c:axPos val="b"/>
        <c:numFmt formatCode="d\-mmm" sourceLinked="1"/>
        <c:majorTickMark val="out"/>
        <c:minorTickMark val="none"/>
        <c:tickLblPos val="nextTo"/>
        <c:crossAx val="1643264991"/>
        <c:crosses val="autoZero"/>
        <c:auto val="1"/>
        <c:lblOffset val="100"/>
        <c:baseTimeUnit val="days"/>
      </c:dateAx>
      <c:valAx>
        <c:axId val="1643264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432721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542318340344441"/>
          <c:y val="0.12325603308504583"/>
          <c:w val="0.47291823967209579"/>
          <c:h val="0.77704575778100271"/>
        </c:manualLayout>
      </c:layout>
      <c:radarChart>
        <c:radarStyle val="marker"/>
        <c:varyColors val="0"/>
        <c:ser>
          <c:idx val="0"/>
          <c:order val="0"/>
          <c:tx>
            <c:strRef>
              <c:f>Ferraz!$L$173</c:f>
              <c:strCache>
                <c:ptCount val="1"/>
                <c:pt idx="0">
                  <c:v>Unidade</c:v>
                </c:pt>
              </c:strCache>
            </c:strRef>
          </c:tx>
          <c:spPr>
            <a:ln w="28575" cap="rnd">
              <a:solidFill>
                <a:schemeClr val="accent1"/>
              </a:solidFill>
              <a:round/>
            </a:ln>
            <a:effectLst/>
          </c:spPr>
          <c:marker>
            <c:symbol val="none"/>
          </c:marker>
          <c:cat>
            <c:strRef>
              <c:f>Ferraz!$H$174:$H$177</c:f>
              <c:strCache>
                <c:ptCount val="4"/>
                <c:pt idx="0">
                  <c:v>Produtividade e Controle</c:v>
                </c:pt>
                <c:pt idx="1">
                  <c:v>Documentos e Registro </c:v>
                </c:pt>
                <c:pt idx="2">
                  <c:v>Manutenção do Processo </c:v>
                </c:pt>
                <c:pt idx="3">
                  <c:v>Análise dos Dados </c:v>
                </c:pt>
              </c:strCache>
            </c:strRef>
          </c:cat>
          <c:val>
            <c:numRef>
              <c:f>Ferraz!$L$174:$L$177</c:f>
              <c:numCache>
                <c:formatCode>0%</c:formatCode>
                <c:ptCount val="4"/>
                <c:pt idx="0">
                  <c:v>1</c:v>
                </c:pt>
                <c:pt idx="1">
                  <c:v>1</c:v>
                </c:pt>
                <c:pt idx="2">
                  <c:v>1</c:v>
                </c:pt>
                <c:pt idx="3">
                  <c:v>1</c:v>
                </c:pt>
              </c:numCache>
            </c:numRef>
          </c:val>
          <c:extLst>
            <c:ext xmlns:c16="http://schemas.microsoft.com/office/drawing/2014/chart" uri="{C3380CC4-5D6E-409C-BE32-E72D297353CC}">
              <c16:uniqueId val="{00000000-ADDD-4204-B543-85ABBBC9FBED}"/>
            </c:ext>
          </c:extLst>
        </c:ser>
        <c:ser>
          <c:idx val="1"/>
          <c:order val="1"/>
          <c:tx>
            <c:strRef>
              <c:f>Ferraz!$M$173</c:f>
              <c:strCache>
                <c:ptCount val="1"/>
                <c:pt idx="0">
                  <c:v>Auditado</c:v>
                </c:pt>
              </c:strCache>
            </c:strRef>
          </c:tx>
          <c:spPr>
            <a:ln w="28575" cap="rnd">
              <a:solidFill>
                <a:schemeClr val="accent2"/>
              </a:solidFill>
              <a:round/>
            </a:ln>
            <a:effectLst/>
          </c:spPr>
          <c:marker>
            <c:symbol val="none"/>
          </c:marker>
          <c:cat>
            <c:strRef>
              <c:f>Ferraz!$H$174:$H$177</c:f>
              <c:strCache>
                <c:ptCount val="4"/>
                <c:pt idx="0">
                  <c:v>Produtividade e Controle</c:v>
                </c:pt>
                <c:pt idx="1">
                  <c:v>Documentos e Registro </c:v>
                </c:pt>
                <c:pt idx="2">
                  <c:v>Manutenção do Processo </c:v>
                </c:pt>
                <c:pt idx="3">
                  <c:v>Análise dos Dados </c:v>
                </c:pt>
              </c:strCache>
            </c:strRef>
          </c:cat>
          <c:val>
            <c:numRef>
              <c:f>Ferraz!$M$174:$M$177</c:f>
              <c:numCache>
                <c:formatCode>0%</c:formatCode>
                <c:ptCount val="4"/>
                <c:pt idx="0">
                  <c:v>1</c:v>
                </c:pt>
                <c:pt idx="1">
                  <c:v>0.75</c:v>
                </c:pt>
                <c:pt idx="2">
                  <c:v>1</c:v>
                </c:pt>
                <c:pt idx="3">
                  <c:v>1</c:v>
                </c:pt>
              </c:numCache>
            </c:numRef>
          </c:val>
          <c:extLst>
            <c:ext xmlns:c16="http://schemas.microsoft.com/office/drawing/2014/chart" uri="{C3380CC4-5D6E-409C-BE32-E72D297353CC}">
              <c16:uniqueId val="{00000001-ADDD-4204-B543-85ABBBC9FBED}"/>
            </c:ext>
          </c:extLst>
        </c:ser>
        <c:ser>
          <c:idx val="2"/>
          <c:order val="2"/>
          <c:tx>
            <c:strRef>
              <c:f>Ferraz!$N$173</c:f>
              <c:strCache>
                <c:ptCount val="1"/>
                <c:pt idx="0">
                  <c:v>Meta</c:v>
                </c:pt>
              </c:strCache>
            </c:strRef>
          </c:tx>
          <c:spPr>
            <a:ln w="28575" cap="rnd">
              <a:solidFill>
                <a:schemeClr val="accent3"/>
              </a:solidFill>
              <a:round/>
            </a:ln>
            <a:effectLst/>
          </c:spPr>
          <c:marker>
            <c:symbol val="none"/>
          </c:marker>
          <c:cat>
            <c:strRef>
              <c:f>Ferraz!$H$174:$H$177</c:f>
              <c:strCache>
                <c:ptCount val="4"/>
                <c:pt idx="0">
                  <c:v>Produtividade e Controle</c:v>
                </c:pt>
                <c:pt idx="1">
                  <c:v>Documentos e Registro </c:v>
                </c:pt>
                <c:pt idx="2">
                  <c:v>Manutenção do Processo </c:v>
                </c:pt>
                <c:pt idx="3">
                  <c:v>Análise dos Dados </c:v>
                </c:pt>
              </c:strCache>
            </c:strRef>
          </c:cat>
          <c:val>
            <c:numRef>
              <c:f>Ferraz!$N$174:$N$177</c:f>
              <c:numCache>
                <c:formatCode>0%</c:formatCode>
                <c:ptCount val="4"/>
                <c:pt idx="0">
                  <c:v>1</c:v>
                </c:pt>
                <c:pt idx="1">
                  <c:v>1</c:v>
                </c:pt>
                <c:pt idx="2">
                  <c:v>1</c:v>
                </c:pt>
                <c:pt idx="3">
                  <c:v>1</c:v>
                </c:pt>
              </c:numCache>
            </c:numRef>
          </c:val>
          <c:extLst>
            <c:ext xmlns:c16="http://schemas.microsoft.com/office/drawing/2014/chart" uri="{C3380CC4-5D6E-409C-BE32-E72D297353CC}">
              <c16:uniqueId val="{00000002-ADDD-4204-B543-85ABBBC9FBED}"/>
            </c:ext>
          </c:extLst>
        </c:ser>
        <c:dLbls>
          <c:showLegendKey val="0"/>
          <c:showVal val="0"/>
          <c:showCatName val="0"/>
          <c:showSerName val="0"/>
          <c:showPercent val="0"/>
          <c:showBubbleSize val="0"/>
        </c:dLbls>
        <c:axId val="2016394544"/>
        <c:axId val="2016404624"/>
      </c:radarChart>
      <c:catAx>
        <c:axId val="201639454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00099"/>
                </a:solidFill>
                <a:latin typeface="+mn-lt"/>
                <a:ea typeface="+mn-ea"/>
                <a:cs typeface="+mn-cs"/>
              </a:defRPr>
            </a:pPr>
            <a:endParaRPr lang="pt-BR"/>
          </a:p>
        </c:txPr>
        <c:crossAx val="2016404624"/>
        <c:crosses val="autoZero"/>
        <c:auto val="1"/>
        <c:lblAlgn val="ctr"/>
        <c:lblOffset val="100"/>
        <c:noMultiLvlLbl val="0"/>
      </c:catAx>
      <c:valAx>
        <c:axId val="2016404624"/>
        <c:scaling>
          <c:orientation val="minMax"/>
          <c:max val="1"/>
          <c:min val="0"/>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16394544"/>
        <c:crosses val="autoZero"/>
        <c:crossBetween val="between"/>
      </c:valAx>
      <c:spPr>
        <a:noFill/>
        <a:ln w="25400">
          <a:noFill/>
        </a:ln>
        <a:effectLst/>
      </c:spPr>
    </c:plotArea>
    <c:legend>
      <c:legendPos val="r"/>
      <c:layout>
        <c:manualLayout>
          <c:xMode val="edge"/>
          <c:yMode val="edge"/>
          <c:x val="7.0402329845755595E-3"/>
          <c:y val="0.68256220652041955"/>
          <c:w val="0.17174416774746715"/>
          <c:h val="0.199629518878716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B6-4E66-A460-D814C85BE3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B6-4E66-A460-D814C85BE3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B6-4E66-A460-D814C85BE331}"/>
              </c:ext>
            </c:extLst>
          </c:dPt>
          <c:dLbls>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rgbClr val="000099"/>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Ferraz!$I$170:$K$170</c:f>
              <c:numCache>
                <c:formatCode>0%</c:formatCode>
                <c:ptCount val="3"/>
                <c:pt idx="0">
                  <c:v>0.625</c:v>
                </c:pt>
                <c:pt idx="1">
                  <c:v>0</c:v>
                </c:pt>
                <c:pt idx="2">
                  <c:v>0</c:v>
                </c:pt>
              </c:numCache>
            </c:numRef>
          </c:val>
          <c:extLst>
            <c:ext xmlns:c15="http://schemas.microsoft.com/office/drawing/2012/chart" uri="{02D57815-91ED-43cb-92C2-25804820EDAC}">
              <c15:filteredCategoryTitle>
                <c15:cat>
                  <c:strRef>
                    <c:extLst>
                      <c:ext uri="{02D57815-91ED-43cb-92C2-25804820EDAC}">
                        <c15:formulaRef>
                          <c15:sqref>Ferraz!$I$147:$K$147</c15:sqref>
                        </c15:formulaRef>
                      </c:ext>
                    </c:extLst>
                    <c:strCache>
                      <c:ptCount val="3"/>
                      <c:pt idx="0">
                        <c:v>Mapeados</c:v>
                      </c:pt>
                      <c:pt idx="1">
                        <c:v>Comparados</c:v>
                      </c:pt>
                      <c:pt idx="2">
                        <c:v>Ajustados</c:v>
                      </c:pt>
                    </c:strCache>
                  </c:strRef>
                </c15:cat>
              </c15:filteredCategoryTitle>
            </c:ext>
            <c:ext xmlns:c16="http://schemas.microsoft.com/office/drawing/2014/chart" uri="{C3380CC4-5D6E-409C-BE32-E72D297353CC}">
              <c16:uniqueId val="{00000009-FE06-411A-B080-007B091952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lang="en-US" sz="9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9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cap="none" spc="0" normalizeH="0" baseline="0">
                <a:solidFill>
                  <a:schemeClr val="tx1">
                    <a:lumMod val="65000"/>
                    <a:lumOff val="35000"/>
                  </a:schemeClr>
                </a:solidFill>
                <a:latin typeface="+mj-lt"/>
                <a:ea typeface="+mj-ea"/>
                <a:cs typeface="+mj-cs"/>
              </a:defRPr>
            </a:pPr>
            <a:r>
              <a:rPr lang="pt-BR" sz="1100"/>
              <a:t>Distribuição Mensal</a:t>
            </a:r>
          </a:p>
        </c:rich>
      </c:tx>
      <c:overlay val="0"/>
      <c:spPr>
        <a:noFill/>
        <a:ln>
          <a:noFill/>
        </a:ln>
        <a:effectLst/>
      </c:spPr>
      <c:txPr>
        <a:bodyPr rot="0" spcFirstLastPara="1" vertOverflow="ellipsis" vert="horz" wrap="square" anchor="ctr" anchorCtr="1"/>
        <a:lstStyle/>
        <a:p>
          <a:pPr>
            <a:defRPr sz="1100" b="0" i="0" u="none" strike="noStrike" kern="1200" cap="none" spc="0" normalizeH="0" baseline="0">
              <a:solidFill>
                <a:schemeClr val="tx1">
                  <a:lumMod val="65000"/>
                  <a:lumOff val="35000"/>
                </a:schemeClr>
              </a:solidFill>
              <a:latin typeface="+mj-lt"/>
              <a:ea typeface="+mj-ea"/>
              <a:cs typeface="+mj-cs"/>
            </a:defRPr>
          </a:pPr>
          <a:endParaRPr lang="pt-BR"/>
        </a:p>
      </c:txPr>
    </c:title>
    <c:autoTitleDeleted val="0"/>
    <c:plotArea>
      <c:layout/>
      <c:barChart>
        <c:barDir val="col"/>
        <c:grouping val="clustered"/>
        <c:varyColors val="0"/>
        <c:ser>
          <c:idx val="0"/>
          <c:order val="0"/>
          <c:tx>
            <c:strRef>
              <c:f>Ferraz!$R$147</c:f>
              <c:strCache>
                <c:ptCount val="1"/>
                <c:pt idx="0">
                  <c:v>Previsto</c:v>
                </c:pt>
              </c:strCache>
            </c:strRef>
          </c:tx>
          <c:spPr>
            <a:solidFill>
              <a:schemeClr val="accent1"/>
            </a:solidFill>
            <a:ln>
              <a:noFill/>
            </a:ln>
            <a:effectLst/>
          </c:spPr>
          <c:invertIfNegative val="0"/>
          <c:val>
            <c:numRef>
              <c:f>Ferraz!$S$147:$AD$147</c:f>
              <c:numCache>
                <c:formatCode>_("R$"* #,##0.00_);_("R$"* \(#,##0.00\);_("R$"* "-"??_);_(@_)</c:formatCode>
                <c:ptCount val="12"/>
                <c:pt idx="0">
                  <c:v>162381.75666666665</c:v>
                </c:pt>
                <c:pt idx="1">
                  <c:v>180563.57521212118</c:v>
                </c:pt>
                <c:pt idx="2">
                  <c:v>180563.57521212118</c:v>
                </c:pt>
                <c:pt idx="3">
                  <c:v>181319.13076767675</c:v>
                </c:pt>
                <c:pt idx="4">
                  <c:v>237569.13076767675</c:v>
                </c:pt>
                <c:pt idx="5">
                  <c:v>237569.13076767675</c:v>
                </c:pt>
                <c:pt idx="6">
                  <c:v>256673.41743434343</c:v>
                </c:pt>
                <c:pt idx="7">
                  <c:v>771753.41783434339</c:v>
                </c:pt>
                <c:pt idx="8">
                  <c:v>771753.41783434339</c:v>
                </c:pt>
                <c:pt idx="9">
                  <c:v>851753.41783434339</c:v>
                </c:pt>
                <c:pt idx="10">
                  <c:v>1151753.4178343434</c:v>
                </c:pt>
                <c:pt idx="11">
                  <c:v>1151753.4178343434</c:v>
                </c:pt>
              </c:numCache>
            </c:numRef>
          </c:val>
          <c:extLst>
            <c:ext xmlns:c15="http://schemas.microsoft.com/office/drawing/2012/chart" uri="{02D57815-91ED-43cb-92C2-25804820EDAC}">
              <c15:filteredCategoryTitle>
                <c15:cat>
                  <c:numRef>
                    <c:extLst>
                      <c:ext uri="{02D57815-91ED-43cb-92C2-25804820EDAC}">
                        <c15:formulaRef>
                          <c15:sqref>Ferraz!$S$146:$AD$146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15:cat>
              </c15:filteredCategoryTitle>
            </c:ext>
            <c:ext xmlns:c16="http://schemas.microsoft.com/office/drawing/2014/chart" uri="{C3380CC4-5D6E-409C-BE32-E72D297353CC}">
              <c16:uniqueId val="{00000000-9595-4385-A8BE-C56EF9BC54D3}"/>
            </c:ext>
          </c:extLst>
        </c:ser>
        <c:ser>
          <c:idx val="1"/>
          <c:order val="1"/>
          <c:tx>
            <c:strRef>
              <c:f>Ferraz!$R$148</c:f>
              <c:strCache>
                <c:ptCount val="1"/>
                <c:pt idx="0">
                  <c:v>Real</c:v>
                </c:pt>
              </c:strCache>
            </c:strRef>
          </c:tx>
          <c:spPr>
            <a:solidFill>
              <a:srgbClr val="C0504D"/>
            </a:solidFill>
            <a:ln>
              <a:noFill/>
            </a:ln>
            <a:effectLst/>
          </c:spPr>
          <c:invertIfNegative val="1"/>
          <c:val>
            <c:numRef>
              <c:f>Ferraz!$S$148:$AD$148</c:f>
              <c:numCache>
                <c:formatCode>_("R$"* #,##0.00_);_("R$"* \(#,##0.00\);_("R$"* "-"??_);_(@_)</c:formatCode>
                <c:ptCount val="12"/>
                <c:pt idx="0">
                  <c:v>122331.07</c:v>
                </c:pt>
                <c:pt idx="1">
                  <c:v>349293.66000000003</c:v>
                </c:pt>
                <c:pt idx="2">
                  <c:v>266462.89</c:v>
                </c:pt>
                <c:pt idx="3">
                  <c:v>153037.47000000003</c:v>
                </c:pt>
                <c:pt idx="4">
                  <c:v>303609.20999999996</c:v>
                </c:pt>
                <c:pt idx="5">
                  <c:v>138234.46</c:v>
                </c:pt>
                <c:pt idx="6">
                  <c:v>34496.879999999997</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5="http://schemas.microsoft.com/office/drawing/2012/chart" uri="{02D57815-91ED-43cb-92C2-25804820EDAC}">
              <c15:filteredCategoryTitle>
                <c15:cat>
                  <c:numRef>
                    <c:extLst>
                      <c:ext uri="{02D57815-91ED-43cb-92C2-25804820EDAC}">
                        <c15:formulaRef>
                          <c15:sqref>Ferraz!$S$146:$AD$146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15:cat>
              </c15:filteredCategoryTitle>
            </c:ext>
            <c:ext xmlns:c16="http://schemas.microsoft.com/office/drawing/2014/chart" uri="{C3380CC4-5D6E-409C-BE32-E72D297353CC}">
              <c16:uniqueId val="{00000001-9595-4385-A8BE-C56EF9BC54D3}"/>
            </c:ext>
          </c:extLst>
        </c:ser>
        <c:ser>
          <c:idx val="2"/>
          <c:order val="2"/>
          <c:tx>
            <c:strRef>
              <c:f>Ferraz!$R$149</c:f>
              <c:strCache>
                <c:ptCount val="1"/>
                <c:pt idx="0">
                  <c:v>Q. Projetos </c:v>
                </c:pt>
              </c:strCache>
              <c:extLst xmlns:c15="http://schemas.microsoft.com/office/drawing/2012/chart"/>
            </c:strRef>
          </c:tx>
          <c:spPr>
            <a:solidFill>
              <a:schemeClr val="accent3"/>
            </a:solidFill>
            <a:ln>
              <a:noFill/>
            </a:ln>
            <a:effectLst/>
          </c:spPr>
          <c:invertIfNegative val="0"/>
          <c:val>
            <c:numRef>
              <c:f>Ferraz!$S$149:$AD$149</c:f>
              <c:numCache>
                <c:formatCode>0</c:formatCode>
                <c:ptCount val="12"/>
                <c:pt idx="0">
                  <c:v>12</c:v>
                </c:pt>
                <c:pt idx="1">
                  <c:v>18</c:v>
                </c:pt>
                <c:pt idx="2">
                  <c:v>20</c:v>
                </c:pt>
                <c:pt idx="3">
                  <c:v>15</c:v>
                </c:pt>
                <c:pt idx="4">
                  <c:v>14</c:v>
                </c:pt>
                <c:pt idx="5">
                  <c:v>13</c:v>
                </c:pt>
                <c:pt idx="6">
                  <c:v>11</c:v>
                </c:pt>
                <c:pt idx="7">
                  <c:v>12</c:v>
                </c:pt>
                <c:pt idx="8">
                  <c:v>4</c:v>
                </c:pt>
                <c:pt idx="9">
                  <c:v>4</c:v>
                </c:pt>
                <c:pt idx="10">
                  <c:v>3</c:v>
                </c:pt>
                <c:pt idx="11">
                  <c:v>2</c:v>
                </c:pt>
              </c:numCache>
              <c:extLst xmlns:c15="http://schemas.microsoft.com/office/drawing/2012/chart"/>
            </c:numRef>
          </c:val>
          <c:extLst xmlns:c15="http://schemas.microsoft.com/office/drawing/2012/chart">
            <c:ext xmlns:c15="http://schemas.microsoft.com/office/drawing/2012/chart" uri="{02D57815-91ED-43cb-92C2-25804820EDAC}">
              <c15:filteredCategoryTitle>
                <c15:cat>
                  <c:numRef>
                    <c:extLst>
                      <c:ext uri="{02D57815-91ED-43cb-92C2-25804820EDAC}">
                        <c15:formulaRef>
                          <c15:sqref>Ferraz!$S$146:$AD$146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15:cat>
              </c15:filteredCategoryTitle>
            </c:ext>
            <c:ext xmlns:c16="http://schemas.microsoft.com/office/drawing/2014/chart" uri="{C3380CC4-5D6E-409C-BE32-E72D297353CC}">
              <c16:uniqueId val="{00000005-9595-4385-A8BE-C56EF9BC54D3}"/>
            </c:ext>
          </c:extLst>
        </c:ser>
        <c:dLbls>
          <c:showLegendKey val="0"/>
          <c:showVal val="0"/>
          <c:showCatName val="0"/>
          <c:showSerName val="0"/>
          <c:showPercent val="0"/>
          <c:showBubbleSize val="0"/>
        </c:dLbls>
        <c:gapWidth val="269"/>
        <c:axId val="1866105888"/>
        <c:axId val="1866116448"/>
        <c:extLst/>
      </c:barChart>
      <c:lineChart>
        <c:grouping val="standard"/>
        <c:varyColors val="0"/>
        <c:ser>
          <c:idx val="3"/>
          <c:order val="3"/>
          <c:tx>
            <c:strRef>
              <c:f>Ferraz!$R$150</c:f>
              <c:strCache>
                <c:ptCount val="1"/>
                <c:pt idx="0">
                  <c:v>Acumulado Previsto</c:v>
                </c:pt>
              </c:strCache>
            </c:strRef>
          </c:tx>
          <c:spPr>
            <a:ln w="38100" cap="rnd">
              <a:solidFill>
                <a:schemeClr val="accent4"/>
              </a:solidFill>
              <a:round/>
            </a:ln>
            <a:effectLst/>
          </c:spPr>
          <c:marker>
            <c:symbol val="none"/>
          </c:marker>
          <c:val>
            <c:numRef>
              <c:f>Ferraz!$S$150:$AD$150</c:f>
              <c:numCache>
                <c:formatCode>_("R$"* #,##0.00_);_("R$"* \(#,##0.00\);_("R$"* "-"??_);_(@_)</c:formatCode>
                <c:ptCount val="12"/>
                <c:pt idx="0">
                  <c:v>162381.75666666665</c:v>
                </c:pt>
                <c:pt idx="1">
                  <c:v>342945.33187878784</c:v>
                </c:pt>
                <c:pt idx="2">
                  <c:v>523508.90709090902</c:v>
                </c:pt>
                <c:pt idx="3">
                  <c:v>704828.03785858583</c:v>
                </c:pt>
                <c:pt idx="4">
                  <c:v>942397.16862626257</c:v>
                </c:pt>
                <c:pt idx="5">
                  <c:v>1179966.2993939393</c:v>
                </c:pt>
                <c:pt idx="6">
                  <c:v>1436639.7168282827</c:v>
                </c:pt>
                <c:pt idx="7">
                  <c:v>2208393.1346626263</c:v>
                </c:pt>
                <c:pt idx="8">
                  <c:v>2980146.5524969697</c:v>
                </c:pt>
                <c:pt idx="9">
                  <c:v>3831899.9703313131</c:v>
                </c:pt>
                <c:pt idx="10">
                  <c:v>4983653.3881656565</c:v>
                </c:pt>
                <c:pt idx="11">
                  <c:v>6135406.8059999999</c:v>
                </c:pt>
              </c:numCache>
            </c:numRef>
          </c:val>
          <c:smooth val="0"/>
          <c:extLst>
            <c:ext xmlns:c15="http://schemas.microsoft.com/office/drawing/2012/chart" uri="{02D57815-91ED-43cb-92C2-25804820EDAC}">
              <c15:filteredCategoryTitle>
                <c15:cat>
                  <c:numRef>
                    <c:extLst>
                      <c:ext uri="{02D57815-91ED-43cb-92C2-25804820EDAC}">
                        <c15:formulaRef>
                          <c15:sqref>Ferraz!$S$146:$AD$146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15:cat>
              </c15:filteredCategoryTitle>
            </c:ext>
            <c:ext xmlns:c16="http://schemas.microsoft.com/office/drawing/2014/chart" uri="{C3380CC4-5D6E-409C-BE32-E72D297353CC}">
              <c16:uniqueId val="{00000002-9595-4385-A8BE-C56EF9BC54D3}"/>
            </c:ext>
          </c:extLst>
        </c:ser>
        <c:ser>
          <c:idx val="4"/>
          <c:order val="4"/>
          <c:tx>
            <c:strRef>
              <c:f>Ferraz!$R$151</c:f>
              <c:strCache>
                <c:ptCount val="1"/>
                <c:pt idx="0">
                  <c:v>Acumulado Real</c:v>
                </c:pt>
              </c:strCache>
            </c:strRef>
          </c:tx>
          <c:spPr>
            <a:ln w="38100" cap="rnd">
              <a:solidFill>
                <a:schemeClr val="accent5"/>
              </a:solidFill>
              <a:round/>
            </a:ln>
            <a:effectLst/>
          </c:spPr>
          <c:marker>
            <c:symbol val="none"/>
          </c:marker>
          <c:val>
            <c:numRef>
              <c:f>Ferraz!$S$151:$AD$151</c:f>
              <c:numCache>
                <c:formatCode>_("R$"* #,##0.00_);_("R$"* \(#,##0.00\);_("R$"* "-"??_);_(@_)</c:formatCode>
                <c:ptCount val="12"/>
                <c:pt idx="0">
                  <c:v>122331.07</c:v>
                </c:pt>
                <c:pt idx="1">
                  <c:v>471624.73000000004</c:v>
                </c:pt>
                <c:pt idx="2">
                  <c:v>738087.62000000011</c:v>
                </c:pt>
                <c:pt idx="3">
                  <c:v>891125.09000000008</c:v>
                </c:pt>
                <c:pt idx="4">
                  <c:v>1194734.3</c:v>
                </c:pt>
                <c:pt idx="5">
                  <c:v>1332968.76</c:v>
                </c:pt>
                <c:pt idx="6">
                  <c:v>1367465.64</c:v>
                </c:pt>
                <c:pt idx="7">
                  <c:v>1367465.64</c:v>
                </c:pt>
                <c:pt idx="8">
                  <c:v>1367465.64</c:v>
                </c:pt>
                <c:pt idx="9">
                  <c:v>1367465.64</c:v>
                </c:pt>
                <c:pt idx="10">
                  <c:v>1367465.64</c:v>
                </c:pt>
                <c:pt idx="11">
                  <c:v>1367465.64</c:v>
                </c:pt>
              </c:numCache>
            </c:numRef>
          </c:val>
          <c:smooth val="0"/>
          <c:extLst>
            <c:ext xmlns:c15="http://schemas.microsoft.com/office/drawing/2012/chart" uri="{02D57815-91ED-43cb-92C2-25804820EDAC}">
              <c15:filteredCategoryTitle>
                <c15:cat>
                  <c:numRef>
                    <c:extLst>
                      <c:ext uri="{02D57815-91ED-43cb-92C2-25804820EDAC}">
                        <c15:formulaRef>
                          <c15:sqref>Ferraz!$S$146:$AD$146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15:cat>
              </c15:filteredCategoryTitle>
            </c:ext>
            <c:ext xmlns:c16="http://schemas.microsoft.com/office/drawing/2014/chart" uri="{C3380CC4-5D6E-409C-BE32-E72D297353CC}">
              <c16:uniqueId val="{00000003-9595-4385-A8BE-C56EF9BC54D3}"/>
            </c:ext>
          </c:extLst>
        </c:ser>
        <c:ser>
          <c:idx val="5"/>
          <c:order val="5"/>
          <c:tx>
            <c:strRef>
              <c:f>Ferraz!$R$152</c:f>
              <c:strCache>
                <c:ptCount val="1"/>
                <c:pt idx="0">
                  <c:v>Projeção da Meta</c:v>
                </c:pt>
              </c:strCache>
            </c:strRef>
          </c:tx>
          <c:spPr>
            <a:ln w="38100" cap="rnd">
              <a:solidFill>
                <a:schemeClr val="accent6"/>
              </a:solidFill>
              <a:round/>
            </a:ln>
            <a:effectLst/>
          </c:spPr>
          <c:marker>
            <c:symbol val="none"/>
          </c:marker>
          <c:val>
            <c:numRef>
              <c:f>Ferraz!$S$152:$AD$152</c:f>
              <c:numCache>
                <c:formatCode>_("R$"* #,##0.00_);_("R$"* \(#,##0.00\);_("R$"* "-"??_);_(@_)</c:formatCode>
                <c:ptCount val="12"/>
                <c:pt idx="0">
                  <c:v>122331.07</c:v>
                </c:pt>
                <c:pt idx="1">
                  <c:v>471624.73000000004</c:v>
                </c:pt>
                <c:pt idx="2">
                  <c:v>738087.62000000011</c:v>
                </c:pt>
                <c:pt idx="3">
                  <c:v>891125.09000000008</c:v>
                </c:pt>
                <c:pt idx="4">
                  <c:v>1194734.3</c:v>
                </c:pt>
                <c:pt idx="5">
                  <c:v>1332968.76</c:v>
                </c:pt>
                <c:pt idx="6">
                  <c:v>1367465.64</c:v>
                </c:pt>
                <c:pt idx="7">
                  <c:v>3767372.5120000001</c:v>
                </c:pt>
                <c:pt idx="8">
                  <c:v>6167279.3839999996</c:v>
                </c:pt>
                <c:pt idx="9">
                  <c:v>8567186.2559999991</c:v>
                </c:pt>
                <c:pt idx="10">
                  <c:v>10967093.127999999</c:v>
                </c:pt>
                <c:pt idx="11">
                  <c:v>13366999.999999998</c:v>
                </c:pt>
              </c:numCache>
            </c:numRef>
          </c:val>
          <c:smooth val="0"/>
          <c:extLst>
            <c:ext xmlns:c15="http://schemas.microsoft.com/office/drawing/2012/chart" uri="{02D57815-91ED-43cb-92C2-25804820EDAC}">
              <c15:filteredCategoryTitle>
                <c15:cat>
                  <c:numRef>
                    <c:extLst>
                      <c:ext uri="{02D57815-91ED-43cb-92C2-25804820EDAC}">
                        <c15:formulaRef>
                          <c15:sqref>Ferraz!$S$146:$AD$146</c15:sqref>
                        </c15:formulaRef>
                      </c:ext>
                    </c:extLst>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15:cat>
              </c15:filteredCategoryTitle>
            </c:ext>
            <c:ext xmlns:c16="http://schemas.microsoft.com/office/drawing/2014/chart" uri="{C3380CC4-5D6E-409C-BE32-E72D297353CC}">
              <c16:uniqueId val="{00000004-9595-4385-A8BE-C56EF9BC54D3}"/>
            </c:ext>
          </c:extLst>
        </c:ser>
        <c:dLbls>
          <c:showLegendKey val="0"/>
          <c:showVal val="0"/>
          <c:showCatName val="0"/>
          <c:showSerName val="0"/>
          <c:showPercent val="0"/>
          <c:showBubbleSize val="0"/>
        </c:dLbls>
        <c:marker val="1"/>
        <c:smooth val="0"/>
        <c:axId val="1866137088"/>
        <c:axId val="1866144288"/>
      </c:lineChart>
      <c:catAx>
        <c:axId val="186610588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pt-BR"/>
          </a:p>
        </c:txPr>
        <c:crossAx val="1866116448"/>
        <c:crosses val="autoZero"/>
        <c:auto val="1"/>
        <c:lblAlgn val="ctr"/>
        <c:lblOffset val="100"/>
        <c:noMultiLvlLbl val="1"/>
      </c:catAx>
      <c:valAx>
        <c:axId val="18661164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66105888"/>
        <c:crosses val="autoZero"/>
        <c:crossBetween val="between"/>
      </c:valAx>
      <c:valAx>
        <c:axId val="1866144288"/>
        <c:scaling>
          <c:orientation val="minMax"/>
        </c:scaling>
        <c:delete val="0"/>
        <c:axPos val="r"/>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66137088"/>
        <c:crosses val="max"/>
        <c:crossBetween val="between"/>
      </c:valAx>
      <c:catAx>
        <c:axId val="1866137088"/>
        <c:scaling>
          <c:orientation val="minMax"/>
        </c:scaling>
        <c:delete val="1"/>
        <c:axPos val="t"/>
        <c:numFmt formatCode="mmm\-yy" sourceLinked="1"/>
        <c:majorTickMark val="out"/>
        <c:minorTickMark val="none"/>
        <c:tickLblPos val="nextTo"/>
        <c:crossAx val="1866144288"/>
        <c:crosses val="max"/>
        <c:auto val="1"/>
        <c:lblAlgn val="ctr"/>
        <c:lblOffset val="100"/>
        <c:noMultiLvlLbl val="1"/>
      </c:cat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2">
                <a:lumMod val="20000"/>
                <a:lumOff val="80000"/>
              </a:schemeClr>
            </a:solidFill>
            <a:ln>
              <a:noFill/>
            </a:ln>
            <a:effectLst/>
          </c:spPr>
          <c:invertIfNegative val="0"/>
          <c:dLbls>
            <c:dLbl>
              <c:idx val="1"/>
              <c:layout>
                <c:manualLayout>
                  <c:x val="-0.10595781222655887"/>
                  <c:y val="-7.7540996288602913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53689619105371755"/>
                      <c:h val="0.15207391535156284"/>
                    </c:manualLayout>
                  </c15:layout>
                </c:ext>
                <c:ext xmlns:c16="http://schemas.microsoft.com/office/drawing/2014/chart" uri="{C3380CC4-5D6E-409C-BE32-E72D297353CC}">
                  <c16:uniqueId val="{00000002-82C3-4295-9164-E8B3480C0D14}"/>
                </c:ext>
              </c:extLst>
            </c:dLbl>
            <c:dLbl>
              <c:idx val="2"/>
              <c:layout>
                <c:manualLayout>
                  <c:x val="-0.15247587613090183"/>
                  <c:y val="8.459115496233696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5949509789956494"/>
                      <c:h val="0.15207391535156284"/>
                    </c:manualLayout>
                  </c15:layout>
                </c:ext>
                <c:ext xmlns:c16="http://schemas.microsoft.com/office/drawing/2014/chart" uri="{C3380CC4-5D6E-409C-BE32-E72D297353CC}">
                  <c16:uniqueId val="{00000001-82C3-4295-9164-E8B3480C0D1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FF"/>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Ferraz!$F$15:$F$18</c:f>
              <c:strCache>
                <c:ptCount val="4"/>
                <c:pt idx="0">
                  <c:v>VA</c:v>
                </c:pt>
                <c:pt idx="1">
                  <c:v>GGF</c:v>
                </c:pt>
                <c:pt idx="2">
                  <c:v>MA</c:v>
                </c:pt>
                <c:pt idx="3">
                  <c:v>Outros</c:v>
                </c:pt>
              </c:strCache>
            </c:strRef>
          </c:cat>
          <c:val>
            <c:numRef>
              <c:f>Ferraz!$G$15:$G$18</c:f>
              <c:numCache>
                <c:formatCode>_("R$"* #,##0.00_);_("R$"* \(#,##0.00\);_("R$"* "-"??_);_(@_)</c:formatCode>
                <c:ptCount val="4"/>
                <c:pt idx="0">
                  <c:v>0</c:v>
                </c:pt>
                <c:pt idx="1">
                  <c:v>752217.72</c:v>
                </c:pt>
                <c:pt idx="2">
                  <c:v>1476189.08</c:v>
                </c:pt>
                <c:pt idx="3">
                  <c:v>220080</c:v>
                </c:pt>
              </c:numCache>
            </c:numRef>
          </c:val>
          <c:extLst>
            <c:ext xmlns:c16="http://schemas.microsoft.com/office/drawing/2014/chart" uri="{C3380CC4-5D6E-409C-BE32-E72D297353CC}">
              <c16:uniqueId val="{00000000-82C3-4295-9164-E8B3480C0D14}"/>
            </c:ext>
          </c:extLst>
        </c:ser>
        <c:dLbls>
          <c:dLblPos val="outEnd"/>
          <c:showLegendKey val="0"/>
          <c:showVal val="1"/>
          <c:showCatName val="0"/>
          <c:showSerName val="0"/>
          <c:showPercent val="0"/>
          <c:showBubbleSize val="0"/>
        </c:dLbls>
        <c:gapWidth val="182"/>
        <c:axId val="827674160"/>
        <c:axId val="827673200"/>
      </c:barChart>
      <c:catAx>
        <c:axId val="82767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FF"/>
                </a:solidFill>
                <a:latin typeface="+mn-lt"/>
                <a:ea typeface="+mn-ea"/>
                <a:cs typeface="+mn-cs"/>
              </a:defRPr>
            </a:pPr>
            <a:endParaRPr lang="pt-BR"/>
          </a:p>
        </c:txPr>
        <c:crossAx val="827673200"/>
        <c:crosses val="autoZero"/>
        <c:auto val="1"/>
        <c:lblAlgn val="ctr"/>
        <c:lblOffset val="100"/>
        <c:noMultiLvlLbl val="0"/>
      </c:catAx>
      <c:valAx>
        <c:axId val="827673200"/>
        <c:scaling>
          <c:orientation val="minMax"/>
        </c:scaling>
        <c:delete val="1"/>
        <c:axPos val="b"/>
        <c:numFmt formatCode="_(&quot;R$&quot;* #,##0.00_);_(&quot;R$&quot;* \(#,##0.00\);_(&quot;R$&quot;* &quot;-&quot;??_);_(@_)" sourceLinked="1"/>
        <c:majorTickMark val="none"/>
        <c:minorTickMark val="none"/>
        <c:tickLblPos val="nextTo"/>
        <c:crossAx val="82767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pt-BR" sz="1000"/>
              <a:t>SPD Ferraz</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SPD!$A$30</c:f>
              <c:strCache>
                <c:ptCount val="1"/>
                <c:pt idx="0">
                  <c:v>Geral</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SPD!$B$30:$L$30</c15:sqref>
                  </c15:fullRef>
                </c:ext>
              </c:extLst>
              <c:f>SPD!$B$30:$I$30</c:f>
              <c:numCache>
                <c:formatCode>0%</c:formatCode>
                <c:ptCount val="8"/>
                <c:pt idx="0">
                  <c:v>0.75</c:v>
                </c:pt>
                <c:pt idx="1">
                  <c:v>0.75</c:v>
                </c:pt>
                <c:pt idx="2">
                  <c:v>0.75</c:v>
                </c:pt>
                <c:pt idx="3">
                  <c:v>0.75</c:v>
                </c:pt>
                <c:pt idx="4">
                  <c:v>0.75</c:v>
                </c:pt>
                <c:pt idx="5">
                  <c:v>0.96</c:v>
                </c:pt>
                <c:pt idx="6">
                  <c:v>1</c:v>
                </c:pt>
                <c:pt idx="7">
                  <c:v>1</c:v>
                </c:pt>
              </c:numCache>
            </c:numRef>
          </c:val>
          <c:smooth val="0"/>
          <c:extLst>
            <c:ext xmlns:c16="http://schemas.microsoft.com/office/drawing/2014/chart" uri="{C3380CC4-5D6E-409C-BE32-E72D297353CC}">
              <c16:uniqueId val="{00000000-D108-437F-96F0-F44962A064E1}"/>
            </c:ext>
          </c:extLst>
        </c:ser>
        <c:ser>
          <c:idx val="1"/>
          <c:order val="1"/>
          <c:tx>
            <c:strRef>
              <c:f>SPD!$A$31</c:f>
              <c:strCache>
                <c:ptCount val="1"/>
                <c:pt idx="0">
                  <c:v>G.Auditado</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SPD!$B$31:$L$31</c15:sqref>
                  </c15:fullRef>
                </c:ext>
              </c:extLst>
              <c:f>SPD!$B$31:$I$31</c:f>
              <c:numCache>
                <c:formatCode>0%</c:formatCode>
                <c:ptCount val="8"/>
                <c:pt idx="0">
                  <c:v>0.28999999999999998</c:v>
                </c:pt>
                <c:pt idx="1">
                  <c:v>0.28999999999999998</c:v>
                </c:pt>
                <c:pt idx="2">
                  <c:v>0.28999999999999998</c:v>
                </c:pt>
                <c:pt idx="3">
                  <c:v>0.28999999999999998</c:v>
                </c:pt>
                <c:pt idx="4">
                  <c:v>0.2857142857142857</c:v>
                </c:pt>
                <c:pt idx="5">
                  <c:v>0</c:v>
                </c:pt>
                <c:pt idx="6">
                  <c:v>0.92</c:v>
                </c:pt>
                <c:pt idx="7">
                  <c:v>0.96</c:v>
                </c:pt>
              </c:numCache>
            </c:numRef>
          </c:val>
          <c:smooth val="0"/>
          <c:extLst>
            <c:ext xmlns:c16="http://schemas.microsoft.com/office/drawing/2014/chart" uri="{C3380CC4-5D6E-409C-BE32-E72D297353CC}">
              <c16:uniqueId val="{00000001-D108-437F-96F0-F44962A064E1}"/>
            </c:ext>
          </c:extLst>
        </c:ser>
        <c:ser>
          <c:idx val="2"/>
          <c:order val="2"/>
          <c:tx>
            <c:strRef>
              <c:f>SPD!$A$32</c:f>
              <c:strCache>
                <c:ptCount val="1"/>
                <c:pt idx="0">
                  <c:v>Fase 01</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SPD!$B$32:$L$32</c15:sqref>
                  </c15:fullRef>
                </c:ext>
              </c:extLst>
              <c:f>SPD!$B$32:$I$32</c:f>
              <c:numCache>
                <c:formatCode>0%</c:formatCode>
                <c:ptCount val="8"/>
                <c:pt idx="0">
                  <c:v>0.85</c:v>
                </c:pt>
                <c:pt idx="1">
                  <c:v>0.85</c:v>
                </c:pt>
                <c:pt idx="2">
                  <c:v>0.85</c:v>
                </c:pt>
                <c:pt idx="3">
                  <c:v>0.84615384615384615</c:v>
                </c:pt>
                <c:pt idx="4">
                  <c:v>0.84615384615384615</c:v>
                </c:pt>
                <c:pt idx="5">
                  <c:v>1</c:v>
                </c:pt>
                <c:pt idx="6">
                  <c:v>1</c:v>
                </c:pt>
                <c:pt idx="7">
                  <c:v>1</c:v>
                </c:pt>
              </c:numCache>
            </c:numRef>
          </c:val>
          <c:smooth val="0"/>
          <c:extLst>
            <c:ext xmlns:c16="http://schemas.microsoft.com/office/drawing/2014/chart" uri="{C3380CC4-5D6E-409C-BE32-E72D297353CC}">
              <c16:uniqueId val="{00000002-D108-437F-96F0-F44962A064E1}"/>
            </c:ext>
          </c:extLst>
        </c:ser>
        <c:ser>
          <c:idx val="3"/>
          <c:order val="3"/>
          <c:tx>
            <c:strRef>
              <c:f>SPD!$A$33</c:f>
              <c:strCache>
                <c:ptCount val="1"/>
                <c:pt idx="0">
                  <c:v>Fase 02</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SPD!$B$33:$L$33</c15:sqref>
                  </c15:fullRef>
                </c:ext>
              </c:extLst>
              <c:f>SPD!$B$33:$I$33</c:f>
              <c:numCache>
                <c:formatCode>0%</c:formatCode>
                <c:ptCount val="8"/>
                <c:pt idx="0">
                  <c:v>0.64</c:v>
                </c:pt>
                <c:pt idx="1">
                  <c:v>0.64</c:v>
                </c:pt>
                <c:pt idx="2">
                  <c:v>0.64</c:v>
                </c:pt>
                <c:pt idx="3">
                  <c:v>0.6428571428571429</c:v>
                </c:pt>
                <c:pt idx="4">
                  <c:v>0.6428571428571429</c:v>
                </c:pt>
                <c:pt idx="5">
                  <c:v>0.92</c:v>
                </c:pt>
                <c:pt idx="6">
                  <c:v>1</c:v>
                </c:pt>
                <c:pt idx="7">
                  <c:v>1</c:v>
                </c:pt>
              </c:numCache>
            </c:numRef>
          </c:val>
          <c:smooth val="0"/>
          <c:extLst>
            <c:ext xmlns:c16="http://schemas.microsoft.com/office/drawing/2014/chart" uri="{C3380CC4-5D6E-409C-BE32-E72D297353CC}">
              <c16:uniqueId val="{00000003-D108-437F-96F0-F44962A064E1}"/>
            </c:ext>
          </c:extLst>
        </c:ser>
        <c:ser>
          <c:idx val="4"/>
          <c:order val="4"/>
          <c:tx>
            <c:strRef>
              <c:f>SPD!$A$34</c:f>
              <c:strCache>
                <c:ptCount val="1"/>
                <c:pt idx="0">
                  <c:v>Fase 03</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SPD!$B$34:$L$34</c15:sqref>
                  </c15:fullRef>
                </c:ext>
              </c:extLst>
              <c:f>SPD!$B$34:$I$34</c:f>
              <c:numCache>
                <c:formatCode>0%</c:formatCode>
                <c:ptCount val="8"/>
                <c:pt idx="0">
                  <c:v>1</c:v>
                </c:pt>
                <c:pt idx="1">
                  <c:v>1</c:v>
                </c:pt>
                <c:pt idx="2">
                  <c:v>1</c:v>
                </c:pt>
                <c:pt idx="3">
                  <c:v>1</c:v>
                </c:pt>
                <c:pt idx="4">
                  <c:v>1</c:v>
                </c:pt>
                <c:pt idx="5">
                  <c:v>0</c:v>
                </c:pt>
              </c:numCache>
            </c:numRef>
          </c:val>
          <c:smooth val="0"/>
          <c:extLst>
            <c:ext xmlns:c16="http://schemas.microsoft.com/office/drawing/2014/chart" uri="{C3380CC4-5D6E-409C-BE32-E72D297353CC}">
              <c16:uniqueId val="{00000004-D108-437F-96F0-F44962A064E1}"/>
            </c:ext>
          </c:extLst>
        </c:ser>
        <c:dLbls>
          <c:showLegendKey val="0"/>
          <c:showVal val="0"/>
          <c:showCatName val="0"/>
          <c:showSerName val="0"/>
          <c:showPercent val="0"/>
          <c:showBubbleSize val="0"/>
        </c:dLbls>
        <c:smooth val="0"/>
        <c:axId val="1809023119"/>
        <c:axId val="1809019759"/>
      </c:lineChart>
      <c:dateAx>
        <c:axId val="1809023119"/>
        <c:scaling>
          <c:orientation val="minMax"/>
        </c:scaling>
        <c:delete val="1"/>
        <c:axPos val="b"/>
        <c:numFmt formatCode="d\-mmm" sourceLinked="1"/>
        <c:majorTickMark val="out"/>
        <c:minorTickMark val="none"/>
        <c:tickLblPos val="nextTo"/>
        <c:crossAx val="1809019759"/>
        <c:crosses val="autoZero"/>
        <c:auto val="1"/>
        <c:lblOffset val="100"/>
        <c:baseTimeUnit val="days"/>
      </c:dateAx>
      <c:valAx>
        <c:axId val="180901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1809023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'Comitê Aço'!$K$70</c:f>
              <c:strCache>
                <c:ptCount val="1"/>
                <c:pt idx="0">
                  <c:v>Previsto</c:v>
                </c:pt>
              </c:strCache>
            </c:strRef>
          </c:tx>
          <c:spPr>
            <a:solidFill>
              <a:schemeClr val="accent1"/>
            </a:solidFill>
            <a:ln>
              <a:noFill/>
            </a:ln>
            <a:effectLst/>
          </c:spPr>
          <c:invertIfNegative val="0"/>
          <c:cat>
            <c:numRef>
              <c:f>'Comitê Aço'!$L$69:$W$69</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'Comitê Aço'!$L$70:$W$70</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D5C-44E7-90D8-E5B656F93F1A}"/>
            </c:ext>
          </c:extLst>
        </c:ser>
        <c:ser>
          <c:idx val="1"/>
          <c:order val="1"/>
          <c:tx>
            <c:strRef>
              <c:f>'Comitê Aço'!$K$71</c:f>
              <c:strCache>
                <c:ptCount val="1"/>
                <c:pt idx="0">
                  <c:v>Real</c:v>
                </c:pt>
              </c:strCache>
            </c:strRef>
          </c:tx>
          <c:spPr>
            <a:solidFill>
              <a:schemeClr val="accent2"/>
            </a:solidFill>
            <a:ln>
              <a:noFill/>
            </a:ln>
            <a:effectLst/>
          </c:spPr>
          <c:invertIfNegative val="0"/>
          <c:cat>
            <c:numRef>
              <c:f>'Comitê Aço'!$L$69:$W$69</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'Comitê Aço'!$L$71:$W$71</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2D5C-44E7-90D8-E5B656F93F1A}"/>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'Comitê Aço'!$K$72</c:f>
              <c:strCache>
                <c:ptCount val="1"/>
                <c:pt idx="0">
                  <c:v>Q. Projetos </c:v>
                </c:pt>
              </c:strCache>
            </c:strRef>
          </c:tx>
          <c:spPr>
            <a:ln w="28575" cap="rnd">
              <a:solidFill>
                <a:schemeClr val="accent3"/>
              </a:solidFill>
              <a:round/>
            </a:ln>
            <a:effectLst/>
          </c:spPr>
          <c:marker>
            <c:symbol val="none"/>
          </c:marker>
          <c:cat>
            <c:numRef>
              <c:f>'Comitê Aço'!$L$69:$W$69</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'Comitê Aço'!$L$72:$W$72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2D5C-44E7-90D8-E5B656F93F1A}"/>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'Diretoria Financeira'!$K$71</c:f>
              <c:strCache>
                <c:ptCount val="1"/>
                <c:pt idx="0">
                  <c:v>Previsto</c:v>
                </c:pt>
              </c:strCache>
            </c:strRef>
          </c:tx>
          <c:spPr>
            <a:solidFill>
              <a:schemeClr val="accent1"/>
            </a:solidFill>
            <a:ln>
              <a:noFill/>
            </a:ln>
            <a:effectLst/>
          </c:spPr>
          <c:invertIfNegative val="0"/>
          <c:cat>
            <c:numRef>
              <c:f>'Diretoria Financeira'!$L$70:$W$70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'Diretoria Financeira'!$L$71:$W$71</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5F5-4725-9C3A-A1FA5B3027DF}"/>
            </c:ext>
          </c:extLst>
        </c:ser>
        <c:ser>
          <c:idx val="1"/>
          <c:order val="1"/>
          <c:tx>
            <c:strRef>
              <c:f>'Diretoria Financeira'!$K$72</c:f>
              <c:strCache>
                <c:ptCount val="1"/>
                <c:pt idx="0">
                  <c:v>Real</c:v>
                </c:pt>
              </c:strCache>
            </c:strRef>
          </c:tx>
          <c:spPr>
            <a:solidFill>
              <a:schemeClr val="accent2"/>
            </a:solidFill>
            <a:ln>
              <a:noFill/>
            </a:ln>
            <a:effectLst/>
          </c:spPr>
          <c:invertIfNegative val="0"/>
          <c:cat>
            <c:numRef>
              <c:f>'Diretoria Financeira'!$L$70:$W$70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'Diretoria Financeira'!$L$72:$W$72</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25F5-4725-9C3A-A1FA5B3027DF}"/>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'Diretoria Financeira'!$K$73</c:f>
              <c:strCache>
                <c:ptCount val="1"/>
                <c:pt idx="0">
                  <c:v>Q. Projetos </c:v>
                </c:pt>
              </c:strCache>
            </c:strRef>
          </c:tx>
          <c:spPr>
            <a:ln w="28575" cap="rnd">
              <a:solidFill>
                <a:schemeClr val="accent3"/>
              </a:solidFill>
              <a:round/>
            </a:ln>
            <a:effectLst/>
          </c:spPr>
          <c:marker>
            <c:symbol val="none"/>
          </c:marker>
          <c:cat>
            <c:numRef>
              <c:f>'Diretoria Financeira'!$L$70:$W$70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'Diretoria Financeira'!$L$73:$W$73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25F5-4725-9C3A-A1FA5B3027DF}"/>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'Head Qualidade&amp;Dir. Industrial'!$K$71</c:f>
              <c:strCache>
                <c:ptCount val="1"/>
                <c:pt idx="0">
                  <c:v>Previsto</c:v>
                </c:pt>
              </c:strCache>
            </c:strRef>
          </c:tx>
          <c:spPr>
            <a:solidFill>
              <a:schemeClr val="accent1"/>
            </a:solidFill>
            <a:ln>
              <a:noFill/>
            </a:ln>
            <a:effectLst/>
          </c:spPr>
          <c:invertIfNegative val="0"/>
          <c:cat>
            <c:numRef>
              <c:f>'Head Qualidade&amp;Dir. Industrial'!$L$70:$W$70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'Head Qualidade&amp;Dir. Industrial'!$L$71:$W$71</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4DC-4D08-BC93-E6701B84F4A6}"/>
            </c:ext>
          </c:extLst>
        </c:ser>
        <c:ser>
          <c:idx val="1"/>
          <c:order val="1"/>
          <c:tx>
            <c:strRef>
              <c:f>'Head Qualidade&amp;Dir. Industrial'!$K$72</c:f>
              <c:strCache>
                <c:ptCount val="1"/>
                <c:pt idx="0">
                  <c:v>Real</c:v>
                </c:pt>
              </c:strCache>
            </c:strRef>
          </c:tx>
          <c:spPr>
            <a:solidFill>
              <a:schemeClr val="accent2"/>
            </a:solidFill>
            <a:ln>
              <a:noFill/>
            </a:ln>
            <a:effectLst/>
          </c:spPr>
          <c:invertIfNegative val="0"/>
          <c:cat>
            <c:numRef>
              <c:f>'Head Qualidade&amp;Dir. Industrial'!$L$70:$W$70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'Head Qualidade&amp;Dir. Industrial'!$L$72:$W$72</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64DC-4D08-BC93-E6701B84F4A6}"/>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'Head Qualidade&amp;Dir. Industrial'!$K$73</c:f>
              <c:strCache>
                <c:ptCount val="1"/>
                <c:pt idx="0">
                  <c:v>Q. Projetos </c:v>
                </c:pt>
              </c:strCache>
            </c:strRef>
          </c:tx>
          <c:spPr>
            <a:ln w="28575" cap="rnd">
              <a:solidFill>
                <a:schemeClr val="accent3"/>
              </a:solidFill>
              <a:round/>
            </a:ln>
            <a:effectLst/>
          </c:spPr>
          <c:marker>
            <c:symbol val="none"/>
          </c:marker>
          <c:cat>
            <c:numRef>
              <c:f>'Head Qualidade&amp;Dir. Industrial'!$L$70:$W$70</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'Head Qualidade&amp;Dir. Industrial'!$L$73:$W$73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64DC-4D08-BC93-E6701B84F4A6}"/>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Testes!$R$117</c:f>
              <c:strCache>
                <c:ptCount val="1"/>
                <c:pt idx="0">
                  <c:v>Previsto</c:v>
                </c:pt>
              </c:strCache>
            </c:strRef>
          </c:tx>
          <c:spPr>
            <a:solidFill>
              <a:schemeClr val="accent1">
                <a:lumMod val="40000"/>
                <a:lumOff val="60000"/>
              </a:schemeClr>
            </a:solidFill>
            <a:ln>
              <a:solidFill>
                <a:srgbClr val="0000FF"/>
              </a:solidFill>
            </a:ln>
            <a:effectLst/>
          </c:spPr>
          <c:invertIfNegative val="0"/>
          <c:cat>
            <c:numRef>
              <c:f>Testes!$S$116:$AD$116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Testes!$S$117:$AD$117</c:f>
              <c:numCache>
                <c:formatCode>_("R$"* #,##0.00_);_("R$"* \(#,##0.00\);_("R$"* "-"??_);_(@_)</c:formatCode>
                <c:ptCount val="12"/>
                <c:pt idx="0">
                  <c:v>59581.77</c:v>
                </c:pt>
                <c:pt idx="1">
                  <c:v>28637</c:v>
                </c:pt>
                <c:pt idx="2">
                  <c:v>93228.5</c:v>
                </c:pt>
                <c:pt idx="3">
                  <c:v>154038.5</c:v>
                </c:pt>
                <c:pt idx="4">
                  <c:v>157738.5</c:v>
                </c:pt>
                <c:pt idx="5">
                  <c:v>157738.5</c:v>
                </c:pt>
                <c:pt idx="6">
                  <c:v>157738.5</c:v>
                </c:pt>
                <c:pt idx="7">
                  <c:v>157738.5</c:v>
                </c:pt>
                <c:pt idx="8">
                  <c:v>157738.5</c:v>
                </c:pt>
                <c:pt idx="9">
                  <c:v>157738.5</c:v>
                </c:pt>
                <c:pt idx="10">
                  <c:v>157738.5</c:v>
                </c:pt>
                <c:pt idx="11">
                  <c:v>157738.5</c:v>
                </c:pt>
              </c:numCache>
            </c:numRef>
          </c:val>
          <c:extLst>
            <c:ext xmlns:c16="http://schemas.microsoft.com/office/drawing/2014/chart" uri="{C3380CC4-5D6E-409C-BE32-E72D297353CC}">
              <c16:uniqueId val="{00000000-4DF5-46C7-BBC1-290C87503A68}"/>
            </c:ext>
          </c:extLst>
        </c:ser>
        <c:ser>
          <c:idx val="1"/>
          <c:order val="1"/>
          <c:tx>
            <c:strRef>
              <c:f>Testes!$R$118</c:f>
              <c:strCache>
                <c:ptCount val="1"/>
                <c:pt idx="0">
                  <c:v>Real</c:v>
                </c:pt>
              </c:strCache>
            </c:strRef>
          </c:tx>
          <c:spPr>
            <a:solidFill>
              <a:srgbClr val="92D050"/>
            </a:solidFill>
            <a:ln>
              <a:solidFill>
                <a:srgbClr val="00B050"/>
              </a:solidFill>
            </a:ln>
            <a:effectLst/>
          </c:spPr>
          <c:invertIfNegative val="0"/>
          <c:cat>
            <c:numRef>
              <c:f>Testes!$S$116:$AD$116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Testes!$S$118:$AD$118</c:f>
              <c:numCache>
                <c:formatCode>_("R$"* #,##0.00_);_("R$"* \(#,##0.00\);_("R$"* "-"??_);_(@_)</c:formatCode>
                <c:ptCount val="12"/>
                <c:pt idx="0">
                  <c:v>51386.369999999995</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4DF5-46C7-BBC1-290C87503A68}"/>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Testes!$R$119</c:f>
              <c:strCache>
                <c:ptCount val="1"/>
                <c:pt idx="0">
                  <c:v>Q. Projetos </c:v>
                </c:pt>
              </c:strCache>
            </c:strRef>
          </c:tx>
          <c:spPr>
            <a:ln w="9525" cap="rnd">
              <a:solidFill>
                <a:srgbClr val="FF0000"/>
              </a:solidFill>
              <a:prstDash val="lgDashDot"/>
              <a:round/>
            </a:ln>
            <a:effectLst/>
          </c:spPr>
          <c:marker>
            <c:symbol val="none"/>
          </c:marker>
          <c:cat>
            <c:numRef>
              <c:f>Testes!$S$116:$AD$116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Testes!$S$119:$AD$119</c:f>
              <c:numCache>
                <c:formatCode>0</c:formatCode>
                <c:ptCount val="12"/>
                <c:pt idx="0">
                  <c:v>8</c:v>
                </c:pt>
                <c:pt idx="1">
                  <c:v>17</c:v>
                </c:pt>
                <c:pt idx="2">
                  <c:v>14</c:v>
                </c:pt>
                <c:pt idx="3">
                  <c:v>4</c:v>
                </c:pt>
                <c:pt idx="4">
                  <c:v>3</c:v>
                </c:pt>
                <c:pt idx="5">
                  <c:v>2</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2-4DF5-46C7-BBC1-290C87503A68}"/>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spPr>
            <a:ln w="6350">
              <a:solidFill>
                <a:srgbClr val="0000FF"/>
              </a:solidFill>
            </a:ln>
          </c:spPr>
          <c:explosion val="2"/>
          <c:dPt>
            <c:idx val="0"/>
            <c:bubble3D val="0"/>
            <c:spPr>
              <a:solidFill>
                <a:srgbClr val="0C00FF">
                  <a:alpha val="80000"/>
                </a:srgbClr>
              </a:solidFill>
              <a:ln w="6350">
                <a:solidFill>
                  <a:srgbClr val="0000FF"/>
                </a:solidFill>
              </a:ln>
              <a:effectLst/>
            </c:spPr>
            <c:extLst>
              <c:ext xmlns:c16="http://schemas.microsoft.com/office/drawing/2014/chart" uri="{C3380CC4-5D6E-409C-BE32-E72D297353CC}">
                <c16:uniqueId val="{00000001-EED0-4868-A438-941E31B6913E}"/>
              </c:ext>
            </c:extLst>
          </c:dPt>
          <c:dPt>
            <c:idx val="1"/>
            <c:bubble3D val="0"/>
            <c:spPr>
              <a:solidFill>
                <a:schemeClr val="accent3">
                  <a:lumMod val="20000"/>
                  <a:lumOff val="80000"/>
                </a:schemeClr>
              </a:solidFill>
              <a:ln w="6350">
                <a:solidFill>
                  <a:srgbClr val="0000FF"/>
                </a:solidFill>
              </a:ln>
              <a:effectLst/>
            </c:spPr>
            <c:extLst>
              <c:ext xmlns:c16="http://schemas.microsoft.com/office/drawing/2014/chart" uri="{C3380CC4-5D6E-409C-BE32-E72D297353CC}">
                <c16:uniqueId val="{00000003-EED0-4868-A438-941E31B6913E}"/>
              </c:ext>
            </c:extLst>
          </c:dPt>
          <c:dPt>
            <c:idx val="2"/>
            <c:bubble3D val="0"/>
            <c:spPr>
              <a:solidFill>
                <a:schemeClr val="accent3"/>
              </a:solidFill>
              <a:ln w="6350">
                <a:solidFill>
                  <a:srgbClr val="0000FF"/>
                </a:solidFill>
              </a:ln>
              <a:effectLst/>
            </c:spPr>
            <c:extLst>
              <c:ext xmlns:c16="http://schemas.microsoft.com/office/drawing/2014/chart" uri="{C3380CC4-5D6E-409C-BE32-E72D297353CC}">
                <c16:uniqueId val="{00000005-EED0-4868-A438-941E31B6913E}"/>
              </c:ext>
            </c:extLst>
          </c:dPt>
          <c:dLbls>
            <c:dLbl>
              <c:idx val="0"/>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chemeClr val="bg1"/>
                      </a:solidFill>
                      <a:latin typeface="+mn-lt"/>
                      <a:ea typeface="+mn-ea"/>
                      <a:cs typeface="+mn-cs"/>
                    </a:defRPr>
                  </a:pPr>
                  <a:endParaRPr lang="pt-BR"/>
                </a:p>
              </c:txPr>
              <c:dLblPos val="bestFit"/>
              <c:showLegendKey val="0"/>
              <c:showVal val="1"/>
              <c:showCatName val="0"/>
              <c:showSerName val="0"/>
              <c:showPercent val="0"/>
              <c:showBubbleSize val="0"/>
              <c:extLst>
                <c:ext xmlns:c16="http://schemas.microsoft.com/office/drawing/2014/chart" uri="{C3380CC4-5D6E-409C-BE32-E72D297353CC}">
                  <c16:uniqueId val="{00000001-EED0-4868-A438-941E31B6913E}"/>
                </c:ext>
              </c:extLst>
            </c:dLbl>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rgbClr val="0000FF"/>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Testes!$I$117:$K$117</c:f>
              <c:strCache>
                <c:ptCount val="3"/>
                <c:pt idx="0">
                  <c:v>Mapeados</c:v>
                </c:pt>
                <c:pt idx="1">
                  <c:v>Comparados</c:v>
                </c:pt>
                <c:pt idx="2">
                  <c:v>Ajustados</c:v>
                </c:pt>
              </c:strCache>
            </c:strRef>
          </c:cat>
          <c:val>
            <c:numRef>
              <c:f>Testes!$I$140:$K$140</c:f>
              <c:numCache>
                <c:formatCode>General</c:formatCode>
                <c:ptCount val="3"/>
                <c:pt idx="0">
                  <c:v>5</c:v>
                </c:pt>
                <c:pt idx="1">
                  <c:v>0</c:v>
                </c:pt>
                <c:pt idx="2">
                  <c:v>0</c:v>
                </c:pt>
              </c:numCache>
            </c:numRef>
          </c:val>
          <c:extLst>
            <c:ext xmlns:c16="http://schemas.microsoft.com/office/drawing/2014/chart" uri="{C3380CC4-5D6E-409C-BE32-E72D297353CC}">
              <c16:uniqueId val="{00000006-EED0-4868-A438-941E31B691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9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542318340344441"/>
          <c:y val="0.12325603308504583"/>
          <c:w val="0.47291823967209579"/>
          <c:h val="0.77704575778100271"/>
        </c:manualLayout>
      </c:layout>
      <c:radarChart>
        <c:radarStyle val="marker"/>
        <c:varyColors val="0"/>
        <c:ser>
          <c:idx val="0"/>
          <c:order val="0"/>
          <c:tx>
            <c:strRef>
              <c:f>Testes!$E$167</c:f>
              <c:strCache>
                <c:ptCount val="1"/>
                <c:pt idx="0">
                  <c:v>Unidade</c:v>
                </c:pt>
              </c:strCache>
            </c:strRef>
          </c:tx>
          <c:spPr>
            <a:ln w="28575" cap="rnd">
              <a:solidFill>
                <a:srgbClr val="0070C0"/>
              </a:solidFill>
              <a:prstDash val="dashDot"/>
              <a:round/>
            </a:ln>
            <a:effectLst/>
          </c:spPr>
          <c:marker>
            <c:symbol val="none"/>
          </c:marker>
          <c:cat>
            <c:strRef>
              <c:f>Testes!$A$168:$A$171</c:f>
              <c:strCache>
                <c:ptCount val="4"/>
                <c:pt idx="0">
                  <c:v>Comunicação 
assertiva</c:v>
                </c:pt>
                <c:pt idx="1">
                  <c:v>Gestão à vista</c:v>
                </c:pt>
                <c:pt idx="2">
                  <c:v>Gerenciamento e Metódos</c:v>
                </c:pt>
                <c:pt idx="3">
                  <c:v>Documentos de Processos </c:v>
                </c:pt>
              </c:strCache>
            </c:strRef>
          </c:cat>
          <c:val>
            <c:numRef>
              <c:f>Testes!$E$168:$E$171</c:f>
              <c:numCache>
                <c:formatCode>0%</c:formatCode>
                <c:ptCount val="4"/>
                <c:pt idx="0">
                  <c:v>0.8</c:v>
                </c:pt>
                <c:pt idx="1">
                  <c:v>0.6</c:v>
                </c:pt>
                <c:pt idx="2">
                  <c:v>0.7857142857142857</c:v>
                </c:pt>
                <c:pt idx="3">
                  <c:v>0.86956521739130432</c:v>
                </c:pt>
              </c:numCache>
            </c:numRef>
          </c:val>
          <c:extLst>
            <c:ext xmlns:c16="http://schemas.microsoft.com/office/drawing/2014/chart" uri="{C3380CC4-5D6E-409C-BE32-E72D297353CC}">
              <c16:uniqueId val="{00000000-090B-4E95-85A1-C92C06D7CCA8}"/>
            </c:ext>
          </c:extLst>
        </c:ser>
        <c:ser>
          <c:idx val="1"/>
          <c:order val="1"/>
          <c:tx>
            <c:strRef>
              <c:f>Testes!$F$167</c:f>
              <c:strCache>
                <c:ptCount val="1"/>
                <c:pt idx="0">
                  <c:v>Auditado</c:v>
                </c:pt>
              </c:strCache>
            </c:strRef>
          </c:tx>
          <c:spPr>
            <a:ln w="38100" cap="rnd">
              <a:solidFill>
                <a:srgbClr val="00B050"/>
              </a:solidFill>
              <a:prstDash val="sysDot"/>
              <a:round/>
            </a:ln>
            <a:effectLst/>
          </c:spPr>
          <c:marker>
            <c:symbol val="none"/>
          </c:marker>
          <c:cat>
            <c:strRef>
              <c:f>Testes!$A$168:$A$171</c:f>
              <c:strCache>
                <c:ptCount val="4"/>
                <c:pt idx="0">
                  <c:v>Comunicação 
assertiva</c:v>
                </c:pt>
                <c:pt idx="1">
                  <c:v>Gestão à vista</c:v>
                </c:pt>
                <c:pt idx="2">
                  <c:v>Gerenciamento e Metódos</c:v>
                </c:pt>
                <c:pt idx="3">
                  <c:v>Documentos de Processos </c:v>
                </c:pt>
              </c:strCache>
            </c:strRef>
          </c:cat>
          <c:val>
            <c:numRef>
              <c:f>Testes!$F$168:$F$171</c:f>
              <c:numCache>
                <c:formatCode>0%</c:formatCode>
                <c:ptCount val="4"/>
                <c:pt idx="0">
                  <c:v>0.6</c:v>
                </c:pt>
                <c:pt idx="1">
                  <c:v>0.6</c:v>
                </c:pt>
                <c:pt idx="2">
                  <c:v>0.7857142857142857</c:v>
                </c:pt>
                <c:pt idx="3">
                  <c:v>0.43478260869565216</c:v>
                </c:pt>
              </c:numCache>
            </c:numRef>
          </c:val>
          <c:extLst>
            <c:ext xmlns:c16="http://schemas.microsoft.com/office/drawing/2014/chart" uri="{C3380CC4-5D6E-409C-BE32-E72D297353CC}">
              <c16:uniqueId val="{00000001-090B-4E95-85A1-C92C06D7CCA8}"/>
            </c:ext>
          </c:extLst>
        </c:ser>
        <c:ser>
          <c:idx val="2"/>
          <c:order val="2"/>
          <c:tx>
            <c:strRef>
              <c:f>Testes!$G$167</c:f>
              <c:strCache>
                <c:ptCount val="1"/>
                <c:pt idx="0">
                  <c:v>Meta</c:v>
                </c:pt>
              </c:strCache>
            </c:strRef>
          </c:tx>
          <c:spPr>
            <a:ln w="28575" cap="rnd">
              <a:solidFill>
                <a:srgbClr val="FF0000"/>
              </a:solidFill>
              <a:prstDash val="dash"/>
              <a:round/>
            </a:ln>
            <a:effectLst/>
          </c:spPr>
          <c:marker>
            <c:symbol val="none"/>
          </c:marker>
          <c:cat>
            <c:strRef>
              <c:f>Testes!$A$168:$A$171</c:f>
              <c:strCache>
                <c:ptCount val="4"/>
                <c:pt idx="0">
                  <c:v>Comunicação 
assertiva</c:v>
                </c:pt>
                <c:pt idx="1">
                  <c:v>Gestão à vista</c:v>
                </c:pt>
                <c:pt idx="2">
                  <c:v>Gerenciamento e Metódos</c:v>
                </c:pt>
                <c:pt idx="3">
                  <c:v>Documentos de Processos </c:v>
                </c:pt>
              </c:strCache>
            </c:strRef>
          </c:cat>
          <c:val>
            <c:numRef>
              <c:f>Testes!$G$168:$G$171</c:f>
              <c:numCache>
                <c:formatCode>0%</c:formatCode>
                <c:ptCount val="4"/>
                <c:pt idx="0">
                  <c:v>1</c:v>
                </c:pt>
                <c:pt idx="1">
                  <c:v>1</c:v>
                </c:pt>
                <c:pt idx="2">
                  <c:v>1</c:v>
                </c:pt>
                <c:pt idx="3">
                  <c:v>1</c:v>
                </c:pt>
              </c:numCache>
            </c:numRef>
          </c:val>
          <c:extLst>
            <c:ext xmlns:c16="http://schemas.microsoft.com/office/drawing/2014/chart" uri="{C3380CC4-5D6E-409C-BE32-E72D297353CC}">
              <c16:uniqueId val="{00000002-090B-4E95-85A1-C92C06D7CCA8}"/>
            </c:ext>
          </c:extLst>
        </c:ser>
        <c:dLbls>
          <c:showLegendKey val="0"/>
          <c:showVal val="0"/>
          <c:showCatName val="0"/>
          <c:showSerName val="0"/>
          <c:showPercent val="0"/>
          <c:showBubbleSize val="0"/>
        </c:dLbls>
        <c:axId val="2016394544"/>
        <c:axId val="2016404624"/>
      </c:radarChart>
      <c:catAx>
        <c:axId val="201639454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99"/>
                </a:solidFill>
                <a:latin typeface="+mn-lt"/>
                <a:ea typeface="+mn-ea"/>
                <a:cs typeface="+mn-cs"/>
              </a:defRPr>
            </a:pPr>
            <a:endParaRPr lang="pt-BR"/>
          </a:p>
        </c:txPr>
        <c:crossAx val="2016404624"/>
        <c:crosses val="autoZero"/>
        <c:auto val="1"/>
        <c:lblAlgn val="ctr"/>
        <c:lblOffset val="100"/>
        <c:noMultiLvlLbl val="0"/>
      </c:catAx>
      <c:valAx>
        <c:axId val="2016404624"/>
        <c:scaling>
          <c:orientation val="minMax"/>
          <c:max val="1"/>
          <c:min val="0"/>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16394544"/>
        <c:crosses val="autoZero"/>
        <c:crossBetween val="between"/>
      </c:valAx>
      <c:spPr>
        <a:noFill/>
        <a:ln w="25400">
          <a:noFill/>
        </a:ln>
        <a:effectLst/>
      </c:spPr>
    </c:plotArea>
    <c:legend>
      <c:legendPos val="r"/>
      <c:layout>
        <c:manualLayout>
          <c:xMode val="edge"/>
          <c:yMode val="edge"/>
          <c:x val="7.0402329845755595E-3"/>
          <c:y val="0.68256220652041955"/>
          <c:w val="0.20165875669650882"/>
          <c:h val="0.308032859374672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spPr>
            <a:ln w="6350">
              <a:solidFill>
                <a:srgbClr val="0000FF"/>
              </a:solidFill>
            </a:ln>
          </c:spPr>
          <c:explosion val="2"/>
          <c:dPt>
            <c:idx val="0"/>
            <c:bubble3D val="0"/>
            <c:spPr>
              <a:solidFill>
                <a:srgbClr val="0C00FF">
                  <a:alpha val="80000"/>
                </a:srgbClr>
              </a:solidFill>
              <a:ln w="6350">
                <a:solidFill>
                  <a:srgbClr val="0000FF"/>
                </a:solidFill>
              </a:ln>
              <a:effectLst/>
            </c:spPr>
            <c:extLst>
              <c:ext xmlns:c16="http://schemas.microsoft.com/office/drawing/2014/chart" uri="{C3380CC4-5D6E-409C-BE32-E72D297353CC}">
                <c16:uniqueId val="{00000001-AF8B-405F-BE01-C00D2A90618F}"/>
              </c:ext>
            </c:extLst>
          </c:dPt>
          <c:dPt>
            <c:idx val="1"/>
            <c:bubble3D val="0"/>
            <c:spPr>
              <a:solidFill>
                <a:schemeClr val="accent2"/>
              </a:solidFill>
              <a:ln w="6350">
                <a:solidFill>
                  <a:srgbClr val="0000FF"/>
                </a:solidFill>
              </a:ln>
              <a:effectLst/>
            </c:spPr>
            <c:extLst>
              <c:ext xmlns:c16="http://schemas.microsoft.com/office/drawing/2014/chart" uri="{C3380CC4-5D6E-409C-BE32-E72D297353CC}">
                <c16:uniqueId val="{00000003-AF8B-405F-BE01-C00D2A90618F}"/>
              </c:ext>
            </c:extLst>
          </c:dPt>
          <c:dPt>
            <c:idx val="2"/>
            <c:bubble3D val="0"/>
            <c:spPr>
              <a:solidFill>
                <a:srgbClr val="92D050"/>
              </a:solidFill>
              <a:ln w="6350">
                <a:solidFill>
                  <a:srgbClr val="0000FF"/>
                </a:solidFill>
              </a:ln>
              <a:effectLst/>
            </c:spPr>
            <c:extLst>
              <c:ext xmlns:c16="http://schemas.microsoft.com/office/drawing/2014/chart" uri="{C3380CC4-5D6E-409C-BE32-E72D297353CC}">
                <c16:uniqueId val="{00000005-F3D8-4BE3-9689-FFEF7E8CEC3F}"/>
              </c:ext>
            </c:extLst>
          </c:dPt>
          <c:dLbls>
            <c:dLbl>
              <c:idx val="0"/>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chemeClr val="bg1"/>
                      </a:solidFill>
                      <a:latin typeface="+mn-lt"/>
                      <a:ea typeface="+mn-ea"/>
                      <a:cs typeface="+mn-cs"/>
                    </a:defRPr>
                  </a:pPr>
                  <a:endParaRPr lang="pt-BR"/>
                </a:p>
              </c:txPr>
              <c:dLblPos val="bestFit"/>
              <c:showLegendKey val="0"/>
              <c:showVal val="1"/>
              <c:showCatName val="0"/>
              <c:showSerName val="0"/>
              <c:showPercent val="0"/>
              <c:showBubbleSize val="0"/>
              <c:extLst>
                <c:ext xmlns:c16="http://schemas.microsoft.com/office/drawing/2014/chart" uri="{C3380CC4-5D6E-409C-BE32-E72D297353CC}">
                  <c16:uniqueId val="{00000001-AF8B-405F-BE01-C00D2A90618F}"/>
                </c:ext>
              </c:extLst>
            </c:dLbl>
            <c:spPr>
              <a:noFill/>
              <a:ln>
                <a:noFill/>
              </a:ln>
              <a:effectLst/>
            </c:spPr>
            <c:txPr>
              <a:bodyPr rot="0" spcFirstLastPara="1" vertOverflow="ellipsis" vert="horz" wrap="square" lIns="38100" tIns="19050" rIns="38100" bIns="19050" anchor="ctr" anchorCtr="1">
                <a:spAutoFit/>
              </a:bodyPr>
              <a:lstStyle/>
              <a:p>
                <a:pPr>
                  <a:defRPr lang="en-US" sz="1500" b="1" i="0" u="none" strike="noStrike" kern="1200" baseline="0">
                    <a:solidFill>
                      <a:srgbClr val="000099"/>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'São Leopoldo'!$I$109:$K$109</c:f>
              <c:strCache>
                <c:ptCount val="3"/>
                <c:pt idx="0">
                  <c:v>Mapeados  xx/xx/2026</c:v>
                </c:pt>
                <c:pt idx="1">
                  <c:v>Comparados</c:v>
                </c:pt>
                <c:pt idx="2">
                  <c:v>Ajustados</c:v>
                </c:pt>
              </c:strCache>
            </c:strRef>
          </c:cat>
          <c:val>
            <c:numRef>
              <c:f>'São Leopoldo'!$I$130:$K$130</c:f>
              <c:numCache>
                <c:formatCode>0%</c:formatCode>
                <c:ptCount val="3"/>
                <c:pt idx="0">
                  <c:v>0.30769230769230771</c:v>
                </c:pt>
                <c:pt idx="1">
                  <c:v>0</c:v>
                </c:pt>
                <c:pt idx="2">
                  <c:v>0</c:v>
                </c:pt>
              </c:numCache>
            </c:numRef>
          </c:val>
          <c:extLst>
            <c:ext xmlns:c16="http://schemas.microsoft.com/office/drawing/2014/chart" uri="{C3380CC4-5D6E-409C-BE32-E72D297353CC}">
              <c16:uniqueId val="{00000006-AF8B-405F-BE01-C00D2A9061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9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'São Leopoldo'!$R$109</c:f>
              <c:strCache>
                <c:ptCount val="1"/>
                <c:pt idx="0">
                  <c:v>Previsto</c:v>
                </c:pt>
              </c:strCache>
            </c:strRef>
          </c:tx>
          <c:spPr>
            <a:solidFill>
              <a:schemeClr val="accent1">
                <a:lumMod val="40000"/>
                <a:lumOff val="60000"/>
              </a:schemeClr>
            </a:solidFill>
            <a:ln>
              <a:solidFill>
                <a:srgbClr val="0000FF"/>
              </a:solidFill>
            </a:ln>
            <a:effectLst/>
          </c:spPr>
          <c:invertIfNegative val="0"/>
          <c:cat>
            <c:numRef>
              <c:f>'São Leopoldo'!$S$108:$AD$108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Leopoldo'!$S$109:$AD$109</c:f>
              <c:numCache>
                <c:formatCode>_("R$"* #,##0.00_);_("R$"* \(#,##0.00\);_("R$"* "-"??_);_(@_)</c:formatCode>
                <c:ptCount val="12"/>
                <c:pt idx="0">
                  <c:v>0</c:v>
                </c:pt>
                <c:pt idx="1">
                  <c:v>19884.252727272727</c:v>
                </c:pt>
                <c:pt idx="2">
                  <c:v>193545.9957272727</c:v>
                </c:pt>
                <c:pt idx="3">
                  <c:v>206473.16017171717</c:v>
                </c:pt>
                <c:pt idx="4">
                  <c:v>208224.73017171718</c:v>
                </c:pt>
                <c:pt idx="5">
                  <c:v>208224.73017171718</c:v>
                </c:pt>
                <c:pt idx="6">
                  <c:v>208224.73017171718</c:v>
                </c:pt>
                <c:pt idx="7">
                  <c:v>244407.91817171717</c:v>
                </c:pt>
                <c:pt idx="8">
                  <c:v>267084.69067171717</c:v>
                </c:pt>
                <c:pt idx="9">
                  <c:v>487731.09067171713</c:v>
                </c:pt>
                <c:pt idx="10">
                  <c:v>549550.45567171706</c:v>
                </c:pt>
                <c:pt idx="11">
                  <c:v>549550.45567171706</c:v>
                </c:pt>
              </c:numCache>
            </c:numRef>
          </c:val>
          <c:extLst>
            <c:ext xmlns:c16="http://schemas.microsoft.com/office/drawing/2014/chart" uri="{C3380CC4-5D6E-409C-BE32-E72D297353CC}">
              <c16:uniqueId val="{00000000-8D36-4F9E-87A3-9DD2B556D305}"/>
            </c:ext>
          </c:extLst>
        </c:ser>
        <c:ser>
          <c:idx val="1"/>
          <c:order val="1"/>
          <c:tx>
            <c:strRef>
              <c:f>'São Leopoldo'!$R$110</c:f>
              <c:strCache>
                <c:ptCount val="1"/>
                <c:pt idx="0">
                  <c:v>Real</c:v>
                </c:pt>
              </c:strCache>
            </c:strRef>
          </c:tx>
          <c:spPr>
            <a:solidFill>
              <a:srgbClr val="92D050"/>
            </a:solidFill>
            <a:ln>
              <a:solidFill>
                <a:srgbClr val="00B050"/>
              </a:solidFill>
            </a:ln>
            <a:effectLst/>
          </c:spPr>
          <c:invertIfNegative val="0"/>
          <c:cat>
            <c:numRef>
              <c:f>'São Leopoldo'!$S$108:$AD$108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Leopoldo'!$S$110:$AD$110</c:f>
              <c:numCache>
                <c:formatCode>_("R$"* #,##0.00_);_("R$"* \(#,##0.00\);_("R$"* "-"??_);_(@_)</c:formatCode>
                <c:ptCount val="12"/>
                <c:pt idx="0">
                  <c:v>7696.79</c:v>
                </c:pt>
                <c:pt idx="1">
                  <c:v>38554.160000000003</c:v>
                </c:pt>
                <c:pt idx="2">
                  <c:v>273426.12</c:v>
                </c:pt>
                <c:pt idx="3">
                  <c:v>275746.09000000003</c:v>
                </c:pt>
                <c:pt idx="4">
                  <c:v>278735.28999999998</c:v>
                </c:pt>
                <c:pt idx="5">
                  <c:v>259250.71</c:v>
                </c:pt>
                <c:pt idx="6">
                  <c:v>25291.52</c:v>
                </c:pt>
                <c:pt idx="7">
                  <c:v>0</c:v>
                </c:pt>
                <c:pt idx="8">
                  <c:v>0</c:v>
                </c:pt>
                <c:pt idx="9">
                  <c:v>0</c:v>
                </c:pt>
                <c:pt idx="10">
                  <c:v>0</c:v>
                </c:pt>
                <c:pt idx="11">
                  <c:v>0</c:v>
                </c:pt>
              </c:numCache>
            </c:numRef>
          </c:val>
          <c:extLst>
            <c:ext xmlns:c16="http://schemas.microsoft.com/office/drawing/2014/chart" uri="{C3380CC4-5D6E-409C-BE32-E72D297353CC}">
              <c16:uniqueId val="{00000001-8D36-4F9E-87A3-9DD2B556D305}"/>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'São Leopoldo'!$R$111</c:f>
              <c:strCache>
                <c:ptCount val="1"/>
                <c:pt idx="0">
                  <c:v>Q. Projetos </c:v>
                </c:pt>
              </c:strCache>
            </c:strRef>
          </c:tx>
          <c:spPr>
            <a:ln w="9525" cap="rnd">
              <a:solidFill>
                <a:srgbClr val="FF0000"/>
              </a:solidFill>
              <a:prstDash val="lgDashDot"/>
              <a:round/>
            </a:ln>
            <a:effectLst/>
          </c:spPr>
          <c:marker>
            <c:symbol val="none"/>
          </c:marker>
          <c:cat>
            <c:numRef>
              <c:f>'São Leopoldo'!$S$108:$AD$108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Leopoldo'!$S$111:$AD$111</c:f>
              <c:numCache>
                <c:formatCode>0</c:formatCode>
                <c:ptCount val="12"/>
                <c:pt idx="0">
                  <c:v>2</c:v>
                </c:pt>
                <c:pt idx="1">
                  <c:v>4</c:v>
                </c:pt>
                <c:pt idx="2">
                  <c:v>7</c:v>
                </c:pt>
                <c:pt idx="3">
                  <c:v>9</c:v>
                </c:pt>
                <c:pt idx="4">
                  <c:v>10</c:v>
                </c:pt>
                <c:pt idx="5">
                  <c:v>10</c:v>
                </c:pt>
                <c:pt idx="6">
                  <c:v>11</c:v>
                </c:pt>
                <c:pt idx="7">
                  <c:v>7</c:v>
                </c:pt>
                <c:pt idx="8">
                  <c:v>6</c:v>
                </c:pt>
                <c:pt idx="9">
                  <c:v>3</c:v>
                </c:pt>
                <c:pt idx="10">
                  <c:v>0</c:v>
                </c:pt>
                <c:pt idx="11">
                  <c:v>0</c:v>
                </c:pt>
              </c:numCache>
            </c:numRef>
          </c:val>
          <c:smooth val="0"/>
          <c:extLst>
            <c:ext xmlns:c16="http://schemas.microsoft.com/office/drawing/2014/chart" uri="{C3380CC4-5D6E-409C-BE32-E72D297353CC}">
              <c16:uniqueId val="{00000002-8D36-4F9E-87A3-9DD2B556D305}"/>
            </c:ext>
          </c:extLst>
        </c:ser>
        <c:ser>
          <c:idx val="3"/>
          <c:order val="3"/>
          <c:tx>
            <c:strRef>
              <c:f>'São Leopoldo'!$R$112</c:f>
              <c:strCache>
                <c:ptCount val="1"/>
                <c:pt idx="0">
                  <c:v>Acumulado Previsto</c:v>
                </c:pt>
              </c:strCache>
            </c:strRef>
          </c:tx>
          <c:spPr>
            <a:ln w="28575" cap="rnd">
              <a:solidFill>
                <a:srgbClr val="92D050"/>
              </a:solidFill>
              <a:round/>
            </a:ln>
            <a:effectLst/>
          </c:spPr>
          <c:marker>
            <c:symbol val="none"/>
          </c:marker>
          <c:cat>
            <c:numRef>
              <c:f>'São Leopoldo'!$S$108:$AD$108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Leopoldo'!$S$112:$AD$112</c:f>
              <c:numCache>
                <c:formatCode>_("R$"* #,##0.00_);_("R$"* \(#,##0.00\);_("R$"* "-"??_);_(@_)</c:formatCode>
                <c:ptCount val="12"/>
                <c:pt idx="0">
                  <c:v>0</c:v>
                </c:pt>
                <c:pt idx="1">
                  <c:v>19884.252727272727</c:v>
                </c:pt>
                <c:pt idx="2">
                  <c:v>213430.24845454542</c:v>
                </c:pt>
                <c:pt idx="3">
                  <c:v>419903.40862626256</c:v>
                </c:pt>
                <c:pt idx="4">
                  <c:v>628128.1387979798</c:v>
                </c:pt>
                <c:pt idx="5">
                  <c:v>836352.86896969704</c:v>
                </c:pt>
                <c:pt idx="6">
                  <c:v>1044577.5991414143</c:v>
                </c:pt>
                <c:pt idx="7">
                  <c:v>1288985.5173131314</c:v>
                </c:pt>
                <c:pt idx="8">
                  <c:v>1556070.2079848484</c:v>
                </c:pt>
                <c:pt idx="9">
                  <c:v>2043801.2986565656</c:v>
                </c:pt>
                <c:pt idx="10">
                  <c:v>2593351.7543282825</c:v>
                </c:pt>
                <c:pt idx="11">
                  <c:v>3142902.2099999995</c:v>
                </c:pt>
              </c:numCache>
            </c:numRef>
          </c:val>
          <c:smooth val="0"/>
          <c:extLst>
            <c:ext xmlns:c16="http://schemas.microsoft.com/office/drawing/2014/chart" uri="{C3380CC4-5D6E-409C-BE32-E72D297353CC}">
              <c16:uniqueId val="{00000000-FAF5-42E0-A90F-1BDC781F11CC}"/>
            </c:ext>
          </c:extLst>
        </c:ser>
        <c:ser>
          <c:idx val="4"/>
          <c:order val="4"/>
          <c:tx>
            <c:strRef>
              <c:f>'São Leopoldo'!$R$113</c:f>
              <c:strCache>
                <c:ptCount val="1"/>
                <c:pt idx="0">
                  <c:v>Acumulado Real</c:v>
                </c:pt>
              </c:strCache>
            </c:strRef>
          </c:tx>
          <c:spPr>
            <a:ln w="28575" cap="rnd">
              <a:solidFill>
                <a:schemeClr val="accent5"/>
              </a:solidFill>
              <a:round/>
            </a:ln>
            <a:effectLst/>
          </c:spPr>
          <c:marker>
            <c:symbol val="none"/>
          </c:marker>
          <c:cat>
            <c:numRef>
              <c:f>'São Leopoldo'!$S$108:$AD$108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Leopoldo'!$S$113:$AD$113</c:f>
              <c:numCache>
                <c:formatCode>_("R$"* #,##0.00_);_("R$"* \(#,##0.00\);_("R$"* "-"??_);_(@_)</c:formatCode>
                <c:ptCount val="12"/>
                <c:pt idx="0">
                  <c:v>7696.79</c:v>
                </c:pt>
                <c:pt idx="1">
                  <c:v>46250.950000000004</c:v>
                </c:pt>
                <c:pt idx="2">
                  <c:v>319677.07</c:v>
                </c:pt>
                <c:pt idx="3">
                  <c:v>595423.16</c:v>
                </c:pt>
                <c:pt idx="4">
                  <c:v>874158.45</c:v>
                </c:pt>
                <c:pt idx="5">
                  <c:v>1133409.1599999999</c:v>
                </c:pt>
                <c:pt idx="6">
                  <c:v>1158700.68</c:v>
                </c:pt>
                <c:pt idx="7">
                  <c:v>1158700.68</c:v>
                </c:pt>
                <c:pt idx="8">
                  <c:v>1158700.68</c:v>
                </c:pt>
                <c:pt idx="9">
                  <c:v>1158700.68</c:v>
                </c:pt>
                <c:pt idx="10">
                  <c:v>1158700.68</c:v>
                </c:pt>
                <c:pt idx="11">
                  <c:v>1158700.68</c:v>
                </c:pt>
              </c:numCache>
            </c:numRef>
          </c:val>
          <c:smooth val="0"/>
          <c:extLst>
            <c:ext xmlns:c16="http://schemas.microsoft.com/office/drawing/2014/chart" uri="{C3380CC4-5D6E-409C-BE32-E72D297353CC}">
              <c16:uniqueId val="{00000001-FAF5-42E0-A90F-1BDC781F11CC}"/>
            </c:ext>
          </c:extLst>
        </c:ser>
        <c:ser>
          <c:idx val="5"/>
          <c:order val="5"/>
          <c:tx>
            <c:strRef>
              <c:f>'São Leopoldo'!$R$114</c:f>
              <c:strCache>
                <c:ptCount val="1"/>
                <c:pt idx="0">
                  <c:v>Projeção da Meta</c:v>
                </c:pt>
              </c:strCache>
            </c:strRef>
          </c:tx>
          <c:spPr>
            <a:ln w="19050" cap="rnd">
              <a:solidFill>
                <a:srgbClr val="00B050"/>
              </a:solidFill>
              <a:prstDash val="sysDot"/>
              <a:round/>
            </a:ln>
            <a:effectLst/>
          </c:spPr>
          <c:marker>
            <c:symbol val="none"/>
          </c:marker>
          <c:cat>
            <c:numRef>
              <c:f>'São Leopoldo'!$S$108:$AD$108</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'São Leopoldo'!$S$114:$AD$114</c:f>
              <c:numCache>
                <c:formatCode>_("R$"* #,##0.00_);_("R$"* \(#,##0.00\);_("R$"* "-"??_);_(@_)</c:formatCode>
                <c:ptCount val="12"/>
                <c:pt idx="0">
                  <c:v>7696.79</c:v>
                </c:pt>
                <c:pt idx="1">
                  <c:v>19884.252727272727</c:v>
                </c:pt>
                <c:pt idx="2">
                  <c:v>213430.24845454542</c:v>
                </c:pt>
                <c:pt idx="3">
                  <c:v>419903.40862626256</c:v>
                </c:pt>
                <c:pt idx="4">
                  <c:v>628128.1387979798</c:v>
                </c:pt>
                <c:pt idx="5">
                  <c:v>836352.86896969704</c:v>
                </c:pt>
                <c:pt idx="6">
                  <c:v>1044577.5991414143</c:v>
                </c:pt>
                <c:pt idx="7">
                  <c:v>1288985.5173131314</c:v>
                </c:pt>
                <c:pt idx="8">
                  <c:v>1556070.2079848484</c:v>
                </c:pt>
                <c:pt idx="9">
                  <c:v>2043801.2986565656</c:v>
                </c:pt>
                <c:pt idx="10">
                  <c:v>2593351.7543282825</c:v>
                </c:pt>
                <c:pt idx="11">
                  <c:v>3142902.2099999995</c:v>
                </c:pt>
              </c:numCache>
            </c:numRef>
          </c:val>
          <c:smooth val="0"/>
          <c:extLst>
            <c:ext xmlns:c16="http://schemas.microsoft.com/office/drawing/2014/chart" uri="{C3380CC4-5D6E-409C-BE32-E72D297353CC}">
              <c16:uniqueId val="{00000000-65D8-4779-857C-CF1793F78F31}"/>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sz="1000">
          <a:solidFill>
            <a:srgbClr val="000099"/>
          </a:solidFill>
        </a:defRPr>
      </a:pPr>
      <a:endParaRPr lang="pt-B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2179433107269"/>
          <c:y val="0.13854891378338174"/>
          <c:w val="0.52595352033490306"/>
          <c:h val="0.74114942631559677"/>
        </c:manualLayout>
      </c:layout>
      <c:radarChart>
        <c:radarStyle val="marker"/>
        <c:varyColors val="0"/>
        <c:ser>
          <c:idx val="0"/>
          <c:order val="0"/>
          <c:tx>
            <c:strRef>
              <c:f>'São Leopoldo'!$L$133</c:f>
              <c:strCache>
                <c:ptCount val="1"/>
                <c:pt idx="0">
                  <c:v>Unidade</c:v>
                </c:pt>
              </c:strCache>
            </c:strRef>
          </c:tx>
          <c:spPr>
            <a:ln w="28575" cap="rnd">
              <a:solidFill>
                <a:schemeClr val="accent1"/>
              </a:solidFill>
              <a:prstDash val="dash"/>
              <a:round/>
            </a:ln>
            <a:effectLst/>
          </c:spPr>
          <c:marker>
            <c:symbol val="none"/>
          </c:marker>
          <c:cat>
            <c:strRef>
              <c:f>'São Leopoldo'!$H$134:$H$137</c:f>
              <c:strCache>
                <c:ptCount val="4"/>
                <c:pt idx="0">
                  <c:v>Produtividade e Controle</c:v>
                </c:pt>
                <c:pt idx="1">
                  <c:v>Documentos e Registro </c:v>
                </c:pt>
                <c:pt idx="2">
                  <c:v>Manutenção do Processo </c:v>
                </c:pt>
                <c:pt idx="3">
                  <c:v>Análise dos Dados </c:v>
                </c:pt>
              </c:strCache>
            </c:strRef>
          </c:cat>
          <c:val>
            <c:numRef>
              <c:f>'São Leopoldo'!$L$134:$L$137</c:f>
              <c:numCache>
                <c:formatCode>0%</c:formatCode>
                <c:ptCount val="4"/>
                <c:pt idx="0">
                  <c:v>1</c:v>
                </c:pt>
                <c:pt idx="1">
                  <c:v>1</c:v>
                </c:pt>
                <c:pt idx="2">
                  <c:v>1</c:v>
                </c:pt>
                <c:pt idx="3">
                  <c:v>1</c:v>
                </c:pt>
              </c:numCache>
            </c:numRef>
          </c:val>
          <c:extLst>
            <c:ext xmlns:c16="http://schemas.microsoft.com/office/drawing/2014/chart" uri="{C3380CC4-5D6E-409C-BE32-E72D297353CC}">
              <c16:uniqueId val="{00000000-16DD-4A75-972A-521FA19454C7}"/>
            </c:ext>
          </c:extLst>
        </c:ser>
        <c:ser>
          <c:idx val="1"/>
          <c:order val="1"/>
          <c:tx>
            <c:strRef>
              <c:f>'São Leopoldo'!$M$133</c:f>
              <c:strCache>
                <c:ptCount val="1"/>
                <c:pt idx="0">
                  <c:v>Auditado</c:v>
                </c:pt>
              </c:strCache>
            </c:strRef>
          </c:tx>
          <c:spPr>
            <a:ln w="28575" cap="rnd">
              <a:solidFill>
                <a:srgbClr val="92D050"/>
              </a:solidFill>
              <a:round/>
            </a:ln>
            <a:effectLst/>
          </c:spPr>
          <c:marker>
            <c:symbol val="none"/>
          </c:marker>
          <c:cat>
            <c:strRef>
              <c:f>'São Leopoldo'!$H$134:$H$137</c:f>
              <c:strCache>
                <c:ptCount val="4"/>
                <c:pt idx="0">
                  <c:v>Produtividade e Controle</c:v>
                </c:pt>
                <c:pt idx="1">
                  <c:v>Documentos e Registro </c:v>
                </c:pt>
                <c:pt idx="2">
                  <c:v>Manutenção do Processo </c:v>
                </c:pt>
                <c:pt idx="3">
                  <c:v>Análise dos Dados </c:v>
                </c:pt>
              </c:strCache>
            </c:strRef>
          </c:cat>
          <c:val>
            <c:numRef>
              <c:f>'São Leopoldo'!$M$134:$M$137</c:f>
              <c:numCache>
                <c:formatCode>0%</c:formatCode>
                <c:ptCount val="4"/>
                <c:pt idx="0">
                  <c:v>1</c:v>
                </c:pt>
                <c:pt idx="1">
                  <c:v>1</c:v>
                </c:pt>
                <c:pt idx="2">
                  <c:v>0.91666666666666663</c:v>
                </c:pt>
                <c:pt idx="3">
                  <c:v>1</c:v>
                </c:pt>
              </c:numCache>
            </c:numRef>
          </c:val>
          <c:extLst>
            <c:ext xmlns:c16="http://schemas.microsoft.com/office/drawing/2014/chart" uri="{C3380CC4-5D6E-409C-BE32-E72D297353CC}">
              <c16:uniqueId val="{00000001-16DD-4A75-972A-521FA19454C7}"/>
            </c:ext>
          </c:extLst>
        </c:ser>
        <c:ser>
          <c:idx val="2"/>
          <c:order val="2"/>
          <c:tx>
            <c:strRef>
              <c:f>'São Leopoldo'!$N$133</c:f>
              <c:strCache>
                <c:ptCount val="1"/>
                <c:pt idx="0">
                  <c:v> Meta </c:v>
                </c:pt>
              </c:strCache>
            </c:strRef>
          </c:tx>
          <c:spPr>
            <a:ln w="28575" cap="rnd">
              <a:solidFill>
                <a:srgbClr val="FF0000"/>
              </a:solidFill>
              <a:prstDash val="dashDot"/>
              <a:round/>
            </a:ln>
            <a:effectLst/>
          </c:spPr>
          <c:marker>
            <c:symbol val="none"/>
          </c:marker>
          <c:cat>
            <c:strRef>
              <c:f>'São Leopoldo'!$H$134:$H$137</c:f>
              <c:strCache>
                <c:ptCount val="4"/>
                <c:pt idx="0">
                  <c:v>Produtividade e Controle</c:v>
                </c:pt>
                <c:pt idx="1">
                  <c:v>Documentos e Registro </c:v>
                </c:pt>
                <c:pt idx="2">
                  <c:v>Manutenção do Processo </c:v>
                </c:pt>
                <c:pt idx="3">
                  <c:v>Análise dos Dados </c:v>
                </c:pt>
              </c:strCache>
            </c:strRef>
          </c:cat>
          <c:val>
            <c:numRef>
              <c:f>'São Leopoldo'!$N$134:$N$137</c:f>
              <c:numCache>
                <c:formatCode>_("R$"* #,##0.00_);_("R$"* \(#,##0.00\);_("R$"* "-"??_);_(@_)</c:formatCode>
                <c:ptCount val="4"/>
                <c:pt idx="0">
                  <c:v>1</c:v>
                </c:pt>
                <c:pt idx="1">
                  <c:v>1</c:v>
                </c:pt>
                <c:pt idx="2">
                  <c:v>1</c:v>
                </c:pt>
                <c:pt idx="3">
                  <c:v>1</c:v>
                </c:pt>
              </c:numCache>
            </c:numRef>
          </c:val>
          <c:extLst>
            <c:ext xmlns:c16="http://schemas.microsoft.com/office/drawing/2014/chart" uri="{C3380CC4-5D6E-409C-BE32-E72D297353CC}">
              <c16:uniqueId val="{00000002-16DD-4A75-972A-521FA19454C7}"/>
            </c:ext>
          </c:extLst>
        </c:ser>
        <c:dLbls>
          <c:showLegendKey val="0"/>
          <c:showVal val="0"/>
          <c:showCatName val="0"/>
          <c:showSerName val="0"/>
          <c:showPercent val="0"/>
          <c:showBubbleSize val="0"/>
        </c:dLbls>
        <c:axId val="754477791"/>
        <c:axId val="754469151"/>
      </c:radarChart>
      <c:catAx>
        <c:axId val="75447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00099"/>
                </a:solidFill>
                <a:latin typeface="+mn-lt"/>
                <a:ea typeface="+mn-ea"/>
                <a:cs typeface="+mn-cs"/>
              </a:defRPr>
            </a:pPr>
            <a:endParaRPr lang="pt-BR"/>
          </a:p>
        </c:txPr>
        <c:crossAx val="754469151"/>
        <c:crosses val="autoZero"/>
        <c:auto val="1"/>
        <c:lblAlgn val="ctr"/>
        <c:lblOffset val="100"/>
        <c:noMultiLvlLbl val="0"/>
      </c:catAx>
      <c:valAx>
        <c:axId val="75446915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54477791"/>
        <c:crosses val="autoZero"/>
        <c:crossBetween val="between"/>
      </c:valAx>
      <c:spPr>
        <a:noFill/>
        <a:ln>
          <a:noFill/>
        </a:ln>
        <a:effectLst/>
      </c:spPr>
    </c:plotArea>
    <c:legend>
      <c:legendPos val="r"/>
      <c:layout>
        <c:manualLayout>
          <c:xMode val="edge"/>
          <c:yMode val="edge"/>
          <c:x val="1.5079525990419713E-2"/>
          <c:y val="0.80712809475500125"/>
          <c:w val="0.21396234919382906"/>
          <c:h val="0.167583026243836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2">
                <a:lumMod val="20000"/>
                <a:lumOff val="80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55769182182250954"/>
                      <c:h val="0.1512985969487072"/>
                    </c:manualLayout>
                  </c15:layout>
                </c:ext>
                <c:ext xmlns:c16="http://schemas.microsoft.com/office/drawing/2014/chart" uri="{C3380CC4-5D6E-409C-BE32-E72D297353CC}">
                  <c16:uniqueId val="{00000002-7EA5-40A7-8D17-7927B8B25AFF}"/>
                </c:ext>
              </c:extLst>
            </c:dLbl>
            <c:dLbl>
              <c:idx val="1"/>
              <c:layout>
                <c:manualLayout>
                  <c:x val="-0.11258540866508723"/>
                  <c:y val="4.207994194956116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8988570808021931"/>
                      <c:h val="0.1512985969487072"/>
                    </c:manualLayout>
                  </c15:layout>
                </c:ext>
                <c:ext xmlns:c16="http://schemas.microsoft.com/office/drawing/2014/chart" uri="{C3380CC4-5D6E-409C-BE32-E72D297353CC}">
                  <c16:uniqueId val="{00000001-7EA5-40A7-8D17-7927B8B25AF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FF"/>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'São Leopoldo'!$F$15:$F$18</c:f>
              <c:strCache>
                <c:ptCount val="4"/>
                <c:pt idx="0">
                  <c:v>VA</c:v>
                </c:pt>
                <c:pt idx="1">
                  <c:v>GGF</c:v>
                </c:pt>
                <c:pt idx="2">
                  <c:v>MA</c:v>
                </c:pt>
                <c:pt idx="3">
                  <c:v>Outros</c:v>
                </c:pt>
              </c:strCache>
            </c:strRef>
          </c:cat>
          <c:val>
            <c:numRef>
              <c:f>'São Leopoldo'!$G$15:$G$18</c:f>
              <c:numCache>
                <c:formatCode>_("R$"* #,##0.00_);_("R$"* \(#,##0.00\);_("R$"* "-"??_);_(@_)</c:formatCode>
                <c:ptCount val="4"/>
                <c:pt idx="0">
                  <c:v>107667.4</c:v>
                </c:pt>
                <c:pt idx="1">
                  <c:v>2088746</c:v>
                </c:pt>
                <c:pt idx="2">
                  <c:v>0</c:v>
                </c:pt>
                <c:pt idx="3">
                  <c:v>0</c:v>
                </c:pt>
              </c:numCache>
            </c:numRef>
          </c:val>
          <c:extLst>
            <c:ext xmlns:c16="http://schemas.microsoft.com/office/drawing/2014/chart" uri="{C3380CC4-5D6E-409C-BE32-E72D297353CC}">
              <c16:uniqueId val="{00000000-7EA5-40A7-8D17-7927B8B25AFF}"/>
            </c:ext>
          </c:extLst>
        </c:ser>
        <c:dLbls>
          <c:dLblPos val="outEnd"/>
          <c:showLegendKey val="0"/>
          <c:showVal val="1"/>
          <c:showCatName val="0"/>
          <c:showSerName val="0"/>
          <c:showPercent val="0"/>
          <c:showBubbleSize val="0"/>
        </c:dLbls>
        <c:gapWidth val="182"/>
        <c:axId val="776394432"/>
        <c:axId val="776388672"/>
      </c:barChart>
      <c:catAx>
        <c:axId val="77639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FF"/>
                </a:solidFill>
                <a:latin typeface="+mn-lt"/>
                <a:ea typeface="+mn-ea"/>
                <a:cs typeface="+mn-cs"/>
              </a:defRPr>
            </a:pPr>
            <a:endParaRPr lang="pt-BR"/>
          </a:p>
        </c:txPr>
        <c:crossAx val="776388672"/>
        <c:crosses val="autoZero"/>
        <c:auto val="1"/>
        <c:lblAlgn val="ctr"/>
        <c:lblOffset val="100"/>
        <c:noMultiLvlLbl val="0"/>
      </c:catAx>
      <c:valAx>
        <c:axId val="776388672"/>
        <c:scaling>
          <c:orientation val="minMax"/>
        </c:scaling>
        <c:delete val="1"/>
        <c:axPos val="b"/>
        <c:numFmt formatCode="_(&quot;R$&quot;* #,##0.00_);_(&quot;R$&quot;* \(#,##0.00\);_(&quot;R$&quot;* &quot;-&quot;??_);_(@_)" sourceLinked="1"/>
        <c:majorTickMark val="none"/>
        <c:minorTickMark val="none"/>
        <c:tickLblPos val="nextTo"/>
        <c:crossAx val="77639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pt-BR" sz="1000"/>
              <a:t>SPD São Leopoldo</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SPD!$A$23</c:f>
              <c:strCache>
                <c:ptCount val="1"/>
                <c:pt idx="0">
                  <c:v>Geral</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SPD!$B$23:$L$23</c15:sqref>
                  </c15:fullRef>
                </c:ext>
              </c:extLst>
              <c:f>SPD!$B$23:$I$23</c:f>
              <c:numCache>
                <c:formatCode>0%</c:formatCode>
                <c:ptCount val="8"/>
                <c:pt idx="0">
                  <c:v>0.79</c:v>
                </c:pt>
                <c:pt idx="1">
                  <c:v>0.71</c:v>
                </c:pt>
                <c:pt idx="2">
                  <c:v>0.62</c:v>
                </c:pt>
                <c:pt idx="3">
                  <c:v>0.93</c:v>
                </c:pt>
                <c:pt idx="4">
                  <c:v>0.6428571428571429</c:v>
                </c:pt>
                <c:pt idx="5">
                  <c:v>0.83</c:v>
                </c:pt>
                <c:pt idx="6">
                  <c:v>0.96</c:v>
                </c:pt>
                <c:pt idx="7">
                  <c:v>1</c:v>
                </c:pt>
              </c:numCache>
            </c:numRef>
          </c:val>
          <c:smooth val="0"/>
          <c:extLst>
            <c:ext xmlns:c16="http://schemas.microsoft.com/office/drawing/2014/chart" uri="{C3380CC4-5D6E-409C-BE32-E72D297353CC}">
              <c16:uniqueId val="{00000000-1A75-4CA7-9EDB-8C7A14339486}"/>
            </c:ext>
          </c:extLst>
        </c:ser>
        <c:ser>
          <c:idx val="1"/>
          <c:order val="1"/>
          <c:tx>
            <c:strRef>
              <c:f>SPD!$A$24</c:f>
              <c:strCache>
                <c:ptCount val="1"/>
                <c:pt idx="0">
                  <c:v>G.Auditado</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SPD!$B$24:$L$24</c15:sqref>
                  </c15:fullRef>
                </c:ext>
              </c:extLst>
              <c:f>SPD!$B$24:$I$24</c:f>
              <c:numCache>
                <c:formatCode>0%</c:formatCode>
                <c:ptCount val="8"/>
                <c:pt idx="0">
                  <c:v>0.36</c:v>
                </c:pt>
                <c:pt idx="1">
                  <c:v>0.36</c:v>
                </c:pt>
                <c:pt idx="2">
                  <c:v>0.36</c:v>
                </c:pt>
                <c:pt idx="3">
                  <c:v>0.36</c:v>
                </c:pt>
                <c:pt idx="4">
                  <c:v>0.35714285714285715</c:v>
                </c:pt>
                <c:pt idx="5">
                  <c:v>0</c:v>
                </c:pt>
                <c:pt idx="6">
                  <c:v>0.96</c:v>
                </c:pt>
                <c:pt idx="7">
                  <c:v>0.96</c:v>
                </c:pt>
              </c:numCache>
            </c:numRef>
          </c:val>
          <c:smooth val="0"/>
          <c:extLst>
            <c:ext xmlns:c16="http://schemas.microsoft.com/office/drawing/2014/chart" uri="{C3380CC4-5D6E-409C-BE32-E72D297353CC}">
              <c16:uniqueId val="{00000001-1A75-4CA7-9EDB-8C7A14339486}"/>
            </c:ext>
          </c:extLst>
        </c:ser>
        <c:ser>
          <c:idx val="2"/>
          <c:order val="2"/>
          <c:tx>
            <c:strRef>
              <c:f>SPD!$A$25</c:f>
              <c:strCache>
                <c:ptCount val="1"/>
                <c:pt idx="0">
                  <c:v>Fase 01</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SPD!$B$25:$L$25</c15:sqref>
                  </c15:fullRef>
                </c:ext>
              </c:extLst>
              <c:f>SPD!$B$25:$I$25</c:f>
              <c:numCache>
                <c:formatCode>0%</c:formatCode>
                <c:ptCount val="8"/>
                <c:pt idx="0">
                  <c:v>0.85</c:v>
                </c:pt>
                <c:pt idx="1">
                  <c:v>0.77</c:v>
                </c:pt>
                <c:pt idx="2">
                  <c:v>0.85</c:v>
                </c:pt>
                <c:pt idx="3">
                  <c:v>0.92</c:v>
                </c:pt>
                <c:pt idx="4">
                  <c:v>0.69230769230769229</c:v>
                </c:pt>
                <c:pt idx="5">
                  <c:v>0.67</c:v>
                </c:pt>
                <c:pt idx="6">
                  <c:v>0.92</c:v>
                </c:pt>
                <c:pt idx="7">
                  <c:v>1</c:v>
                </c:pt>
              </c:numCache>
            </c:numRef>
          </c:val>
          <c:smooth val="0"/>
          <c:extLst>
            <c:ext xmlns:c16="http://schemas.microsoft.com/office/drawing/2014/chart" uri="{C3380CC4-5D6E-409C-BE32-E72D297353CC}">
              <c16:uniqueId val="{00000002-1A75-4CA7-9EDB-8C7A14339486}"/>
            </c:ext>
          </c:extLst>
        </c:ser>
        <c:ser>
          <c:idx val="3"/>
          <c:order val="3"/>
          <c:tx>
            <c:strRef>
              <c:f>SPD!$A$26</c:f>
              <c:strCache>
                <c:ptCount val="1"/>
                <c:pt idx="0">
                  <c:v>Fase 02</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SPD!$B$26:$L$26</c15:sqref>
                  </c15:fullRef>
                </c:ext>
              </c:extLst>
              <c:f>SPD!$B$26:$I$26</c:f>
              <c:numCache>
                <c:formatCode>0%</c:formatCode>
                <c:ptCount val="8"/>
                <c:pt idx="0">
                  <c:v>0.71</c:v>
                </c:pt>
                <c:pt idx="1">
                  <c:v>0.64</c:v>
                </c:pt>
                <c:pt idx="2">
                  <c:v>0.79</c:v>
                </c:pt>
                <c:pt idx="3">
                  <c:v>0.8571428571428571</c:v>
                </c:pt>
                <c:pt idx="4">
                  <c:v>0.5714285714285714</c:v>
                </c:pt>
                <c:pt idx="5">
                  <c:v>1</c:v>
                </c:pt>
                <c:pt idx="6">
                  <c:v>1</c:v>
                </c:pt>
                <c:pt idx="7">
                  <c:v>1</c:v>
                </c:pt>
              </c:numCache>
            </c:numRef>
          </c:val>
          <c:smooth val="0"/>
          <c:extLst>
            <c:ext xmlns:c16="http://schemas.microsoft.com/office/drawing/2014/chart" uri="{C3380CC4-5D6E-409C-BE32-E72D297353CC}">
              <c16:uniqueId val="{00000003-1A75-4CA7-9EDB-8C7A14339486}"/>
            </c:ext>
          </c:extLst>
        </c:ser>
        <c:ser>
          <c:idx val="4"/>
          <c:order val="4"/>
          <c:tx>
            <c:strRef>
              <c:f>SPD!$A$27</c:f>
              <c:strCache>
                <c:ptCount val="1"/>
                <c:pt idx="0">
                  <c:v>Fase 03</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SPD!$B$27:$L$27</c15:sqref>
                  </c15:fullRef>
                </c:ext>
              </c:extLst>
              <c:f>SPD!$B$27:$I$27</c:f>
              <c:numCache>
                <c:formatCode>0%</c:formatCode>
                <c:ptCount val="8"/>
                <c:pt idx="0">
                  <c:v>1</c:v>
                </c:pt>
                <c:pt idx="1">
                  <c:v>1</c:v>
                </c:pt>
                <c:pt idx="2">
                  <c:v>1</c:v>
                </c:pt>
                <c:pt idx="3">
                  <c:v>1</c:v>
                </c:pt>
                <c:pt idx="4">
                  <c:v>1</c:v>
                </c:pt>
                <c:pt idx="5">
                  <c:v>0</c:v>
                </c:pt>
              </c:numCache>
            </c:numRef>
          </c:val>
          <c:smooth val="0"/>
          <c:extLst>
            <c:ext xmlns:c16="http://schemas.microsoft.com/office/drawing/2014/chart" uri="{C3380CC4-5D6E-409C-BE32-E72D297353CC}">
              <c16:uniqueId val="{00000004-1A75-4CA7-9EDB-8C7A14339486}"/>
            </c:ext>
          </c:extLst>
        </c:ser>
        <c:dLbls>
          <c:showLegendKey val="0"/>
          <c:showVal val="0"/>
          <c:showCatName val="0"/>
          <c:showSerName val="0"/>
          <c:showPercent val="0"/>
          <c:showBubbleSize val="0"/>
        </c:dLbls>
        <c:smooth val="0"/>
        <c:axId val="1809023119"/>
        <c:axId val="1809019759"/>
      </c:lineChart>
      <c:dateAx>
        <c:axId val="1809023119"/>
        <c:scaling>
          <c:orientation val="minMax"/>
        </c:scaling>
        <c:delete val="1"/>
        <c:axPos val="b"/>
        <c:numFmt formatCode="d\-mmm" sourceLinked="1"/>
        <c:majorTickMark val="out"/>
        <c:minorTickMark val="none"/>
        <c:tickLblPos val="nextTo"/>
        <c:crossAx val="1809019759"/>
        <c:crosses val="autoZero"/>
        <c:auto val="1"/>
        <c:lblOffset val="100"/>
        <c:baseTimeUnit val="days"/>
      </c:dateAx>
      <c:valAx>
        <c:axId val="180901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1809023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rgbClr val="000099"/>
                </a:solidFill>
                <a:latin typeface="+mn-lt"/>
                <a:ea typeface="+mn-ea"/>
                <a:cs typeface="+mn-cs"/>
              </a:defRPr>
            </a:pPr>
            <a:r>
              <a:rPr lang="pt-BR"/>
              <a:t>Análise de margem </a:t>
            </a:r>
          </a:p>
        </c:rich>
      </c:tx>
      <c:overlay val="0"/>
      <c:spPr>
        <a:noFill/>
        <a:ln>
          <a:noFill/>
        </a:ln>
        <a:effectLst/>
      </c:spPr>
      <c:txPr>
        <a:bodyPr rot="0" spcFirstLastPara="1" vertOverflow="ellipsis" vert="horz" wrap="square" anchor="ctr" anchorCtr="1"/>
        <a:lstStyle/>
        <a:p>
          <a:pPr>
            <a:defRPr lang="en-US" sz="1800" b="0" i="0" u="none" strike="noStrike" kern="1200" spc="0" baseline="0">
              <a:solidFill>
                <a:srgbClr val="000099"/>
              </a:solidFill>
              <a:latin typeface="+mn-lt"/>
              <a:ea typeface="+mn-ea"/>
              <a:cs typeface="+mn-cs"/>
            </a:defRPr>
          </a:pPr>
          <a:endParaRPr lang="pt-BR"/>
        </a:p>
      </c:txPr>
    </c:title>
    <c:autoTitleDeleted val="0"/>
    <c:plotArea>
      <c:layout/>
      <c:pieChart>
        <c:varyColors val="1"/>
        <c:ser>
          <c:idx val="0"/>
          <c:order val="0"/>
          <c:spPr>
            <a:ln w="6350">
              <a:solidFill>
                <a:srgbClr val="0000FF"/>
              </a:solidFill>
            </a:ln>
          </c:spPr>
          <c:explosion val="2"/>
          <c:dPt>
            <c:idx val="0"/>
            <c:bubble3D val="0"/>
            <c:spPr>
              <a:solidFill>
                <a:srgbClr val="0C00FF">
                  <a:alpha val="80000"/>
                </a:srgbClr>
              </a:solidFill>
              <a:ln w="6350">
                <a:solidFill>
                  <a:srgbClr val="0000FF"/>
                </a:solidFill>
              </a:ln>
              <a:effectLst/>
            </c:spPr>
            <c:extLst>
              <c:ext xmlns:c16="http://schemas.microsoft.com/office/drawing/2014/chart" uri="{C3380CC4-5D6E-409C-BE32-E72D297353CC}">
                <c16:uniqueId val="{00000001-7CD1-4E54-9175-9B90A28CA3C1}"/>
              </c:ext>
            </c:extLst>
          </c:dPt>
          <c:dPt>
            <c:idx val="1"/>
            <c:bubble3D val="0"/>
            <c:spPr>
              <a:solidFill>
                <a:schemeClr val="accent3">
                  <a:lumMod val="20000"/>
                  <a:lumOff val="80000"/>
                </a:schemeClr>
              </a:solidFill>
              <a:ln w="6350">
                <a:solidFill>
                  <a:srgbClr val="0000FF"/>
                </a:solidFill>
              </a:ln>
              <a:effectLst/>
            </c:spPr>
            <c:extLst>
              <c:ext xmlns:c16="http://schemas.microsoft.com/office/drawing/2014/chart" uri="{C3380CC4-5D6E-409C-BE32-E72D297353CC}">
                <c16:uniqueId val="{00000003-7CD1-4E54-9175-9B90A28CA3C1}"/>
              </c:ext>
            </c:extLst>
          </c:dPt>
          <c:dPt>
            <c:idx val="2"/>
            <c:bubble3D val="0"/>
            <c:spPr>
              <a:solidFill>
                <a:schemeClr val="accent1">
                  <a:lumMod val="20000"/>
                  <a:lumOff val="80000"/>
                </a:schemeClr>
              </a:solidFill>
              <a:ln w="6350">
                <a:solidFill>
                  <a:srgbClr val="0000FF"/>
                </a:solidFill>
              </a:ln>
              <a:effectLst/>
            </c:spPr>
            <c:extLst>
              <c:ext xmlns:c16="http://schemas.microsoft.com/office/drawing/2014/chart" uri="{C3380CC4-5D6E-409C-BE32-E72D297353CC}">
                <c16:uniqueId val="{00000005-7CD1-4E54-9175-9B90A28CA3C1}"/>
              </c:ext>
            </c:extLst>
          </c:dPt>
          <c:dLbls>
            <c:dLbl>
              <c:idx val="0"/>
              <c:spPr>
                <a:noFill/>
                <a:ln>
                  <a:noFill/>
                </a:ln>
                <a:effectLst/>
              </c:spPr>
              <c:txPr>
                <a:bodyPr rot="0" spcFirstLastPara="1" vertOverflow="ellipsis" vert="horz" wrap="square" anchor="ctr" anchorCtr="1"/>
                <a:lstStyle/>
                <a:p>
                  <a:pPr>
                    <a:defRPr lang="en-US" sz="1500" b="1" i="0" u="none" strike="noStrike" kern="1200" baseline="0">
                      <a:solidFill>
                        <a:schemeClr val="bg1"/>
                      </a:solidFill>
                      <a:latin typeface="+mn-lt"/>
                      <a:ea typeface="+mn-ea"/>
                      <a:cs typeface="+mn-cs"/>
                    </a:defRPr>
                  </a:pPr>
                  <a:endParaRPr lang="pt-BR"/>
                </a:p>
              </c:txPr>
              <c:dLblPos val="bestFit"/>
              <c:showLegendKey val="0"/>
              <c:showVal val="1"/>
              <c:showCatName val="0"/>
              <c:showSerName val="0"/>
              <c:showPercent val="0"/>
              <c:showBubbleSize val="0"/>
              <c:extLst>
                <c:ext xmlns:c16="http://schemas.microsoft.com/office/drawing/2014/chart" uri="{C3380CC4-5D6E-409C-BE32-E72D297353CC}">
                  <c16:uniqueId val="{00000001-7CD1-4E54-9175-9B90A28CA3C1}"/>
                </c:ext>
              </c:extLst>
            </c:dLbl>
            <c:spPr>
              <a:noFill/>
              <a:ln>
                <a:noFill/>
              </a:ln>
              <a:effectLst/>
            </c:spPr>
            <c:txPr>
              <a:bodyPr rot="0" spcFirstLastPara="1" vertOverflow="ellipsis" vert="horz" wrap="square" anchor="ctr" anchorCtr="1"/>
              <a:lstStyle/>
              <a:p>
                <a:pPr>
                  <a:defRPr lang="en-US" sz="1500" b="1" i="0" u="none" strike="noStrike" kern="1200" baseline="0">
                    <a:solidFill>
                      <a:srgbClr val="000099"/>
                    </a:solidFill>
                    <a:latin typeface="+mn-lt"/>
                    <a:ea typeface="+mn-ea"/>
                    <a:cs typeface="+mn-cs"/>
                  </a:defRPr>
                </a:pPr>
                <a:endParaRPr lang="pt-B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Anchieta!$I$105:$K$105</c:f>
              <c:strCache>
                <c:ptCount val="3"/>
                <c:pt idx="0">
                  <c:v>Mapeados</c:v>
                </c:pt>
                <c:pt idx="1">
                  <c:v>Comparados</c:v>
                </c:pt>
                <c:pt idx="2">
                  <c:v>Ajustados</c:v>
                </c:pt>
              </c:strCache>
            </c:strRef>
          </c:cat>
          <c:val>
            <c:numRef>
              <c:f>Anchieta!$I$128:$K$128</c:f>
              <c:numCache>
                <c:formatCode>0%</c:formatCode>
                <c:ptCount val="3"/>
                <c:pt idx="0">
                  <c:v>1</c:v>
                </c:pt>
                <c:pt idx="1">
                  <c:v>0</c:v>
                </c:pt>
                <c:pt idx="2">
                  <c:v>0</c:v>
                </c:pt>
              </c:numCache>
            </c:numRef>
          </c:val>
          <c:extLst>
            <c:ext xmlns:c16="http://schemas.microsoft.com/office/drawing/2014/chart" uri="{C3380CC4-5D6E-409C-BE32-E72D297353CC}">
              <c16:uniqueId val="{00000006-7CD1-4E54-9175-9B90A28CA3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500" b="0" i="0" u="none" strike="noStrike" kern="1200" baseline="0">
              <a:solidFill>
                <a:srgbClr val="000099"/>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lang="en-US" sz="1500" b="0" i="0" u="none" strike="noStrike" kern="1200" baseline="0">
          <a:solidFill>
            <a:srgbClr val="000099"/>
          </a:solidFill>
          <a:latin typeface="+mn-lt"/>
          <a:ea typeface="+mn-ea"/>
          <a:cs typeface="+mn-cs"/>
        </a:defRPr>
      </a:pPr>
      <a:endParaRPr lang="pt-B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layout>
        <c:manualLayout>
          <c:xMode val="edge"/>
          <c:yMode val="edge"/>
          <c:x val="0.4436882729812226"/>
          <c:y val="0"/>
        </c:manualLayout>
      </c:layout>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manualLayout>
          <c:layoutTarget val="inner"/>
          <c:xMode val="edge"/>
          <c:yMode val="edge"/>
          <c:x val="7.1866240505103096E-2"/>
          <c:y val="0.13631952295670793"/>
          <c:w val="0.8736103958872149"/>
          <c:h val="0.43680777196370146"/>
        </c:manualLayout>
      </c:layout>
      <c:barChart>
        <c:barDir val="col"/>
        <c:grouping val="clustered"/>
        <c:varyColors val="0"/>
        <c:ser>
          <c:idx val="0"/>
          <c:order val="0"/>
          <c:tx>
            <c:strRef>
              <c:f>Anchieta!$R$105</c:f>
              <c:strCache>
                <c:ptCount val="1"/>
                <c:pt idx="0">
                  <c:v>Previsto</c:v>
                </c:pt>
              </c:strCache>
            </c:strRef>
          </c:tx>
          <c:spPr>
            <a:solidFill>
              <a:schemeClr val="accent1">
                <a:lumMod val="40000"/>
                <a:lumOff val="60000"/>
              </a:schemeClr>
            </a:solidFill>
            <a:ln>
              <a:solidFill>
                <a:srgbClr val="0000FF"/>
              </a:solidFill>
            </a:ln>
            <a:effectLst/>
          </c:spPr>
          <c:invertIfNegative val="0"/>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Anchieta!$S$105:$AD$105</c:f>
              <c:numCache>
                <c:formatCode>_("R$"* #,##0.00_);_("R$"* \(#,##0.00\);_("R$"* "-"??_);_(@_)</c:formatCode>
                <c:ptCount val="12"/>
                <c:pt idx="0">
                  <c:v>50000</c:v>
                </c:pt>
                <c:pt idx="1">
                  <c:v>17231.310034090911</c:v>
                </c:pt>
                <c:pt idx="2">
                  <c:v>20188.30303409091</c:v>
                </c:pt>
                <c:pt idx="3">
                  <c:v>48502.049422979806</c:v>
                </c:pt>
                <c:pt idx="4">
                  <c:v>48502.049422979806</c:v>
                </c:pt>
                <c:pt idx="5">
                  <c:v>48502.049422979806</c:v>
                </c:pt>
                <c:pt idx="6">
                  <c:v>115168.71608964649</c:v>
                </c:pt>
                <c:pt idx="7">
                  <c:v>125368.71608964649</c:v>
                </c:pt>
                <c:pt idx="8">
                  <c:v>139105.32608964649</c:v>
                </c:pt>
                <c:pt idx="9">
                  <c:v>139105.32608964649</c:v>
                </c:pt>
                <c:pt idx="10">
                  <c:v>139105.32608964649</c:v>
                </c:pt>
                <c:pt idx="11">
                  <c:v>144234.11396843437</c:v>
                </c:pt>
              </c:numCache>
            </c:numRef>
          </c:val>
          <c:extLst>
            <c:ext xmlns:c16="http://schemas.microsoft.com/office/drawing/2014/chart" uri="{C3380CC4-5D6E-409C-BE32-E72D297353CC}">
              <c16:uniqueId val="{00000000-B716-48B4-86DB-CCCA38FC5ED8}"/>
            </c:ext>
          </c:extLst>
        </c:ser>
        <c:ser>
          <c:idx val="1"/>
          <c:order val="1"/>
          <c:tx>
            <c:strRef>
              <c:f>Anchieta!$R$106</c:f>
              <c:strCache>
                <c:ptCount val="1"/>
                <c:pt idx="0">
                  <c:v>Real</c:v>
                </c:pt>
              </c:strCache>
            </c:strRef>
          </c:tx>
          <c:spPr>
            <a:solidFill>
              <a:srgbClr val="92D050"/>
            </a:solidFill>
            <a:ln>
              <a:solidFill>
                <a:srgbClr val="00B050"/>
              </a:solidFill>
            </a:ln>
            <a:effectLst/>
          </c:spPr>
          <c:invertIfNegative val="0"/>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Anchieta!$S$106:$AD$106</c:f>
              <c:numCache>
                <c:formatCode>_("R$"* #,##0.00_);_("R$"* \(#,##0.00\);_("R$"* "-"??_);_(@_)</c:formatCode>
                <c:ptCount val="12"/>
                <c:pt idx="0">
                  <c:v>50000</c:v>
                </c:pt>
                <c:pt idx="1">
                  <c:v>66080.55</c:v>
                </c:pt>
                <c:pt idx="2">
                  <c:v>7167.5747453259228</c:v>
                </c:pt>
                <c:pt idx="3">
                  <c:v>56823.789429004551</c:v>
                </c:pt>
                <c:pt idx="4">
                  <c:v>5212.170000000001</c:v>
                </c:pt>
                <c:pt idx="5">
                  <c:v>126354.20000000001</c:v>
                </c:pt>
                <c:pt idx="6">
                  <c:v>19805.663</c:v>
                </c:pt>
                <c:pt idx="7">
                  <c:v>0</c:v>
                </c:pt>
                <c:pt idx="8">
                  <c:v>0</c:v>
                </c:pt>
                <c:pt idx="9">
                  <c:v>0</c:v>
                </c:pt>
                <c:pt idx="10">
                  <c:v>0</c:v>
                </c:pt>
                <c:pt idx="11">
                  <c:v>0</c:v>
                </c:pt>
              </c:numCache>
            </c:numRef>
          </c:val>
          <c:extLst>
            <c:ext xmlns:c16="http://schemas.microsoft.com/office/drawing/2014/chart" uri="{C3380CC4-5D6E-409C-BE32-E72D297353CC}">
              <c16:uniqueId val="{00000001-B716-48B4-86DB-CCCA38FC5ED8}"/>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Anchieta!$R$107</c:f>
              <c:strCache>
                <c:ptCount val="1"/>
                <c:pt idx="0">
                  <c:v>Q. Projetos </c:v>
                </c:pt>
              </c:strCache>
            </c:strRef>
          </c:tx>
          <c:spPr>
            <a:ln w="9525" cap="rnd">
              <a:solidFill>
                <a:srgbClr val="FF0000"/>
              </a:solidFill>
              <a:prstDash val="lgDashDot"/>
              <a:round/>
            </a:ln>
            <a:effectLst/>
          </c:spPr>
          <c:marker>
            <c:symbol val="none"/>
          </c:marker>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Anchieta!$S$107:$AD$107</c:f>
              <c:numCache>
                <c:formatCode>0</c:formatCode>
                <c:ptCount val="12"/>
                <c:pt idx="0">
                  <c:v>2</c:v>
                </c:pt>
                <c:pt idx="1">
                  <c:v>10</c:v>
                </c:pt>
                <c:pt idx="2">
                  <c:v>11</c:v>
                </c:pt>
                <c:pt idx="3">
                  <c:v>14</c:v>
                </c:pt>
                <c:pt idx="4">
                  <c:v>9</c:v>
                </c:pt>
                <c:pt idx="5">
                  <c:v>8</c:v>
                </c:pt>
                <c:pt idx="6">
                  <c:v>7</c:v>
                </c:pt>
                <c:pt idx="7">
                  <c:v>4</c:v>
                </c:pt>
                <c:pt idx="8">
                  <c:v>3</c:v>
                </c:pt>
                <c:pt idx="9">
                  <c:v>3</c:v>
                </c:pt>
                <c:pt idx="10">
                  <c:v>3</c:v>
                </c:pt>
                <c:pt idx="11">
                  <c:v>3</c:v>
                </c:pt>
              </c:numCache>
            </c:numRef>
          </c:val>
          <c:smooth val="0"/>
          <c:extLst>
            <c:ext xmlns:c16="http://schemas.microsoft.com/office/drawing/2014/chart" uri="{C3380CC4-5D6E-409C-BE32-E72D297353CC}">
              <c16:uniqueId val="{00000002-B716-48B4-86DB-CCCA38FC5ED8}"/>
            </c:ext>
          </c:extLst>
        </c:ser>
        <c:ser>
          <c:idx val="3"/>
          <c:order val="3"/>
          <c:tx>
            <c:strRef>
              <c:f>Anchieta!$R$108</c:f>
              <c:strCache>
                <c:ptCount val="1"/>
                <c:pt idx="0">
                  <c:v>Acumulado Previsto</c:v>
                </c:pt>
              </c:strCache>
            </c:strRef>
          </c:tx>
          <c:spPr>
            <a:ln w="28575" cap="rnd">
              <a:solidFill>
                <a:srgbClr val="92D050"/>
              </a:solidFill>
              <a:round/>
            </a:ln>
            <a:effectLst/>
          </c:spPr>
          <c:marker>
            <c:symbol val="none"/>
          </c:marker>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Anchieta!$S$108:$AD$108</c:f>
              <c:numCache>
                <c:formatCode>_("R$"* #,##0.00_);_("R$"* \(#,##0.00\);_("R$"* "-"??_);_(@_)</c:formatCode>
                <c:ptCount val="12"/>
                <c:pt idx="0">
                  <c:v>50000</c:v>
                </c:pt>
                <c:pt idx="1">
                  <c:v>67231.310034090915</c:v>
                </c:pt>
                <c:pt idx="2">
                  <c:v>87419.613068181818</c:v>
                </c:pt>
                <c:pt idx="3">
                  <c:v>135921.66249116161</c:v>
                </c:pt>
                <c:pt idx="4">
                  <c:v>184423.71191414143</c:v>
                </c:pt>
                <c:pt idx="5">
                  <c:v>232925.76133712125</c:v>
                </c:pt>
                <c:pt idx="6">
                  <c:v>348094.47742676776</c:v>
                </c:pt>
                <c:pt idx="7">
                  <c:v>473463.19351641426</c:v>
                </c:pt>
                <c:pt idx="8">
                  <c:v>612568.51960606081</c:v>
                </c:pt>
                <c:pt idx="9">
                  <c:v>751673.84569570725</c:v>
                </c:pt>
                <c:pt idx="10">
                  <c:v>890779.17178535368</c:v>
                </c:pt>
                <c:pt idx="11">
                  <c:v>1035013.2857537881</c:v>
                </c:pt>
              </c:numCache>
            </c:numRef>
          </c:val>
          <c:smooth val="0"/>
          <c:extLst>
            <c:ext xmlns:c16="http://schemas.microsoft.com/office/drawing/2014/chart" uri="{C3380CC4-5D6E-409C-BE32-E72D297353CC}">
              <c16:uniqueId val="{00000000-BB19-4090-8332-943D8608942C}"/>
            </c:ext>
          </c:extLst>
        </c:ser>
        <c:ser>
          <c:idx val="4"/>
          <c:order val="4"/>
          <c:tx>
            <c:strRef>
              <c:f>Anchieta!$R$109</c:f>
              <c:strCache>
                <c:ptCount val="1"/>
                <c:pt idx="0">
                  <c:v>Acumulado Real</c:v>
                </c:pt>
              </c:strCache>
            </c:strRef>
          </c:tx>
          <c:spPr>
            <a:ln w="28575" cap="rnd">
              <a:solidFill>
                <a:schemeClr val="accent5"/>
              </a:solidFill>
              <a:round/>
            </a:ln>
            <a:effectLst/>
          </c:spPr>
          <c:marker>
            <c:symbol val="none"/>
          </c:marker>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Anchieta!$S$109:$AD$109</c:f>
              <c:numCache>
                <c:formatCode>_("R$"* #,##0.00_);_("R$"* \(#,##0.00\);_("R$"* "-"??_);_(@_)</c:formatCode>
                <c:ptCount val="12"/>
                <c:pt idx="0">
                  <c:v>50000</c:v>
                </c:pt>
                <c:pt idx="1">
                  <c:v>116080.55</c:v>
                </c:pt>
                <c:pt idx="2">
                  <c:v>123248.12474532593</c:v>
                </c:pt>
                <c:pt idx="3">
                  <c:v>180071.91417433048</c:v>
                </c:pt>
                <c:pt idx="4">
                  <c:v>185284.08417433049</c:v>
                </c:pt>
                <c:pt idx="5">
                  <c:v>311638.28417433053</c:v>
                </c:pt>
                <c:pt idx="6">
                  <c:v>331443.94717433053</c:v>
                </c:pt>
                <c:pt idx="7">
                  <c:v>331443.94717433053</c:v>
                </c:pt>
                <c:pt idx="8">
                  <c:v>331443.94717433053</c:v>
                </c:pt>
                <c:pt idx="9">
                  <c:v>331443.94717433053</c:v>
                </c:pt>
                <c:pt idx="10">
                  <c:v>331443.94717433053</c:v>
                </c:pt>
                <c:pt idx="11">
                  <c:v>331443.94717433053</c:v>
                </c:pt>
              </c:numCache>
            </c:numRef>
          </c:val>
          <c:smooth val="0"/>
          <c:extLst>
            <c:ext xmlns:c16="http://schemas.microsoft.com/office/drawing/2014/chart" uri="{C3380CC4-5D6E-409C-BE32-E72D297353CC}">
              <c16:uniqueId val="{00000001-BB19-4090-8332-943D8608942C}"/>
            </c:ext>
          </c:extLst>
        </c:ser>
        <c:ser>
          <c:idx val="5"/>
          <c:order val="5"/>
          <c:tx>
            <c:strRef>
              <c:f>Anchieta!$R$110</c:f>
              <c:strCache>
                <c:ptCount val="1"/>
                <c:pt idx="0">
                  <c:v>Projeção da Meta</c:v>
                </c:pt>
              </c:strCache>
            </c:strRef>
          </c:tx>
          <c:spPr>
            <a:ln w="28575" cap="rnd">
              <a:solidFill>
                <a:srgbClr val="00B050"/>
              </a:solidFill>
              <a:prstDash val="sysDot"/>
              <a:round/>
            </a:ln>
            <a:effectLst/>
          </c:spPr>
          <c:marker>
            <c:symbol val="none"/>
          </c:marker>
          <c:cat>
            <c:numRef>
              <c:f>Anchieta!$S$104:$AD$104</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Anchieta!$S$110:$AD$110</c:f>
              <c:numCache>
                <c:formatCode>_("R$"* #,##0.00_);_("R$"* \(#,##0.00\);_("R$"* "-"??_);_(@_)</c:formatCode>
                <c:ptCount val="12"/>
                <c:pt idx="0">
                  <c:v>50000</c:v>
                </c:pt>
                <c:pt idx="1">
                  <c:v>116080.55</c:v>
                </c:pt>
                <c:pt idx="2">
                  <c:v>123248.12474532593</c:v>
                </c:pt>
                <c:pt idx="3">
                  <c:v>180071.91417433048</c:v>
                </c:pt>
                <c:pt idx="4">
                  <c:v>185284.08417433049</c:v>
                </c:pt>
                <c:pt idx="5">
                  <c:v>311638.28417433053</c:v>
                </c:pt>
                <c:pt idx="6">
                  <c:v>331443.94717433053</c:v>
                </c:pt>
                <c:pt idx="7">
                  <c:v>1033355.1577394644</c:v>
                </c:pt>
                <c:pt idx="8">
                  <c:v>1735266.3683045981</c:v>
                </c:pt>
                <c:pt idx="9">
                  <c:v>2437177.5788697321</c:v>
                </c:pt>
                <c:pt idx="10">
                  <c:v>3139088.789434866</c:v>
                </c:pt>
                <c:pt idx="11">
                  <c:v>3841000</c:v>
                </c:pt>
              </c:numCache>
            </c:numRef>
          </c:val>
          <c:smooth val="0"/>
          <c:extLst>
            <c:ext xmlns:c16="http://schemas.microsoft.com/office/drawing/2014/chart" uri="{C3380CC4-5D6E-409C-BE32-E72D297353CC}">
              <c16:uniqueId val="{00000000-D6F1-472D-A79B-CAC8510459B3}"/>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17141768310007"/>
          <c:y val="0.1333294932368701"/>
          <c:w val="0.45792973369811035"/>
          <c:h val="0.72556885028951923"/>
        </c:manualLayout>
      </c:layout>
      <c:radarChart>
        <c:radarStyle val="marker"/>
        <c:varyColors val="0"/>
        <c:ser>
          <c:idx val="0"/>
          <c:order val="0"/>
          <c:tx>
            <c:strRef>
              <c:f>Anchieta!$L$131</c:f>
              <c:strCache>
                <c:ptCount val="1"/>
                <c:pt idx="0">
                  <c:v>Unidade</c:v>
                </c:pt>
              </c:strCache>
            </c:strRef>
          </c:tx>
          <c:spPr>
            <a:ln w="28575" cap="rnd">
              <a:solidFill>
                <a:srgbClr val="000099"/>
              </a:solidFill>
              <a:prstDash val="lgDash"/>
              <a:round/>
            </a:ln>
            <a:effectLst/>
          </c:spPr>
          <c:marker>
            <c:symbol val="none"/>
          </c:marker>
          <c:cat>
            <c:strRef>
              <c:f>Anchieta!$H$132:$H$135</c:f>
              <c:strCache>
                <c:ptCount val="4"/>
                <c:pt idx="0">
                  <c:v>Produtividade e Controle</c:v>
                </c:pt>
                <c:pt idx="1">
                  <c:v>Documentos e Registro </c:v>
                </c:pt>
                <c:pt idx="2">
                  <c:v>Manutenção do Processo </c:v>
                </c:pt>
                <c:pt idx="3">
                  <c:v>Análise dos Dados </c:v>
                </c:pt>
              </c:strCache>
            </c:strRef>
          </c:cat>
          <c:val>
            <c:numRef>
              <c:f>Anchieta!$L$132:$L$135</c:f>
              <c:numCache>
                <c:formatCode>0%</c:formatCode>
                <c:ptCount val="4"/>
                <c:pt idx="0">
                  <c:v>1</c:v>
                </c:pt>
                <c:pt idx="1">
                  <c:v>0.75</c:v>
                </c:pt>
                <c:pt idx="2">
                  <c:v>1</c:v>
                </c:pt>
                <c:pt idx="3">
                  <c:v>1</c:v>
                </c:pt>
              </c:numCache>
            </c:numRef>
          </c:val>
          <c:extLst>
            <c:ext xmlns:c16="http://schemas.microsoft.com/office/drawing/2014/chart" uri="{C3380CC4-5D6E-409C-BE32-E72D297353CC}">
              <c16:uniqueId val="{00000000-5538-4F21-A7D9-EF4C88622769}"/>
            </c:ext>
          </c:extLst>
        </c:ser>
        <c:ser>
          <c:idx val="1"/>
          <c:order val="1"/>
          <c:tx>
            <c:strRef>
              <c:f>Anchieta!$M$131</c:f>
              <c:strCache>
                <c:ptCount val="1"/>
                <c:pt idx="0">
                  <c:v>Auditado</c:v>
                </c:pt>
              </c:strCache>
            </c:strRef>
          </c:tx>
          <c:spPr>
            <a:ln w="28575" cap="rnd">
              <a:solidFill>
                <a:srgbClr val="92D050"/>
              </a:solidFill>
              <a:round/>
            </a:ln>
            <a:effectLst/>
          </c:spPr>
          <c:marker>
            <c:symbol val="none"/>
          </c:marker>
          <c:cat>
            <c:strRef>
              <c:f>Anchieta!$H$132:$H$135</c:f>
              <c:strCache>
                <c:ptCount val="4"/>
                <c:pt idx="0">
                  <c:v>Produtividade e Controle</c:v>
                </c:pt>
                <c:pt idx="1">
                  <c:v>Documentos e Registro </c:v>
                </c:pt>
                <c:pt idx="2">
                  <c:v>Manutenção do Processo </c:v>
                </c:pt>
                <c:pt idx="3">
                  <c:v>Análise dos Dados </c:v>
                </c:pt>
              </c:strCache>
            </c:strRef>
          </c:cat>
          <c:val>
            <c:numRef>
              <c:f>Anchieta!$M$132:$M$135</c:f>
              <c:numCache>
                <c:formatCode>0%</c:formatCode>
                <c:ptCount val="4"/>
                <c:pt idx="0">
                  <c:v>1</c:v>
                </c:pt>
                <c:pt idx="1">
                  <c:v>0.75</c:v>
                </c:pt>
                <c:pt idx="2">
                  <c:v>1</c:v>
                </c:pt>
                <c:pt idx="3">
                  <c:v>1</c:v>
                </c:pt>
              </c:numCache>
            </c:numRef>
          </c:val>
          <c:extLst>
            <c:ext xmlns:c16="http://schemas.microsoft.com/office/drawing/2014/chart" uri="{C3380CC4-5D6E-409C-BE32-E72D297353CC}">
              <c16:uniqueId val="{00000001-5538-4F21-A7D9-EF4C88622769}"/>
            </c:ext>
          </c:extLst>
        </c:ser>
        <c:ser>
          <c:idx val="2"/>
          <c:order val="2"/>
          <c:tx>
            <c:strRef>
              <c:f>Anchieta!$N$131</c:f>
              <c:strCache>
                <c:ptCount val="1"/>
                <c:pt idx="0">
                  <c:v>Meta</c:v>
                </c:pt>
              </c:strCache>
            </c:strRef>
          </c:tx>
          <c:spPr>
            <a:ln w="28575" cap="rnd">
              <a:solidFill>
                <a:srgbClr val="FF0000"/>
              </a:solidFill>
              <a:prstDash val="dash"/>
              <a:round/>
            </a:ln>
            <a:effectLst/>
          </c:spPr>
          <c:marker>
            <c:symbol val="none"/>
          </c:marker>
          <c:cat>
            <c:strRef>
              <c:f>Anchieta!$H$132:$H$135</c:f>
              <c:strCache>
                <c:ptCount val="4"/>
                <c:pt idx="0">
                  <c:v>Produtividade e Controle</c:v>
                </c:pt>
                <c:pt idx="1">
                  <c:v>Documentos e Registro </c:v>
                </c:pt>
                <c:pt idx="2">
                  <c:v>Manutenção do Processo </c:v>
                </c:pt>
                <c:pt idx="3">
                  <c:v>Análise dos Dados </c:v>
                </c:pt>
              </c:strCache>
            </c:strRef>
          </c:cat>
          <c:val>
            <c:numRef>
              <c:f>Anchieta!$N$132:$N$135</c:f>
              <c:numCache>
                <c:formatCode>0%</c:formatCode>
                <c:ptCount val="4"/>
                <c:pt idx="0">
                  <c:v>1</c:v>
                </c:pt>
                <c:pt idx="1">
                  <c:v>1</c:v>
                </c:pt>
                <c:pt idx="2">
                  <c:v>1</c:v>
                </c:pt>
                <c:pt idx="3">
                  <c:v>1</c:v>
                </c:pt>
              </c:numCache>
            </c:numRef>
          </c:val>
          <c:extLst>
            <c:ext xmlns:c16="http://schemas.microsoft.com/office/drawing/2014/chart" uri="{C3380CC4-5D6E-409C-BE32-E72D297353CC}">
              <c16:uniqueId val="{00000002-5538-4F21-A7D9-EF4C88622769}"/>
            </c:ext>
          </c:extLst>
        </c:ser>
        <c:dLbls>
          <c:showLegendKey val="0"/>
          <c:showVal val="0"/>
          <c:showCatName val="0"/>
          <c:showSerName val="0"/>
          <c:showPercent val="0"/>
          <c:showBubbleSize val="0"/>
        </c:dLbls>
        <c:axId val="516001647"/>
        <c:axId val="515997807"/>
      </c:radarChart>
      <c:catAx>
        <c:axId val="51600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0099"/>
                </a:solidFill>
                <a:latin typeface="+mn-lt"/>
                <a:ea typeface="+mn-ea"/>
                <a:cs typeface="+mn-cs"/>
              </a:defRPr>
            </a:pPr>
            <a:endParaRPr lang="pt-BR"/>
          </a:p>
        </c:txPr>
        <c:crossAx val="515997807"/>
        <c:crosses val="autoZero"/>
        <c:auto val="1"/>
        <c:lblAlgn val="ctr"/>
        <c:lblOffset val="100"/>
        <c:noMultiLvlLbl val="0"/>
      </c:catAx>
      <c:valAx>
        <c:axId val="51599780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16001647"/>
        <c:crosses val="autoZero"/>
        <c:crossBetween val="between"/>
      </c:valAx>
      <c:spPr>
        <a:noFill/>
        <a:ln>
          <a:noFill/>
        </a:ln>
        <a:effectLst/>
      </c:spPr>
    </c:plotArea>
    <c:legend>
      <c:legendPos val="t"/>
      <c:layout>
        <c:manualLayout>
          <c:xMode val="edge"/>
          <c:yMode val="edge"/>
          <c:x val="1.3805285731494884E-2"/>
          <c:y val="0.82760462942829127"/>
          <c:w val="0.19567464690859679"/>
          <c:h val="0.1533856079829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2">
                <a:lumMod val="20000"/>
                <a:lumOff val="80000"/>
              </a:schemeClr>
            </a:solidFill>
            <a:ln>
              <a:noFill/>
            </a:ln>
            <a:effectLst/>
          </c:spPr>
          <c:invertIfNegative val="0"/>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42447032953536962"/>
                      <c:h val="0.15553607919151449"/>
                    </c:manualLayout>
                  </c15:layout>
                </c:ext>
                <c:ext xmlns:c16="http://schemas.microsoft.com/office/drawing/2014/chart" uri="{C3380CC4-5D6E-409C-BE32-E72D297353CC}">
                  <c16:uniqueId val="{00000001-620F-4CEA-973B-898D52568630}"/>
                </c:ext>
              </c:extLst>
            </c:dLbl>
            <c:dLbl>
              <c:idx val="2"/>
              <c:layout>
                <c:manualLayout>
                  <c:x val="-3.5975995777549452E-2"/>
                  <c:y val="7.852375343541421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5251833798027088"/>
                      <c:h val="0.15553607919151449"/>
                    </c:manualLayout>
                  </c15:layout>
                </c:ext>
                <c:ext xmlns:c16="http://schemas.microsoft.com/office/drawing/2014/chart" uri="{C3380CC4-5D6E-409C-BE32-E72D297353CC}">
                  <c16:uniqueId val="{00000000-620F-4CEA-973B-898D52568630}"/>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46160684130574314"/>
                      <c:h val="0.15553607919151449"/>
                    </c:manualLayout>
                  </c15:layout>
                </c:ext>
                <c:ext xmlns:c16="http://schemas.microsoft.com/office/drawing/2014/chart" uri="{C3380CC4-5D6E-409C-BE32-E72D297353CC}">
                  <c16:uniqueId val="{00000002-620F-4CEA-973B-898D5256863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7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Anchieta!$F$16:$F$18</c:f>
              <c:strCache>
                <c:ptCount val="3"/>
                <c:pt idx="0">
                  <c:v>GGF</c:v>
                </c:pt>
                <c:pt idx="1">
                  <c:v>MA</c:v>
                </c:pt>
                <c:pt idx="2">
                  <c:v>Outros</c:v>
                </c:pt>
              </c:strCache>
            </c:strRef>
          </c:cat>
          <c:val>
            <c:numRef>
              <c:f>Anchieta!$G$15:$G$18</c:f>
              <c:numCache>
                <c:formatCode>_("R$"* #,##0.00_);_("R$"* \(#,##0.00\);_("R$"* "-"??_);_(@_)</c:formatCode>
                <c:ptCount val="4"/>
                <c:pt idx="0">
                  <c:v>0</c:v>
                </c:pt>
                <c:pt idx="1">
                  <c:v>70529.773333333331</c:v>
                </c:pt>
                <c:pt idx="2">
                  <c:v>343938.057875</c:v>
                </c:pt>
                <c:pt idx="3">
                  <c:v>50000</c:v>
                </c:pt>
              </c:numCache>
            </c:numRef>
          </c:val>
          <c:extLst>
            <c:ext xmlns:c16="http://schemas.microsoft.com/office/drawing/2014/chart" uri="{C3380CC4-5D6E-409C-BE32-E72D297353CC}">
              <c16:uniqueId val="{00000000-3D57-4210-BD6F-AC67A74F5102}"/>
            </c:ext>
          </c:extLst>
        </c:ser>
        <c:dLbls>
          <c:dLblPos val="outEnd"/>
          <c:showLegendKey val="0"/>
          <c:showVal val="1"/>
          <c:showCatName val="0"/>
          <c:showSerName val="0"/>
          <c:showPercent val="0"/>
          <c:showBubbleSize val="0"/>
        </c:dLbls>
        <c:gapWidth val="182"/>
        <c:axId val="1578749424"/>
        <c:axId val="1578740304"/>
      </c:barChart>
      <c:catAx>
        <c:axId val="157874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FF"/>
                </a:solidFill>
                <a:latin typeface="+mn-lt"/>
                <a:ea typeface="+mn-ea"/>
                <a:cs typeface="+mn-cs"/>
              </a:defRPr>
            </a:pPr>
            <a:endParaRPr lang="pt-BR"/>
          </a:p>
        </c:txPr>
        <c:crossAx val="1578740304"/>
        <c:crosses val="autoZero"/>
        <c:auto val="1"/>
        <c:lblAlgn val="ctr"/>
        <c:lblOffset val="100"/>
        <c:noMultiLvlLbl val="0"/>
      </c:catAx>
      <c:valAx>
        <c:axId val="1578740304"/>
        <c:scaling>
          <c:orientation val="minMax"/>
        </c:scaling>
        <c:delete val="1"/>
        <c:axPos val="b"/>
        <c:numFmt formatCode="_(&quot;R$&quot;* #,##0.00_);_(&quot;R$&quot;* \(#,##0.00\);_(&quot;R$&quot;* &quot;-&quot;??_);_(@_)" sourceLinked="1"/>
        <c:majorTickMark val="none"/>
        <c:minorTickMark val="none"/>
        <c:tickLblPos val="nextTo"/>
        <c:crossAx val="157874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pt-BR" sz="1000"/>
              <a:t>SPD Anchieta</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SPD!$A$16</c:f>
              <c:strCache>
                <c:ptCount val="1"/>
                <c:pt idx="0">
                  <c:v>Geral</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SPD!$B$16:$L$16</c15:sqref>
                  </c15:fullRef>
                </c:ext>
              </c:extLst>
              <c:f>SPD!$B$16:$I$16</c:f>
              <c:numCache>
                <c:formatCode>0%</c:formatCode>
                <c:ptCount val="8"/>
                <c:pt idx="0">
                  <c:v>0.43</c:v>
                </c:pt>
                <c:pt idx="1">
                  <c:v>0.64</c:v>
                </c:pt>
                <c:pt idx="2">
                  <c:v>0.64</c:v>
                </c:pt>
                <c:pt idx="3">
                  <c:v>0.64</c:v>
                </c:pt>
                <c:pt idx="4">
                  <c:v>0.6785714285714286</c:v>
                </c:pt>
                <c:pt idx="5">
                  <c:v>0.92</c:v>
                </c:pt>
                <c:pt idx="6">
                  <c:v>0.96</c:v>
                </c:pt>
                <c:pt idx="7">
                  <c:v>0.96</c:v>
                </c:pt>
              </c:numCache>
            </c:numRef>
          </c:val>
          <c:smooth val="0"/>
          <c:extLst>
            <c:ext xmlns:c16="http://schemas.microsoft.com/office/drawing/2014/chart" uri="{C3380CC4-5D6E-409C-BE32-E72D297353CC}">
              <c16:uniqueId val="{00000000-B367-47ED-863A-4C8FEB6435EA}"/>
            </c:ext>
          </c:extLst>
        </c:ser>
        <c:ser>
          <c:idx val="1"/>
          <c:order val="1"/>
          <c:tx>
            <c:strRef>
              <c:f>SPD!$A$17</c:f>
              <c:strCache>
                <c:ptCount val="1"/>
                <c:pt idx="0">
                  <c:v>G.Auditado</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SPD!$B$17:$L$17</c15:sqref>
                  </c15:fullRef>
                </c:ext>
              </c:extLst>
              <c:f>SPD!$B$17:$I$17</c:f>
              <c:numCache>
                <c:formatCode>0%</c:formatCode>
                <c:ptCount val="8"/>
                <c:pt idx="0">
                  <c:v>0.43</c:v>
                </c:pt>
                <c:pt idx="1">
                  <c:v>0.43</c:v>
                </c:pt>
                <c:pt idx="2">
                  <c:v>0.43</c:v>
                </c:pt>
                <c:pt idx="3">
                  <c:v>0.43</c:v>
                </c:pt>
                <c:pt idx="4">
                  <c:v>0.42857142857142855</c:v>
                </c:pt>
                <c:pt idx="5">
                  <c:v>0</c:v>
                </c:pt>
                <c:pt idx="6">
                  <c:v>0</c:v>
                </c:pt>
                <c:pt idx="7">
                  <c:v>0.96</c:v>
                </c:pt>
              </c:numCache>
            </c:numRef>
          </c:val>
          <c:smooth val="0"/>
          <c:extLst>
            <c:ext xmlns:c16="http://schemas.microsoft.com/office/drawing/2014/chart" uri="{C3380CC4-5D6E-409C-BE32-E72D297353CC}">
              <c16:uniqueId val="{00000001-B367-47ED-863A-4C8FEB6435EA}"/>
            </c:ext>
          </c:extLst>
        </c:ser>
        <c:ser>
          <c:idx val="2"/>
          <c:order val="2"/>
          <c:tx>
            <c:strRef>
              <c:f>SPD!$A$18</c:f>
              <c:strCache>
                <c:ptCount val="1"/>
                <c:pt idx="0">
                  <c:v>Fase 01</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SPD!$B$18:$L$18</c15:sqref>
                  </c15:fullRef>
                </c:ext>
              </c:extLst>
              <c:f>SPD!$B$18:$I$18</c:f>
              <c:numCache>
                <c:formatCode>0%</c:formatCode>
                <c:ptCount val="8"/>
                <c:pt idx="0">
                  <c:v>0.46</c:v>
                </c:pt>
                <c:pt idx="1">
                  <c:v>0.77</c:v>
                </c:pt>
                <c:pt idx="2">
                  <c:v>0.77</c:v>
                </c:pt>
                <c:pt idx="3">
                  <c:v>0.76923076923076927</c:v>
                </c:pt>
                <c:pt idx="4">
                  <c:v>0.84615384615384615</c:v>
                </c:pt>
                <c:pt idx="5">
                  <c:v>0.92</c:v>
                </c:pt>
                <c:pt idx="6">
                  <c:v>0.92</c:v>
                </c:pt>
                <c:pt idx="7">
                  <c:v>0.92</c:v>
                </c:pt>
              </c:numCache>
            </c:numRef>
          </c:val>
          <c:smooth val="0"/>
          <c:extLst>
            <c:ext xmlns:c16="http://schemas.microsoft.com/office/drawing/2014/chart" uri="{C3380CC4-5D6E-409C-BE32-E72D297353CC}">
              <c16:uniqueId val="{00000002-B367-47ED-863A-4C8FEB6435EA}"/>
            </c:ext>
          </c:extLst>
        </c:ser>
        <c:ser>
          <c:idx val="3"/>
          <c:order val="3"/>
          <c:tx>
            <c:strRef>
              <c:f>SPD!$A$19</c:f>
              <c:strCache>
                <c:ptCount val="1"/>
                <c:pt idx="0">
                  <c:v>Fase 02</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SPD!$B$19:$L$19</c15:sqref>
                  </c15:fullRef>
                </c:ext>
              </c:extLst>
              <c:f>SPD!$B$19:$I$19</c:f>
              <c:numCache>
                <c:formatCode>0%</c:formatCode>
                <c:ptCount val="8"/>
                <c:pt idx="0">
                  <c:v>0.43</c:v>
                </c:pt>
                <c:pt idx="1">
                  <c:v>0.56999999999999995</c:v>
                </c:pt>
                <c:pt idx="2">
                  <c:v>0.56999999999999995</c:v>
                </c:pt>
                <c:pt idx="3">
                  <c:v>0.5714285714285714</c:v>
                </c:pt>
                <c:pt idx="4">
                  <c:v>0.5714285714285714</c:v>
                </c:pt>
                <c:pt idx="5">
                  <c:v>0.92</c:v>
                </c:pt>
                <c:pt idx="6">
                  <c:v>1</c:v>
                </c:pt>
                <c:pt idx="7">
                  <c:v>1</c:v>
                </c:pt>
              </c:numCache>
            </c:numRef>
          </c:val>
          <c:smooth val="0"/>
          <c:extLst>
            <c:ext xmlns:c16="http://schemas.microsoft.com/office/drawing/2014/chart" uri="{C3380CC4-5D6E-409C-BE32-E72D297353CC}">
              <c16:uniqueId val="{00000003-B367-47ED-863A-4C8FEB6435EA}"/>
            </c:ext>
          </c:extLst>
        </c:ser>
        <c:ser>
          <c:idx val="4"/>
          <c:order val="4"/>
          <c:tx>
            <c:strRef>
              <c:f>SPD!$A$20</c:f>
              <c:strCache>
                <c:ptCount val="1"/>
                <c:pt idx="0">
                  <c:v>Fase 03</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SPD!$B$1:$L$1</c15:sqref>
                  </c15:fullRef>
                </c:ext>
              </c:extLst>
              <c:f>SPD!$B$1:$I$1</c:f>
              <c:numCache>
                <c:formatCode>d\-mmm</c:formatCode>
                <c:ptCount val="8"/>
                <c:pt idx="0">
                  <c:v>46135</c:v>
                </c:pt>
                <c:pt idx="1">
                  <c:v>46142</c:v>
                </c:pt>
                <c:pt idx="2">
                  <c:v>46149</c:v>
                </c:pt>
                <c:pt idx="3">
                  <c:v>46156</c:v>
                </c:pt>
                <c:pt idx="4">
                  <c:v>46163</c:v>
                </c:pt>
                <c:pt idx="5">
                  <c:v>46197</c:v>
                </c:pt>
                <c:pt idx="6">
                  <c:v>46204</c:v>
                </c:pt>
                <c:pt idx="7">
                  <c:v>46211</c:v>
                </c:pt>
              </c:numCache>
            </c:numRef>
          </c:cat>
          <c:val>
            <c:numRef>
              <c:extLst>
                <c:ext xmlns:c15="http://schemas.microsoft.com/office/drawing/2012/chart" uri="{02D57815-91ED-43cb-92C2-25804820EDAC}">
                  <c15:fullRef>
                    <c15:sqref>SPD!$B$20:$L$20</c15:sqref>
                  </c15:fullRef>
                </c:ext>
              </c:extLst>
              <c:f>SPD!$B$20:$I$20</c:f>
              <c:numCache>
                <c:formatCode>0%</c:formatCode>
                <c:ptCount val="8"/>
                <c:pt idx="0">
                  <c:v>0</c:v>
                </c:pt>
                <c:pt idx="1">
                  <c:v>0</c:v>
                </c:pt>
                <c:pt idx="2">
                  <c:v>0</c:v>
                </c:pt>
                <c:pt idx="3">
                  <c:v>0</c:v>
                </c:pt>
                <c:pt idx="4">
                  <c:v>0</c:v>
                </c:pt>
                <c:pt idx="5">
                  <c:v>0</c:v>
                </c:pt>
              </c:numCache>
            </c:numRef>
          </c:val>
          <c:smooth val="0"/>
          <c:extLst>
            <c:ext xmlns:c16="http://schemas.microsoft.com/office/drawing/2014/chart" uri="{C3380CC4-5D6E-409C-BE32-E72D297353CC}">
              <c16:uniqueId val="{00000004-B367-47ED-863A-4C8FEB6435EA}"/>
            </c:ext>
          </c:extLst>
        </c:ser>
        <c:dLbls>
          <c:showLegendKey val="0"/>
          <c:showVal val="0"/>
          <c:showCatName val="0"/>
          <c:showSerName val="0"/>
          <c:showPercent val="0"/>
          <c:showBubbleSize val="0"/>
        </c:dLbls>
        <c:smooth val="0"/>
        <c:axId val="1809023119"/>
        <c:axId val="1809019759"/>
      </c:lineChart>
      <c:dateAx>
        <c:axId val="1809023119"/>
        <c:scaling>
          <c:orientation val="minMax"/>
        </c:scaling>
        <c:delete val="1"/>
        <c:axPos val="b"/>
        <c:numFmt formatCode="d\-mmm" sourceLinked="1"/>
        <c:majorTickMark val="out"/>
        <c:minorTickMark val="none"/>
        <c:tickLblPos val="nextTo"/>
        <c:crossAx val="1809019759"/>
        <c:crosses val="autoZero"/>
        <c:auto val="1"/>
        <c:lblOffset val="100"/>
        <c:baseTimeUnit val="days"/>
      </c:dateAx>
      <c:valAx>
        <c:axId val="1809019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1809023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00FF"/>
      </a:solidFill>
      <a:round/>
    </a:ln>
    <a:effectLst/>
  </c:spPr>
  <c:txPr>
    <a:bodyPr/>
    <a:lstStyle/>
    <a:p>
      <a:pPr>
        <a:defRPr/>
      </a:pPr>
      <a:endParaRPr lang="pt-B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'Compras '!$P$147</c:f>
              <c:strCache>
                <c:ptCount val="1"/>
                <c:pt idx="0">
                  <c:v> R$ 251.073,13 </c:v>
                </c:pt>
              </c:strCache>
            </c:strRef>
          </c:tx>
          <c:spPr>
            <a:solidFill>
              <a:schemeClr val="accent1"/>
            </a:solidFill>
            <a:ln>
              <a:noFill/>
            </a:ln>
            <a:effectLst/>
          </c:spPr>
          <c:invertIfNegative val="0"/>
          <c:cat>
            <c:strRef>
              <c:f>'Compras '!$Q$146:$AB$146</c:f>
              <c:strCache>
                <c:ptCount val="12"/>
                <c:pt idx="0">
                  <c:v>fev/26</c:v>
                </c:pt>
                <c:pt idx="1">
                  <c:v>mar/26</c:v>
                </c:pt>
                <c:pt idx="2">
                  <c:v>abr/26</c:v>
                </c:pt>
                <c:pt idx="3">
                  <c:v>mai/26</c:v>
                </c:pt>
                <c:pt idx="4">
                  <c:v>jun/26</c:v>
                </c:pt>
                <c:pt idx="5">
                  <c:v>jul/26</c:v>
                </c:pt>
                <c:pt idx="6">
                  <c:v>ago/26</c:v>
                </c:pt>
                <c:pt idx="7">
                  <c:v>set/26</c:v>
                </c:pt>
                <c:pt idx="8">
                  <c:v>out/26</c:v>
                </c:pt>
                <c:pt idx="9">
                  <c:v>nov/26</c:v>
                </c:pt>
                <c:pt idx="10">
                  <c:v>dez/26</c:v>
                </c:pt>
                <c:pt idx="11">
                  <c:v>total</c:v>
                </c:pt>
              </c:strCache>
            </c:strRef>
          </c:cat>
          <c:val>
            <c:numRef>
              <c:f>'Compras '!$Q$147:$AB$147</c:f>
              <c:numCache>
                <c:formatCode>_("R$"* #,##0.00_);_("R$"* \(#,##0.00\);_("R$"* "-"??_);_(@_)</c:formatCode>
                <c:ptCount val="12"/>
                <c:pt idx="0">
                  <c:v>282053.10765151511</c:v>
                </c:pt>
                <c:pt idx="1">
                  <c:v>352262.72165151511</c:v>
                </c:pt>
                <c:pt idx="2">
                  <c:v>379785.7116515151</c:v>
                </c:pt>
                <c:pt idx="3">
                  <c:v>387531.3966515151</c:v>
                </c:pt>
                <c:pt idx="4">
                  <c:v>821963.14665151527</c:v>
                </c:pt>
                <c:pt idx="5">
                  <c:v>883978.97998484864</c:v>
                </c:pt>
                <c:pt idx="6">
                  <c:v>936924.97998484864</c:v>
                </c:pt>
                <c:pt idx="7">
                  <c:v>1030562.1649848486</c:v>
                </c:pt>
                <c:pt idx="8">
                  <c:v>1541081.4983181818</c:v>
                </c:pt>
                <c:pt idx="9">
                  <c:v>1571197.2983181819</c:v>
                </c:pt>
                <c:pt idx="10">
                  <c:v>3154725.2983181821</c:v>
                </c:pt>
                <c:pt idx="11">
                  <c:v>11593139.43</c:v>
                </c:pt>
              </c:numCache>
            </c:numRef>
          </c:val>
          <c:extLst>
            <c:ext xmlns:c16="http://schemas.microsoft.com/office/drawing/2014/chart" uri="{C3380CC4-5D6E-409C-BE32-E72D297353CC}">
              <c16:uniqueId val="{00000000-D23A-4B4B-AFA0-7A4DC37AE9CB}"/>
            </c:ext>
          </c:extLst>
        </c:ser>
        <c:ser>
          <c:idx val="1"/>
          <c:order val="1"/>
          <c:tx>
            <c:strRef>
              <c:f>'Compras '!$P$148</c:f>
              <c:strCache>
                <c:ptCount val="1"/>
                <c:pt idx="0">
                  <c:v> R$ 212.117,82 </c:v>
                </c:pt>
              </c:strCache>
            </c:strRef>
          </c:tx>
          <c:spPr>
            <a:solidFill>
              <a:srgbClr val="92D050"/>
            </a:solidFill>
            <a:ln>
              <a:noFill/>
            </a:ln>
            <a:effectLst/>
          </c:spPr>
          <c:invertIfNegative val="0"/>
          <c:cat>
            <c:strRef>
              <c:f>'Compras '!$Q$146:$AB$146</c:f>
              <c:strCache>
                <c:ptCount val="12"/>
                <c:pt idx="0">
                  <c:v>fev/26</c:v>
                </c:pt>
                <c:pt idx="1">
                  <c:v>mar/26</c:v>
                </c:pt>
                <c:pt idx="2">
                  <c:v>abr/26</c:v>
                </c:pt>
                <c:pt idx="3">
                  <c:v>mai/26</c:v>
                </c:pt>
                <c:pt idx="4">
                  <c:v>jun/26</c:v>
                </c:pt>
                <c:pt idx="5">
                  <c:v>jul/26</c:v>
                </c:pt>
                <c:pt idx="6">
                  <c:v>ago/26</c:v>
                </c:pt>
                <c:pt idx="7">
                  <c:v>set/26</c:v>
                </c:pt>
                <c:pt idx="8">
                  <c:v>out/26</c:v>
                </c:pt>
                <c:pt idx="9">
                  <c:v>nov/26</c:v>
                </c:pt>
                <c:pt idx="10">
                  <c:v>dez/26</c:v>
                </c:pt>
                <c:pt idx="11">
                  <c:v>total</c:v>
                </c:pt>
              </c:strCache>
            </c:strRef>
          </c:cat>
          <c:val>
            <c:numRef>
              <c:f>'Compras '!$Q$148:$AB$148</c:f>
              <c:numCache>
                <c:formatCode>_("R$"* #,##0.00_);_("R$"* \(#,##0.00\);_("R$"* "-"??_);_(@_)</c:formatCode>
                <c:ptCount val="12"/>
                <c:pt idx="0">
                  <c:v>225319.86072864002</c:v>
                </c:pt>
                <c:pt idx="1">
                  <c:v>188186.91692024999</c:v>
                </c:pt>
                <c:pt idx="2">
                  <c:v>191240.72387360001</c:v>
                </c:pt>
                <c:pt idx="3">
                  <c:v>192124.89369330002</c:v>
                </c:pt>
                <c:pt idx="4">
                  <c:v>273446.09629101004</c:v>
                </c:pt>
                <c:pt idx="5">
                  <c:v>0</c:v>
                </c:pt>
                <c:pt idx="6">
                  <c:v>0</c:v>
                </c:pt>
                <c:pt idx="7">
                  <c:v>0</c:v>
                </c:pt>
                <c:pt idx="8">
                  <c:v>0</c:v>
                </c:pt>
                <c:pt idx="9">
                  <c:v>0</c:v>
                </c:pt>
                <c:pt idx="10">
                  <c:v>0</c:v>
                </c:pt>
                <c:pt idx="11">
                  <c:v>1282436.3115068001</c:v>
                </c:pt>
              </c:numCache>
            </c:numRef>
          </c:val>
          <c:extLst>
            <c:ext xmlns:c16="http://schemas.microsoft.com/office/drawing/2014/chart" uri="{C3380CC4-5D6E-409C-BE32-E72D297353CC}">
              <c16:uniqueId val="{00000001-D23A-4B4B-AFA0-7A4DC37AE9CB}"/>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'Compras '!$P$149</c:f>
              <c:strCache>
                <c:ptCount val="1"/>
                <c:pt idx="0">
                  <c:v>#REF!</c:v>
                </c:pt>
              </c:strCache>
            </c:strRef>
          </c:tx>
          <c:spPr>
            <a:ln w="6350" cap="rnd">
              <a:solidFill>
                <a:srgbClr val="FF0000"/>
              </a:solidFill>
              <a:prstDash val="lgDashDot"/>
              <a:round/>
            </a:ln>
            <a:effectLst/>
          </c:spPr>
          <c:marker>
            <c:symbol val="none"/>
          </c:marker>
          <c:cat>
            <c:strRef>
              <c:f>'Compras '!$Q$146:$AB$146</c:f>
              <c:strCache>
                <c:ptCount val="12"/>
                <c:pt idx="0">
                  <c:v>fev/26</c:v>
                </c:pt>
                <c:pt idx="1">
                  <c:v>mar/26</c:v>
                </c:pt>
                <c:pt idx="2">
                  <c:v>abr/26</c:v>
                </c:pt>
                <c:pt idx="3">
                  <c:v>mai/26</c:v>
                </c:pt>
                <c:pt idx="4">
                  <c:v>jun/26</c:v>
                </c:pt>
                <c:pt idx="5">
                  <c:v>jul/26</c:v>
                </c:pt>
                <c:pt idx="6">
                  <c:v>ago/26</c:v>
                </c:pt>
                <c:pt idx="7">
                  <c:v>set/26</c:v>
                </c:pt>
                <c:pt idx="8">
                  <c:v>out/26</c:v>
                </c:pt>
                <c:pt idx="9">
                  <c:v>nov/26</c:v>
                </c:pt>
                <c:pt idx="10">
                  <c:v>dez/26</c:v>
                </c:pt>
                <c:pt idx="11">
                  <c:v>total</c:v>
                </c:pt>
              </c:strCache>
            </c:strRef>
          </c:cat>
          <c:val>
            <c:numRef>
              <c:f>'Compras '!$Q$149:$AB$149</c:f>
              <c:numCache>
                <c:formatCode>0</c:formatCode>
                <c:ptCount val="12"/>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2-D23A-4B4B-AFA0-7A4DC37AE9CB}"/>
            </c:ext>
          </c:extLst>
        </c:ser>
        <c:ser>
          <c:idx val="3"/>
          <c:order val="3"/>
          <c:tx>
            <c:strRef>
              <c:f>'Compras '!$P$150</c:f>
              <c:strCache>
                <c:ptCount val="1"/>
                <c:pt idx="0">
                  <c:v> R$ 251.073,13 </c:v>
                </c:pt>
              </c:strCache>
            </c:strRef>
          </c:tx>
          <c:spPr>
            <a:ln w="28575" cap="rnd">
              <a:solidFill>
                <a:srgbClr val="92D050"/>
              </a:solidFill>
              <a:round/>
            </a:ln>
            <a:effectLst/>
          </c:spPr>
          <c:marker>
            <c:symbol val="none"/>
          </c:marker>
          <c:cat>
            <c:strRef>
              <c:f>'Compras '!$Q$146:$AB$146</c:f>
              <c:strCache>
                <c:ptCount val="12"/>
                <c:pt idx="0">
                  <c:v>fev/26</c:v>
                </c:pt>
                <c:pt idx="1">
                  <c:v>mar/26</c:v>
                </c:pt>
                <c:pt idx="2">
                  <c:v>abr/26</c:v>
                </c:pt>
                <c:pt idx="3">
                  <c:v>mai/26</c:v>
                </c:pt>
                <c:pt idx="4">
                  <c:v>jun/26</c:v>
                </c:pt>
                <c:pt idx="5">
                  <c:v>jul/26</c:v>
                </c:pt>
                <c:pt idx="6">
                  <c:v>ago/26</c:v>
                </c:pt>
                <c:pt idx="7">
                  <c:v>set/26</c:v>
                </c:pt>
                <c:pt idx="8">
                  <c:v>out/26</c:v>
                </c:pt>
                <c:pt idx="9">
                  <c:v>nov/26</c:v>
                </c:pt>
                <c:pt idx="10">
                  <c:v>dez/26</c:v>
                </c:pt>
                <c:pt idx="11">
                  <c:v>total</c:v>
                </c:pt>
              </c:strCache>
            </c:strRef>
          </c:cat>
          <c:val>
            <c:numRef>
              <c:f>'Compras '!$Q$150:$AB$150</c:f>
              <c:numCache>
                <c:formatCode>_("R$"* #,##0.00_);_("R$"* \(#,##0.00\);_("R$"* "-"??_);_(@_)</c:formatCode>
                <c:ptCount val="12"/>
                <c:pt idx="0">
                  <c:v>533126.2334848484</c:v>
                </c:pt>
                <c:pt idx="1">
                  <c:v>885388.95513636351</c:v>
                </c:pt>
                <c:pt idx="2">
                  <c:v>1265174.6667878786</c:v>
                </c:pt>
                <c:pt idx="3">
                  <c:v>1652706.0634393936</c:v>
                </c:pt>
                <c:pt idx="4">
                  <c:v>2474669.2100909092</c:v>
                </c:pt>
                <c:pt idx="5">
                  <c:v>3358648.1900757579</c:v>
                </c:pt>
                <c:pt idx="6">
                  <c:v>4295573.1700606067</c:v>
                </c:pt>
                <c:pt idx="7">
                  <c:v>5326135.335045455</c:v>
                </c:pt>
                <c:pt idx="8">
                  <c:v>6867216.8333636373</c:v>
                </c:pt>
                <c:pt idx="9">
                  <c:v>8438414.1316818185</c:v>
                </c:pt>
                <c:pt idx="10">
                  <c:v>11593139.43</c:v>
                </c:pt>
              </c:numCache>
            </c:numRef>
          </c:val>
          <c:smooth val="0"/>
          <c:extLst>
            <c:ext xmlns:c16="http://schemas.microsoft.com/office/drawing/2014/chart" uri="{C3380CC4-5D6E-409C-BE32-E72D297353CC}">
              <c16:uniqueId val="{00000000-FE7A-4067-8FEA-76EB29556D39}"/>
            </c:ext>
          </c:extLst>
        </c:ser>
        <c:ser>
          <c:idx val="4"/>
          <c:order val="4"/>
          <c:tx>
            <c:strRef>
              <c:f>'Compras '!$P$151</c:f>
              <c:strCache>
                <c:ptCount val="1"/>
                <c:pt idx="0">
                  <c:v> R$ 212.117,82 </c:v>
                </c:pt>
              </c:strCache>
            </c:strRef>
          </c:tx>
          <c:spPr>
            <a:ln w="28575" cap="rnd">
              <a:solidFill>
                <a:schemeClr val="accent5"/>
              </a:solidFill>
              <a:round/>
            </a:ln>
            <a:effectLst/>
          </c:spPr>
          <c:marker>
            <c:symbol val="none"/>
          </c:marker>
          <c:cat>
            <c:strRef>
              <c:f>'Compras '!$Q$146:$AB$146</c:f>
              <c:strCache>
                <c:ptCount val="12"/>
                <c:pt idx="0">
                  <c:v>fev/26</c:v>
                </c:pt>
                <c:pt idx="1">
                  <c:v>mar/26</c:v>
                </c:pt>
                <c:pt idx="2">
                  <c:v>abr/26</c:v>
                </c:pt>
                <c:pt idx="3">
                  <c:v>mai/26</c:v>
                </c:pt>
                <c:pt idx="4">
                  <c:v>jun/26</c:v>
                </c:pt>
                <c:pt idx="5">
                  <c:v>jul/26</c:v>
                </c:pt>
                <c:pt idx="6">
                  <c:v>ago/26</c:v>
                </c:pt>
                <c:pt idx="7">
                  <c:v>set/26</c:v>
                </c:pt>
                <c:pt idx="8">
                  <c:v>out/26</c:v>
                </c:pt>
                <c:pt idx="9">
                  <c:v>nov/26</c:v>
                </c:pt>
                <c:pt idx="10">
                  <c:v>dez/26</c:v>
                </c:pt>
                <c:pt idx="11">
                  <c:v>total</c:v>
                </c:pt>
              </c:strCache>
            </c:strRef>
          </c:cat>
          <c:val>
            <c:numRef>
              <c:f>'Compras '!$Q$151:$AB$151</c:f>
              <c:numCache>
                <c:formatCode>_("R$"* #,##0.00_);_("R$"* \(#,##0.00\);_("R$"* "-"??_);_(@_)</c:formatCode>
                <c:ptCount val="12"/>
                <c:pt idx="0">
                  <c:v>437437.68072864006</c:v>
                </c:pt>
                <c:pt idx="1">
                  <c:v>625624.59764888999</c:v>
                </c:pt>
                <c:pt idx="2">
                  <c:v>816865.32152249001</c:v>
                </c:pt>
                <c:pt idx="3">
                  <c:v>1008990.2152157901</c:v>
                </c:pt>
                <c:pt idx="4">
                  <c:v>1282436.3115068001</c:v>
                </c:pt>
                <c:pt idx="5">
                  <c:v>1282436.3115068001</c:v>
                </c:pt>
                <c:pt idx="6">
                  <c:v>1282436.3115068001</c:v>
                </c:pt>
                <c:pt idx="7">
                  <c:v>1282436.3115068001</c:v>
                </c:pt>
                <c:pt idx="8">
                  <c:v>1282436.3115068001</c:v>
                </c:pt>
                <c:pt idx="9">
                  <c:v>1282436.3115068001</c:v>
                </c:pt>
                <c:pt idx="10">
                  <c:v>1282436.3115068001</c:v>
                </c:pt>
              </c:numCache>
            </c:numRef>
          </c:val>
          <c:smooth val="0"/>
          <c:extLst>
            <c:ext xmlns:c16="http://schemas.microsoft.com/office/drawing/2014/chart" uri="{C3380CC4-5D6E-409C-BE32-E72D297353CC}">
              <c16:uniqueId val="{00000001-FE7A-4067-8FEA-76EB29556D39}"/>
            </c:ext>
          </c:extLst>
        </c:ser>
        <c:ser>
          <c:idx val="5"/>
          <c:order val="5"/>
          <c:tx>
            <c:strRef>
              <c:f>'Compras '!$P$152</c:f>
              <c:strCache>
                <c:ptCount val="1"/>
                <c:pt idx="0">
                  <c:v> R$ 212.117,82 </c:v>
                </c:pt>
              </c:strCache>
            </c:strRef>
          </c:tx>
          <c:spPr>
            <a:ln w="12700" cap="rnd">
              <a:solidFill>
                <a:srgbClr val="00B050"/>
              </a:solidFill>
              <a:prstDash val="sysDot"/>
              <a:round/>
            </a:ln>
            <a:effectLst/>
          </c:spPr>
          <c:marker>
            <c:symbol val="none"/>
          </c:marker>
          <c:cat>
            <c:strRef>
              <c:f>'Compras '!$Q$146:$AB$146</c:f>
              <c:strCache>
                <c:ptCount val="12"/>
                <c:pt idx="0">
                  <c:v>fev/26</c:v>
                </c:pt>
                <c:pt idx="1">
                  <c:v>mar/26</c:v>
                </c:pt>
                <c:pt idx="2">
                  <c:v>abr/26</c:v>
                </c:pt>
                <c:pt idx="3">
                  <c:v>mai/26</c:v>
                </c:pt>
                <c:pt idx="4">
                  <c:v>jun/26</c:v>
                </c:pt>
                <c:pt idx="5">
                  <c:v>jul/26</c:v>
                </c:pt>
                <c:pt idx="6">
                  <c:v>ago/26</c:v>
                </c:pt>
                <c:pt idx="7">
                  <c:v>set/26</c:v>
                </c:pt>
                <c:pt idx="8">
                  <c:v>out/26</c:v>
                </c:pt>
                <c:pt idx="9">
                  <c:v>nov/26</c:v>
                </c:pt>
                <c:pt idx="10">
                  <c:v>dez/26</c:v>
                </c:pt>
                <c:pt idx="11">
                  <c:v>total</c:v>
                </c:pt>
              </c:strCache>
            </c:strRef>
          </c:cat>
          <c:val>
            <c:numRef>
              <c:f>'Compras '!$Q$152:$AB$152</c:f>
              <c:numCache>
                <c:formatCode>_("R$"* #,##0.00_);_("R$"* \(#,##0.00\);_("R$"* "-"??_);_(@_)</c:formatCode>
                <c:ptCount val="12"/>
                <c:pt idx="0">
                  <c:v>437437.68072864006</c:v>
                </c:pt>
                <c:pt idx="1">
                  <c:v>625624.59764888999</c:v>
                </c:pt>
                <c:pt idx="2">
                  <c:v>816865.32152249001</c:v>
                </c:pt>
                <c:pt idx="3">
                  <c:v>1008990.2152157901</c:v>
                </c:pt>
                <c:pt idx="4">
                  <c:v>1282436.3115068001</c:v>
                </c:pt>
                <c:pt idx="5">
                  <c:v>2235363.5929223336</c:v>
                </c:pt>
                <c:pt idx="6">
                  <c:v>3188290.8743378669</c:v>
                </c:pt>
                <c:pt idx="7">
                  <c:v>4141218.1557534002</c:v>
                </c:pt>
                <c:pt idx="8">
                  <c:v>5094145.4371689335</c:v>
                </c:pt>
                <c:pt idx="9">
                  <c:v>6047072.7185844667</c:v>
                </c:pt>
                <c:pt idx="10">
                  <c:v>7000000</c:v>
                </c:pt>
              </c:numCache>
            </c:numRef>
          </c:val>
          <c:smooth val="0"/>
          <c:extLst>
            <c:ext xmlns:c16="http://schemas.microsoft.com/office/drawing/2014/chart" uri="{C3380CC4-5D6E-409C-BE32-E72D297353CC}">
              <c16:uniqueId val="{00000000-3E6A-4CA0-965D-91AF4F5445E9}"/>
            </c:ext>
          </c:extLst>
        </c:ser>
        <c:dLbls>
          <c:showLegendKey val="0"/>
          <c:showVal val="0"/>
          <c:showCatName val="0"/>
          <c:showSerName val="0"/>
          <c:showPercent val="0"/>
          <c:showBubbleSize val="0"/>
        </c:dLbls>
        <c:marker val="1"/>
        <c:smooth val="0"/>
        <c:axId val="1383361104"/>
        <c:axId val="1383354384"/>
      </c:lineChart>
      <c:catAx>
        <c:axId val="442705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Algn val="ctr"/>
        <c:lblOffset val="100"/>
        <c:noMultiLvlLbl val="1"/>
      </c:cat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catAx>
        <c:axId val="1383361104"/>
        <c:scaling>
          <c:orientation val="minMax"/>
        </c:scaling>
        <c:delete val="1"/>
        <c:axPos val="b"/>
        <c:numFmt formatCode="General" sourceLinked="1"/>
        <c:majorTickMark val="out"/>
        <c:minorTickMark val="none"/>
        <c:tickLblPos val="nextTo"/>
        <c:crossAx val="1383354384"/>
        <c:crosses val="autoZero"/>
        <c:auto val="1"/>
        <c:lblAlgn val="ctr"/>
        <c:lblOffset val="100"/>
        <c:noMultiLvlLbl val="1"/>
      </c:catAx>
      <c:dTable>
        <c:showHorzBorder val="1"/>
        <c:showVertBorder val="1"/>
        <c:showOutline val="1"/>
        <c:showKeys val="1"/>
        <c:spPr>
          <a:noFill/>
          <a:ln w="9525" cap="flat" cmpd="sng" algn="ctr">
            <a:solidFill>
              <a:schemeClr val="tx2">
                <a:lumMod val="20000"/>
                <a:lumOff val="80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10686359024151"/>
          <c:y val="0"/>
          <c:w val="0.87952907065596864"/>
          <c:h val="0.91400142387048378"/>
        </c:manualLayout>
      </c:layout>
      <c:barChart>
        <c:barDir val="bar"/>
        <c:grouping val="clustered"/>
        <c:varyColors val="0"/>
        <c:ser>
          <c:idx val="0"/>
          <c:order val="0"/>
          <c:spPr>
            <a:solidFill>
              <a:schemeClr val="tx2">
                <a:lumMod val="20000"/>
                <a:lumOff val="80000"/>
              </a:schemeClr>
            </a:solidFill>
            <a:ln>
              <a:noFill/>
            </a:ln>
            <a:effectLst/>
          </c:spPr>
          <c:invertIfNegative val="0"/>
          <c:dLbls>
            <c:dLbl>
              <c:idx val="0"/>
              <c:layout>
                <c:manualLayout>
                  <c:x val="-2.0833333333333436E-2"/>
                  <c:y val="-4.629447360746573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444444444444444"/>
                      <c:h val="0.13259259259259257"/>
                    </c:manualLayout>
                  </c15:layout>
                </c:ext>
                <c:ext xmlns:c16="http://schemas.microsoft.com/office/drawing/2014/chart" uri="{C3380CC4-5D6E-409C-BE32-E72D297353CC}">
                  <c16:uniqueId val="{00000001-BF4F-4B85-9F93-C40069F47AF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00FF"/>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'Compras '!$O$17:$O$20</c:f>
              <c:strCache>
                <c:ptCount val="4"/>
                <c:pt idx="0">
                  <c:v>VA</c:v>
                </c:pt>
                <c:pt idx="1">
                  <c:v>GGF</c:v>
                </c:pt>
                <c:pt idx="2">
                  <c:v>MA</c:v>
                </c:pt>
                <c:pt idx="3">
                  <c:v>Outros</c:v>
                </c:pt>
              </c:strCache>
            </c:strRef>
          </c:cat>
          <c:val>
            <c:numRef>
              <c:f>'Compras '!$P$17:$P$20</c:f>
              <c:numCache>
                <c:formatCode>_("R$"* #,##0.00_);_("R$"* \(#,##0.00\);_("R$"* "-"??_);_(@_)</c:formatCode>
                <c:ptCount val="4"/>
                <c:pt idx="0">
                  <c:v>4182614.05</c:v>
                </c:pt>
                <c:pt idx="1">
                  <c:v>188115.25</c:v>
                </c:pt>
                <c:pt idx="2">
                  <c:v>394320</c:v>
                </c:pt>
                <c:pt idx="3">
                  <c:v>0</c:v>
                </c:pt>
              </c:numCache>
            </c:numRef>
          </c:val>
          <c:extLst>
            <c:ext xmlns:c16="http://schemas.microsoft.com/office/drawing/2014/chart" uri="{C3380CC4-5D6E-409C-BE32-E72D297353CC}">
              <c16:uniqueId val="{00000000-BF4F-4B85-9F93-C40069F47AF6}"/>
            </c:ext>
          </c:extLst>
        </c:ser>
        <c:dLbls>
          <c:dLblPos val="outEnd"/>
          <c:showLegendKey val="0"/>
          <c:showVal val="1"/>
          <c:showCatName val="0"/>
          <c:showSerName val="0"/>
          <c:showPercent val="0"/>
          <c:showBubbleSize val="0"/>
        </c:dLbls>
        <c:gapWidth val="182"/>
        <c:axId val="1311792000"/>
        <c:axId val="1311792480"/>
      </c:barChart>
      <c:catAx>
        <c:axId val="131179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11792480"/>
        <c:crosses val="autoZero"/>
        <c:auto val="1"/>
        <c:lblAlgn val="ctr"/>
        <c:lblOffset val="100"/>
        <c:noMultiLvlLbl val="0"/>
      </c:catAx>
      <c:valAx>
        <c:axId val="1311792480"/>
        <c:scaling>
          <c:orientation val="minMax"/>
        </c:scaling>
        <c:delete val="1"/>
        <c:axPos val="b"/>
        <c:numFmt formatCode="_(&quot;R$&quot;* #,##0.00_);_(&quot;R$&quot;* \(#,##0.00\);_(&quot;R$&quot;* &quot;-&quot;??_);_(@_)" sourceLinked="1"/>
        <c:majorTickMark val="none"/>
        <c:minorTickMark val="none"/>
        <c:tickLblPos val="nextTo"/>
        <c:crossAx val="131179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Vendas!$K$86</c:f>
              <c:strCache>
                <c:ptCount val="1"/>
                <c:pt idx="0">
                  <c:v>Previsto</c:v>
                </c:pt>
              </c:strCache>
            </c:strRef>
          </c:tx>
          <c:spPr>
            <a:solidFill>
              <a:schemeClr val="accent1"/>
            </a:solidFill>
            <a:ln>
              <a:noFill/>
            </a:ln>
            <a:effectLst/>
          </c:spPr>
          <c:invertIfNegative val="0"/>
          <c:cat>
            <c:numRef>
              <c:f>Vendas!$L$85:$W$85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Vendas!$L$86:$W$86</c:f>
              <c:numCache>
                <c:formatCode>_("R$"* #,##0.00_);_("R$"* \(#,##0.00\);_("R$"* "-"??_);_(@_)</c:formatCode>
                <c:ptCount val="12"/>
                <c:pt idx="0">
                  <c:v>833000</c:v>
                </c:pt>
                <c:pt idx="1">
                  <c:v>833000</c:v>
                </c:pt>
                <c:pt idx="2">
                  <c:v>887556.3</c:v>
                </c:pt>
                <c:pt idx="3">
                  <c:v>887556.3</c:v>
                </c:pt>
                <c:pt idx="4">
                  <c:v>887556.3</c:v>
                </c:pt>
                <c:pt idx="5">
                  <c:v>893503.81857142865</c:v>
                </c:pt>
                <c:pt idx="6">
                  <c:v>893503.81857142865</c:v>
                </c:pt>
                <c:pt idx="7">
                  <c:v>912703.81857142865</c:v>
                </c:pt>
                <c:pt idx="8">
                  <c:v>912703.81857142865</c:v>
                </c:pt>
                <c:pt idx="9">
                  <c:v>912703.81857142865</c:v>
                </c:pt>
                <c:pt idx="10">
                  <c:v>912703.81857142865</c:v>
                </c:pt>
                <c:pt idx="11">
                  <c:v>912703.81857142865</c:v>
                </c:pt>
              </c:numCache>
            </c:numRef>
          </c:val>
          <c:extLst>
            <c:ext xmlns:c16="http://schemas.microsoft.com/office/drawing/2014/chart" uri="{C3380CC4-5D6E-409C-BE32-E72D297353CC}">
              <c16:uniqueId val="{00000000-6802-4449-9EBD-12A3755F4333}"/>
            </c:ext>
          </c:extLst>
        </c:ser>
        <c:ser>
          <c:idx val="1"/>
          <c:order val="1"/>
          <c:tx>
            <c:strRef>
              <c:f>Vendas!$K$87</c:f>
              <c:strCache>
                <c:ptCount val="1"/>
                <c:pt idx="0">
                  <c:v>Real</c:v>
                </c:pt>
              </c:strCache>
            </c:strRef>
          </c:tx>
          <c:spPr>
            <a:solidFill>
              <a:schemeClr val="accent2"/>
            </a:solidFill>
            <a:ln>
              <a:noFill/>
            </a:ln>
            <a:effectLst/>
          </c:spPr>
          <c:invertIfNegative val="0"/>
          <c:cat>
            <c:numRef>
              <c:f>Vendas!$L$85:$W$85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Vendas!$L$87:$W$87</c:f>
              <c:numCache>
                <c:formatCode>_("R$"* #,##0.00_);_("R$"* \(#,##0.00\);_("R$"* "-"??_);_(@_)</c:formatCode>
                <c:ptCount val="12"/>
                <c:pt idx="0">
                  <c:v>0</c:v>
                </c:pt>
                <c:pt idx="1">
                  <c:v>0</c:v>
                </c:pt>
                <c:pt idx="2">
                  <c:v>0</c:v>
                </c:pt>
                <c:pt idx="3">
                  <c:v>0</c:v>
                </c:pt>
                <c:pt idx="4">
                  <c:v>0</c:v>
                </c:pt>
                <c:pt idx="5">
                  <c:v>5074.34</c:v>
                </c:pt>
                <c:pt idx="6">
                  <c:v>6145.3979999999883</c:v>
                </c:pt>
                <c:pt idx="7">
                  <c:v>0</c:v>
                </c:pt>
                <c:pt idx="8">
                  <c:v>0</c:v>
                </c:pt>
                <c:pt idx="9">
                  <c:v>0</c:v>
                </c:pt>
                <c:pt idx="10">
                  <c:v>0</c:v>
                </c:pt>
                <c:pt idx="11">
                  <c:v>0</c:v>
                </c:pt>
              </c:numCache>
            </c:numRef>
          </c:val>
          <c:extLst>
            <c:ext xmlns:c16="http://schemas.microsoft.com/office/drawing/2014/chart" uri="{C3380CC4-5D6E-409C-BE32-E72D297353CC}">
              <c16:uniqueId val="{00000001-6802-4449-9EBD-12A3755F4333}"/>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Vendas!$K$88</c:f>
              <c:strCache>
                <c:ptCount val="1"/>
                <c:pt idx="0">
                  <c:v>Q. Projetos </c:v>
                </c:pt>
              </c:strCache>
            </c:strRef>
          </c:tx>
          <c:spPr>
            <a:ln w="28575" cap="rnd">
              <a:solidFill>
                <a:schemeClr val="accent3"/>
              </a:solidFill>
              <a:round/>
            </a:ln>
            <a:effectLst/>
          </c:spPr>
          <c:marker>
            <c:symbol val="none"/>
          </c:marker>
          <c:cat>
            <c:numRef>
              <c:f>Vendas!$L$85:$W$85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Vendas!$L$88:$W$88</c:f>
              <c:numCache>
                <c:formatCode>0</c:formatCode>
                <c:ptCount val="12"/>
                <c:pt idx="0">
                  <c:v>1</c:v>
                </c:pt>
                <c:pt idx="1">
                  <c:v>2</c:v>
                </c:pt>
                <c:pt idx="2">
                  <c:v>1</c:v>
                </c:pt>
                <c:pt idx="3">
                  <c:v>3</c:v>
                </c:pt>
                <c:pt idx="4">
                  <c:v>2</c:v>
                </c:pt>
                <c:pt idx="5">
                  <c:v>1</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2-6802-4449-9EBD-12A3755F4333}"/>
            </c:ext>
          </c:extLst>
        </c:ser>
        <c:ser>
          <c:idx val="3"/>
          <c:order val="3"/>
          <c:tx>
            <c:strRef>
              <c:f>Vendas!$K$89</c:f>
              <c:strCache>
                <c:ptCount val="1"/>
                <c:pt idx="0">
                  <c:v>Acumulado Previsto</c:v>
                </c:pt>
              </c:strCache>
            </c:strRef>
          </c:tx>
          <c:spPr>
            <a:ln w="28575" cap="rnd">
              <a:solidFill>
                <a:schemeClr val="accent3"/>
              </a:solidFill>
              <a:round/>
            </a:ln>
            <a:effectLst/>
          </c:spPr>
          <c:marker>
            <c:symbol val="none"/>
          </c:marker>
          <c:cat>
            <c:numRef>
              <c:f>Vendas!$L$85:$W$85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Vendas!$L$89:$W$89</c:f>
              <c:numCache>
                <c:formatCode>_("R$"* #,##0.00_);_("R$"* \(#,##0.00\);_("R$"* "-"??_);_(@_)</c:formatCode>
                <c:ptCount val="12"/>
                <c:pt idx="0">
                  <c:v>833000</c:v>
                </c:pt>
                <c:pt idx="1">
                  <c:v>1666000</c:v>
                </c:pt>
                <c:pt idx="2">
                  <c:v>2553556.2999999998</c:v>
                </c:pt>
                <c:pt idx="3">
                  <c:v>3441112.5999999996</c:v>
                </c:pt>
                <c:pt idx="4">
                  <c:v>4328668.8999999994</c:v>
                </c:pt>
                <c:pt idx="5">
                  <c:v>5222172.7185714282</c:v>
                </c:pt>
                <c:pt idx="6">
                  <c:v>6115676.537142857</c:v>
                </c:pt>
                <c:pt idx="7">
                  <c:v>7028380.3557142857</c:v>
                </c:pt>
                <c:pt idx="8">
                  <c:v>7941084.1742857145</c:v>
                </c:pt>
                <c:pt idx="9">
                  <c:v>8853787.9928571433</c:v>
                </c:pt>
                <c:pt idx="10">
                  <c:v>9766491.8114285711</c:v>
                </c:pt>
                <c:pt idx="11">
                  <c:v>10679195.629999999</c:v>
                </c:pt>
              </c:numCache>
            </c:numRef>
          </c:val>
          <c:smooth val="0"/>
          <c:extLst>
            <c:ext xmlns:c16="http://schemas.microsoft.com/office/drawing/2014/chart" uri="{C3380CC4-5D6E-409C-BE32-E72D297353CC}">
              <c16:uniqueId val="{00000000-F86C-48FA-94E1-CC6AA696E70D}"/>
            </c:ext>
          </c:extLst>
        </c:ser>
        <c:ser>
          <c:idx val="4"/>
          <c:order val="4"/>
          <c:tx>
            <c:strRef>
              <c:f>Vendas!$K$90</c:f>
              <c:strCache>
                <c:ptCount val="1"/>
                <c:pt idx="0">
                  <c:v>Acumulado Real</c:v>
                </c:pt>
              </c:strCache>
            </c:strRef>
          </c:tx>
          <c:spPr>
            <a:ln w="28575" cap="rnd">
              <a:solidFill>
                <a:schemeClr val="accent5"/>
              </a:solidFill>
              <a:round/>
            </a:ln>
            <a:effectLst/>
          </c:spPr>
          <c:marker>
            <c:symbol val="none"/>
          </c:marker>
          <c:cat>
            <c:numRef>
              <c:f>Vendas!$L$85:$W$85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Vendas!$L$90:$W$90</c:f>
              <c:numCache>
                <c:formatCode>_("R$"* #,##0.00_);_("R$"* \(#,##0.00\);_("R$"* "-"??_);_(@_)</c:formatCode>
                <c:ptCount val="12"/>
                <c:pt idx="0">
                  <c:v>0</c:v>
                </c:pt>
                <c:pt idx="1">
                  <c:v>0</c:v>
                </c:pt>
                <c:pt idx="2">
                  <c:v>0</c:v>
                </c:pt>
                <c:pt idx="3">
                  <c:v>0</c:v>
                </c:pt>
                <c:pt idx="4">
                  <c:v>0</c:v>
                </c:pt>
                <c:pt idx="5">
                  <c:v>5074.34</c:v>
                </c:pt>
                <c:pt idx="6">
                  <c:v>11219.737999999988</c:v>
                </c:pt>
                <c:pt idx="7">
                  <c:v>11219.737999999988</c:v>
                </c:pt>
                <c:pt idx="8">
                  <c:v>11219.737999999988</c:v>
                </c:pt>
                <c:pt idx="9">
                  <c:v>11219.737999999988</c:v>
                </c:pt>
                <c:pt idx="10">
                  <c:v>11219.737999999988</c:v>
                </c:pt>
                <c:pt idx="11">
                  <c:v>11219.737999999988</c:v>
                </c:pt>
              </c:numCache>
            </c:numRef>
          </c:val>
          <c:smooth val="0"/>
          <c:extLst>
            <c:ext xmlns:c16="http://schemas.microsoft.com/office/drawing/2014/chart" uri="{C3380CC4-5D6E-409C-BE32-E72D297353CC}">
              <c16:uniqueId val="{00000001-F86C-48FA-94E1-CC6AA696E70D}"/>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'Compras '!$O$147</c:f>
              <c:strCache>
                <c:ptCount val="1"/>
                <c:pt idx="0">
                  <c:v>Previsto</c:v>
                </c:pt>
              </c:strCache>
            </c:strRef>
          </c:tx>
          <c:spPr>
            <a:solidFill>
              <a:schemeClr val="accent1"/>
            </a:solidFill>
            <a:ln>
              <a:noFill/>
            </a:ln>
            <a:effectLst/>
          </c:spPr>
          <c:invertIfNegative val="0"/>
          <c:cat>
            <c:numRef>
              <c:f>'Compras '!$P$146:$AA$146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'!$P$147:$AA$147</c:f>
              <c:numCache>
                <c:formatCode>_("R$"* #,##0.00_);_("R$"* \(#,##0.00\);_("R$"* "-"??_);_(@_)</c:formatCode>
                <c:ptCount val="12"/>
                <c:pt idx="0">
                  <c:v>251073.1258333333</c:v>
                </c:pt>
                <c:pt idx="1">
                  <c:v>282053.10765151511</c:v>
                </c:pt>
                <c:pt idx="2">
                  <c:v>352262.72165151511</c:v>
                </c:pt>
                <c:pt idx="3">
                  <c:v>379785.7116515151</c:v>
                </c:pt>
                <c:pt idx="4">
                  <c:v>387531.3966515151</c:v>
                </c:pt>
                <c:pt idx="5">
                  <c:v>821963.14665151527</c:v>
                </c:pt>
                <c:pt idx="6">
                  <c:v>883978.97998484864</c:v>
                </c:pt>
                <c:pt idx="7">
                  <c:v>936924.97998484864</c:v>
                </c:pt>
                <c:pt idx="8">
                  <c:v>1030562.1649848486</c:v>
                </c:pt>
                <c:pt idx="9">
                  <c:v>1541081.4983181818</c:v>
                </c:pt>
                <c:pt idx="10">
                  <c:v>1571197.2983181819</c:v>
                </c:pt>
                <c:pt idx="11">
                  <c:v>3154725.2983181821</c:v>
                </c:pt>
              </c:numCache>
            </c:numRef>
          </c:val>
          <c:extLst>
            <c:ext xmlns:c16="http://schemas.microsoft.com/office/drawing/2014/chart" uri="{C3380CC4-5D6E-409C-BE32-E72D297353CC}">
              <c16:uniqueId val="{00000000-C853-4AEA-8B7F-0585911B7312}"/>
            </c:ext>
          </c:extLst>
        </c:ser>
        <c:ser>
          <c:idx val="1"/>
          <c:order val="1"/>
          <c:tx>
            <c:strRef>
              <c:f>'Compras '!$O$148</c:f>
              <c:strCache>
                <c:ptCount val="1"/>
                <c:pt idx="0">
                  <c:v>Real</c:v>
                </c:pt>
              </c:strCache>
            </c:strRef>
          </c:tx>
          <c:spPr>
            <a:solidFill>
              <a:srgbClr val="92D050"/>
            </a:solidFill>
            <a:ln>
              <a:noFill/>
            </a:ln>
            <a:effectLst/>
          </c:spPr>
          <c:invertIfNegative val="0"/>
          <c:cat>
            <c:numRef>
              <c:f>'Compras '!$P$146:$AA$146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'!$P$148:$AA$148</c:f>
              <c:numCache>
                <c:formatCode>_("R$"* #,##0.00_);_("R$"* \(#,##0.00\);_("R$"* "-"??_);_(@_)</c:formatCode>
                <c:ptCount val="12"/>
                <c:pt idx="0">
                  <c:v>212117.82</c:v>
                </c:pt>
                <c:pt idx="1">
                  <c:v>225319.86072864002</c:v>
                </c:pt>
                <c:pt idx="2">
                  <c:v>188186.91692024999</c:v>
                </c:pt>
                <c:pt idx="3">
                  <c:v>191240.72387360001</c:v>
                </c:pt>
                <c:pt idx="4">
                  <c:v>192124.89369330002</c:v>
                </c:pt>
                <c:pt idx="5">
                  <c:v>273446.09629101004</c:v>
                </c:pt>
                <c:pt idx="6">
                  <c:v>0</c:v>
                </c:pt>
                <c:pt idx="7">
                  <c:v>0</c:v>
                </c:pt>
                <c:pt idx="8">
                  <c:v>0</c:v>
                </c:pt>
                <c:pt idx="9">
                  <c:v>0</c:v>
                </c:pt>
                <c:pt idx="10">
                  <c:v>0</c:v>
                </c:pt>
                <c:pt idx="11">
                  <c:v>0</c:v>
                </c:pt>
              </c:numCache>
            </c:numRef>
          </c:val>
          <c:extLst>
            <c:ext xmlns:c16="http://schemas.microsoft.com/office/drawing/2014/chart" uri="{C3380CC4-5D6E-409C-BE32-E72D297353CC}">
              <c16:uniqueId val="{00000001-C853-4AEA-8B7F-0585911B7312}"/>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'Compras '!$O$149</c:f>
              <c:strCache>
                <c:ptCount val="1"/>
                <c:pt idx="0">
                  <c:v>Q. Projetos </c:v>
                </c:pt>
              </c:strCache>
            </c:strRef>
          </c:tx>
          <c:spPr>
            <a:ln w="6350" cap="rnd">
              <a:solidFill>
                <a:srgbClr val="FF0000"/>
              </a:solidFill>
              <a:prstDash val="lgDashDot"/>
              <a:round/>
            </a:ln>
            <a:effectLst/>
          </c:spPr>
          <c:marker>
            <c:symbol val="none"/>
          </c:marker>
          <c:cat>
            <c:numRef>
              <c:f>'Compras '!$P$146:$AA$146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'!$P$149:$AA$149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C853-4AEA-8B7F-0585911B7312}"/>
            </c:ext>
          </c:extLst>
        </c:ser>
        <c:ser>
          <c:idx val="3"/>
          <c:order val="3"/>
          <c:tx>
            <c:strRef>
              <c:f>'Compras '!$O$150</c:f>
              <c:strCache>
                <c:ptCount val="1"/>
                <c:pt idx="0">
                  <c:v>Acumulado Previsto</c:v>
                </c:pt>
              </c:strCache>
            </c:strRef>
          </c:tx>
          <c:spPr>
            <a:ln w="28575" cap="rnd">
              <a:solidFill>
                <a:srgbClr val="92D050"/>
              </a:solidFill>
              <a:round/>
            </a:ln>
            <a:effectLst/>
          </c:spPr>
          <c:marker>
            <c:symbol val="none"/>
          </c:marker>
          <c:cat>
            <c:numRef>
              <c:f>'Compras '!$P$146:$AA$146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'!$P$150:$AA$150</c:f>
              <c:numCache>
                <c:formatCode>_("R$"* #,##0.00_);_("R$"* \(#,##0.00\);_("R$"* "-"??_);_(@_)</c:formatCode>
                <c:ptCount val="12"/>
                <c:pt idx="0">
                  <c:v>251073.1258333333</c:v>
                </c:pt>
                <c:pt idx="1">
                  <c:v>533126.2334848484</c:v>
                </c:pt>
                <c:pt idx="2">
                  <c:v>885388.95513636351</c:v>
                </c:pt>
                <c:pt idx="3">
                  <c:v>1265174.6667878786</c:v>
                </c:pt>
                <c:pt idx="4">
                  <c:v>1652706.0634393936</c:v>
                </c:pt>
                <c:pt idx="5">
                  <c:v>2474669.2100909092</c:v>
                </c:pt>
                <c:pt idx="6">
                  <c:v>3358648.1900757579</c:v>
                </c:pt>
                <c:pt idx="7">
                  <c:v>4295573.1700606067</c:v>
                </c:pt>
                <c:pt idx="8">
                  <c:v>5326135.335045455</c:v>
                </c:pt>
                <c:pt idx="9">
                  <c:v>6867216.8333636373</c:v>
                </c:pt>
                <c:pt idx="10">
                  <c:v>8438414.1316818185</c:v>
                </c:pt>
                <c:pt idx="11">
                  <c:v>11593139.43</c:v>
                </c:pt>
              </c:numCache>
            </c:numRef>
          </c:val>
          <c:smooth val="0"/>
          <c:extLst>
            <c:ext xmlns:c16="http://schemas.microsoft.com/office/drawing/2014/chart" uri="{C3380CC4-5D6E-409C-BE32-E72D297353CC}">
              <c16:uniqueId val="{00000003-C853-4AEA-8B7F-0585911B7312}"/>
            </c:ext>
          </c:extLst>
        </c:ser>
        <c:ser>
          <c:idx val="4"/>
          <c:order val="4"/>
          <c:tx>
            <c:strRef>
              <c:f>'Compras '!$O$151</c:f>
              <c:strCache>
                <c:ptCount val="1"/>
                <c:pt idx="0">
                  <c:v>Acumulado Real</c:v>
                </c:pt>
              </c:strCache>
            </c:strRef>
          </c:tx>
          <c:spPr>
            <a:ln w="28575" cap="rnd">
              <a:solidFill>
                <a:schemeClr val="accent5"/>
              </a:solidFill>
              <a:round/>
            </a:ln>
            <a:effectLst/>
          </c:spPr>
          <c:marker>
            <c:symbol val="none"/>
          </c:marker>
          <c:cat>
            <c:numRef>
              <c:f>'Compras '!$P$146:$AA$146</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'Compras '!$P$151:$AA$151</c:f>
              <c:numCache>
                <c:formatCode>_("R$"* #,##0.00_);_("R$"* \(#,##0.00\);_("R$"* "-"??_);_(@_)</c:formatCode>
                <c:ptCount val="12"/>
                <c:pt idx="0">
                  <c:v>212117.82</c:v>
                </c:pt>
                <c:pt idx="1">
                  <c:v>437437.68072864006</c:v>
                </c:pt>
                <c:pt idx="2">
                  <c:v>625624.59764888999</c:v>
                </c:pt>
                <c:pt idx="3">
                  <c:v>816865.32152249001</c:v>
                </c:pt>
                <c:pt idx="4">
                  <c:v>1008990.2152157901</c:v>
                </c:pt>
                <c:pt idx="5">
                  <c:v>1282436.3115068001</c:v>
                </c:pt>
                <c:pt idx="6">
                  <c:v>1282436.3115068001</c:v>
                </c:pt>
                <c:pt idx="7">
                  <c:v>1282436.3115068001</c:v>
                </c:pt>
                <c:pt idx="8">
                  <c:v>1282436.3115068001</c:v>
                </c:pt>
                <c:pt idx="9">
                  <c:v>1282436.3115068001</c:v>
                </c:pt>
                <c:pt idx="10">
                  <c:v>1282436.3115068001</c:v>
                </c:pt>
                <c:pt idx="11">
                  <c:v>1282436.3115068001</c:v>
                </c:pt>
              </c:numCache>
            </c:numRef>
          </c:val>
          <c:smooth val="0"/>
          <c:extLst>
            <c:ext xmlns:c16="http://schemas.microsoft.com/office/drawing/2014/chart" uri="{C3380CC4-5D6E-409C-BE32-E72D297353CC}">
              <c16:uniqueId val="{00000004-C853-4AEA-8B7F-0585911B7312}"/>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2">
                <a:lumMod val="20000"/>
                <a:lumOff val="80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Corporativo!$K$75</c:f>
              <c:strCache>
                <c:ptCount val="1"/>
                <c:pt idx="0">
                  <c:v>Q. Projetos </c:v>
                </c:pt>
              </c:strCache>
            </c:strRef>
          </c:tx>
          <c:spPr>
            <a:solidFill>
              <a:schemeClr val="accent1"/>
            </a:solidFill>
            <a:ln>
              <a:noFill/>
            </a:ln>
            <a:effectLst/>
          </c:spPr>
          <c:invertIfNegative val="0"/>
          <c:cat>
            <c:numRef>
              <c:f>Corporativo!$L$74:$W$74</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Corporativo!$L$75:$W$75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E4A-4D39-AACE-CA353B2413FB}"/>
            </c:ext>
          </c:extLst>
        </c:ser>
        <c:ser>
          <c:idx val="1"/>
          <c:order val="1"/>
          <c:tx>
            <c:strRef>
              <c:f>Corporativo!$K$76</c:f>
              <c:strCache>
                <c:ptCount val="1"/>
                <c:pt idx="0">
                  <c:v>Acumulado Previsto</c:v>
                </c:pt>
              </c:strCache>
            </c:strRef>
          </c:tx>
          <c:spPr>
            <a:solidFill>
              <a:schemeClr val="accent2"/>
            </a:solidFill>
            <a:ln>
              <a:noFill/>
            </a:ln>
            <a:effectLst/>
          </c:spPr>
          <c:invertIfNegative val="0"/>
          <c:cat>
            <c:numRef>
              <c:f>Corporativo!$L$74:$W$74</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Corporativo!$L$76:$W$76</c:f>
              <c:numCache>
                <c:formatCode>_("R$"* #,##0.00_);_("R$"* \(#,##0.00\);_("R$"* "-"??_);_(@_)</c:formatCode>
                <c:ptCount val="12"/>
                <c:pt idx="0">
                  <c:v>0</c:v>
                </c:pt>
                <c:pt idx="1">
                  <c:v>0</c:v>
                </c:pt>
                <c:pt idx="2">
                  <c:v>0</c:v>
                </c:pt>
                <c:pt idx="3">
                  <c:v>0</c:v>
                </c:pt>
                <c:pt idx="4">
                  <c:v>0</c:v>
                </c:pt>
                <c:pt idx="5">
                  <c:v>0</c:v>
                </c:pt>
                <c:pt idx="6">
                  <c:v>0</c:v>
                </c:pt>
                <c:pt idx="7">
                  <c:v>6513.6</c:v>
                </c:pt>
                <c:pt idx="8">
                  <c:v>13027.2</c:v>
                </c:pt>
                <c:pt idx="9">
                  <c:v>19540.800000000003</c:v>
                </c:pt>
                <c:pt idx="10">
                  <c:v>26054.400000000001</c:v>
                </c:pt>
                <c:pt idx="11">
                  <c:v>32568</c:v>
                </c:pt>
              </c:numCache>
            </c:numRef>
          </c:val>
          <c:extLst>
            <c:ext xmlns:c16="http://schemas.microsoft.com/office/drawing/2014/chart" uri="{C3380CC4-5D6E-409C-BE32-E72D297353CC}">
              <c16:uniqueId val="{00000001-AE4A-4D39-AACE-CA353B2413FB}"/>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Corporativo!$K$77</c:f>
              <c:strCache>
                <c:ptCount val="1"/>
                <c:pt idx="0">
                  <c:v>Acumulado Real</c:v>
                </c:pt>
              </c:strCache>
            </c:strRef>
          </c:tx>
          <c:spPr>
            <a:ln w="28575" cap="rnd">
              <a:solidFill>
                <a:schemeClr val="accent3"/>
              </a:solidFill>
              <a:round/>
            </a:ln>
            <a:effectLst/>
          </c:spPr>
          <c:marker>
            <c:symbol val="none"/>
          </c:marker>
          <c:cat>
            <c:numRef>
              <c:f>Corporativo!$L$74:$W$74</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Corporativo!$L$77:$W$77</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AE4A-4D39-AACE-CA353B2413FB}"/>
            </c:ext>
          </c:extLst>
        </c:ser>
        <c:dLbls>
          <c:showLegendKey val="0"/>
          <c:showVal val="0"/>
          <c:showCatName val="0"/>
          <c:showSerName val="0"/>
          <c:showPercent val="0"/>
          <c:showBubbleSize val="0"/>
        </c:dLbls>
        <c:marker val="1"/>
        <c:smooth val="0"/>
        <c:axId val="1383361104"/>
        <c:axId val="1383354384"/>
      </c:lineChart>
      <c:catAx>
        <c:axId val="442705872"/>
        <c:scaling>
          <c:orientation val="minMax"/>
        </c:scaling>
        <c:delete val="0"/>
        <c:axPos val="b"/>
        <c:numFmt formatCode="_(&quot;R$&quot;* #,##0.00_);_(&quot;R$&quot;* \(#,##0.00\);_(&quot;R$&quot;* &quot;-&quot;??_);_(@_)"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442713552"/>
        <c:crosses val="autoZero"/>
        <c:auto val="1"/>
        <c:lblAlgn val="ctr"/>
        <c:lblOffset val="100"/>
        <c:noMultiLvlLbl val="1"/>
      </c:cat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catAx>
        <c:axId val="1383361104"/>
        <c:scaling>
          <c:orientation val="minMax"/>
        </c:scaling>
        <c:delete val="1"/>
        <c:axPos val="b"/>
        <c:numFmt formatCode="_(&quot;R$&quot;* #,##0.00_);_(&quot;R$&quot;* \(#,##0.00\);_(&quot;R$&quot;* &quot;-&quot;??_);_(@_)" sourceLinked="1"/>
        <c:majorTickMark val="out"/>
        <c:minorTickMark val="none"/>
        <c:tickLblPos val="nextTo"/>
        <c:crossAx val="1383354384"/>
        <c:crosses val="autoZero"/>
        <c:auto val="1"/>
        <c:lblAlgn val="ctr"/>
        <c:lblOffset val="100"/>
        <c:noMultiLvlLbl val="1"/>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r>
              <a:rPr lang="pt-BR"/>
              <a:t>Distribuição mensal</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000099"/>
              </a:solidFill>
              <a:latin typeface="+mn-lt"/>
              <a:ea typeface="+mn-ea"/>
              <a:cs typeface="+mn-cs"/>
            </a:defRPr>
          </a:pPr>
          <a:endParaRPr lang="pt-BR"/>
        </a:p>
      </c:txPr>
    </c:title>
    <c:autoTitleDeleted val="0"/>
    <c:plotArea>
      <c:layout/>
      <c:barChart>
        <c:barDir val="col"/>
        <c:grouping val="clustered"/>
        <c:varyColors val="0"/>
        <c:ser>
          <c:idx val="0"/>
          <c:order val="0"/>
          <c:tx>
            <c:strRef>
              <c:f>Vendas!$K$86</c:f>
              <c:strCache>
                <c:ptCount val="1"/>
                <c:pt idx="0">
                  <c:v>Previsto</c:v>
                </c:pt>
              </c:strCache>
            </c:strRef>
          </c:tx>
          <c:spPr>
            <a:solidFill>
              <a:schemeClr val="accent1"/>
            </a:solidFill>
            <a:ln>
              <a:noFill/>
            </a:ln>
            <a:effectLst/>
          </c:spPr>
          <c:invertIfNegative val="0"/>
          <c:cat>
            <c:numRef>
              <c:f>Vendas!$L$85:$W$85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Vendas!$L$86:$W$86</c:f>
              <c:numCache>
                <c:formatCode>_("R$"* #,##0.00_);_("R$"* \(#,##0.00\);_("R$"* "-"??_);_(@_)</c:formatCode>
                <c:ptCount val="12"/>
                <c:pt idx="0">
                  <c:v>833000</c:v>
                </c:pt>
                <c:pt idx="1">
                  <c:v>833000</c:v>
                </c:pt>
                <c:pt idx="2">
                  <c:v>887556.3</c:v>
                </c:pt>
                <c:pt idx="3">
                  <c:v>887556.3</c:v>
                </c:pt>
                <c:pt idx="4">
                  <c:v>887556.3</c:v>
                </c:pt>
                <c:pt idx="5">
                  <c:v>893503.81857142865</c:v>
                </c:pt>
                <c:pt idx="6">
                  <c:v>893503.81857142865</c:v>
                </c:pt>
                <c:pt idx="7">
                  <c:v>912703.81857142865</c:v>
                </c:pt>
                <c:pt idx="8">
                  <c:v>912703.81857142865</c:v>
                </c:pt>
                <c:pt idx="9">
                  <c:v>912703.81857142865</c:v>
                </c:pt>
                <c:pt idx="10">
                  <c:v>912703.81857142865</c:v>
                </c:pt>
                <c:pt idx="11">
                  <c:v>912703.81857142865</c:v>
                </c:pt>
              </c:numCache>
            </c:numRef>
          </c:val>
          <c:extLst>
            <c:ext xmlns:c16="http://schemas.microsoft.com/office/drawing/2014/chart" uri="{C3380CC4-5D6E-409C-BE32-E72D297353CC}">
              <c16:uniqueId val="{00000000-0159-415A-BA20-12CB344FFB62}"/>
            </c:ext>
          </c:extLst>
        </c:ser>
        <c:ser>
          <c:idx val="1"/>
          <c:order val="1"/>
          <c:tx>
            <c:strRef>
              <c:f>Vendas!$K$87</c:f>
              <c:strCache>
                <c:ptCount val="1"/>
                <c:pt idx="0">
                  <c:v>Real</c:v>
                </c:pt>
              </c:strCache>
            </c:strRef>
          </c:tx>
          <c:spPr>
            <a:solidFill>
              <a:schemeClr val="accent2"/>
            </a:solidFill>
            <a:ln>
              <a:noFill/>
            </a:ln>
            <a:effectLst/>
          </c:spPr>
          <c:invertIfNegative val="0"/>
          <c:cat>
            <c:numRef>
              <c:f>Vendas!$L$85:$W$85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Vendas!$L$87:$W$87</c:f>
              <c:numCache>
                <c:formatCode>_("R$"* #,##0.00_);_("R$"* \(#,##0.00\);_("R$"* "-"??_);_(@_)</c:formatCode>
                <c:ptCount val="12"/>
                <c:pt idx="0">
                  <c:v>0</c:v>
                </c:pt>
                <c:pt idx="1">
                  <c:v>0</c:v>
                </c:pt>
                <c:pt idx="2">
                  <c:v>0</c:v>
                </c:pt>
                <c:pt idx="3">
                  <c:v>0</c:v>
                </c:pt>
                <c:pt idx="4">
                  <c:v>0</c:v>
                </c:pt>
                <c:pt idx="5">
                  <c:v>5074.34</c:v>
                </c:pt>
                <c:pt idx="6">
                  <c:v>6145.3979999999883</c:v>
                </c:pt>
                <c:pt idx="7">
                  <c:v>0</c:v>
                </c:pt>
                <c:pt idx="8">
                  <c:v>0</c:v>
                </c:pt>
                <c:pt idx="9">
                  <c:v>0</c:v>
                </c:pt>
                <c:pt idx="10">
                  <c:v>0</c:v>
                </c:pt>
                <c:pt idx="11">
                  <c:v>0</c:v>
                </c:pt>
              </c:numCache>
            </c:numRef>
          </c:val>
          <c:extLst>
            <c:ext xmlns:c16="http://schemas.microsoft.com/office/drawing/2014/chart" uri="{C3380CC4-5D6E-409C-BE32-E72D297353CC}">
              <c16:uniqueId val="{00000001-0159-415A-BA20-12CB344FFB62}"/>
            </c:ext>
          </c:extLst>
        </c:ser>
        <c:dLbls>
          <c:showLegendKey val="0"/>
          <c:showVal val="0"/>
          <c:showCatName val="0"/>
          <c:showSerName val="0"/>
          <c:showPercent val="0"/>
          <c:showBubbleSize val="0"/>
        </c:dLbls>
        <c:gapWidth val="219"/>
        <c:axId val="442705872"/>
        <c:axId val="442713552"/>
      </c:barChart>
      <c:lineChart>
        <c:grouping val="standard"/>
        <c:varyColors val="0"/>
        <c:ser>
          <c:idx val="2"/>
          <c:order val="2"/>
          <c:tx>
            <c:strRef>
              <c:f>Vendas!$K$88</c:f>
              <c:strCache>
                <c:ptCount val="1"/>
                <c:pt idx="0">
                  <c:v>Q. Projetos </c:v>
                </c:pt>
              </c:strCache>
            </c:strRef>
          </c:tx>
          <c:spPr>
            <a:ln w="28575" cap="rnd">
              <a:solidFill>
                <a:schemeClr val="accent3"/>
              </a:solidFill>
              <a:round/>
            </a:ln>
            <a:effectLst/>
          </c:spPr>
          <c:marker>
            <c:symbol val="none"/>
          </c:marker>
          <c:cat>
            <c:numRef>
              <c:f>Vendas!$L$85:$W$85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Vendas!$L$88:$W$88</c:f>
              <c:numCache>
                <c:formatCode>0</c:formatCode>
                <c:ptCount val="12"/>
                <c:pt idx="0">
                  <c:v>1</c:v>
                </c:pt>
                <c:pt idx="1">
                  <c:v>2</c:v>
                </c:pt>
                <c:pt idx="2">
                  <c:v>1</c:v>
                </c:pt>
                <c:pt idx="3">
                  <c:v>3</c:v>
                </c:pt>
                <c:pt idx="4">
                  <c:v>2</c:v>
                </c:pt>
                <c:pt idx="5">
                  <c:v>1</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2-0159-415A-BA20-12CB344FFB62}"/>
            </c:ext>
          </c:extLst>
        </c:ser>
        <c:ser>
          <c:idx val="3"/>
          <c:order val="3"/>
          <c:tx>
            <c:strRef>
              <c:f>Vendas!$K$89</c:f>
              <c:strCache>
                <c:ptCount val="1"/>
                <c:pt idx="0">
                  <c:v>Acumulado Previsto</c:v>
                </c:pt>
              </c:strCache>
            </c:strRef>
          </c:tx>
          <c:spPr>
            <a:ln w="28575" cap="rnd">
              <a:solidFill>
                <a:schemeClr val="accent3"/>
              </a:solidFill>
              <a:round/>
            </a:ln>
            <a:effectLst/>
          </c:spPr>
          <c:marker>
            <c:symbol val="none"/>
          </c:marker>
          <c:cat>
            <c:numRef>
              <c:f>Vendas!$L$85:$W$85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Vendas!$L$89:$W$89</c:f>
              <c:numCache>
                <c:formatCode>_("R$"* #,##0.00_);_("R$"* \(#,##0.00\);_("R$"* "-"??_);_(@_)</c:formatCode>
                <c:ptCount val="12"/>
                <c:pt idx="0">
                  <c:v>833000</c:v>
                </c:pt>
                <c:pt idx="1">
                  <c:v>1666000</c:v>
                </c:pt>
                <c:pt idx="2">
                  <c:v>2553556.2999999998</c:v>
                </c:pt>
                <c:pt idx="3">
                  <c:v>3441112.5999999996</c:v>
                </c:pt>
                <c:pt idx="4">
                  <c:v>4328668.8999999994</c:v>
                </c:pt>
                <c:pt idx="5">
                  <c:v>5222172.7185714282</c:v>
                </c:pt>
                <c:pt idx="6">
                  <c:v>6115676.537142857</c:v>
                </c:pt>
                <c:pt idx="7">
                  <c:v>7028380.3557142857</c:v>
                </c:pt>
                <c:pt idx="8">
                  <c:v>7941084.1742857145</c:v>
                </c:pt>
                <c:pt idx="9">
                  <c:v>8853787.9928571433</c:v>
                </c:pt>
                <c:pt idx="10">
                  <c:v>9766491.8114285711</c:v>
                </c:pt>
                <c:pt idx="11">
                  <c:v>10679195.629999999</c:v>
                </c:pt>
              </c:numCache>
            </c:numRef>
          </c:val>
          <c:smooth val="0"/>
          <c:extLst>
            <c:ext xmlns:c16="http://schemas.microsoft.com/office/drawing/2014/chart" uri="{C3380CC4-5D6E-409C-BE32-E72D297353CC}">
              <c16:uniqueId val="{00000003-0159-415A-BA20-12CB344FFB62}"/>
            </c:ext>
          </c:extLst>
        </c:ser>
        <c:ser>
          <c:idx val="4"/>
          <c:order val="4"/>
          <c:tx>
            <c:strRef>
              <c:f>Vendas!$K$90</c:f>
              <c:strCache>
                <c:ptCount val="1"/>
                <c:pt idx="0">
                  <c:v>Acumulado Real</c:v>
                </c:pt>
              </c:strCache>
            </c:strRef>
          </c:tx>
          <c:spPr>
            <a:ln w="28575" cap="rnd">
              <a:solidFill>
                <a:schemeClr val="accent5"/>
              </a:solidFill>
              <a:round/>
            </a:ln>
            <a:effectLst/>
          </c:spPr>
          <c:marker>
            <c:symbol val="none"/>
          </c:marker>
          <c:cat>
            <c:numRef>
              <c:f>Vendas!$L$85:$W$85</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Vendas!$L$90:$W$90</c:f>
              <c:numCache>
                <c:formatCode>_("R$"* #,##0.00_);_("R$"* \(#,##0.00\);_("R$"* "-"??_);_(@_)</c:formatCode>
                <c:ptCount val="12"/>
                <c:pt idx="0">
                  <c:v>0</c:v>
                </c:pt>
                <c:pt idx="1">
                  <c:v>0</c:v>
                </c:pt>
                <c:pt idx="2">
                  <c:v>0</c:v>
                </c:pt>
                <c:pt idx="3">
                  <c:v>0</c:v>
                </c:pt>
                <c:pt idx="4">
                  <c:v>0</c:v>
                </c:pt>
                <c:pt idx="5">
                  <c:v>5074.34</c:v>
                </c:pt>
                <c:pt idx="6">
                  <c:v>11219.737999999988</c:v>
                </c:pt>
                <c:pt idx="7">
                  <c:v>11219.737999999988</c:v>
                </c:pt>
                <c:pt idx="8">
                  <c:v>11219.737999999988</c:v>
                </c:pt>
                <c:pt idx="9">
                  <c:v>11219.737999999988</c:v>
                </c:pt>
                <c:pt idx="10">
                  <c:v>11219.737999999988</c:v>
                </c:pt>
                <c:pt idx="11">
                  <c:v>11219.737999999988</c:v>
                </c:pt>
              </c:numCache>
            </c:numRef>
          </c:val>
          <c:smooth val="0"/>
          <c:extLst>
            <c:ext xmlns:c16="http://schemas.microsoft.com/office/drawing/2014/chart" uri="{C3380CC4-5D6E-409C-BE32-E72D297353CC}">
              <c16:uniqueId val="{00000004-0159-415A-BA20-12CB344FFB62}"/>
            </c:ext>
          </c:extLst>
        </c:ser>
        <c:dLbls>
          <c:showLegendKey val="0"/>
          <c:showVal val="0"/>
          <c:showCatName val="0"/>
          <c:showSerName val="0"/>
          <c:showPercent val="0"/>
          <c:showBubbleSize val="0"/>
        </c:dLbls>
        <c:marker val="1"/>
        <c:smooth val="0"/>
        <c:axId val="1383361104"/>
        <c:axId val="1383354384"/>
      </c:lineChart>
      <c:dateAx>
        <c:axId val="442705872"/>
        <c:scaling>
          <c:orientation val="minMax"/>
        </c:scaling>
        <c:delete val="1"/>
        <c:axPos val="b"/>
        <c:numFmt formatCode="mmm\-yy" sourceLinked="1"/>
        <c:majorTickMark val="out"/>
        <c:minorTickMark val="none"/>
        <c:tickLblPos val="nextTo"/>
        <c:crossAx val="442713552"/>
        <c:crosses val="autoZero"/>
        <c:auto val="1"/>
        <c:lblOffset val="100"/>
        <c:baseTimeUnit val="months"/>
      </c:dateAx>
      <c:valAx>
        <c:axId val="442713552"/>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0099"/>
                </a:solidFill>
                <a:latin typeface="+mn-lt"/>
                <a:ea typeface="+mn-ea"/>
                <a:cs typeface="+mn-cs"/>
              </a:defRPr>
            </a:pPr>
            <a:endParaRPr lang="pt-BR"/>
          </a:p>
        </c:txPr>
        <c:crossAx val="442705872"/>
        <c:crosses val="autoZero"/>
        <c:crossBetween val="between"/>
      </c:valAx>
      <c:valAx>
        <c:axId val="13833543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99"/>
                </a:solidFill>
                <a:latin typeface="+mn-lt"/>
                <a:ea typeface="+mn-ea"/>
                <a:cs typeface="+mn-cs"/>
              </a:defRPr>
            </a:pPr>
            <a:endParaRPr lang="pt-BR"/>
          </a:p>
        </c:txPr>
        <c:crossAx val="1383361104"/>
        <c:crosses val="max"/>
        <c:crossBetween val="between"/>
      </c:valAx>
      <c:dateAx>
        <c:axId val="1383361104"/>
        <c:scaling>
          <c:orientation val="minMax"/>
        </c:scaling>
        <c:delete val="1"/>
        <c:axPos val="b"/>
        <c:numFmt formatCode="mmm\-yy" sourceLinked="1"/>
        <c:majorTickMark val="out"/>
        <c:minorTickMark val="none"/>
        <c:tickLblPos val="nextTo"/>
        <c:crossAx val="1383354384"/>
        <c:crosses val="autoZero"/>
        <c:auto val="1"/>
        <c:lblOffset val="100"/>
        <c:baseTimeUnit val="months"/>
      </c:date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0099"/>
                </a:solidFill>
                <a:latin typeface="+mn-lt"/>
                <a:ea typeface="+mn-ea"/>
                <a:cs typeface="+mn-cs"/>
              </a:defRPr>
            </a:pPr>
            <a:endParaRPr lang="pt-BR"/>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sz="900">
          <a:solidFill>
            <a:srgbClr val="000099"/>
          </a:solidFill>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checked="Checked"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checked="Checked"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checked="Checked"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CheckBox" checked="Checked"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checked="Checked" lockText="1" noThreeD="1"/>
</file>

<file path=xl/ctrlProps/ctrlProp59.xml><?xml version="1.0" encoding="utf-8"?>
<formControlPr xmlns="http://schemas.microsoft.com/office/spreadsheetml/2009/9/main" objectType="CheckBox" checked="Checked"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checked="Checked"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checked="Checked"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checked="Checked" lockText="1" noThreeD="1"/>
</file>

<file path=xl/ctrlProps/ctrlProp72.xml><?xml version="1.0" encoding="utf-8"?>
<formControlPr xmlns="http://schemas.microsoft.com/office/spreadsheetml/2009/9/main" objectType="CheckBox" checked="Checked" lockText="1" noThreeD="1"/>
</file>

<file path=xl/ctrlProps/ctrlProp73.xml><?xml version="1.0" encoding="utf-8"?>
<formControlPr xmlns="http://schemas.microsoft.com/office/spreadsheetml/2009/9/main" objectType="CheckBox" checked="Checked" lockText="1" noThreeD="1"/>
</file>

<file path=xl/ctrlProps/ctrlProp74.xml><?xml version="1.0" encoding="utf-8"?>
<formControlPr xmlns="http://schemas.microsoft.com/office/spreadsheetml/2009/9/main" objectType="CheckBox" checked="Checked"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checked="Checked" lockText="1" noThreeD="1"/>
</file>

<file path=xl/ctrlProps/ctrlProp80.xml><?xml version="1.0" encoding="utf-8"?>
<formControlPr xmlns="http://schemas.microsoft.com/office/spreadsheetml/2009/9/main" objectType="CheckBox" checked="Checked" lockText="1" noThreeD="1"/>
</file>

<file path=xl/ctrlProps/ctrlProp81.xml><?xml version="1.0" encoding="utf-8"?>
<formControlPr xmlns="http://schemas.microsoft.com/office/spreadsheetml/2009/9/main" objectType="CheckBox" checked="Checked" lockText="1" noThreeD="1"/>
</file>

<file path=xl/ctrlProps/ctrlProp82.xml><?xml version="1.0" encoding="utf-8"?>
<formControlPr xmlns="http://schemas.microsoft.com/office/spreadsheetml/2009/9/main" objectType="CheckBox" checked="Checked" lockText="1" noThreeD="1"/>
</file>

<file path=xl/ctrlProps/ctrlProp83.xml><?xml version="1.0" encoding="utf-8"?>
<formControlPr xmlns="http://schemas.microsoft.com/office/spreadsheetml/2009/9/main" objectType="CheckBox" checked="Checked" lockText="1" noThreeD="1"/>
</file>

<file path=xl/ctrlProps/ctrlProp84.xml><?xml version="1.0" encoding="utf-8"?>
<formControlPr xmlns="http://schemas.microsoft.com/office/spreadsheetml/2009/9/main" objectType="CheckBox" checked="Checked" lockText="1" noThreeD="1"/>
</file>

<file path=xl/ctrlProps/ctrlProp85.xml><?xml version="1.0" encoding="utf-8"?>
<formControlPr xmlns="http://schemas.microsoft.com/office/spreadsheetml/2009/9/main" objectType="CheckBox" checked="Checked" lockText="1" noThreeD="1"/>
</file>

<file path=xl/ctrlProps/ctrlProp86.xml><?xml version="1.0" encoding="utf-8"?>
<formControlPr xmlns="http://schemas.microsoft.com/office/spreadsheetml/2009/9/main" objectType="CheckBox" checked="Checked" lockText="1" noThreeD="1"/>
</file>

<file path=xl/ctrlProps/ctrlProp87.xml><?xml version="1.0" encoding="utf-8"?>
<formControlPr xmlns="http://schemas.microsoft.com/office/spreadsheetml/2009/9/main" objectType="CheckBox" checked="Checked" lockText="1" noThreeD="1"/>
</file>

<file path=xl/ctrlProps/ctrlProp88.xml><?xml version="1.0" encoding="utf-8"?>
<formControlPr xmlns="http://schemas.microsoft.com/office/spreadsheetml/2009/9/main" objectType="CheckBox" checked="Checked" lockText="1" noThreeD="1"/>
</file>

<file path=xl/ctrlProps/ctrlProp89.xml><?xml version="1.0" encoding="utf-8"?>
<formControlPr xmlns="http://schemas.microsoft.com/office/spreadsheetml/2009/9/main" objectType="CheckBox" checked="Checked" lockText="1" noThreeD="1"/>
</file>

<file path=xl/ctrlProps/ctrlProp90.xml><?xml version="1.0" encoding="utf-8"?>
<formControlPr xmlns="http://schemas.microsoft.com/office/spreadsheetml/2009/9/main" objectType="CheckBox" checked="Checked" lockText="1" noThreeD="1"/>
</file>

<file path=xl/ctrlProps/ctrlProp91.xml><?xml version="1.0" encoding="utf-8"?>
<formControlPr xmlns="http://schemas.microsoft.com/office/spreadsheetml/2009/9/main" objectType="CheckBox" checked="Checked" lockText="1" noThreeD="1"/>
</file>

<file path=xl/ctrlProps/ctrlProp92.xml><?xml version="1.0" encoding="utf-8"?>
<formControlPr xmlns="http://schemas.microsoft.com/office/spreadsheetml/2009/9/main" objectType="CheckBox" checked="Checked" lockText="1" noThreeD="1"/>
</file>

<file path=xl/ctrlProps/ctrlProp93.xml><?xml version="1.0" encoding="utf-8"?>
<formControlPr xmlns="http://schemas.microsoft.com/office/spreadsheetml/2009/9/main" objectType="CheckBox" checked="Checked" lockText="1" noThreeD="1"/>
</file>

<file path=xl/ctrlProps/ctrlProp94.xml><?xml version="1.0" encoding="utf-8"?>
<formControlPr xmlns="http://schemas.microsoft.com/office/spreadsheetml/2009/9/main" objectType="CheckBox" checked="Checked" lockText="1" noThreeD="1"/>
</file>

<file path=xl/ctrlProps/ctrlProp95.xml><?xml version="1.0" encoding="utf-8"?>
<formControlPr xmlns="http://schemas.microsoft.com/office/spreadsheetml/2009/9/main" objectType="CheckBox" checked="Checked" lockText="1" noThreeD="1"/>
</file>

<file path=xl/ctrlProps/ctrlProp96.xml><?xml version="1.0" encoding="utf-8"?>
<formControlPr xmlns="http://schemas.microsoft.com/office/spreadsheetml/2009/9/main" objectType="CheckBox" checked="Checked" lockText="1" noThreeD="1"/>
</file>

<file path=xl/ctrlProps/ctrlProp97.xml><?xml version="1.0" encoding="utf-8"?>
<formControlPr xmlns="http://schemas.microsoft.com/office/spreadsheetml/2009/9/main" objectType="CheckBox" checked="Checked" lockText="1" noThreeD="1"/>
</file>

<file path=xl/ctrlProps/ctrlProp98.xml><?xml version="1.0" encoding="utf-8"?>
<formControlPr xmlns="http://schemas.microsoft.com/office/spreadsheetml/2009/9/main" objectType="CheckBox" checked="Checked" lockText="1" noThreeD="1"/>
</file>

<file path=xl/ctrlProps/ctrlProp99.xml><?xml version="1.0" encoding="utf-8"?>
<formControlPr xmlns="http://schemas.microsoft.com/office/spreadsheetml/2009/9/main" objectType="CheckBox" checked="Checked" lockText="1" noThreeD="1"/>
</file>

<file path=xl/ctrlProps/ctrlProp100.xml><?xml version="1.0" encoding="utf-8"?>
<formControlPr xmlns="http://schemas.microsoft.com/office/spreadsheetml/2009/9/main" objectType="CheckBox" checked="Checked" lockText="1" noThreeD="1"/>
</file>

<file path=xl/ctrlProps/ctrlProp101.xml><?xml version="1.0" encoding="utf-8"?>
<formControlPr xmlns="http://schemas.microsoft.com/office/spreadsheetml/2009/9/main" objectType="CheckBox" checked="Checked" lockText="1" noThreeD="1"/>
</file>

<file path=xl/ctrlProps/ctrlProp102.xml><?xml version="1.0" encoding="utf-8"?>
<formControlPr xmlns="http://schemas.microsoft.com/office/spreadsheetml/2009/9/main" objectType="CheckBox" checked="Checked" lockText="1" noThreeD="1"/>
</file>

<file path=xl/ctrlProps/ctrlProp103.xml><?xml version="1.0" encoding="utf-8"?>
<formControlPr xmlns="http://schemas.microsoft.com/office/spreadsheetml/2009/9/main" objectType="CheckBox" checked="Checked" lockText="1" noThreeD="1"/>
</file>

<file path=xl/ctrlProps/ctrlProp104.xml><?xml version="1.0" encoding="utf-8"?>
<formControlPr xmlns="http://schemas.microsoft.com/office/spreadsheetml/2009/9/main" objectType="CheckBox" checked="Checked" lockText="1" noThreeD="1"/>
</file>

<file path=xl/ctrlProps/ctrlProp105.xml><?xml version="1.0" encoding="utf-8"?>
<formControlPr xmlns="http://schemas.microsoft.com/office/spreadsheetml/2009/9/main" objectType="CheckBox" checked="Checked" lockText="1" noThreeD="1"/>
</file>

<file path=xl/ctrlProps/ctrlProp106.xml><?xml version="1.0" encoding="utf-8"?>
<formControlPr xmlns="http://schemas.microsoft.com/office/spreadsheetml/2009/9/main" objectType="CheckBox" checked="Checked" lockText="1" noThreeD="1"/>
</file>

<file path=xl/ctrlProps/ctrlProp107.xml><?xml version="1.0" encoding="utf-8"?>
<formControlPr xmlns="http://schemas.microsoft.com/office/spreadsheetml/2009/9/main" objectType="CheckBox" checked="Checked" lockText="1" noThreeD="1"/>
</file>

<file path=xl/ctrlProps/ctrlProp108.xml><?xml version="1.0" encoding="utf-8"?>
<formControlPr xmlns="http://schemas.microsoft.com/office/spreadsheetml/2009/9/main" objectType="CheckBox" checked="Checked" lockText="1" noThreeD="1"/>
</file>

<file path=xl/ctrlProps/ctrlProp109.xml><?xml version="1.0" encoding="utf-8"?>
<formControlPr xmlns="http://schemas.microsoft.com/office/spreadsheetml/2009/9/main" objectType="CheckBox" checked="Checked" lockText="1" noThreeD="1"/>
</file>

<file path=xl/ctrlProps/ctrlProp110.xml><?xml version="1.0" encoding="utf-8"?>
<formControlPr xmlns="http://schemas.microsoft.com/office/spreadsheetml/2009/9/main" objectType="CheckBox" checked="Checked" lockText="1" noThreeD="1"/>
</file>

<file path=xl/ctrlProps/ctrlProp111.xml><?xml version="1.0" encoding="utf-8"?>
<formControlPr xmlns="http://schemas.microsoft.com/office/spreadsheetml/2009/9/main" objectType="CheckBox" checked="Checked" lockText="1" noThreeD="1"/>
</file>

<file path=xl/ctrlProps/ctrlProp112.xml><?xml version="1.0" encoding="utf-8"?>
<formControlPr xmlns="http://schemas.microsoft.com/office/spreadsheetml/2009/9/main" objectType="CheckBox" checked="Checked" lockText="1" noThreeD="1"/>
</file>

<file path=xl/ctrlProps/ctrlProp113.xml><?xml version="1.0" encoding="utf-8"?>
<formControlPr xmlns="http://schemas.microsoft.com/office/spreadsheetml/2009/9/main" objectType="CheckBox" checked="Checked" lockText="1" noThreeD="1"/>
</file>

<file path=xl/ctrlProps/ctrlProp114.xml><?xml version="1.0" encoding="utf-8"?>
<formControlPr xmlns="http://schemas.microsoft.com/office/spreadsheetml/2009/9/main" objectType="CheckBox" checked="Checked" lockText="1" noThreeD="1"/>
</file>

<file path=xl/ctrlProps/ctrlProp115.xml><?xml version="1.0" encoding="utf-8"?>
<formControlPr xmlns="http://schemas.microsoft.com/office/spreadsheetml/2009/9/main" objectType="CheckBox" checked="Checked" lockText="1" noThreeD="1"/>
</file>

<file path=xl/ctrlProps/ctrlProp116.xml><?xml version="1.0" encoding="utf-8"?>
<formControlPr xmlns="http://schemas.microsoft.com/office/spreadsheetml/2009/9/main" objectType="CheckBox" checked="Checked" lockText="1" noThreeD="1"/>
</file>

<file path=xl/ctrlProps/ctrlProp117.xml><?xml version="1.0" encoding="utf-8"?>
<formControlPr xmlns="http://schemas.microsoft.com/office/spreadsheetml/2009/9/main" objectType="CheckBox" checked="Checked" lockText="1" noThreeD="1"/>
</file>

<file path=xl/ctrlProps/ctrlProp118.xml><?xml version="1.0" encoding="utf-8"?>
<formControlPr xmlns="http://schemas.microsoft.com/office/spreadsheetml/2009/9/main" objectType="CheckBox" checked="Checked" lockText="1" noThreeD="1"/>
</file>

<file path=xl/ctrlProps/ctrlProp119.xml><?xml version="1.0" encoding="utf-8"?>
<formControlPr xmlns="http://schemas.microsoft.com/office/spreadsheetml/2009/9/main" objectType="CheckBox" checked="Checked" lockText="1" noThreeD="1"/>
</file>

<file path=xl/ctrlProps/ctrlProp120.xml><?xml version="1.0" encoding="utf-8"?>
<formControlPr xmlns="http://schemas.microsoft.com/office/spreadsheetml/2009/9/main" objectType="CheckBox" checked="Checked" lockText="1" noThreeD="1"/>
</file>

<file path=xl/ctrlProps/ctrlProp121.xml><?xml version="1.0" encoding="utf-8"?>
<formControlPr xmlns="http://schemas.microsoft.com/office/spreadsheetml/2009/9/main" objectType="CheckBox" checked="Checked" lockText="1" noThreeD="1"/>
</file>

<file path=xl/ctrlProps/ctrlProp122.xml><?xml version="1.0" encoding="utf-8"?>
<formControlPr xmlns="http://schemas.microsoft.com/office/spreadsheetml/2009/9/main" objectType="CheckBox" checked="Checked" lockText="1" noThreeD="1"/>
</file>

<file path=xl/ctrlProps/ctrlProp123.xml><?xml version="1.0" encoding="utf-8"?>
<formControlPr xmlns="http://schemas.microsoft.com/office/spreadsheetml/2009/9/main" objectType="CheckBox" checked="Checked" lockText="1" noThreeD="1"/>
</file>

<file path=xl/ctrlProps/ctrlProp124.xml><?xml version="1.0" encoding="utf-8"?>
<formControlPr xmlns="http://schemas.microsoft.com/office/spreadsheetml/2009/9/main" objectType="CheckBox" checked="Checked" lockText="1" noThreeD="1"/>
</file>

<file path=xl/ctrlProps/ctrlProp125.xml><?xml version="1.0" encoding="utf-8"?>
<formControlPr xmlns="http://schemas.microsoft.com/office/spreadsheetml/2009/9/main" objectType="CheckBox" checked="Checked" lockText="1" noThreeD="1"/>
</file>

<file path=xl/ctrlProps/ctrlProp126.xml><?xml version="1.0" encoding="utf-8"?>
<formControlPr xmlns="http://schemas.microsoft.com/office/spreadsheetml/2009/9/main" objectType="CheckBox" checked="Checked" lockText="1" noThreeD="1"/>
</file>

<file path=xl/ctrlProps/ctrlProp127.xml><?xml version="1.0" encoding="utf-8"?>
<formControlPr xmlns="http://schemas.microsoft.com/office/spreadsheetml/2009/9/main" objectType="CheckBox" checked="Checked" lockText="1" noThreeD="1"/>
</file>

<file path=xl/ctrlProps/ctrlProp128.xml><?xml version="1.0" encoding="utf-8"?>
<formControlPr xmlns="http://schemas.microsoft.com/office/spreadsheetml/2009/9/main" objectType="CheckBox" checked="Checked" lockText="1" noThreeD="1"/>
</file>

<file path=xl/ctrlProps/ctrlProp129.xml><?xml version="1.0" encoding="utf-8"?>
<formControlPr xmlns="http://schemas.microsoft.com/office/spreadsheetml/2009/9/main" objectType="CheckBox" checked="Checked" lockText="1" noThreeD="1"/>
</file>

<file path=xl/ctrlProps/ctrlProp130.xml><?xml version="1.0" encoding="utf-8"?>
<formControlPr xmlns="http://schemas.microsoft.com/office/spreadsheetml/2009/9/main" objectType="CheckBox" checked="Checked" lockText="1" noThreeD="1"/>
</file>

<file path=xl/ctrlProps/ctrlProp131.xml><?xml version="1.0" encoding="utf-8"?>
<formControlPr xmlns="http://schemas.microsoft.com/office/spreadsheetml/2009/9/main" objectType="CheckBox" checked="Checked" lockText="1" noThreeD="1"/>
</file>

<file path=xl/ctrlProps/ctrlProp132.xml><?xml version="1.0" encoding="utf-8"?>
<formControlPr xmlns="http://schemas.microsoft.com/office/spreadsheetml/2009/9/main" objectType="CheckBox" checked="Checked" lockText="1" noThreeD="1"/>
</file>

<file path=xl/ctrlProps/ctrlProp133.xml><?xml version="1.0" encoding="utf-8"?>
<formControlPr xmlns="http://schemas.microsoft.com/office/spreadsheetml/2009/9/main" objectType="CheckBox" checked="Checked" lockText="1" noThreeD="1"/>
</file>

<file path=xl/ctrlProps/ctrlProp134.xml><?xml version="1.0" encoding="utf-8"?>
<formControlPr xmlns="http://schemas.microsoft.com/office/spreadsheetml/2009/9/main" objectType="CheckBox" checked="Checked" lockText="1" noThreeD="1"/>
</file>

<file path=xl/ctrlProps/ctrlProp135.xml><?xml version="1.0" encoding="utf-8"?>
<formControlPr xmlns="http://schemas.microsoft.com/office/spreadsheetml/2009/9/main" objectType="CheckBox" checked="Checked" lockText="1" noThreeD="1"/>
</file>

<file path=xl/ctrlProps/ctrlProp136.xml><?xml version="1.0" encoding="utf-8"?>
<formControlPr xmlns="http://schemas.microsoft.com/office/spreadsheetml/2009/9/main" objectType="CheckBox" checked="Checked" lockText="1" noThreeD="1"/>
</file>

<file path=xl/ctrlProps/ctrlProp137.xml><?xml version="1.0" encoding="utf-8"?>
<formControlPr xmlns="http://schemas.microsoft.com/office/spreadsheetml/2009/9/main" objectType="CheckBox" checked="Checked" lockText="1" noThreeD="1"/>
</file>

<file path=xl/ctrlProps/ctrlProp138.xml><?xml version="1.0" encoding="utf-8"?>
<formControlPr xmlns="http://schemas.microsoft.com/office/spreadsheetml/2009/9/main" objectType="CheckBox" checked="Checked" lockText="1" noThreeD="1"/>
</file>

<file path=xl/ctrlProps/ctrlProp139.xml><?xml version="1.0" encoding="utf-8"?>
<formControlPr xmlns="http://schemas.microsoft.com/office/spreadsheetml/2009/9/main" objectType="CheckBox" checked="Checked" lockText="1" noThreeD="1"/>
</file>

<file path=xl/ctrlProps/ctrlProp140.xml><?xml version="1.0" encoding="utf-8"?>
<formControlPr xmlns="http://schemas.microsoft.com/office/spreadsheetml/2009/9/main" objectType="CheckBox" checked="Checked" lockText="1" noThreeD="1"/>
</file>

<file path=xl/ctrlProps/ctrlProp141.xml><?xml version="1.0" encoding="utf-8"?>
<formControlPr xmlns="http://schemas.microsoft.com/office/spreadsheetml/2009/9/main" objectType="CheckBox" checked="Checked" lockText="1" noThreeD="1"/>
</file>

<file path=xl/ctrlProps/ctrlProp142.xml><?xml version="1.0" encoding="utf-8"?>
<formControlPr xmlns="http://schemas.microsoft.com/office/spreadsheetml/2009/9/main" objectType="CheckBox" checked="Checked" lockText="1" noThreeD="1"/>
</file>

<file path=xl/ctrlProps/ctrlProp143.xml><?xml version="1.0" encoding="utf-8"?>
<formControlPr xmlns="http://schemas.microsoft.com/office/spreadsheetml/2009/9/main" objectType="CheckBox" checked="Checked" lockText="1" noThreeD="1"/>
</file>

<file path=xl/ctrlProps/ctrlProp144.xml><?xml version="1.0" encoding="utf-8"?>
<formControlPr xmlns="http://schemas.microsoft.com/office/spreadsheetml/2009/9/main" objectType="CheckBox" checked="Checked" lockText="1" noThreeD="1"/>
</file>

<file path=xl/ctrlProps/ctrlProp145.xml><?xml version="1.0" encoding="utf-8"?>
<formControlPr xmlns="http://schemas.microsoft.com/office/spreadsheetml/2009/9/main" objectType="CheckBox" checked="Checked" lockText="1" noThreeD="1"/>
</file>

<file path=xl/ctrlProps/ctrlProp146.xml><?xml version="1.0" encoding="utf-8"?>
<formControlPr xmlns="http://schemas.microsoft.com/office/spreadsheetml/2009/9/main" objectType="CheckBox" checked="Checked" lockText="1" noThreeD="1"/>
</file>

<file path=xl/ctrlProps/ctrlProp147.xml><?xml version="1.0" encoding="utf-8"?>
<formControlPr xmlns="http://schemas.microsoft.com/office/spreadsheetml/2009/9/main" objectType="CheckBox" checked="Checked"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checked="Checked" lockText="1" noThreeD="1"/>
</file>

<file path=xl/ctrlProps/ctrlProp150.xml><?xml version="1.0" encoding="utf-8"?>
<formControlPr xmlns="http://schemas.microsoft.com/office/spreadsheetml/2009/9/main" objectType="CheckBox" checked="Checked" lockText="1" noThreeD="1"/>
</file>

<file path=xl/ctrlProps/ctrlProp151.xml><?xml version="1.0" encoding="utf-8"?>
<formControlPr xmlns="http://schemas.microsoft.com/office/spreadsheetml/2009/9/main" objectType="CheckBox" checked="Checked"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checked="Checked" lockText="1" noThreeD="1"/>
</file>

<file path=xl/ctrlProps/ctrlProp155.xml><?xml version="1.0" encoding="utf-8"?>
<formControlPr xmlns="http://schemas.microsoft.com/office/spreadsheetml/2009/9/main" objectType="CheckBox" checked="Checked" lockText="1" noThreeD="1"/>
</file>

<file path=xl/ctrlProps/ctrlProp156.xml><?xml version="1.0" encoding="utf-8"?>
<formControlPr xmlns="http://schemas.microsoft.com/office/spreadsheetml/2009/9/main" objectType="CheckBox" checked="Checked" lockText="1" noThreeD="1"/>
</file>

<file path=xl/ctrlProps/ctrlProp157.xml><?xml version="1.0" encoding="utf-8"?>
<formControlPr xmlns="http://schemas.microsoft.com/office/spreadsheetml/2009/9/main" objectType="CheckBox" checked="Checked" lockText="1" noThreeD="1"/>
</file>

<file path=xl/ctrlProps/ctrlProp158.xml><?xml version="1.0" encoding="utf-8"?>
<formControlPr xmlns="http://schemas.microsoft.com/office/spreadsheetml/2009/9/main" objectType="CheckBox" checked="Checked" lockText="1" noThreeD="1"/>
</file>

<file path=xl/ctrlProps/ctrlProp159.xml><?xml version="1.0" encoding="utf-8"?>
<formControlPr xmlns="http://schemas.microsoft.com/office/spreadsheetml/2009/9/main" objectType="CheckBox" checked="Checked" lockText="1" noThreeD="1"/>
</file>

<file path=xl/ctrlProps/ctrlProp160.xml><?xml version="1.0" encoding="utf-8"?>
<formControlPr xmlns="http://schemas.microsoft.com/office/spreadsheetml/2009/9/main" objectType="CheckBox" checked="Checked"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checked="Checked" lockText="1" noThreeD="1"/>
</file>

<file path=xl/ctrlProps/ctrlProp174.xml><?xml version="1.0" encoding="utf-8"?>
<formControlPr xmlns="http://schemas.microsoft.com/office/spreadsheetml/2009/9/main" objectType="CheckBox" checked="Checked" lockText="1" noThreeD="1"/>
</file>

<file path=xl/ctrlProps/ctrlProp175.xml><?xml version="1.0" encoding="utf-8"?>
<formControlPr xmlns="http://schemas.microsoft.com/office/spreadsheetml/2009/9/main" objectType="CheckBox" checked="Checked" lockText="1" noThreeD="1"/>
</file>

<file path=xl/ctrlProps/ctrlProp176.xml><?xml version="1.0" encoding="utf-8"?>
<formControlPr xmlns="http://schemas.microsoft.com/office/spreadsheetml/2009/9/main" objectType="CheckBox" checked="Checked" lockText="1" noThreeD="1"/>
</file>

<file path=xl/ctrlProps/ctrlProp177.xml><?xml version="1.0" encoding="utf-8"?>
<formControlPr xmlns="http://schemas.microsoft.com/office/spreadsheetml/2009/9/main" objectType="CheckBox" checked="Checked" lockText="1" noThreeD="1"/>
</file>

<file path=xl/ctrlProps/ctrlProp178.xml><?xml version="1.0" encoding="utf-8"?>
<formControlPr xmlns="http://schemas.microsoft.com/office/spreadsheetml/2009/9/main" objectType="CheckBox" checked="Checked"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checked="Checked" lockText="1" noThreeD="1"/>
</file>

<file path=xl/ctrlProps/ctrlProp181.xml><?xml version="1.0" encoding="utf-8"?>
<formControlPr xmlns="http://schemas.microsoft.com/office/spreadsheetml/2009/9/main" objectType="CheckBox" checked="Checked" lockText="1" noThreeD="1"/>
</file>

<file path=xl/ctrlProps/ctrlProp182.xml><?xml version="1.0" encoding="utf-8"?>
<formControlPr xmlns="http://schemas.microsoft.com/office/spreadsheetml/2009/9/main" objectType="CheckBox" checked="Checked"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checked="Checked" lockText="1" noThreeD="1"/>
</file>

<file path=xl/ctrlProps/ctrlProp185.xml><?xml version="1.0" encoding="utf-8"?>
<formControlPr xmlns="http://schemas.microsoft.com/office/spreadsheetml/2009/9/main" objectType="CheckBox" checked="Checked"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checked="Checked"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checked="Checked" lockText="1" noThreeD="1"/>
</file>

<file path=xl/ctrlProps/ctrlProp191.xml><?xml version="1.0" encoding="utf-8"?>
<formControlPr xmlns="http://schemas.microsoft.com/office/spreadsheetml/2009/9/main" objectType="CheckBox" checked="Checked" lockText="1" noThreeD="1"/>
</file>

<file path=xl/ctrlProps/ctrlProp192.xml><?xml version="1.0" encoding="utf-8"?>
<formControlPr xmlns="http://schemas.microsoft.com/office/spreadsheetml/2009/9/main" objectType="CheckBox" checked="Checked" lockText="1" noThreeD="1"/>
</file>

<file path=xl/ctrlProps/ctrlProp193.xml><?xml version="1.0" encoding="utf-8"?>
<formControlPr xmlns="http://schemas.microsoft.com/office/spreadsheetml/2009/9/main" objectType="CheckBox" checked="Checked"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checked="Checked" lockText="1" noThreeD="1"/>
</file>

<file path=xl/ctrlProps/ctrlProp197.xml><?xml version="1.0" encoding="utf-8"?>
<formControlPr xmlns="http://schemas.microsoft.com/office/spreadsheetml/2009/9/main" objectType="CheckBox" checked="Checked"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checked="Checked"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checked="Checked" lockText="1" noThreeD="1"/>
</file>

<file path=xl/ctrlProps/ctrlProp209.xml><?xml version="1.0" encoding="utf-8"?>
<formControlPr xmlns="http://schemas.microsoft.com/office/spreadsheetml/2009/9/main" objectType="CheckBox" checked="Checked" lockText="1" noThreeD="1"/>
</file>

<file path=xl/ctrlProps/ctrlProp210.xml><?xml version="1.0" encoding="utf-8"?>
<formControlPr xmlns="http://schemas.microsoft.com/office/spreadsheetml/2009/9/main" objectType="CheckBox" checked="Checked" lockText="1" noThreeD="1"/>
</file>

<file path=xl/ctrlProps/ctrlProp211.xml><?xml version="1.0" encoding="utf-8"?>
<formControlPr xmlns="http://schemas.microsoft.com/office/spreadsheetml/2009/9/main" objectType="CheckBox" checked="Checked" lockText="1" noThreeD="1"/>
</file>

<file path=xl/ctrlProps/ctrlProp212.xml><?xml version="1.0" encoding="utf-8"?>
<formControlPr xmlns="http://schemas.microsoft.com/office/spreadsheetml/2009/9/main" objectType="CheckBox" checked="Checked" lockText="1" noThreeD="1"/>
</file>

<file path=xl/ctrlProps/ctrlProp213.xml><?xml version="1.0" encoding="utf-8"?>
<formControlPr xmlns="http://schemas.microsoft.com/office/spreadsheetml/2009/9/main" objectType="CheckBox" checked="Checked" lockText="1" noThreeD="1"/>
</file>

<file path=xl/ctrlProps/ctrlProp214.xml><?xml version="1.0" encoding="utf-8"?>
<formControlPr xmlns="http://schemas.microsoft.com/office/spreadsheetml/2009/9/main" objectType="CheckBox" checked="Checked" lockText="1" noThreeD="1"/>
</file>

<file path=xl/ctrlProps/ctrlProp215.xml><?xml version="1.0" encoding="utf-8"?>
<formControlPr xmlns="http://schemas.microsoft.com/office/spreadsheetml/2009/9/main" objectType="CheckBox" checked="Checked" lockText="1" noThreeD="1"/>
</file>

<file path=xl/ctrlProps/ctrlProp216.xml><?xml version="1.0" encoding="utf-8"?>
<formControlPr xmlns="http://schemas.microsoft.com/office/spreadsheetml/2009/9/main" objectType="CheckBox" checked="Checked" lockText="1" noThreeD="1"/>
</file>

<file path=xl/ctrlProps/ctrlProp217.xml><?xml version="1.0" encoding="utf-8"?>
<formControlPr xmlns="http://schemas.microsoft.com/office/spreadsheetml/2009/9/main" objectType="CheckBox" checked="Checked" lockText="1" noThreeD="1"/>
</file>

<file path=xl/ctrlProps/ctrlProp218.xml><?xml version="1.0" encoding="utf-8"?>
<formControlPr xmlns="http://schemas.microsoft.com/office/spreadsheetml/2009/9/main" objectType="CheckBox" checked="Checked" lockText="1" noThreeD="1"/>
</file>

<file path=xl/ctrlProps/ctrlProp219.xml><?xml version="1.0" encoding="utf-8"?>
<formControlPr xmlns="http://schemas.microsoft.com/office/spreadsheetml/2009/9/main" objectType="CheckBox" checked="Checked"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checked="Checked" lockText="1" noThreeD="1"/>
</file>

<file path=xl/ctrlProps/ctrlProp222.xml><?xml version="1.0" encoding="utf-8"?>
<formControlPr xmlns="http://schemas.microsoft.com/office/spreadsheetml/2009/9/main" objectType="CheckBox" checked="Checked" lockText="1" noThreeD="1"/>
</file>

<file path=xl/ctrlProps/ctrlProp223.xml><?xml version="1.0" encoding="utf-8"?>
<formControlPr xmlns="http://schemas.microsoft.com/office/spreadsheetml/2009/9/main" objectType="CheckBox" checked="Checked" lockText="1" noThreeD="1"/>
</file>

<file path=xl/ctrlProps/ctrlProp224.xml><?xml version="1.0" encoding="utf-8"?>
<formControlPr xmlns="http://schemas.microsoft.com/office/spreadsheetml/2009/9/main" objectType="CheckBox" checked="Checked"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checked="Checked" lockText="1" noThreeD="1"/>
</file>

<file path=xl/ctrlProps/ctrlProp227.xml><?xml version="1.0" encoding="utf-8"?>
<formControlPr xmlns="http://schemas.microsoft.com/office/spreadsheetml/2009/9/main" objectType="CheckBox" checked="Checked"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checked="Checked" lockText="1" noThreeD="1"/>
</file>

<file path=xl/ctrlProps/ctrlProp235.xml><?xml version="1.0" encoding="utf-8"?>
<formControlPr xmlns="http://schemas.microsoft.com/office/spreadsheetml/2009/9/main" objectType="CheckBox" checked="Checked" lockText="1" noThreeD="1"/>
</file>

<file path=xl/ctrlProps/ctrlProp236.xml><?xml version="1.0" encoding="utf-8"?>
<formControlPr xmlns="http://schemas.microsoft.com/office/spreadsheetml/2009/9/main" objectType="CheckBox" checked="Checked" lockText="1" noThreeD="1"/>
</file>

<file path=xl/ctrlProps/ctrlProp237.xml><?xml version="1.0" encoding="utf-8"?>
<formControlPr xmlns="http://schemas.microsoft.com/office/spreadsheetml/2009/9/main" objectType="CheckBox" checked="Checked" lockText="1" noThreeD="1"/>
</file>

<file path=xl/ctrlProps/ctrlProp238.xml><?xml version="1.0" encoding="utf-8"?>
<formControlPr xmlns="http://schemas.microsoft.com/office/spreadsheetml/2009/9/main" objectType="CheckBox" checked="Checked" lockText="1" noThreeD="1"/>
</file>

<file path=xl/ctrlProps/ctrlProp239.xml><?xml version="1.0" encoding="utf-8"?>
<formControlPr xmlns="http://schemas.microsoft.com/office/spreadsheetml/2009/9/main" objectType="CheckBox" checked="Checked" lockText="1" noThreeD="1"/>
</file>

<file path=xl/ctrlProps/ctrlProp240.xml><?xml version="1.0" encoding="utf-8"?>
<formControlPr xmlns="http://schemas.microsoft.com/office/spreadsheetml/2009/9/main" objectType="CheckBox" checked="Checked" lockText="1" noThreeD="1"/>
</file>

<file path=xl/ctrlProps/ctrlProp241.xml><?xml version="1.0" encoding="utf-8"?>
<formControlPr xmlns="http://schemas.microsoft.com/office/spreadsheetml/2009/9/main" objectType="CheckBox" checked="Checked" lockText="1" noThreeD="1"/>
</file>

<file path=xl/ctrlProps/ctrlProp242.xml><?xml version="1.0" encoding="utf-8"?>
<formControlPr xmlns="http://schemas.microsoft.com/office/spreadsheetml/2009/9/main" objectType="CheckBox" checked="Checked" lockText="1" noThreeD="1"/>
</file>

<file path=xl/ctrlProps/ctrlProp243.xml><?xml version="1.0" encoding="utf-8"?>
<formControlPr xmlns="http://schemas.microsoft.com/office/spreadsheetml/2009/9/main" objectType="CheckBox" checked="Checked" lockText="1" noThreeD="1"/>
</file>

<file path=xl/ctrlProps/ctrlProp244.xml><?xml version="1.0" encoding="utf-8"?>
<formControlPr xmlns="http://schemas.microsoft.com/office/spreadsheetml/2009/9/main" objectType="CheckBox" checked="Checked" lockText="1" noThreeD="1"/>
</file>

<file path=xl/ctrlProps/ctrlProp245.xml><?xml version="1.0" encoding="utf-8"?>
<formControlPr xmlns="http://schemas.microsoft.com/office/spreadsheetml/2009/9/main" objectType="CheckBox" checked="Checked" lockText="1" noThreeD="1"/>
</file>

<file path=xl/ctrlProps/ctrlProp246.xml><?xml version="1.0" encoding="utf-8"?>
<formControlPr xmlns="http://schemas.microsoft.com/office/spreadsheetml/2009/9/main" objectType="CheckBox" checked="Checked" lockText="1" noThreeD="1"/>
</file>

<file path=xl/ctrlProps/ctrlProp247.xml><?xml version="1.0" encoding="utf-8"?>
<formControlPr xmlns="http://schemas.microsoft.com/office/spreadsheetml/2009/9/main" objectType="CheckBox" checked="Checked" lockText="1" noThreeD="1"/>
</file>

<file path=xl/ctrlProps/ctrlProp248.xml><?xml version="1.0" encoding="utf-8"?>
<formControlPr xmlns="http://schemas.microsoft.com/office/spreadsheetml/2009/9/main" objectType="CheckBox" checked="Checked" lockText="1" noThreeD="1"/>
</file>

<file path=xl/ctrlProps/ctrlProp249.xml><?xml version="1.0" encoding="utf-8"?>
<formControlPr xmlns="http://schemas.microsoft.com/office/spreadsheetml/2009/9/main" objectType="CheckBox" checked="Checked" lockText="1" noThreeD="1"/>
</file>

<file path=xl/ctrlProps/ctrlProp250.xml><?xml version="1.0" encoding="utf-8"?>
<formControlPr xmlns="http://schemas.microsoft.com/office/spreadsheetml/2009/9/main" objectType="CheckBox" checked="Checked" lockText="1" noThreeD="1"/>
</file>

<file path=xl/ctrlProps/ctrlProp251.xml><?xml version="1.0" encoding="utf-8"?>
<formControlPr xmlns="http://schemas.microsoft.com/office/spreadsheetml/2009/9/main" objectType="CheckBox" checked="Checked" lockText="1" noThreeD="1"/>
</file>

<file path=xl/ctrlProps/ctrlProp252.xml><?xml version="1.0" encoding="utf-8"?>
<formControlPr xmlns="http://schemas.microsoft.com/office/spreadsheetml/2009/9/main" objectType="CheckBox" checked="Checked" lockText="1" noThreeD="1"/>
</file>

<file path=xl/ctrlProps/ctrlProp253.xml><?xml version="1.0" encoding="utf-8"?>
<formControlPr xmlns="http://schemas.microsoft.com/office/spreadsheetml/2009/9/main" objectType="CheckBox" checked="Checked" lockText="1" noThreeD="1"/>
</file>

<file path=xl/ctrlProps/ctrlProp254.xml><?xml version="1.0" encoding="utf-8"?>
<formControlPr xmlns="http://schemas.microsoft.com/office/spreadsheetml/2009/9/main" objectType="CheckBox" checked="Checked"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checked="Checked" lockText="1" noThreeD="1"/>
</file>

<file path=xl/ctrlProps/ctrlProp258.xml><?xml version="1.0" encoding="utf-8"?>
<formControlPr xmlns="http://schemas.microsoft.com/office/spreadsheetml/2009/9/main" objectType="CheckBox" checked="Checked" lockText="1" noThreeD="1"/>
</file>

<file path=xl/ctrlProps/ctrlProp259.xml><?xml version="1.0" encoding="utf-8"?>
<formControlPr xmlns="http://schemas.microsoft.com/office/spreadsheetml/2009/9/main" objectType="CheckBox" checked="Checked" lockText="1" noThreeD="1"/>
</file>

<file path=xl/ctrlProps/ctrlProp260.xml><?xml version="1.0" encoding="utf-8"?>
<formControlPr xmlns="http://schemas.microsoft.com/office/spreadsheetml/2009/9/main" objectType="CheckBox" checked="Checked"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checked="Checked" lockText="1" noThreeD="1"/>
</file>

<file path=xl/ctrlProps/ctrlProp265.xml><?xml version="1.0" encoding="utf-8"?>
<formControlPr xmlns="http://schemas.microsoft.com/office/spreadsheetml/2009/9/main" objectType="CheckBox" checked="Checked" lockText="1" noThreeD="1"/>
</file>

<file path=xl/ctrlProps/ctrlProp266.xml><?xml version="1.0" encoding="utf-8"?>
<formControlPr xmlns="http://schemas.microsoft.com/office/spreadsheetml/2009/9/main" objectType="CheckBox" checked="Checked" lockText="1" noThreeD="1"/>
</file>

<file path=xl/ctrlProps/ctrlProp267.xml><?xml version="1.0" encoding="utf-8"?>
<formControlPr xmlns="http://schemas.microsoft.com/office/spreadsheetml/2009/9/main" objectType="CheckBox" checked="Checked" lockText="1" noThreeD="1"/>
</file>

<file path=xl/ctrlProps/ctrlProp268.xml><?xml version="1.0" encoding="utf-8"?>
<formControlPr xmlns="http://schemas.microsoft.com/office/spreadsheetml/2009/9/main" objectType="CheckBox" checked="Checked"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checked="Checked" lockText="1" noThreeD="1"/>
</file>

<file path=xl/ctrlProps/ctrlProp271.xml><?xml version="1.0" encoding="utf-8"?>
<formControlPr xmlns="http://schemas.microsoft.com/office/spreadsheetml/2009/9/main" objectType="CheckBox" checked="Checked"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checked="Checked" lockText="1" noThreeD="1"/>
</file>

<file path=xl/ctrlProps/ctrlProp274.xml><?xml version="1.0" encoding="utf-8"?>
<formControlPr xmlns="http://schemas.microsoft.com/office/spreadsheetml/2009/9/main" objectType="CheckBox" checked="Checked"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checked="Checked"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checked="Checked" lockText="1" noThreeD="1"/>
</file>

<file path=xl/ctrlProps/ctrlProp302.xml><?xml version="1.0" encoding="utf-8"?>
<formControlPr xmlns="http://schemas.microsoft.com/office/spreadsheetml/2009/9/main" objectType="CheckBox" checked="Checked" lockText="1" noThreeD="1"/>
</file>

<file path=xl/ctrlProps/ctrlProp303.xml><?xml version="1.0" encoding="utf-8"?>
<formControlPr xmlns="http://schemas.microsoft.com/office/spreadsheetml/2009/9/main" objectType="CheckBox" checked="Checked" lockText="1" noThreeD="1"/>
</file>

<file path=xl/ctrlProps/ctrlProp304.xml><?xml version="1.0" encoding="utf-8"?>
<formControlPr xmlns="http://schemas.microsoft.com/office/spreadsheetml/2009/9/main" objectType="CheckBox" checked="Checked" lockText="1" noThreeD="1"/>
</file>

<file path=xl/ctrlProps/ctrlProp305.xml><?xml version="1.0" encoding="utf-8"?>
<formControlPr xmlns="http://schemas.microsoft.com/office/spreadsheetml/2009/9/main" objectType="CheckBox" checked="Checked" lockText="1" noThreeD="1"/>
</file>

<file path=xl/ctrlProps/ctrlProp306.xml><?xml version="1.0" encoding="utf-8"?>
<formControlPr xmlns="http://schemas.microsoft.com/office/spreadsheetml/2009/9/main" objectType="CheckBox" checked="Checked" lockText="1" noThreeD="1"/>
</file>

<file path=xl/ctrlProps/ctrlProp307.xml><?xml version="1.0" encoding="utf-8"?>
<formControlPr xmlns="http://schemas.microsoft.com/office/spreadsheetml/2009/9/main" objectType="CheckBox" checked="Checked" lockText="1" noThreeD="1"/>
</file>

<file path=xl/ctrlProps/ctrlProp308.xml><?xml version="1.0" encoding="utf-8"?>
<formControlPr xmlns="http://schemas.microsoft.com/office/spreadsheetml/2009/9/main" objectType="CheckBox" checked="Checked" lockText="1" noThreeD="1"/>
</file>

<file path=xl/ctrlProps/ctrlProp309.xml><?xml version="1.0" encoding="utf-8"?>
<formControlPr xmlns="http://schemas.microsoft.com/office/spreadsheetml/2009/9/main" objectType="CheckBox" checked="Checked" lockText="1" noThreeD="1"/>
</file>

<file path=xl/ctrlProps/ctrlProp310.xml><?xml version="1.0" encoding="utf-8"?>
<formControlPr xmlns="http://schemas.microsoft.com/office/spreadsheetml/2009/9/main" objectType="CheckBox" checked="Checked" lockText="1" noThreeD="1"/>
</file>

<file path=xl/ctrlProps/ctrlProp311.xml><?xml version="1.0" encoding="utf-8"?>
<formControlPr xmlns="http://schemas.microsoft.com/office/spreadsheetml/2009/9/main" objectType="CheckBox" checked="Checked"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checked="Checked" lockText="1" noThreeD="1"/>
</file>

<file path=xl/ctrlProps/ctrlProp314.xml><?xml version="1.0" encoding="utf-8"?>
<formControlPr xmlns="http://schemas.microsoft.com/office/spreadsheetml/2009/9/main" objectType="CheckBox" checked="Checked"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checked="Checked" lockText="1" noThreeD="1"/>
</file>

<file path=xl/ctrlProps/ctrlProp318.xml><?xml version="1.0" encoding="utf-8"?>
<formControlPr xmlns="http://schemas.microsoft.com/office/spreadsheetml/2009/9/main" objectType="CheckBox" checked="Checked" lockText="1" noThreeD="1"/>
</file>

<file path=xl/ctrlProps/ctrlProp319.xml><?xml version="1.0" encoding="utf-8"?>
<formControlPr xmlns="http://schemas.microsoft.com/office/spreadsheetml/2009/9/main" objectType="CheckBox" checked="Checked" lockText="1" noThreeD="1"/>
</file>

<file path=xl/ctrlProps/ctrlProp320.xml><?xml version="1.0" encoding="utf-8"?>
<formControlPr xmlns="http://schemas.microsoft.com/office/spreadsheetml/2009/9/main" objectType="CheckBox" checked="Checked" lockText="1" noThreeD="1"/>
</file>

<file path=xl/ctrlProps/ctrlProp321.xml><?xml version="1.0" encoding="utf-8"?>
<formControlPr xmlns="http://schemas.microsoft.com/office/spreadsheetml/2009/9/main" objectType="CheckBox" checked="Checked"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checked="Checked" lockText="1" noThreeD="1"/>
</file>

<file path=xl/ctrlProps/ctrlProp325.xml><?xml version="1.0" encoding="utf-8"?>
<formControlPr xmlns="http://schemas.microsoft.com/office/spreadsheetml/2009/9/main" objectType="CheckBox" checked="Checked" lockText="1" noThreeD="1"/>
</file>

<file path=xl/ctrlProps/ctrlProp326.xml><?xml version="1.0" encoding="utf-8"?>
<formControlPr xmlns="http://schemas.microsoft.com/office/spreadsheetml/2009/9/main" objectType="CheckBox" checked="Checked" lockText="1" noThreeD="1"/>
</file>

<file path=xl/ctrlProps/ctrlProp327.xml><?xml version="1.0" encoding="utf-8"?>
<formControlPr xmlns="http://schemas.microsoft.com/office/spreadsheetml/2009/9/main" objectType="CheckBox" checked="Checked" lockText="1" noThreeD="1"/>
</file>

<file path=xl/ctrlProps/ctrlProp328.xml><?xml version="1.0" encoding="utf-8"?>
<formControlPr xmlns="http://schemas.microsoft.com/office/spreadsheetml/2009/9/main" objectType="CheckBox" checked="Checked" lockText="1" noThreeD="1"/>
</file>

<file path=xl/ctrlProps/ctrlProp329.xml><?xml version="1.0" encoding="utf-8"?>
<formControlPr xmlns="http://schemas.microsoft.com/office/spreadsheetml/2009/9/main" objectType="CheckBox" checked="Checked" lockText="1" noThreeD="1"/>
</file>

<file path=xl/ctrlProps/ctrlProp330.xml><?xml version="1.0" encoding="utf-8"?>
<formControlPr xmlns="http://schemas.microsoft.com/office/spreadsheetml/2009/9/main" objectType="CheckBox" checked="Checked"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checked="Checked" lockText="1" noThreeD="1"/>
</file>

<file path=xl/ctrlProps/ctrlProp334.xml><?xml version="1.0" encoding="utf-8"?>
<formControlPr xmlns="http://schemas.microsoft.com/office/spreadsheetml/2009/9/main" objectType="CheckBox" checked="Checked" lockText="1" noThreeD="1"/>
</file>

<file path=xl/ctrlProps/ctrlProp335.xml><?xml version="1.0" encoding="utf-8"?>
<formControlPr xmlns="http://schemas.microsoft.com/office/spreadsheetml/2009/9/main" objectType="CheckBox" checked="Checked" lockText="1" noThreeD="1"/>
</file>

<file path=xl/ctrlProps/ctrlProp336.xml><?xml version="1.0" encoding="utf-8"?>
<formControlPr xmlns="http://schemas.microsoft.com/office/spreadsheetml/2009/9/main" objectType="CheckBox" checked="Checked"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checked="Checked" lockText="1" noThreeD="1"/>
</file>

<file path=xl/ctrlProps/ctrlProp340.xml><?xml version="1.0" encoding="utf-8"?>
<formControlPr xmlns="http://schemas.microsoft.com/office/spreadsheetml/2009/9/main" objectType="CheckBox" checked="Checked"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checked="Checked"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checked="Checked" lockText="1" noThreeD="1"/>
</file>

<file path=xl/ctrlProps/ctrlProp346.xml><?xml version="1.0" encoding="utf-8"?>
<formControlPr xmlns="http://schemas.microsoft.com/office/spreadsheetml/2009/9/main" objectType="CheckBox" checked="Checked"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checked="Checked" lockText="1" noThreeD="1"/>
</file>

<file path=xl/ctrlProps/ctrlProp365.xml><?xml version="1.0" encoding="utf-8"?>
<formControlPr xmlns="http://schemas.microsoft.com/office/spreadsheetml/2009/9/main" objectType="CheckBox" checked="Checked" lockText="1" noThreeD="1"/>
</file>

<file path=xl/ctrlProps/ctrlProp366.xml><?xml version="1.0" encoding="utf-8"?>
<formControlPr xmlns="http://schemas.microsoft.com/office/spreadsheetml/2009/9/main" objectType="CheckBox" checked="Checked" lockText="1" noThreeD="1"/>
</file>

<file path=xl/ctrlProps/ctrlProp367.xml><?xml version="1.0" encoding="utf-8"?>
<formControlPr xmlns="http://schemas.microsoft.com/office/spreadsheetml/2009/9/main" objectType="CheckBox" checked="Checked" lockText="1" noThreeD="1"/>
</file>

<file path=xl/ctrlProps/ctrlProp368.xml><?xml version="1.0" encoding="utf-8"?>
<formControlPr xmlns="http://schemas.microsoft.com/office/spreadsheetml/2009/9/main" objectType="CheckBox" checked="Checked" lockText="1" noThreeD="1"/>
</file>

<file path=xl/ctrlProps/ctrlProp369.xml><?xml version="1.0" encoding="utf-8"?>
<formControlPr xmlns="http://schemas.microsoft.com/office/spreadsheetml/2009/9/main" objectType="CheckBox" checked="Checked" lockText="1" noThreeD="1"/>
</file>

<file path=xl/ctrlProps/ctrlProp370.xml><?xml version="1.0" encoding="utf-8"?>
<formControlPr xmlns="http://schemas.microsoft.com/office/spreadsheetml/2009/9/main" objectType="CheckBox" checked="Checked" lockText="1" noThreeD="1"/>
</file>

<file path=xl/ctrlProps/ctrlProp371.xml><?xml version="1.0" encoding="utf-8"?>
<formControlPr xmlns="http://schemas.microsoft.com/office/spreadsheetml/2009/9/main" objectType="CheckBox" checked="Checked" lockText="1" noThreeD="1"/>
</file>

<file path=xl/ctrlProps/ctrlProp372.xml><?xml version="1.0" encoding="utf-8"?>
<formControlPr xmlns="http://schemas.microsoft.com/office/spreadsheetml/2009/9/main" objectType="CheckBox" checked="Checked" lockText="1" noThreeD="1"/>
</file>

<file path=xl/ctrlProps/ctrlProp373.xml><?xml version="1.0" encoding="utf-8"?>
<formControlPr xmlns="http://schemas.microsoft.com/office/spreadsheetml/2009/9/main" objectType="CheckBox" checked="Checked" lockText="1" noThreeD="1"/>
</file>

<file path=xl/ctrlProps/ctrlProp374.xml><?xml version="1.0" encoding="utf-8"?>
<formControlPr xmlns="http://schemas.microsoft.com/office/spreadsheetml/2009/9/main" objectType="CheckBox" checked="Checked" lockText="1" noThreeD="1"/>
</file>

<file path=xl/ctrlProps/ctrlProp375.xml><?xml version="1.0" encoding="utf-8"?>
<formControlPr xmlns="http://schemas.microsoft.com/office/spreadsheetml/2009/9/main" objectType="CheckBox" checked="Checked" lockText="1" noThreeD="1"/>
</file>

<file path=xl/ctrlProps/ctrlProp376.xml><?xml version="1.0" encoding="utf-8"?>
<formControlPr xmlns="http://schemas.microsoft.com/office/spreadsheetml/2009/9/main" objectType="CheckBox" checked="Checked" lockText="1" noThreeD="1"/>
</file>

<file path=xl/ctrlProps/ctrlProp377.xml><?xml version="1.0" encoding="utf-8"?>
<formControlPr xmlns="http://schemas.microsoft.com/office/spreadsheetml/2009/9/main" objectType="CheckBox" checked="Checked" lockText="1" noThreeD="1"/>
</file>

<file path=xl/ctrlProps/ctrlProp378.xml><?xml version="1.0" encoding="utf-8"?>
<formControlPr xmlns="http://schemas.microsoft.com/office/spreadsheetml/2009/9/main" objectType="CheckBox" checked="Checked"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checked="Checked"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checked="Checked" lockText="1" noThreeD="1"/>
</file>

<file path=xl/ctrlProps/ctrlProp386.xml><?xml version="1.0" encoding="utf-8"?>
<formControlPr xmlns="http://schemas.microsoft.com/office/spreadsheetml/2009/9/main" objectType="CheckBox" checked="Checked" lockText="1" noThreeD="1"/>
</file>

<file path=xl/ctrlProps/ctrlProp387.xml><?xml version="1.0" encoding="utf-8"?>
<formControlPr xmlns="http://schemas.microsoft.com/office/spreadsheetml/2009/9/main" objectType="CheckBox" checked="Checked" lockText="1" noThreeD="1"/>
</file>

<file path=xl/ctrlProps/ctrlProp388.xml><?xml version="1.0" encoding="utf-8"?>
<formControlPr xmlns="http://schemas.microsoft.com/office/spreadsheetml/2009/9/main" objectType="CheckBox" checked="Checked" lockText="1" noThreeD="1"/>
</file>

<file path=xl/ctrlProps/ctrlProp389.xml><?xml version="1.0" encoding="utf-8"?>
<formControlPr xmlns="http://schemas.microsoft.com/office/spreadsheetml/2009/9/main" objectType="CheckBox" checked="Checked" lockText="1" noThreeD="1"/>
</file>

<file path=xl/ctrlProps/ctrlProp390.xml><?xml version="1.0" encoding="utf-8"?>
<formControlPr xmlns="http://schemas.microsoft.com/office/spreadsheetml/2009/9/main" objectType="CheckBox" checked="Checked" lockText="1" noThreeD="1"/>
</file>

<file path=xl/ctrlProps/ctrlProp391.xml><?xml version="1.0" encoding="utf-8"?>
<formControlPr xmlns="http://schemas.microsoft.com/office/spreadsheetml/2009/9/main" objectType="CheckBox" checked="Checked" lockText="1" noThreeD="1"/>
</file>

<file path=xl/ctrlProps/ctrlProp392.xml><?xml version="1.0" encoding="utf-8"?>
<formControlPr xmlns="http://schemas.microsoft.com/office/spreadsheetml/2009/9/main" objectType="CheckBox" checked="Checked" lockText="1" noThreeD="1"/>
</file>

<file path=xl/ctrlProps/ctrlProp393.xml><?xml version="1.0" encoding="utf-8"?>
<formControlPr xmlns="http://schemas.microsoft.com/office/spreadsheetml/2009/9/main" objectType="CheckBox" checked="Checked"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checked="Checked" lockText="1" noThreeD="1"/>
</file>

<file path=xl/ctrlProps/ctrlProp398.xml><?xml version="1.0" encoding="utf-8"?>
<formControlPr xmlns="http://schemas.microsoft.com/office/spreadsheetml/2009/9/main" objectType="CheckBox" checked="Checked" lockText="1" noThreeD="1"/>
</file>

<file path=xl/ctrlProps/ctrlProp399.xml><?xml version="1.0" encoding="utf-8"?>
<formControlPr xmlns="http://schemas.microsoft.com/office/spreadsheetml/2009/9/main" objectType="CheckBox" checked="Checked" lockText="1" noThreeD="1"/>
</file>

<file path=xl/ctrlProps/ctrlProp400.xml><?xml version="1.0" encoding="utf-8"?>
<formControlPr xmlns="http://schemas.microsoft.com/office/spreadsheetml/2009/9/main" objectType="CheckBox" checked="Checked" lockText="1" noThreeD="1"/>
</file>

<file path=xl/ctrlProps/ctrlProp401.xml><?xml version="1.0" encoding="utf-8"?>
<formControlPr xmlns="http://schemas.microsoft.com/office/spreadsheetml/2009/9/main" objectType="CheckBox" lockText="1" noThreeD="1"/>
</file>

<file path=xl/ctrlProps/ctrlProp402.xml><?xml version="1.0" encoding="utf-8"?>
<formControlPr xmlns="http://schemas.microsoft.com/office/spreadsheetml/2009/9/main" objectType="CheckBox" checked="Checked"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checked="Checked" lockText="1" noThreeD="1"/>
</file>

<file path=xl/ctrlProps/ctrlProp455.xml><?xml version="1.0" encoding="utf-8"?>
<formControlPr xmlns="http://schemas.microsoft.com/office/spreadsheetml/2009/9/main" objectType="CheckBox" checked="Checked" lockText="1" noThreeD="1"/>
</file>

<file path=xl/ctrlProps/ctrlProp456.xml><?xml version="1.0" encoding="utf-8"?>
<formControlPr xmlns="http://schemas.microsoft.com/office/spreadsheetml/2009/9/main" objectType="CheckBox" checked="Checked" lockText="1" noThreeD="1"/>
</file>

<file path=xl/ctrlProps/ctrlProp457.xml><?xml version="1.0" encoding="utf-8"?>
<formControlPr xmlns="http://schemas.microsoft.com/office/spreadsheetml/2009/9/main" objectType="CheckBox" checked="Checked" lockText="1" noThreeD="1"/>
</file>

<file path=xl/ctrlProps/ctrlProp458.xml><?xml version="1.0" encoding="utf-8"?>
<formControlPr xmlns="http://schemas.microsoft.com/office/spreadsheetml/2009/9/main" objectType="CheckBox" checked="Checked" lockText="1" noThreeD="1"/>
</file>

<file path=xl/ctrlProps/ctrlProp459.xml><?xml version="1.0" encoding="utf-8"?>
<formControlPr xmlns="http://schemas.microsoft.com/office/spreadsheetml/2009/9/main" objectType="CheckBox" checked="Checked" lockText="1" noThreeD="1"/>
</file>

<file path=xl/ctrlProps/ctrlProp460.xml><?xml version="1.0" encoding="utf-8"?>
<formControlPr xmlns="http://schemas.microsoft.com/office/spreadsheetml/2009/9/main" objectType="CheckBox" checked="Checked" lockText="1" noThreeD="1"/>
</file>

<file path=xl/ctrlProps/ctrlProp461.xml><?xml version="1.0" encoding="utf-8"?>
<formControlPr xmlns="http://schemas.microsoft.com/office/spreadsheetml/2009/9/main" objectType="CheckBox" checked="Checked" lockText="1" noThreeD="1"/>
</file>

<file path=xl/ctrlProps/ctrlProp462.xml><?xml version="1.0" encoding="utf-8"?>
<formControlPr xmlns="http://schemas.microsoft.com/office/spreadsheetml/2009/9/main" objectType="CheckBox" checked="Checked" lockText="1" noThreeD="1"/>
</file>

<file path=xl/ctrlProps/ctrlProp463.xml><?xml version="1.0" encoding="utf-8"?>
<formControlPr xmlns="http://schemas.microsoft.com/office/spreadsheetml/2009/9/main" objectType="CheckBox" checked="Checked" lockText="1" noThreeD="1"/>
</file>

<file path=xl/ctrlProps/ctrlProp464.xml><?xml version="1.0" encoding="utf-8"?>
<formControlPr xmlns="http://schemas.microsoft.com/office/spreadsheetml/2009/9/main" objectType="CheckBox" checked="Checked" lockText="1" noThreeD="1"/>
</file>

<file path=xl/ctrlProps/ctrlProp465.xml><?xml version="1.0" encoding="utf-8"?>
<formControlPr xmlns="http://schemas.microsoft.com/office/spreadsheetml/2009/9/main" objectType="CheckBox" checked="Checked" lockText="1" noThreeD="1"/>
</file>

<file path=xl/ctrlProps/ctrlProp466.xml><?xml version="1.0" encoding="utf-8"?>
<formControlPr xmlns="http://schemas.microsoft.com/office/spreadsheetml/2009/9/main" objectType="CheckBox" checked="Checked" lockText="1" noThreeD="1"/>
</file>

<file path=xl/ctrlProps/ctrlProp467.xml><?xml version="1.0" encoding="utf-8"?>
<formControlPr xmlns="http://schemas.microsoft.com/office/spreadsheetml/2009/9/main" objectType="CheckBox" checked="Checked" lockText="1" noThreeD="1"/>
</file>

<file path=xl/ctrlProps/ctrlProp468.xml><?xml version="1.0" encoding="utf-8"?>
<formControlPr xmlns="http://schemas.microsoft.com/office/spreadsheetml/2009/9/main" objectType="CheckBox" checked="Checked"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checked="Checked" lockText="1" noThreeD="1"/>
</file>

<file path=xl/ctrlProps/ctrlProp472.xml><?xml version="1.0" encoding="utf-8"?>
<formControlPr xmlns="http://schemas.microsoft.com/office/spreadsheetml/2009/9/main" objectType="CheckBox" checked="Checked"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ctrlProps/ctrlProp478.xml><?xml version="1.0" encoding="utf-8"?>
<formControlPr xmlns="http://schemas.microsoft.com/office/spreadsheetml/2009/9/main" objectType="CheckBox" lockText="1" noThreeD="1"/>
</file>

<file path=xl/ctrlProps/ctrlProp479.xml><?xml version="1.0" encoding="utf-8"?>
<formControlPr xmlns="http://schemas.microsoft.com/office/spreadsheetml/2009/9/main" objectType="CheckBox" checked="Checked" lockText="1" noThreeD="1"/>
</file>

<file path=xl/ctrlProps/ctrlProp480.xml><?xml version="1.0" encoding="utf-8"?>
<formControlPr xmlns="http://schemas.microsoft.com/office/spreadsheetml/2009/9/main" objectType="CheckBox" checked="Checked" lockText="1" noThreeD="1"/>
</file>

<file path=xl/ctrlProps/ctrlProp481.xml><?xml version="1.0" encoding="utf-8"?>
<formControlPr xmlns="http://schemas.microsoft.com/office/spreadsheetml/2009/9/main" objectType="CheckBox" checked="Checked" lockText="1" noThreeD="1"/>
</file>

<file path=xl/ctrlProps/ctrlProp482.xml><?xml version="1.0" encoding="utf-8"?>
<formControlPr xmlns="http://schemas.microsoft.com/office/spreadsheetml/2009/9/main" objectType="CheckBox" checked="Checked" lockText="1" noThreeD="1"/>
</file>

<file path=xl/ctrlProps/ctrlProp483.xml><?xml version="1.0" encoding="utf-8"?>
<formControlPr xmlns="http://schemas.microsoft.com/office/spreadsheetml/2009/9/main" objectType="CheckBox" checked="Checked" lockText="1" noThreeD="1"/>
</file>

<file path=xl/ctrlProps/ctrlProp484.xml><?xml version="1.0" encoding="utf-8"?>
<formControlPr xmlns="http://schemas.microsoft.com/office/spreadsheetml/2009/9/main" objectType="CheckBox" checked="Checked" lockText="1" noThreeD="1"/>
</file>

<file path=xl/ctrlProps/ctrlProp485.xml><?xml version="1.0" encoding="utf-8"?>
<formControlPr xmlns="http://schemas.microsoft.com/office/spreadsheetml/2009/9/main" objectType="CheckBox" checked="Checked" lockText="1" noThreeD="1"/>
</file>

<file path=xl/ctrlProps/ctrlProp486.xml><?xml version="1.0" encoding="utf-8"?>
<formControlPr xmlns="http://schemas.microsoft.com/office/spreadsheetml/2009/9/main" objectType="CheckBox" checked="Checked" lockText="1" noThreeD="1"/>
</file>

<file path=xl/ctrlProps/ctrlProp487.xml><?xml version="1.0" encoding="utf-8"?>
<formControlPr xmlns="http://schemas.microsoft.com/office/spreadsheetml/2009/9/main" objectType="CheckBox" checked="Checked" lockText="1" noThreeD="1"/>
</file>

<file path=xl/ctrlProps/ctrlProp488.xml><?xml version="1.0" encoding="utf-8"?>
<formControlPr xmlns="http://schemas.microsoft.com/office/spreadsheetml/2009/9/main" objectType="CheckBox" checked="Checked" lockText="1" noThreeD="1"/>
</file>

<file path=xl/ctrlProps/ctrlProp489.xml><?xml version="1.0" encoding="utf-8"?>
<formControlPr xmlns="http://schemas.microsoft.com/office/spreadsheetml/2009/9/main" objectType="CheckBox" checked="Checked" lockText="1" noThreeD="1"/>
</file>

<file path=xl/ctrlProps/ctrlProp490.xml><?xml version="1.0" encoding="utf-8"?>
<formControlPr xmlns="http://schemas.microsoft.com/office/spreadsheetml/2009/9/main" objectType="CheckBox" checked="Checked" lockText="1" noThreeD="1"/>
</file>

<file path=xl/ctrlProps/ctrlProp491.xml><?xml version="1.0" encoding="utf-8"?>
<formControlPr xmlns="http://schemas.microsoft.com/office/spreadsheetml/2009/9/main" objectType="CheckBox" checked="Checked" lockText="1" noThreeD="1"/>
</file>

<file path=xl/ctrlProps/ctrlProp492.xml><?xml version="1.0" encoding="utf-8"?>
<formControlPr xmlns="http://schemas.microsoft.com/office/spreadsheetml/2009/9/main" objectType="CheckBox" lockText="1" noThreeD="1"/>
</file>

<file path=xl/ctrlProps/ctrlProp493.xml><?xml version="1.0" encoding="utf-8"?>
<formControlPr xmlns="http://schemas.microsoft.com/office/spreadsheetml/2009/9/main" objectType="CheckBox" lockText="1" noThreeD="1"/>
</file>

<file path=xl/ctrlProps/ctrlProp494.xml><?xml version="1.0" encoding="utf-8"?>
<formControlPr xmlns="http://schemas.microsoft.com/office/spreadsheetml/2009/9/main" objectType="CheckBox" checked="Checked" lockText="1" noThreeD="1"/>
</file>

<file path=xl/ctrlProps/ctrlProp495.xml><?xml version="1.0" encoding="utf-8"?>
<formControlPr xmlns="http://schemas.microsoft.com/office/spreadsheetml/2009/9/main" objectType="CheckBox" checked="Checked" lockText="1" noThreeD="1"/>
</file>

<file path=xl/ctrlProps/ctrlProp496.xml><?xml version="1.0" encoding="utf-8"?>
<formControlPr xmlns="http://schemas.microsoft.com/office/spreadsheetml/2009/9/main" objectType="CheckBox" checked="Checked" lockText="1" noThreeD="1"/>
</file>

<file path=xl/ctrlProps/ctrlProp497.xml><?xml version="1.0" encoding="utf-8"?>
<formControlPr xmlns="http://schemas.microsoft.com/office/spreadsheetml/2009/9/main" objectType="CheckBox" checked="Checked" lockText="1" noThreeD="1"/>
</file>

<file path=xl/ctrlProps/ctrlProp498.xml><?xml version="1.0" encoding="utf-8"?>
<formControlPr xmlns="http://schemas.microsoft.com/office/spreadsheetml/2009/9/main" objectType="CheckBox" checked="Checked" lockText="1" noThreeD="1"/>
</file>

<file path=xl/ctrlProps/ctrlProp499.xml><?xml version="1.0" encoding="utf-8"?>
<formControlPr xmlns="http://schemas.microsoft.com/office/spreadsheetml/2009/9/main" objectType="CheckBox" checked="Checked" lockText="1" noThreeD="1"/>
</file>

<file path=xl/ctrlProps/ctrlProp500.xml><?xml version="1.0" encoding="utf-8"?>
<formControlPr xmlns="http://schemas.microsoft.com/office/spreadsheetml/2009/9/main" objectType="CheckBox" checked="Checked" lockText="1" noThreeD="1"/>
</file>

<file path=xl/ctrlProps/ctrlProp501.xml><?xml version="1.0" encoding="utf-8"?>
<formControlPr xmlns="http://schemas.microsoft.com/office/spreadsheetml/2009/9/main" objectType="CheckBox" checked="Checked" lockText="1" noThreeD="1"/>
</file>

<file path=xl/ctrlProps/ctrlProp502.xml><?xml version="1.0" encoding="utf-8"?>
<formControlPr xmlns="http://schemas.microsoft.com/office/spreadsheetml/2009/9/main" objectType="CheckBox" checked="Checked" lockText="1" noThreeD="1"/>
</file>

<file path=xl/ctrlProps/ctrlProp503.xml><?xml version="1.0" encoding="utf-8"?>
<formControlPr xmlns="http://schemas.microsoft.com/office/spreadsheetml/2009/9/main" objectType="CheckBox" checked="Checked" lockText="1" noThreeD="1"/>
</file>

<file path=xl/ctrlProps/ctrlProp504.xml><?xml version="1.0" encoding="utf-8"?>
<formControlPr xmlns="http://schemas.microsoft.com/office/spreadsheetml/2009/9/main" objectType="CheckBox" lockText="1" noThreeD="1"/>
</file>

<file path=xl/ctrlProps/ctrlProp505.xml><?xml version="1.0" encoding="utf-8"?>
<formControlPr xmlns="http://schemas.microsoft.com/office/spreadsheetml/2009/9/main" objectType="CheckBox" lockText="1" noThreeD="1"/>
</file>

<file path=xl/ctrlProps/ctrlProp506.xml><?xml version="1.0" encoding="utf-8"?>
<formControlPr xmlns="http://schemas.microsoft.com/office/spreadsheetml/2009/9/main" objectType="CheckBox" lockText="1" noThreeD="1"/>
</file>

<file path=xl/ctrlProps/ctrlProp507.xml><?xml version="1.0" encoding="utf-8"?>
<formControlPr xmlns="http://schemas.microsoft.com/office/spreadsheetml/2009/9/main" objectType="CheckBox" lockText="1" noThreeD="1"/>
</file>

<file path=xl/ctrlProps/ctrlProp508.xml><?xml version="1.0" encoding="utf-8"?>
<formControlPr xmlns="http://schemas.microsoft.com/office/spreadsheetml/2009/9/main" objectType="CheckBox" lockText="1" noThreeD="1"/>
</file>

<file path=xl/ctrlProps/ctrlProp509.xml><?xml version="1.0" encoding="utf-8"?>
<formControlPr xmlns="http://schemas.microsoft.com/office/spreadsheetml/2009/9/main" objectType="CheckBox" lockText="1" noThreeD="1"/>
</file>

<file path=xl/ctrlProps/ctrlProp510.xml><?xml version="1.0" encoding="utf-8"?>
<formControlPr xmlns="http://schemas.microsoft.com/office/spreadsheetml/2009/9/main" objectType="CheckBox" checked="Checked" lockText="1" noThreeD="1"/>
</file>

<file path=xl/ctrlProps/ctrlProp511.xml><?xml version="1.0" encoding="utf-8"?>
<formControlPr xmlns="http://schemas.microsoft.com/office/spreadsheetml/2009/9/main" objectType="CheckBox" checked="Checked" lockText="1" noThreeD="1"/>
</file>

<file path=xl/ctrlProps/ctrlProp512.xml><?xml version="1.0" encoding="utf-8"?>
<formControlPr xmlns="http://schemas.microsoft.com/office/spreadsheetml/2009/9/main" objectType="CheckBox" checked="Checked" lockText="1" noThreeD="1"/>
</file>

<file path=xl/ctrlProps/ctrlProp513.xml><?xml version="1.0" encoding="utf-8"?>
<formControlPr xmlns="http://schemas.microsoft.com/office/spreadsheetml/2009/9/main" objectType="CheckBox" lockText="1" noThreeD="1"/>
</file>

<file path=xl/ctrlProps/ctrlProp514.xml><?xml version="1.0" encoding="utf-8"?>
<formControlPr xmlns="http://schemas.microsoft.com/office/spreadsheetml/2009/9/main" objectType="CheckBox" checked="Checked" lockText="1" noThreeD="1"/>
</file>

<file path=xl/ctrlProps/ctrlProp515.xml><?xml version="1.0" encoding="utf-8"?>
<formControlPr xmlns="http://schemas.microsoft.com/office/spreadsheetml/2009/9/main" objectType="CheckBox" lockText="1" noThreeD="1"/>
</file>

<file path=xl/ctrlProps/ctrlProp516.xml><?xml version="1.0" encoding="utf-8"?>
<formControlPr xmlns="http://schemas.microsoft.com/office/spreadsheetml/2009/9/main" objectType="CheckBox" lockText="1" noThreeD="1"/>
</file>

<file path=xl/ctrlProps/ctrlProp517.xml><?xml version="1.0" encoding="utf-8"?>
<formControlPr xmlns="http://schemas.microsoft.com/office/spreadsheetml/2009/9/main" objectType="CheckBox" lockText="1" noThreeD="1"/>
</file>

<file path=xl/ctrlProps/ctrlProp518.xml><?xml version="1.0" encoding="utf-8"?>
<formControlPr xmlns="http://schemas.microsoft.com/office/spreadsheetml/2009/9/main" objectType="CheckBox" checked="Checked" lockText="1" noThreeD="1"/>
</file>

<file path=xl/ctrlProps/ctrlProp519.xml><?xml version="1.0" encoding="utf-8"?>
<formControlPr xmlns="http://schemas.microsoft.com/office/spreadsheetml/2009/9/main" objectType="CheckBox" checked="Checked" lockText="1" noThreeD="1"/>
</file>

<file path=xl/ctrlProps/ctrlProp520.xml><?xml version="1.0" encoding="utf-8"?>
<formControlPr xmlns="http://schemas.microsoft.com/office/spreadsheetml/2009/9/main" objectType="CheckBox" checked="Checked" lockText="1" noThreeD="1"/>
</file>

<file path=xl/ctrlProps/ctrlProp521.xml><?xml version="1.0" encoding="utf-8"?>
<formControlPr xmlns="http://schemas.microsoft.com/office/spreadsheetml/2009/9/main" objectType="CheckBox" checked="Checked" lockText="1" noThreeD="1"/>
</file>

<file path=xl/ctrlProps/ctrlProp522.xml><?xml version="1.0" encoding="utf-8"?>
<formControlPr xmlns="http://schemas.microsoft.com/office/spreadsheetml/2009/9/main" objectType="CheckBox" checked="Checked" lockText="1" noThreeD="1"/>
</file>

<file path=xl/ctrlProps/ctrlProp523.xml><?xml version="1.0" encoding="utf-8"?>
<formControlPr xmlns="http://schemas.microsoft.com/office/spreadsheetml/2009/9/main" objectType="CheckBox" lockText="1" noThreeD="1"/>
</file>

<file path=xl/ctrlProps/ctrlProp524.xml><?xml version="1.0" encoding="utf-8"?>
<formControlPr xmlns="http://schemas.microsoft.com/office/spreadsheetml/2009/9/main" objectType="CheckBox" checked="Checked" lockText="1" noThreeD="1"/>
</file>

<file path=xl/ctrlProps/ctrlProp525.xml><?xml version="1.0" encoding="utf-8"?>
<formControlPr xmlns="http://schemas.microsoft.com/office/spreadsheetml/2009/9/main" objectType="CheckBox" checked="Checked" lockText="1" noThreeD="1"/>
</file>

<file path=xl/ctrlProps/ctrlProp526.xml><?xml version="1.0" encoding="utf-8"?>
<formControlPr xmlns="http://schemas.microsoft.com/office/spreadsheetml/2009/9/main" objectType="CheckBox" checked="Checked" lockText="1" noThreeD="1"/>
</file>

<file path=xl/ctrlProps/ctrlProp527.xml><?xml version="1.0" encoding="utf-8"?>
<formControlPr xmlns="http://schemas.microsoft.com/office/spreadsheetml/2009/9/main" objectType="CheckBox" checked="Checked" lockText="1" noThreeD="1"/>
</file>

<file path=xl/ctrlProps/ctrlProp528.xml><?xml version="1.0" encoding="utf-8"?>
<formControlPr xmlns="http://schemas.microsoft.com/office/spreadsheetml/2009/9/main" objectType="CheckBox" checked="Checked" lockText="1" noThreeD="1"/>
</file>

<file path=xl/ctrlProps/ctrlProp529.xml><?xml version="1.0" encoding="utf-8"?>
<formControlPr xmlns="http://schemas.microsoft.com/office/spreadsheetml/2009/9/main" objectType="CheckBox" lockText="1" noThreeD="1"/>
</file>

<file path=xl/ctrlProps/ctrlProp530.xml><?xml version="1.0" encoding="utf-8"?>
<formControlPr xmlns="http://schemas.microsoft.com/office/spreadsheetml/2009/9/main" objectType="CheckBox" lockText="1" noThreeD="1"/>
</file>

<file path=xl/ctrlProps/ctrlProp531.xml><?xml version="1.0" encoding="utf-8"?>
<formControlPr xmlns="http://schemas.microsoft.com/office/spreadsheetml/2009/9/main" objectType="CheckBox" lockText="1" noThreeD="1"/>
</file>

<file path=xl/ctrlProps/ctrlProp532.xml><?xml version="1.0" encoding="utf-8"?>
<formControlPr xmlns="http://schemas.microsoft.com/office/spreadsheetml/2009/9/main" objectType="CheckBox" lockText="1" noThreeD="1"/>
</file>

<file path=xl/ctrlProps/ctrlProp533.xml><?xml version="1.0" encoding="utf-8"?>
<formControlPr xmlns="http://schemas.microsoft.com/office/spreadsheetml/2009/9/main" objectType="CheckBox" lockText="1" noThreeD="1"/>
</file>

<file path=xl/ctrlProps/ctrlProp534.xml><?xml version="1.0" encoding="utf-8"?>
<formControlPr xmlns="http://schemas.microsoft.com/office/spreadsheetml/2009/9/main" objectType="CheckBox" lockText="1" noThreeD="1"/>
</file>

<file path=xl/ctrlProps/ctrlProp535.xml><?xml version="1.0" encoding="utf-8"?>
<formControlPr xmlns="http://schemas.microsoft.com/office/spreadsheetml/2009/9/main" objectType="CheckBox" lockText="1" noThreeD="1"/>
</file>

<file path=xl/ctrlProps/ctrlProp536.xml><?xml version="1.0" encoding="utf-8"?>
<formControlPr xmlns="http://schemas.microsoft.com/office/spreadsheetml/2009/9/main" objectType="CheckBox" lockText="1" noThreeD="1"/>
</file>

<file path=xl/ctrlProps/ctrlProp537.xml><?xml version="1.0" encoding="utf-8"?>
<formControlPr xmlns="http://schemas.microsoft.com/office/spreadsheetml/2009/9/main" objectType="CheckBox" lockText="1" noThreeD="1"/>
</file>

<file path=xl/ctrlProps/ctrlProp538.xml><?xml version="1.0" encoding="utf-8"?>
<formControlPr xmlns="http://schemas.microsoft.com/office/spreadsheetml/2009/9/main" objectType="CheckBox" lockText="1" noThreeD="1"/>
</file>

<file path=xl/ctrlProps/ctrlProp539.xml><?xml version="1.0" encoding="utf-8"?>
<formControlPr xmlns="http://schemas.microsoft.com/office/spreadsheetml/2009/9/main" objectType="CheckBox" lockText="1" noThreeD="1"/>
</file>

<file path=xl/ctrlProps/ctrlProp540.xml><?xml version="1.0" encoding="utf-8"?>
<formControlPr xmlns="http://schemas.microsoft.com/office/spreadsheetml/2009/9/main" objectType="CheckBox" lockText="1" noThreeD="1"/>
</file>

<file path=xl/ctrlProps/ctrlProp541.xml><?xml version="1.0" encoding="utf-8"?>
<formControlPr xmlns="http://schemas.microsoft.com/office/spreadsheetml/2009/9/main" objectType="CheckBox" lockText="1" noThreeD="1"/>
</file>

<file path=xl/ctrlProps/ctrlProp542.xml><?xml version="1.0" encoding="utf-8"?>
<formControlPr xmlns="http://schemas.microsoft.com/office/spreadsheetml/2009/9/main" objectType="CheckBox" lockText="1" noThreeD="1"/>
</file>

<file path=xl/ctrlProps/ctrlProp543.xml><?xml version="1.0" encoding="utf-8"?>
<formControlPr xmlns="http://schemas.microsoft.com/office/spreadsheetml/2009/9/main" objectType="CheckBox" lockText="1" noThreeD="1"/>
</file>

<file path=xl/ctrlProps/ctrlProp544.xml><?xml version="1.0" encoding="utf-8"?>
<formControlPr xmlns="http://schemas.microsoft.com/office/spreadsheetml/2009/9/main" objectType="CheckBox" checked="Checked" lockText="1" noThreeD="1"/>
</file>

<file path=xl/ctrlProps/ctrlProp545.xml><?xml version="1.0" encoding="utf-8"?>
<formControlPr xmlns="http://schemas.microsoft.com/office/spreadsheetml/2009/9/main" objectType="CheckBox" checked="Checked" lockText="1" noThreeD="1"/>
</file>

<file path=xl/ctrlProps/ctrlProp546.xml><?xml version="1.0" encoding="utf-8"?>
<formControlPr xmlns="http://schemas.microsoft.com/office/spreadsheetml/2009/9/main" objectType="CheckBox" checked="Checked" lockText="1" noThreeD="1"/>
</file>

<file path=xl/ctrlProps/ctrlProp547.xml><?xml version="1.0" encoding="utf-8"?>
<formControlPr xmlns="http://schemas.microsoft.com/office/spreadsheetml/2009/9/main" objectType="CheckBox" checked="Checked" lockText="1" noThreeD="1"/>
</file>

<file path=xl/ctrlProps/ctrlProp548.xml><?xml version="1.0" encoding="utf-8"?>
<formControlPr xmlns="http://schemas.microsoft.com/office/spreadsheetml/2009/9/main" objectType="CheckBox" lockText="1" noThreeD="1"/>
</file>

<file path=xl/ctrlProps/ctrlProp549.xml><?xml version="1.0" encoding="utf-8"?>
<formControlPr xmlns="http://schemas.microsoft.com/office/spreadsheetml/2009/9/main" objectType="CheckBox" checked="Checked" lockText="1" noThreeD="1"/>
</file>

<file path=xl/ctrlProps/ctrlProp550.xml><?xml version="1.0" encoding="utf-8"?>
<formControlPr xmlns="http://schemas.microsoft.com/office/spreadsheetml/2009/9/main" objectType="CheckBox" checked="Checked" lockText="1" noThreeD="1"/>
</file>

<file path=xl/ctrlProps/ctrlProp551.xml><?xml version="1.0" encoding="utf-8"?>
<formControlPr xmlns="http://schemas.microsoft.com/office/spreadsheetml/2009/9/main" objectType="CheckBox" lockText="1" noThreeD="1"/>
</file>

<file path=xl/ctrlProps/ctrlProp552.xml><?xml version="1.0" encoding="utf-8"?>
<formControlPr xmlns="http://schemas.microsoft.com/office/spreadsheetml/2009/9/main" objectType="CheckBox" checked="Checked" lockText="1" noThreeD="1"/>
</file>

<file path=xl/ctrlProps/ctrlProp553.xml><?xml version="1.0" encoding="utf-8"?>
<formControlPr xmlns="http://schemas.microsoft.com/office/spreadsheetml/2009/9/main" objectType="CheckBox" checked="Checked" lockText="1" noThreeD="1"/>
</file>

<file path=xl/ctrlProps/ctrlProp554.xml><?xml version="1.0" encoding="utf-8"?>
<formControlPr xmlns="http://schemas.microsoft.com/office/spreadsheetml/2009/9/main" objectType="CheckBox" checked="Checked" lockText="1" noThreeD="1"/>
</file>

<file path=xl/ctrlProps/ctrlProp555.xml><?xml version="1.0" encoding="utf-8"?>
<formControlPr xmlns="http://schemas.microsoft.com/office/spreadsheetml/2009/9/main" objectType="CheckBox" checked="Checked" lockText="1" noThreeD="1"/>
</file>

<file path=xl/ctrlProps/ctrlProp556.xml><?xml version="1.0" encoding="utf-8"?>
<formControlPr xmlns="http://schemas.microsoft.com/office/spreadsheetml/2009/9/main" objectType="CheckBox" checked="Checked" lockText="1" noThreeD="1"/>
</file>

<file path=xl/ctrlProps/ctrlProp557.xml><?xml version="1.0" encoding="utf-8"?>
<formControlPr xmlns="http://schemas.microsoft.com/office/spreadsheetml/2009/9/main" objectType="CheckBox" checked="Checked" lockText="1" noThreeD="1"/>
</file>

<file path=xl/ctrlProps/ctrlProp558.xml><?xml version="1.0" encoding="utf-8"?>
<formControlPr xmlns="http://schemas.microsoft.com/office/spreadsheetml/2009/9/main" objectType="CheckBox" checked="Checked" lockText="1" noThreeD="1"/>
</file>

<file path=xl/ctrlProps/ctrlProp559.xml><?xml version="1.0" encoding="utf-8"?>
<formControlPr xmlns="http://schemas.microsoft.com/office/spreadsheetml/2009/9/main" objectType="CheckBox" lockText="1" noThreeD="1"/>
</file>

<file path=xl/ctrlProps/ctrlProp560.xml><?xml version="1.0" encoding="utf-8"?>
<formControlPr xmlns="http://schemas.microsoft.com/office/spreadsheetml/2009/9/main" objectType="CheckBox" lockText="1" noThreeD="1"/>
</file>

<file path=xl/ctrlProps/ctrlProp561.xml><?xml version="1.0" encoding="utf-8"?>
<formControlPr xmlns="http://schemas.microsoft.com/office/spreadsheetml/2009/9/main" objectType="CheckBox" checked="Checked" lockText="1" noThreeD="1"/>
</file>

<file path=xl/ctrlProps/ctrlProp562.xml><?xml version="1.0" encoding="utf-8"?>
<formControlPr xmlns="http://schemas.microsoft.com/office/spreadsheetml/2009/9/main" objectType="CheckBox" checked="Checked" lockText="1" noThreeD="1"/>
</file>

<file path=xl/ctrlProps/ctrlProp563.xml><?xml version="1.0" encoding="utf-8"?>
<formControlPr xmlns="http://schemas.microsoft.com/office/spreadsheetml/2009/9/main" objectType="CheckBox" checked="Checked" lockText="1" noThreeD="1"/>
</file>

<file path=xl/ctrlProps/ctrlProp564.xml><?xml version="1.0" encoding="utf-8"?>
<formControlPr xmlns="http://schemas.microsoft.com/office/spreadsheetml/2009/9/main" objectType="CheckBox" checked="Checked" lockText="1" noThreeD="1"/>
</file>

<file path=xl/ctrlProps/ctrlProp565.xml><?xml version="1.0" encoding="utf-8"?>
<formControlPr xmlns="http://schemas.microsoft.com/office/spreadsheetml/2009/9/main" objectType="CheckBox" checked="Checked" lockText="1" noThreeD="1"/>
</file>

<file path=xl/ctrlProps/ctrlProp566.xml><?xml version="1.0" encoding="utf-8"?>
<formControlPr xmlns="http://schemas.microsoft.com/office/spreadsheetml/2009/9/main" objectType="CheckBox" checked="Checked" lockText="1" noThreeD="1"/>
</file>

<file path=xl/ctrlProps/ctrlProp567.xml><?xml version="1.0" encoding="utf-8"?>
<formControlPr xmlns="http://schemas.microsoft.com/office/spreadsheetml/2009/9/main" objectType="CheckBox" checked="Checked" lockText="1" noThreeD="1"/>
</file>

<file path=xl/ctrlProps/ctrlProp568.xml><?xml version="1.0" encoding="utf-8"?>
<formControlPr xmlns="http://schemas.microsoft.com/office/spreadsheetml/2009/9/main" objectType="CheckBox" lockText="1" noThreeD="1"/>
</file>

<file path=xl/ctrlProps/ctrlProp569.xml><?xml version="1.0" encoding="utf-8"?>
<formControlPr xmlns="http://schemas.microsoft.com/office/spreadsheetml/2009/9/main" objectType="CheckBox" lockText="1" noThreeD="1"/>
</file>

<file path=xl/ctrlProps/ctrlProp570.xml><?xml version="1.0" encoding="utf-8"?>
<formControlPr xmlns="http://schemas.microsoft.com/office/spreadsheetml/2009/9/main" objectType="CheckBox" lockText="1" noThreeD="1"/>
</file>

<file path=xl/ctrlProps/ctrlProp571.xml><?xml version="1.0" encoding="utf-8"?>
<formControlPr xmlns="http://schemas.microsoft.com/office/spreadsheetml/2009/9/main" objectType="CheckBox" checked="Checked" lockText="1" noThreeD="1"/>
</file>

<file path=xl/ctrlProps/ctrlProp572.xml><?xml version="1.0" encoding="utf-8"?>
<formControlPr xmlns="http://schemas.microsoft.com/office/spreadsheetml/2009/9/main" objectType="CheckBox" checked="Checked" lockText="1" noThreeD="1"/>
</file>

<file path=xl/ctrlProps/ctrlProp573.xml><?xml version="1.0" encoding="utf-8"?>
<formControlPr xmlns="http://schemas.microsoft.com/office/spreadsheetml/2009/9/main" objectType="CheckBox" checked="Checked" lockText="1" noThreeD="1"/>
</file>

<file path=xl/ctrlProps/ctrlProp574.xml><?xml version="1.0" encoding="utf-8"?>
<formControlPr xmlns="http://schemas.microsoft.com/office/spreadsheetml/2009/9/main" objectType="CheckBox" checked="Checked" lockText="1" noThreeD="1"/>
</file>

<file path=xl/ctrlProps/ctrlProp575.xml><?xml version="1.0" encoding="utf-8"?>
<formControlPr xmlns="http://schemas.microsoft.com/office/spreadsheetml/2009/9/main" objectType="CheckBox" checked="Checked" lockText="1" noThreeD="1"/>
</file>

<file path=xl/ctrlProps/ctrlProp576.xml><?xml version="1.0" encoding="utf-8"?>
<formControlPr xmlns="http://schemas.microsoft.com/office/spreadsheetml/2009/9/main" objectType="CheckBox" checked="Checked" lockText="1" noThreeD="1"/>
</file>

<file path=xl/ctrlProps/ctrlProp577.xml><?xml version="1.0" encoding="utf-8"?>
<formControlPr xmlns="http://schemas.microsoft.com/office/spreadsheetml/2009/9/main" objectType="CheckBox" lockText="1" noThreeD="1"/>
</file>

<file path=xl/ctrlProps/ctrlProp578.xml><?xml version="1.0" encoding="utf-8"?>
<formControlPr xmlns="http://schemas.microsoft.com/office/spreadsheetml/2009/9/main" objectType="CheckBox" lockText="1" noThreeD="1"/>
</file>

<file path=xl/ctrlProps/ctrlProp579.xml><?xml version="1.0" encoding="utf-8"?>
<formControlPr xmlns="http://schemas.microsoft.com/office/spreadsheetml/2009/9/main" objectType="CheckBox" checked="Checked" lockText="1" noThreeD="1"/>
</file>

<file path=xl/ctrlProps/ctrlProp580.xml><?xml version="1.0" encoding="utf-8"?>
<formControlPr xmlns="http://schemas.microsoft.com/office/spreadsheetml/2009/9/main" objectType="CheckBox" checked="Checked" lockText="1" noThreeD="1"/>
</file>

<file path=xl/ctrlProps/ctrlProp581.xml><?xml version="1.0" encoding="utf-8"?>
<formControlPr xmlns="http://schemas.microsoft.com/office/spreadsheetml/2009/9/main" objectType="CheckBox" checked="Checked" lockText="1" noThreeD="1"/>
</file>

<file path=xl/ctrlProps/ctrlProp582.xml><?xml version="1.0" encoding="utf-8"?>
<formControlPr xmlns="http://schemas.microsoft.com/office/spreadsheetml/2009/9/main" objectType="CheckBox" checked="Checked" lockText="1" noThreeD="1"/>
</file>

<file path=xl/ctrlProps/ctrlProp583.xml><?xml version="1.0" encoding="utf-8"?>
<formControlPr xmlns="http://schemas.microsoft.com/office/spreadsheetml/2009/9/main" objectType="CheckBox" lockText="1" noThreeD="1"/>
</file>

<file path=xl/ctrlProps/ctrlProp584.xml><?xml version="1.0" encoding="utf-8"?>
<formControlPr xmlns="http://schemas.microsoft.com/office/spreadsheetml/2009/9/main" objectType="CheckBox" lockText="1" noThreeD="1"/>
</file>

<file path=xl/ctrlProps/ctrlProp585.xml><?xml version="1.0" encoding="utf-8"?>
<formControlPr xmlns="http://schemas.microsoft.com/office/spreadsheetml/2009/9/main" objectType="CheckBox" checked="Checked" lockText="1" noThreeD="1"/>
</file>

<file path=xl/ctrlProps/ctrlProp586.xml><?xml version="1.0" encoding="utf-8"?>
<formControlPr xmlns="http://schemas.microsoft.com/office/spreadsheetml/2009/9/main" objectType="CheckBox" lockText="1" noThreeD="1"/>
</file>

<file path=xl/ctrlProps/ctrlProp587.xml><?xml version="1.0" encoding="utf-8"?>
<formControlPr xmlns="http://schemas.microsoft.com/office/spreadsheetml/2009/9/main" objectType="CheckBox" lockText="1" noThreeD="1"/>
</file>

<file path=xl/ctrlProps/ctrlProp588.xml><?xml version="1.0" encoding="utf-8"?>
<formControlPr xmlns="http://schemas.microsoft.com/office/spreadsheetml/2009/9/main" objectType="CheckBox" lockText="1" noThreeD="1"/>
</file>

<file path=xl/ctrlProps/ctrlProp589.xml><?xml version="1.0" encoding="utf-8"?>
<formControlPr xmlns="http://schemas.microsoft.com/office/spreadsheetml/2009/9/main" objectType="CheckBox" checked="Checked" lockText="1" noThreeD="1"/>
</file>

<file path=xl/ctrlProps/ctrlProp590.xml><?xml version="1.0" encoding="utf-8"?>
<formControlPr xmlns="http://schemas.microsoft.com/office/spreadsheetml/2009/9/main" objectType="CheckBox" lockText="1" noThreeD="1"/>
</file>

<file path=xl/ctrlProps/ctrlProp591.xml><?xml version="1.0" encoding="utf-8"?>
<formControlPr xmlns="http://schemas.microsoft.com/office/spreadsheetml/2009/9/main" objectType="CheckBox" lockText="1" noThreeD="1"/>
</file>

<file path=xl/ctrlProps/ctrlProp592.xml><?xml version="1.0" encoding="utf-8"?>
<formControlPr xmlns="http://schemas.microsoft.com/office/spreadsheetml/2009/9/main" objectType="CheckBox" lockText="1" noThreeD="1"/>
</file>

<file path=xl/ctrlProps/ctrlProp593.xml><?xml version="1.0" encoding="utf-8"?>
<formControlPr xmlns="http://schemas.microsoft.com/office/spreadsheetml/2009/9/main" objectType="CheckBox" lockText="1" noThreeD="1"/>
</file>

<file path=xl/ctrlProps/ctrlProp594.xml><?xml version="1.0" encoding="utf-8"?>
<formControlPr xmlns="http://schemas.microsoft.com/office/spreadsheetml/2009/9/main" objectType="CheckBox" lockText="1" noThreeD="1"/>
</file>

<file path=xl/ctrlProps/ctrlProp595.xml><?xml version="1.0" encoding="utf-8"?>
<formControlPr xmlns="http://schemas.microsoft.com/office/spreadsheetml/2009/9/main" objectType="CheckBox" lockText="1" noThreeD="1"/>
</file>

<file path=xl/ctrlProps/ctrlProp596.xml><?xml version="1.0" encoding="utf-8"?>
<formControlPr xmlns="http://schemas.microsoft.com/office/spreadsheetml/2009/9/main" objectType="CheckBox" lockText="1" noThreeD="1"/>
</file>

<file path=xl/ctrlProps/ctrlProp597.xml><?xml version="1.0" encoding="utf-8"?>
<formControlPr xmlns="http://schemas.microsoft.com/office/spreadsheetml/2009/9/main" objectType="CheckBox" lockText="1" noThreeD="1"/>
</file>

<file path=xl/ctrlProps/ctrlProp598.xml><?xml version="1.0" encoding="utf-8"?>
<formControlPr xmlns="http://schemas.microsoft.com/office/spreadsheetml/2009/9/main" objectType="CheckBox" lockText="1" noThreeD="1"/>
</file>

<file path=xl/ctrlProps/ctrlProp599.xml><?xml version="1.0" encoding="utf-8"?>
<formControlPr xmlns="http://schemas.microsoft.com/office/spreadsheetml/2009/9/main" objectType="CheckBox" lockText="1" noThreeD="1"/>
</file>

<file path=xl/ctrlProps/ctrlProp600.xml><?xml version="1.0" encoding="utf-8"?>
<formControlPr xmlns="http://schemas.microsoft.com/office/spreadsheetml/2009/9/main" objectType="CheckBox" lockText="1" noThreeD="1"/>
</file>

<file path=xl/ctrlProps/ctrlProp601.xml><?xml version="1.0" encoding="utf-8"?>
<formControlPr xmlns="http://schemas.microsoft.com/office/spreadsheetml/2009/9/main" objectType="CheckBox" lockText="1" noThreeD="1"/>
</file>

<file path=xl/ctrlProps/ctrlProp602.xml><?xml version="1.0" encoding="utf-8"?>
<formControlPr xmlns="http://schemas.microsoft.com/office/spreadsheetml/2009/9/main" objectType="CheckBox" lockText="1" noThreeD="1"/>
</file>

<file path=xl/ctrlProps/ctrlProp603.xml><?xml version="1.0" encoding="utf-8"?>
<formControlPr xmlns="http://schemas.microsoft.com/office/spreadsheetml/2009/9/main" objectType="CheckBox" lockText="1" noThreeD="1"/>
</file>

<file path=xl/ctrlProps/ctrlProp604.xml><?xml version="1.0" encoding="utf-8"?>
<formControlPr xmlns="http://schemas.microsoft.com/office/spreadsheetml/2009/9/main" objectType="CheckBox" lockText="1" noThreeD="1"/>
</file>

<file path=xl/ctrlProps/ctrlProp605.xml><?xml version="1.0" encoding="utf-8"?>
<formControlPr xmlns="http://schemas.microsoft.com/office/spreadsheetml/2009/9/main" objectType="CheckBox" checked="Checked" lockText="1" noThreeD="1"/>
</file>

<file path=xl/ctrlProps/ctrlProp606.xml><?xml version="1.0" encoding="utf-8"?>
<formControlPr xmlns="http://schemas.microsoft.com/office/spreadsheetml/2009/9/main" objectType="CheckBox" lockText="1" noThreeD="1"/>
</file>

<file path=xl/ctrlProps/ctrlProp607.xml><?xml version="1.0" encoding="utf-8"?>
<formControlPr xmlns="http://schemas.microsoft.com/office/spreadsheetml/2009/9/main" objectType="CheckBox" lockText="1" noThreeD="1"/>
</file>

<file path=xl/ctrlProps/ctrlProp608.xml><?xml version="1.0" encoding="utf-8"?>
<formControlPr xmlns="http://schemas.microsoft.com/office/spreadsheetml/2009/9/main" objectType="CheckBox" lockText="1" noThreeD="1"/>
</file>

<file path=xl/ctrlProps/ctrlProp609.xml><?xml version="1.0" encoding="utf-8"?>
<formControlPr xmlns="http://schemas.microsoft.com/office/spreadsheetml/2009/9/main" objectType="CheckBox" lockText="1" noThreeD="1"/>
</file>

<file path=xl/ctrlProps/ctrlProp610.xml><?xml version="1.0" encoding="utf-8"?>
<formControlPr xmlns="http://schemas.microsoft.com/office/spreadsheetml/2009/9/main" objectType="CheckBox" lockText="1" noThreeD="1"/>
</file>

<file path=xl/ctrlProps/ctrlProp611.xml><?xml version="1.0" encoding="utf-8"?>
<formControlPr xmlns="http://schemas.microsoft.com/office/spreadsheetml/2009/9/main" objectType="CheckBox" lockText="1" noThreeD="1"/>
</file>

<file path=xl/ctrlProps/ctrlProp612.xml><?xml version="1.0" encoding="utf-8"?>
<formControlPr xmlns="http://schemas.microsoft.com/office/spreadsheetml/2009/9/main" objectType="CheckBox" checked="Checked" lockText="1" noThreeD="1"/>
</file>

<file path=xl/ctrlProps/ctrlProp613.xml><?xml version="1.0" encoding="utf-8"?>
<formControlPr xmlns="http://schemas.microsoft.com/office/spreadsheetml/2009/9/main" objectType="CheckBox" lockText="1" noThreeD="1"/>
</file>

<file path=xl/ctrlProps/ctrlProp614.xml><?xml version="1.0" encoding="utf-8"?>
<formControlPr xmlns="http://schemas.microsoft.com/office/spreadsheetml/2009/9/main" objectType="CheckBox" lockText="1" noThreeD="1"/>
</file>

<file path=xl/ctrlProps/ctrlProp615.xml><?xml version="1.0" encoding="utf-8"?>
<formControlPr xmlns="http://schemas.microsoft.com/office/spreadsheetml/2009/9/main" objectType="CheckBox" lockText="1" noThreeD="1"/>
</file>

<file path=xl/ctrlProps/ctrlProp616.xml><?xml version="1.0" encoding="utf-8"?>
<formControlPr xmlns="http://schemas.microsoft.com/office/spreadsheetml/2009/9/main" objectType="CheckBox" lockText="1" noThreeD="1"/>
</file>

<file path=xl/ctrlProps/ctrlProp617.xml><?xml version="1.0" encoding="utf-8"?>
<formControlPr xmlns="http://schemas.microsoft.com/office/spreadsheetml/2009/9/main" objectType="CheckBox" lockText="1" noThreeD="1"/>
</file>

<file path=xl/ctrlProps/ctrlProp618.xml><?xml version="1.0" encoding="utf-8"?>
<formControlPr xmlns="http://schemas.microsoft.com/office/spreadsheetml/2009/9/main" objectType="CheckBox" lockText="1" noThreeD="1"/>
</file>

<file path=xl/ctrlProps/ctrlProp619.xml><?xml version="1.0" encoding="utf-8"?>
<formControlPr xmlns="http://schemas.microsoft.com/office/spreadsheetml/2009/9/main" objectType="CheckBox" lockText="1" noThreeD="1"/>
</file>

<file path=xl/ctrlProps/ctrlProp620.xml><?xml version="1.0" encoding="utf-8"?>
<formControlPr xmlns="http://schemas.microsoft.com/office/spreadsheetml/2009/9/main" objectType="CheckBox" lockText="1" noThreeD="1"/>
</file>

<file path=xl/ctrlProps/ctrlProp621.xml><?xml version="1.0" encoding="utf-8"?>
<formControlPr xmlns="http://schemas.microsoft.com/office/spreadsheetml/2009/9/main" objectType="CheckBox" lockText="1" noThreeD="1"/>
</file>

<file path=xl/ctrlProps/ctrlProp622.xml><?xml version="1.0" encoding="utf-8"?>
<formControlPr xmlns="http://schemas.microsoft.com/office/spreadsheetml/2009/9/main" objectType="CheckBox" checked="Checked" lockText="1" noThreeD="1"/>
</file>

<file path=xl/ctrlProps/ctrlProp623.xml><?xml version="1.0" encoding="utf-8"?>
<formControlPr xmlns="http://schemas.microsoft.com/office/spreadsheetml/2009/9/main" objectType="CheckBox" checked="Checked" lockText="1" noThreeD="1"/>
</file>

<file path=xl/ctrlProps/ctrlProp624.xml><?xml version="1.0" encoding="utf-8"?>
<formControlPr xmlns="http://schemas.microsoft.com/office/spreadsheetml/2009/9/main" objectType="CheckBox" checked="Checked" lockText="1" noThreeD="1"/>
</file>

<file path=xl/ctrlProps/ctrlProp625.xml><?xml version="1.0" encoding="utf-8"?>
<formControlPr xmlns="http://schemas.microsoft.com/office/spreadsheetml/2009/9/main" objectType="CheckBox" checked="Checked" lockText="1" noThreeD="1"/>
</file>

<file path=xl/ctrlProps/ctrlProp626.xml><?xml version="1.0" encoding="utf-8"?>
<formControlPr xmlns="http://schemas.microsoft.com/office/spreadsheetml/2009/9/main" objectType="CheckBox" checked="Checked" lockText="1" noThreeD="1"/>
</file>

<file path=xl/ctrlProps/ctrlProp627.xml><?xml version="1.0" encoding="utf-8"?>
<formControlPr xmlns="http://schemas.microsoft.com/office/spreadsheetml/2009/9/main" objectType="CheckBox" checked="Checked" lockText="1" noThreeD="1"/>
</file>

<file path=xl/ctrlProps/ctrlProp628.xml><?xml version="1.0" encoding="utf-8"?>
<formControlPr xmlns="http://schemas.microsoft.com/office/spreadsheetml/2009/9/main" objectType="CheckBox" checked="Checked" lockText="1" noThreeD="1"/>
</file>

<file path=xl/ctrlProps/ctrlProp629.xml><?xml version="1.0" encoding="utf-8"?>
<formControlPr xmlns="http://schemas.microsoft.com/office/spreadsheetml/2009/9/main" objectType="CheckBox" checked="Checked" lockText="1" noThreeD="1"/>
</file>

<file path=xl/ctrlProps/ctrlProp630.xml><?xml version="1.0" encoding="utf-8"?>
<formControlPr xmlns="http://schemas.microsoft.com/office/spreadsheetml/2009/9/main" objectType="CheckBox" checked="Checked" lockText="1" noThreeD="1"/>
</file>

<file path=xl/ctrlProps/ctrlProp631.xml><?xml version="1.0" encoding="utf-8"?>
<formControlPr xmlns="http://schemas.microsoft.com/office/spreadsheetml/2009/9/main" objectType="CheckBox" checked="Checked" lockText="1" noThreeD="1"/>
</file>

<file path=xl/ctrlProps/ctrlProp632.xml><?xml version="1.0" encoding="utf-8"?>
<formControlPr xmlns="http://schemas.microsoft.com/office/spreadsheetml/2009/9/main" objectType="CheckBox" checked="Checked" lockText="1" noThreeD="1"/>
</file>

<file path=xl/ctrlProps/ctrlProp633.xml><?xml version="1.0" encoding="utf-8"?>
<formControlPr xmlns="http://schemas.microsoft.com/office/spreadsheetml/2009/9/main" objectType="CheckBox" checked="Checked" lockText="1" noThreeD="1"/>
</file>

<file path=xl/ctrlProps/ctrlProp634.xml><?xml version="1.0" encoding="utf-8"?>
<formControlPr xmlns="http://schemas.microsoft.com/office/spreadsheetml/2009/9/main" objectType="CheckBox" checked="Checked" lockText="1" noThreeD="1"/>
</file>

<file path=xl/ctrlProps/ctrlProp635.xml><?xml version="1.0" encoding="utf-8"?>
<formControlPr xmlns="http://schemas.microsoft.com/office/spreadsheetml/2009/9/main" objectType="CheckBox" lockText="1" noThreeD="1"/>
</file>

<file path=xl/ctrlProps/ctrlProp636.xml><?xml version="1.0" encoding="utf-8"?>
<formControlPr xmlns="http://schemas.microsoft.com/office/spreadsheetml/2009/9/main" objectType="CheckBox" lockText="1" noThreeD="1"/>
</file>

<file path=xl/ctrlProps/ctrlProp637.xml><?xml version="1.0" encoding="utf-8"?>
<formControlPr xmlns="http://schemas.microsoft.com/office/spreadsheetml/2009/9/main" objectType="CheckBox" checked="Checked" lockText="1" noThreeD="1"/>
</file>

<file path=xl/ctrlProps/ctrlProp638.xml><?xml version="1.0" encoding="utf-8"?>
<formControlPr xmlns="http://schemas.microsoft.com/office/spreadsheetml/2009/9/main" objectType="CheckBox" checked="Checked" lockText="1" noThreeD="1"/>
</file>

<file path=xl/ctrlProps/ctrlProp639.xml><?xml version="1.0" encoding="utf-8"?>
<formControlPr xmlns="http://schemas.microsoft.com/office/spreadsheetml/2009/9/main" objectType="CheckBox" checked="Checked" lockText="1" noThreeD="1"/>
</file>

<file path=xl/ctrlProps/ctrlProp640.xml><?xml version="1.0" encoding="utf-8"?>
<formControlPr xmlns="http://schemas.microsoft.com/office/spreadsheetml/2009/9/main" objectType="CheckBox" checked="Checked" lockText="1" noThreeD="1"/>
</file>

<file path=xl/ctrlProps/ctrlProp641.xml><?xml version="1.0" encoding="utf-8"?>
<formControlPr xmlns="http://schemas.microsoft.com/office/spreadsheetml/2009/9/main" objectType="CheckBox" checked="Checked" lockText="1" noThreeD="1"/>
</file>

<file path=xl/ctrlProps/ctrlProp642.xml><?xml version="1.0" encoding="utf-8"?>
<formControlPr xmlns="http://schemas.microsoft.com/office/spreadsheetml/2009/9/main" objectType="CheckBox" checked="Checked" lockText="1" noThreeD="1"/>
</file>

<file path=xl/ctrlProps/ctrlProp643.xml><?xml version="1.0" encoding="utf-8"?>
<formControlPr xmlns="http://schemas.microsoft.com/office/spreadsheetml/2009/9/main" objectType="CheckBox" checked="Checked" lockText="1" noThreeD="1"/>
</file>

<file path=xl/ctrlProps/ctrlProp644.xml><?xml version="1.0" encoding="utf-8"?>
<formControlPr xmlns="http://schemas.microsoft.com/office/spreadsheetml/2009/9/main" objectType="CheckBox" checked="Checked" lockText="1" noThreeD="1"/>
</file>

<file path=xl/ctrlProps/ctrlProp645.xml><?xml version="1.0" encoding="utf-8"?>
<formControlPr xmlns="http://schemas.microsoft.com/office/spreadsheetml/2009/9/main" objectType="CheckBox" checked="Checked" lockText="1" noThreeD="1"/>
</file>

<file path=xl/ctrlProps/ctrlProp646.xml><?xml version="1.0" encoding="utf-8"?>
<formControlPr xmlns="http://schemas.microsoft.com/office/spreadsheetml/2009/9/main" objectType="CheckBox" checked="Checked" lockText="1" noThreeD="1"/>
</file>

<file path=xl/ctrlProps/ctrlProp647.xml><?xml version="1.0" encoding="utf-8"?>
<formControlPr xmlns="http://schemas.microsoft.com/office/spreadsheetml/2009/9/main" objectType="CheckBox" checked="Checked" lockText="1" noThreeD="1"/>
</file>

<file path=xl/ctrlProps/ctrlProp648.xml><?xml version="1.0" encoding="utf-8"?>
<formControlPr xmlns="http://schemas.microsoft.com/office/spreadsheetml/2009/9/main" objectType="CheckBox" checked="Checked" lockText="1" noThreeD="1"/>
</file>

<file path=xl/ctrlProps/ctrlProp649.xml><?xml version="1.0" encoding="utf-8"?>
<formControlPr xmlns="http://schemas.microsoft.com/office/spreadsheetml/2009/9/main" objectType="CheckBox" checked="Checked" lockText="1" noThreeD="1"/>
</file>

<file path=xl/ctrlProps/ctrlProp650.xml><?xml version="1.0" encoding="utf-8"?>
<formControlPr xmlns="http://schemas.microsoft.com/office/spreadsheetml/2009/9/main" objectType="CheckBox" lockText="1" noThreeD="1"/>
</file>

<file path=xl/ctrlProps/ctrlProp651.xml><?xml version="1.0" encoding="utf-8"?>
<formControlPr xmlns="http://schemas.microsoft.com/office/spreadsheetml/2009/9/main" objectType="CheckBox" lockText="1" noThreeD="1"/>
</file>

<file path=xl/ctrlProps/ctrlProp652.xml><?xml version="1.0" encoding="utf-8"?>
<formControlPr xmlns="http://schemas.microsoft.com/office/spreadsheetml/2009/9/main" objectType="CheckBox" lockText="1" noThreeD="1"/>
</file>

<file path=xl/ctrlProps/ctrlProp653.xml><?xml version="1.0" encoding="utf-8"?>
<formControlPr xmlns="http://schemas.microsoft.com/office/spreadsheetml/2009/9/main" objectType="CheckBox" checked="Checked" lockText="1" noThreeD="1"/>
</file>

<file path=xl/ctrlProps/ctrlProp654.xml><?xml version="1.0" encoding="utf-8"?>
<formControlPr xmlns="http://schemas.microsoft.com/office/spreadsheetml/2009/9/main" objectType="CheckBox" lockText="1" noThreeD="1"/>
</file>

<file path=xl/ctrlProps/ctrlProp655.xml><?xml version="1.0" encoding="utf-8"?>
<formControlPr xmlns="http://schemas.microsoft.com/office/spreadsheetml/2009/9/main" objectType="CheckBox" lockText="1" noThreeD="1"/>
</file>

<file path=xl/ctrlProps/ctrlProp656.xml><?xml version="1.0" encoding="utf-8"?>
<formControlPr xmlns="http://schemas.microsoft.com/office/spreadsheetml/2009/9/main" objectType="CheckBox" lockText="1" noThreeD="1"/>
</file>

<file path=xl/ctrlProps/ctrlProp657.xml><?xml version="1.0" encoding="utf-8"?>
<formControlPr xmlns="http://schemas.microsoft.com/office/spreadsheetml/2009/9/main" objectType="CheckBox" checked="Checked" lockText="1" noThreeD="1"/>
</file>

<file path=xl/ctrlProps/ctrlProp658.xml><?xml version="1.0" encoding="utf-8"?>
<formControlPr xmlns="http://schemas.microsoft.com/office/spreadsheetml/2009/9/main" objectType="CheckBox" checked="Checked" lockText="1" noThreeD="1"/>
</file>

<file path=xl/ctrlProps/ctrlProp659.xml><?xml version="1.0" encoding="utf-8"?>
<formControlPr xmlns="http://schemas.microsoft.com/office/spreadsheetml/2009/9/main" objectType="CheckBox" checked="Checked" lockText="1" noThreeD="1"/>
</file>

<file path=xl/ctrlProps/ctrlProp660.xml><?xml version="1.0" encoding="utf-8"?>
<formControlPr xmlns="http://schemas.microsoft.com/office/spreadsheetml/2009/9/main" objectType="CheckBox" lockText="1" noThreeD="1"/>
</file>

<file path=xl/ctrlProps/ctrlProp661.xml><?xml version="1.0" encoding="utf-8"?>
<formControlPr xmlns="http://schemas.microsoft.com/office/spreadsheetml/2009/9/main" objectType="CheckBox" lockText="1" noThreeD="1"/>
</file>

<file path=xl/ctrlProps/ctrlProp662.xml><?xml version="1.0" encoding="utf-8"?>
<formControlPr xmlns="http://schemas.microsoft.com/office/spreadsheetml/2009/9/main" objectType="CheckBox" lockText="1" noThreeD="1"/>
</file>

<file path=xl/ctrlProps/ctrlProp663.xml><?xml version="1.0" encoding="utf-8"?>
<formControlPr xmlns="http://schemas.microsoft.com/office/spreadsheetml/2009/9/main" objectType="CheckBox" lockText="1" noThreeD="1"/>
</file>

<file path=xl/ctrlProps/ctrlProp664.xml><?xml version="1.0" encoding="utf-8"?>
<formControlPr xmlns="http://schemas.microsoft.com/office/spreadsheetml/2009/9/main" objectType="CheckBox" lockText="1" noThreeD="1"/>
</file>

<file path=xl/ctrlProps/ctrlProp665.xml><?xml version="1.0" encoding="utf-8"?>
<formControlPr xmlns="http://schemas.microsoft.com/office/spreadsheetml/2009/9/main" objectType="CheckBox" lockText="1" noThreeD="1"/>
</file>

<file path=xl/ctrlProps/ctrlProp666.xml><?xml version="1.0" encoding="utf-8"?>
<formControlPr xmlns="http://schemas.microsoft.com/office/spreadsheetml/2009/9/main" objectType="CheckBox" lockText="1" noThreeD="1"/>
</file>

<file path=xl/ctrlProps/ctrlProp667.xml><?xml version="1.0" encoding="utf-8"?>
<formControlPr xmlns="http://schemas.microsoft.com/office/spreadsheetml/2009/9/main" objectType="CheckBox" lockText="1" noThreeD="1"/>
</file>

<file path=xl/ctrlProps/ctrlProp668.xml><?xml version="1.0" encoding="utf-8"?>
<formControlPr xmlns="http://schemas.microsoft.com/office/spreadsheetml/2009/9/main" objectType="CheckBox" lockText="1" noThreeD="1"/>
</file>

<file path=xl/ctrlProps/ctrlProp669.xml><?xml version="1.0" encoding="utf-8"?>
<formControlPr xmlns="http://schemas.microsoft.com/office/spreadsheetml/2009/9/main" objectType="CheckBox" lockText="1" noThreeD="1"/>
</file>

<file path=xl/ctrlProps/ctrlProp670.xml><?xml version="1.0" encoding="utf-8"?>
<formControlPr xmlns="http://schemas.microsoft.com/office/spreadsheetml/2009/9/main" objectType="CheckBox" lockText="1" noThreeD="1"/>
</file>

<file path=xl/ctrlProps/ctrlProp671.xml><?xml version="1.0" encoding="utf-8"?>
<formControlPr xmlns="http://schemas.microsoft.com/office/spreadsheetml/2009/9/main" objectType="CheckBox" lockText="1" noThreeD="1"/>
</file>

<file path=xl/ctrlProps/ctrlProp672.xml><?xml version="1.0" encoding="utf-8"?>
<formControlPr xmlns="http://schemas.microsoft.com/office/spreadsheetml/2009/9/main" objectType="CheckBox" lockText="1" noThreeD="1"/>
</file>

<file path=xl/ctrlProps/ctrlProp673.xml><?xml version="1.0" encoding="utf-8"?>
<formControlPr xmlns="http://schemas.microsoft.com/office/spreadsheetml/2009/9/main" objectType="CheckBox" lockText="1" noThreeD="1"/>
</file>

<file path=xl/ctrlProps/ctrlProp674.xml><?xml version="1.0" encoding="utf-8"?>
<formControlPr xmlns="http://schemas.microsoft.com/office/spreadsheetml/2009/9/main" objectType="CheckBox" lockText="1" noThreeD="1"/>
</file>

<file path=xl/ctrlProps/ctrlProp675.xml><?xml version="1.0" encoding="utf-8"?>
<formControlPr xmlns="http://schemas.microsoft.com/office/spreadsheetml/2009/9/main" objectType="CheckBox" lockText="1" noThreeD="1"/>
</file>

<file path=xl/ctrlProps/ctrlProp676.xml><?xml version="1.0" encoding="utf-8"?>
<formControlPr xmlns="http://schemas.microsoft.com/office/spreadsheetml/2009/9/main" objectType="CheckBox" lockText="1" noThreeD="1"/>
</file>

<file path=xl/ctrlProps/ctrlProp677.xml><?xml version="1.0" encoding="utf-8"?>
<formControlPr xmlns="http://schemas.microsoft.com/office/spreadsheetml/2009/9/main" objectType="CheckBox" lockText="1" noThreeD="1"/>
</file>

<file path=xl/ctrlProps/ctrlProp678.xml><?xml version="1.0" encoding="utf-8"?>
<formControlPr xmlns="http://schemas.microsoft.com/office/spreadsheetml/2009/9/main" objectType="CheckBox" lockText="1" noThreeD="1"/>
</file>

<file path=xl/ctrlProps/ctrlProp679.xml><?xml version="1.0" encoding="utf-8"?>
<formControlPr xmlns="http://schemas.microsoft.com/office/spreadsheetml/2009/9/main" objectType="CheckBox" lockText="1" noThreeD="1"/>
</file>

<file path=xl/ctrlProps/ctrlProp680.xml><?xml version="1.0" encoding="utf-8"?>
<formControlPr xmlns="http://schemas.microsoft.com/office/spreadsheetml/2009/9/main" objectType="CheckBox" lockText="1" noThreeD="1"/>
</file>

<file path=xl/ctrlProps/ctrlProp681.xml><?xml version="1.0" encoding="utf-8"?>
<formControlPr xmlns="http://schemas.microsoft.com/office/spreadsheetml/2009/9/main" objectType="CheckBox" lockText="1" noThreeD="1"/>
</file>

<file path=xl/ctrlProps/ctrlProp682.xml><?xml version="1.0" encoding="utf-8"?>
<formControlPr xmlns="http://schemas.microsoft.com/office/spreadsheetml/2009/9/main" objectType="CheckBox" lockText="1" noThreeD="1"/>
</file>

<file path=xl/ctrlProps/ctrlProp683.xml><?xml version="1.0" encoding="utf-8"?>
<formControlPr xmlns="http://schemas.microsoft.com/office/spreadsheetml/2009/9/main" objectType="CheckBox" lockText="1" noThreeD="1"/>
</file>

<file path=xl/ctrlProps/ctrlProp684.xml><?xml version="1.0" encoding="utf-8"?>
<formControlPr xmlns="http://schemas.microsoft.com/office/spreadsheetml/2009/9/main" objectType="CheckBox" lockText="1" noThreeD="1"/>
</file>

<file path=xl/ctrlProps/ctrlProp685.xml><?xml version="1.0" encoding="utf-8"?>
<formControlPr xmlns="http://schemas.microsoft.com/office/spreadsheetml/2009/9/main" objectType="CheckBox" lockText="1" noThreeD="1"/>
</file>

<file path=xl/ctrlProps/ctrlProp686.xml><?xml version="1.0" encoding="utf-8"?>
<formControlPr xmlns="http://schemas.microsoft.com/office/spreadsheetml/2009/9/main" objectType="CheckBox" checked="Checked" lockText="1" noThreeD="1"/>
</file>

<file path=xl/ctrlProps/ctrlProp687.xml><?xml version="1.0" encoding="utf-8"?>
<formControlPr xmlns="http://schemas.microsoft.com/office/spreadsheetml/2009/9/main" objectType="CheckBox" checked="Checked" lockText="1" noThreeD="1"/>
</file>

<file path=xl/ctrlProps/ctrlProp688.xml><?xml version="1.0" encoding="utf-8"?>
<formControlPr xmlns="http://schemas.microsoft.com/office/spreadsheetml/2009/9/main" objectType="CheckBox" checked="Checked" lockText="1" noThreeD="1"/>
</file>

<file path=xl/ctrlProps/ctrlProp689.xml><?xml version="1.0" encoding="utf-8"?>
<formControlPr xmlns="http://schemas.microsoft.com/office/spreadsheetml/2009/9/main" objectType="CheckBox" checked="Checked" lockText="1" noThreeD="1"/>
</file>

<file path=xl/ctrlProps/ctrlProp690.xml><?xml version="1.0" encoding="utf-8"?>
<formControlPr xmlns="http://schemas.microsoft.com/office/spreadsheetml/2009/9/main" objectType="CheckBox" lockText="1" noThreeD="1"/>
</file>

<file path=xl/ctrlProps/ctrlProp691.xml><?xml version="1.0" encoding="utf-8"?>
<formControlPr xmlns="http://schemas.microsoft.com/office/spreadsheetml/2009/9/main" objectType="CheckBox" lockText="1" noThreeD="1"/>
</file>

<file path=xl/ctrlProps/ctrlProp692.xml><?xml version="1.0" encoding="utf-8"?>
<formControlPr xmlns="http://schemas.microsoft.com/office/spreadsheetml/2009/9/main" objectType="CheckBox" lockText="1" noThreeD="1"/>
</file>

<file path=xl/ctrlProps/ctrlProp693.xml><?xml version="1.0" encoding="utf-8"?>
<formControlPr xmlns="http://schemas.microsoft.com/office/spreadsheetml/2009/9/main" objectType="CheckBox" checked="Checked" lockText="1" noThreeD="1"/>
</file>

<file path=xl/ctrlProps/ctrlProp694.xml><?xml version="1.0" encoding="utf-8"?>
<formControlPr xmlns="http://schemas.microsoft.com/office/spreadsheetml/2009/9/main" objectType="CheckBox" checked="Checked" lockText="1" noThreeD="1"/>
</file>

<file path=xl/ctrlProps/ctrlProp695.xml><?xml version="1.0" encoding="utf-8"?>
<formControlPr xmlns="http://schemas.microsoft.com/office/spreadsheetml/2009/9/main" objectType="CheckBox" checked="Checked" lockText="1" noThreeD="1"/>
</file>

<file path=xl/ctrlProps/ctrlProp696.xml><?xml version="1.0" encoding="utf-8"?>
<formControlPr xmlns="http://schemas.microsoft.com/office/spreadsheetml/2009/9/main" objectType="CheckBox" lockText="1" noThreeD="1"/>
</file>

<file path=xl/ctrlProps/ctrlProp697.xml><?xml version="1.0" encoding="utf-8"?>
<formControlPr xmlns="http://schemas.microsoft.com/office/spreadsheetml/2009/9/main" objectType="CheckBox" lockText="1" noThreeD="1"/>
</file>

<file path=xl/ctrlProps/ctrlProp698.xml><?xml version="1.0" encoding="utf-8"?>
<formControlPr xmlns="http://schemas.microsoft.com/office/spreadsheetml/2009/9/main" objectType="CheckBox" checked="Checked" lockText="1" noThreeD="1"/>
</file>

<file path=xl/ctrlProps/ctrlProp699.xml><?xml version="1.0" encoding="utf-8"?>
<formControlPr xmlns="http://schemas.microsoft.com/office/spreadsheetml/2009/9/main" objectType="CheckBox" checked="Checked" lockText="1" noThreeD="1"/>
</file>

<file path=xl/ctrlProps/ctrlProp700.xml><?xml version="1.0" encoding="utf-8"?>
<formControlPr xmlns="http://schemas.microsoft.com/office/spreadsheetml/2009/9/main" objectType="CheckBox" checked="Checked" lockText="1" noThreeD="1"/>
</file>

<file path=xl/ctrlProps/ctrlProp701.xml><?xml version="1.0" encoding="utf-8"?>
<formControlPr xmlns="http://schemas.microsoft.com/office/spreadsheetml/2009/9/main" objectType="CheckBox" checked="Checked" lockText="1" noThreeD="1"/>
</file>

<file path=xl/ctrlProps/ctrlProp702.xml><?xml version="1.0" encoding="utf-8"?>
<formControlPr xmlns="http://schemas.microsoft.com/office/spreadsheetml/2009/9/main" objectType="CheckBox" lockText="1" noThreeD="1"/>
</file>

<file path=xl/ctrlProps/ctrlProp703.xml><?xml version="1.0" encoding="utf-8"?>
<formControlPr xmlns="http://schemas.microsoft.com/office/spreadsheetml/2009/9/main" objectType="CheckBox" lockText="1" noThreeD="1"/>
</file>

<file path=xl/ctrlProps/ctrlProp704.xml><?xml version="1.0" encoding="utf-8"?>
<formControlPr xmlns="http://schemas.microsoft.com/office/spreadsheetml/2009/9/main" objectType="CheckBox" checked="Checked" lockText="1" noThreeD="1"/>
</file>

<file path=xl/ctrlProps/ctrlProp705.xml><?xml version="1.0" encoding="utf-8"?>
<formControlPr xmlns="http://schemas.microsoft.com/office/spreadsheetml/2009/9/main" objectType="CheckBox" lockText="1" noThreeD="1"/>
</file>

<file path=xl/ctrlProps/ctrlProp706.xml><?xml version="1.0" encoding="utf-8"?>
<formControlPr xmlns="http://schemas.microsoft.com/office/spreadsheetml/2009/9/main" objectType="CheckBox" lockText="1" noThreeD="1"/>
</file>

<file path=xl/ctrlProps/ctrlProp707.xml><?xml version="1.0" encoding="utf-8"?>
<formControlPr xmlns="http://schemas.microsoft.com/office/spreadsheetml/2009/9/main" objectType="CheckBox" checked="Checked" lockText="1" noThreeD="1"/>
</file>

<file path=xl/ctrlProps/ctrlProp708.xml><?xml version="1.0" encoding="utf-8"?>
<formControlPr xmlns="http://schemas.microsoft.com/office/spreadsheetml/2009/9/main" objectType="CheckBox" lockText="1" noThreeD="1"/>
</file>

<file path=xl/ctrlProps/ctrlProp709.xml><?xml version="1.0" encoding="utf-8"?>
<formControlPr xmlns="http://schemas.microsoft.com/office/spreadsheetml/2009/9/main" objectType="CheckBox" lockText="1" noThreeD="1"/>
</file>

<file path=xl/ctrlProps/ctrlProp710.xml><?xml version="1.0" encoding="utf-8"?>
<formControlPr xmlns="http://schemas.microsoft.com/office/spreadsheetml/2009/9/main" objectType="CheckBox" checked="Checked" lockText="1" noThreeD="1"/>
</file>

<file path=xl/ctrlProps/ctrlProp711.xml><?xml version="1.0" encoding="utf-8"?>
<formControlPr xmlns="http://schemas.microsoft.com/office/spreadsheetml/2009/9/main" objectType="CheckBox" checked="Checked" lockText="1" noThreeD="1"/>
</file>

<file path=xl/ctrlProps/ctrlProp712.xml><?xml version="1.0" encoding="utf-8"?>
<formControlPr xmlns="http://schemas.microsoft.com/office/spreadsheetml/2009/9/main" objectType="CheckBox" checked="Checked" lockText="1" noThreeD="1"/>
</file>

<file path=xl/ctrlProps/ctrlProp713.xml><?xml version="1.0" encoding="utf-8"?>
<formControlPr xmlns="http://schemas.microsoft.com/office/spreadsheetml/2009/9/main" objectType="CheckBox" checked="Checked" lockText="1" noThreeD="1"/>
</file>

<file path=xl/ctrlProps/ctrlProp714.xml><?xml version="1.0" encoding="utf-8"?>
<formControlPr xmlns="http://schemas.microsoft.com/office/spreadsheetml/2009/9/main" objectType="CheckBox" checked="Checked" lockText="1" noThreeD="1"/>
</file>

<file path=xl/ctrlProps/ctrlProp715.xml><?xml version="1.0" encoding="utf-8"?>
<formControlPr xmlns="http://schemas.microsoft.com/office/spreadsheetml/2009/9/main" objectType="CheckBox" checked="Checked" lockText="1" noThreeD="1"/>
</file>

<file path=xl/ctrlProps/ctrlProp716.xml><?xml version="1.0" encoding="utf-8"?>
<formControlPr xmlns="http://schemas.microsoft.com/office/spreadsheetml/2009/9/main" objectType="CheckBox" checked="Checked" lockText="1" noThreeD="1"/>
</file>

<file path=xl/ctrlProps/ctrlProp717.xml><?xml version="1.0" encoding="utf-8"?>
<formControlPr xmlns="http://schemas.microsoft.com/office/spreadsheetml/2009/9/main" objectType="CheckBox" lockText="1" noThreeD="1"/>
</file>

<file path=xl/ctrlProps/ctrlProp718.xml><?xml version="1.0" encoding="utf-8"?>
<formControlPr xmlns="http://schemas.microsoft.com/office/spreadsheetml/2009/9/main" objectType="CheckBox" lockText="1" noThreeD="1"/>
</file>

<file path=xl/ctrlProps/ctrlProp719.xml><?xml version="1.0" encoding="utf-8"?>
<formControlPr xmlns="http://schemas.microsoft.com/office/spreadsheetml/2009/9/main" objectType="CheckBox" checked="Checked" lockText="1" noThreeD="1"/>
</file>

<file path=xl/ctrlProps/ctrlProp720.xml><?xml version="1.0" encoding="utf-8"?>
<formControlPr xmlns="http://schemas.microsoft.com/office/spreadsheetml/2009/9/main" objectType="CheckBox" checked="Checked" lockText="1" noThreeD="1"/>
</file>

<file path=xl/ctrlProps/ctrlProp721.xml><?xml version="1.0" encoding="utf-8"?>
<formControlPr xmlns="http://schemas.microsoft.com/office/spreadsheetml/2009/9/main" objectType="CheckBox" checked="Checked" lockText="1" noThreeD="1"/>
</file>

<file path=xl/ctrlProps/ctrlProp722.xml><?xml version="1.0" encoding="utf-8"?>
<formControlPr xmlns="http://schemas.microsoft.com/office/spreadsheetml/2009/9/main" objectType="CheckBox" checked="Checked" lockText="1" noThreeD="1"/>
</file>

<file path=xl/ctrlProps/ctrlProp723.xml><?xml version="1.0" encoding="utf-8"?>
<formControlPr xmlns="http://schemas.microsoft.com/office/spreadsheetml/2009/9/main" objectType="CheckBox" checked="Checked" lockText="1" noThreeD="1"/>
</file>

<file path=xl/ctrlProps/ctrlProp724.xml><?xml version="1.0" encoding="utf-8"?>
<formControlPr xmlns="http://schemas.microsoft.com/office/spreadsheetml/2009/9/main" objectType="CheckBox" checked="Checked" lockText="1" noThreeD="1"/>
</file>

<file path=xl/ctrlProps/ctrlProp725.xml><?xml version="1.0" encoding="utf-8"?>
<formControlPr xmlns="http://schemas.microsoft.com/office/spreadsheetml/2009/9/main" objectType="CheckBox" checked="Checked" lockText="1" noThreeD="1"/>
</file>

<file path=xl/ctrlProps/ctrlProp726.xml><?xml version="1.0" encoding="utf-8"?>
<formControlPr xmlns="http://schemas.microsoft.com/office/spreadsheetml/2009/9/main" objectType="CheckBox" checked="Checked" lockText="1" noThreeD="1"/>
</file>

<file path=xl/ctrlProps/ctrlProp727.xml><?xml version="1.0" encoding="utf-8"?>
<formControlPr xmlns="http://schemas.microsoft.com/office/spreadsheetml/2009/9/main" objectType="CheckBox" lockText="1" noThreeD="1"/>
</file>

<file path=xl/ctrlProps/ctrlProp728.xml><?xml version="1.0" encoding="utf-8"?>
<formControlPr xmlns="http://schemas.microsoft.com/office/spreadsheetml/2009/9/main" objectType="CheckBox" checked="Checked" lockText="1" noThreeD="1"/>
</file>

<file path=xl/ctrlProps/ctrlProp729.xml><?xml version="1.0" encoding="utf-8"?>
<formControlPr xmlns="http://schemas.microsoft.com/office/spreadsheetml/2009/9/main" objectType="CheckBox" checked="Checked" lockText="1" noThreeD="1"/>
</file>

<file path=xl/ctrlProps/ctrlProp730.xml><?xml version="1.0" encoding="utf-8"?>
<formControlPr xmlns="http://schemas.microsoft.com/office/spreadsheetml/2009/9/main" objectType="CheckBox" checked="Checked" lockText="1" noThreeD="1"/>
</file>

<file path=xl/ctrlProps/ctrlProp731.xml><?xml version="1.0" encoding="utf-8"?>
<formControlPr xmlns="http://schemas.microsoft.com/office/spreadsheetml/2009/9/main" objectType="CheckBox" checked="Checked" lockText="1" noThreeD="1"/>
</file>

<file path=xl/ctrlProps/ctrlProp732.xml><?xml version="1.0" encoding="utf-8"?>
<formControlPr xmlns="http://schemas.microsoft.com/office/spreadsheetml/2009/9/main" objectType="CheckBox" lockText="1" noThreeD="1"/>
</file>

<file path=xl/ctrlProps/ctrlProp733.xml><?xml version="1.0" encoding="utf-8"?>
<formControlPr xmlns="http://schemas.microsoft.com/office/spreadsheetml/2009/9/main" objectType="CheckBox" lockText="1" noThreeD="1"/>
</file>

<file path=xl/ctrlProps/ctrlProp734.xml><?xml version="1.0" encoding="utf-8"?>
<formControlPr xmlns="http://schemas.microsoft.com/office/spreadsheetml/2009/9/main" objectType="CheckBox" lockText="1" noThreeD="1"/>
</file>

<file path=xl/ctrlProps/ctrlProp735.xml><?xml version="1.0" encoding="utf-8"?>
<formControlPr xmlns="http://schemas.microsoft.com/office/spreadsheetml/2009/9/main" objectType="CheckBox" lockText="1" noThreeD="1"/>
</file>

<file path=xl/ctrlProps/ctrlProp736.xml><?xml version="1.0" encoding="utf-8"?>
<formControlPr xmlns="http://schemas.microsoft.com/office/spreadsheetml/2009/9/main" objectType="CheckBox" lockText="1" noThreeD="1"/>
</file>

<file path=xl/ctrlProps/ctrlProp737.xml><?xml version="1.0" encoding="utf-8"?>
<formControlPr xmlns="http://schemas.microsoft.com/office/spreadsheetml/2009/9/main" objectType="CheckBox" checked="Checked" lockText="1" noThreeD="1"/>
</file>

<file path=xl/ctrlProps/ctrlProp738.xml><?xml version="1.0" encoding="utf-8"?>
<formControlPr xmlns="http://schemas.microsoft.com/office/spreadsheetml/2009/9/main" objectType="CheckBox" lockText="1" noThreeD="1"/>
</file>

<file path=xl/ctrlProps/ctrlProp739.xml><?xml version="1.0" encoding="utf-8"?>
<formControlPr xmlns="http://schemas.microsoft.com/office/spreadsheetml/2009/9/main" objectType="CheckBox" lockText="1" noThreeD="1"/>
</file>

<file path=xl/ctrlProps/ctrlProp740.xml><?xml version="1.0" encoding="utf-8"?>
<formControlPr xmlns="http://schemas.microsoft.com/office/spreadsheetml/2009/9/main" objectType="CheckBox" checked="Checked" lockText="1" noThreeD="1"/>
</file>

<file path=xl/ctrlProps/ctrlProp741.xml><?xml version="1.0" encoding="utf-8"?>
<formControlPr xmlns="http://schemas.microsoft.com/office/spreadsheetml/2009/9/main" objectType="CheckBox" checked="Checked" lockText="1" noThreeD="1"/>
</file>

<file path=xl/ctrlProps/ctrlProp742.xml><?xml version="1.0" encoding="utf-8"?>
<formControlPr xmlns="http://schemas.microsoft.com/office/spreadsheetml/2009/9/main" objectType="CheckBox" checked="Checked" lockText="1" noThreeD="1"/>
</file>

<file path=xl/ctrlProps/ctrlProp743.xml><?xml version="1.0" encoding="utf-8"?>
<formControlPr xmlns="http://schemas.microsoft.com/office/spreadsheetml/2009/9/main" objectType="CheckBox" checked="Checked" lockText="1" noThreeD="1"/>
</file>

<file path=xl/ctrlProps/ctrlProp744.xml><?xml version="1.0" encoding="utf-8"?>
<formControlPr xmlns="http://schemas.microsoft.com/office/spreadsheetml/2009/9/main" objectType="CheckBox" lockText="1" noThreeD="1"/>
</file>

<file path=xl/ctrlProps/ctrlProp745.xml><?xml version="1.0" encoding="utf-8"?>
<formControlPr xmlns="http://schemas.microsoft.com/office/spreadsheetml/2009/9/main" objectType="CheckBox" lockText="1" noThreeD="1"/>
</file>

<file path=xl/ctrlProps/ctrlProp746.xml><?xml version="1.0" encoding="utf-8"?>
<formControlPr xmlns="http://schemas.microsoft.com/office/spreadsheetml/2009/9/main" objectType="CheckBox" checked="Checked" lockText="1" noThreeD="1"/>
</file>

<file path=xl/ctrlProps/ctrlProp747.xml><?xml version="1.0" encoding="utf-8"?>
<formControlPr xmlns="http://schemas.microsoft.com/office/spreadsheetml/2009/9/main" objectType="CheckBox" lockText="1" noThreeD="1"/>
</file>

<file path=xl/ctrlProps/ctrlProp748.xml><?xml version="1.0" encoding="utf-8"?>
<formControlPr xmlns="http://schemas.microsoft.com/office/spreadsheetml/2009/9/main" objectType="CheckBox" lockText="1" noThreeD="1"/>
</file>

<file path=xl/ctrlProps/ctrlProp749.xml><?xml version="1.0" encoding="utf-8"?>
<formControlPr xmlns="http://schemas.microsoft.com/office/spreadsheetml/2009/9/main" objectType="CheckBox" checked="Checked" lockText="1" noThreeD="1"/>
</file>

<file path=xl/ctrlProps/ctrlProp750.xml><?xml version="1.0" encoding="utf-8"?>
<formControlPr xmlns="http://schemas.microsoft.com/office/spreadsheetml/2009/9/main" objectType="CheckBox" lockText="1" noThreeD="1"/>
</file>

<file path=xl/ctrlProps/ctrlProp751.xml><?xml version="1.0" encoding="utf-8"?>
<formControlPr xmlns="http://schemas.microsoft.com/office/spreadsheetml/2009/9/main" objectType="CheckBox" lockText="1" noThreeD="1"/>
</file>

<file path=xl/ctrlProps/ctrlProp752.xml><?xml version="1.0" encoding="utf-8"?>
<formControlPr xmlns="http://schemas.microsoft.com/office/spreadsheetml/2009/9/main" objectType="CheckBox" checked="Checked" lockText="1" noThreeD="1"/>
</file>

<file path=xl/ctrlProps/ctrlProp753.xml><?xml version="1.0" encoding="utf-8"?>
<formControlPr xmlns="http://schemas.microsoft.com/office/spreadsheetml/2009/9/main" objectType="CheckBox" checked="Checked" lockText="1" noThreeD="1"/>
</file>

<file path=xl/ctrlProps/ctrlProp754.xml><?xml version="1.0" encoding="utf-8"?>
<formControlPr xmlns="http://schemas.microsoft.com/office/spreadsheetml/2009/9/main" objectType="CheckBox" checked="Checked" lockText="1" noThreeD="1"/>
</file>

<file path=xl/ctrlProps/ctrlProp755.xml><?xml version="1.0" encoding="utf-8"?>
<formControlPr xmlns="http://schemas.microsoft.com/office/spreadsheetml/2009/9/main" objectType="CheckBox" checked="Checked" lockText="1" noThreeD="1"/>
</file>

<file path=xl/ctrlProps/ctrlProp756.xml><?xml version="1.0" encoding="utf-8"?>
<formControlPr xmlns="http://schemas.microsoft.com/office/spreadsheetml/2009/9/main" objectType="CheckBox" lockText="1" noThreeD="1"/>
</file>

<file path=xl/ctrlProps/ctrlProp757.xml><?xml version="1.0" encoding="utf-8"?>
<formControlPr xmlns="http://schemas.microsoft.com/office/spreadsheetml/2009/9/main" objectType="CheckBox" lockText="1" noThreeD="1"/>
</file>

<file path=xl/ctrlProps/ctrlProp758.xml><?xml version="1.0" encoding="utf-8"?>
<formControlPr xmlns="http://schemas.microsoft.com/office/spreadsheetml/2009/9/main" objectType="CheckBox" checked="Checked" lockText="1" noThreeD="1"/>
</file>

<file path=xl/ctrlProps/ctrlProp759.xml><?xml version="1.0" encoding="utf-8"?>
<formControlPr xmlns="http://schemas.microsoft.com/office/spreadsheetml/2009/9/main" objectType="CheckBox" checked="Checked" lockText="1" noThreeD="1"/>
</file>

<file path=xl/ctrlProps/ctrlProp760.xml><?xml version="1.0" encoding="utf-8"?>
<formControlPr xmlns="http://schemas.microsoft.com/office/spreadsheetml/2009/9/main" objectType="CheckBox" checked="Checked" lockText="1" noThreeD="1"/>
</file>

<file path=xl/ctrlProps/ctrlProp761.xml><?xml version="1.0" encoding="utf-8"?>
<formControlPr xmlns="http://schemas.microsoft.com/office/spreadsheetml/2009/9/main" objectType="CheckBox" checked="Checked" lockText="1" noThreeD="1"/>
</file>

<file path=xl/ctrlProps/ctrlProp762.xml><?xml version="1.0" encoding="utf-8"?>
<formControlPr xmlns="http://schemas.microsoft.com/office/spreadsheetml/2009/9/main" objectType="CheckBox" checked="Checked" lockText="1" noThreeD="1"/>
</file>

<file path=xl/ctrlProps/ctrlProp763.xml><?xml version="1.0" encoding="utf-8"?>
<formControlPr xmlns="http://schemas.microsoft.com/office/spreadsheetml/2009/9/main" objectType="CheckBox" checked="Checked" lockText="1" noThreeD="1"/>
</file>

<file path=xl/ctrlProps/ctrlProp764.xml><?xml version="1.0" encoding="utf-8"?>
<formControlPr xmlns="http://schemas.microsoft.com/office/spreadsheetml/2009/9/main" objectType="CheckBox" checked="Checked" lockText="1" noThreeD="1"/>
</file>

<file path=xl/ctrlProps/ctrlProp765.xml><?xml version="1.0" encoding="utf-8"?>
<formControlPr xmlns="http://schemas.microsoft.com/office/spreadsheetml/2009/9/main" objectType="CheckBox" checked="Checked" lockText="1" noThreeD="1"/>
</file>

<file path=xl/ctrlProps/ctrlProp766.xml><?xml version="1.0" encoding="utf-8"?>
<formControlPr xmlns="http://schemas.microsoft.com/office/spreadsheetml/2009/9/main" objectType="CheckBox" checked="Checked" lockText="1" noThreeD="1"/>
</file>

<file path=xl/ctrlProps/ctrlProp767.xml><?xml version="1.0" encoding="utf-8"?>
<formControlPr xmlns="http://schemas.microsoft.com/office/spreadsheetml/2009/9/main" objectType="CheckBox" checked="Checked" lockText="1" noThreeD="1"/>
</file>

<file path=xl/ctrlProps/ctrlProp768.xml><?xml version="1.0" encoding="utf-8"?>
<formControlPr xmlns="http://schemas.microsoft.com/office/spreadsheetml/2009/9/main" objectType="CheckBox" checked="Checked" lockText="1" noThreeD="1"/>
</file>

<file path=xl/ctrlProps/ctrlProp769.xml><?xml version="1.0" encoding="utf-8"?>
<formControlPr xmlns="http://schemas.microsoft.com/office/spreadsheetml/2009/9/main" objectType="CheckBox" checked="Checked" lockText="1" noThreeD="1"/>
</file>

<file path=xl/ctrlProps/ctrlProp770.xml><?xml version="1.0" encoding="utf-8"?>
<formControlPr xmlns="http://schemas.microsoft.com/office/spreadsheetml/2009/9/main" objectType="CheckBox" checked="Checked" lockText="1" noThreeD="1"/>
</file>

<file path=xl/ctrlProps/ctrlProp771.xml><?xml version="1.0" encoding="utf-8"?>
<formControlPr xmlns="http://schemas.microsoft.com/office/spreadsheetml/2009/9/main" objectType="CheckBox" lockText="1" noThreeD="1"/>
</file>

<file path=xl/ctrlProps/ctrlProp772.xml><?xml version="1.0" encoding="utf-8"?>
<formControlPr xmlns="http://schemas.microsoft.com/office/spreadsheetml/2009/9/main" objectType="CheckBox" lockText="1" noThreeD="1"/>
</file>

<file path=xl/ctrlProps/ctrlProp773.xml><?xml version="1.0" encoding="utf-8"?>
<formControlPr xmlns="http://schemas.microsoft.com/office/spreadsheetml/2009/9/main" objectType="CheckBox" checked="Checked" lockText="1" noThreeD="1"/>
</file>

<file path=xl/ctrlProps/ctrlProp774.xml><?xml version="1.0" encoding="utf-8"?>
<formControlPr xmlns="http://schemas.microsoft.com/office/spreadsheetml/2009/9/main" objectType="CheckBox" checked="Checked" lockText="1" noThreeD="1"/>
</file>

<file path=xl/ctrlProps/ctrlProp775.xml><?xml version="1.0" encoding="utf-8"?>
<formControlPr xmlns="http://schemas.microsoft.com/office/spreadsheetml/2009/9/main" objectType="CheckBox" checked="Checked" lockText="1" noThreeD="1"/>
</file>

<file path=xl/ctrlProps/ctrlProp776.xml><?xml version="1.0" encoding="utf-8"?>
<formControlPr xmlns="http://schemas.microsoft.com/office/spreadsheetml/2009/9/main" objectType="CheckBox" checked="Checked" lockText="1" noThreeD="1"/>
</file>

<file path=xl/ctrlProps/ctrlProp777.xml><?xml version="1.0" encoding="utf-8"?>
<formControlPr xmlns="http://schemas.microsoft.com/office/spreadsheetml/2009/9/main" objectType="CheckBox" checked="Checked" lockText="1" noThreeD="1"/>
</file>

<file path=xl/ctrlProps/ctrlProp778.xml><?xml version="1.0" encoding="utf-8"?>
<formControlPr xmlns="http://schemas.microsoft.com/office/spreadsheetml/2009/9/main" objectType="CheckBox" checked="Checked" lockText="1" noThreeD="1"/>
</file>

<file path=xl/ctrlProps/ctrlProp779.xml><?xml version="1.0" encoding="utf-8"?>
<formControlPr xmlns="http://schemas.microsoft.com/office/spreadsheetml/2009/9/main" objectType="CheckBox" checked="Checked" lockText="1" noThreeD="1"/>
</file>

<file path=xl/ctrlProps/ctrlProp780.xml><?xml version="1.0" encoding="utf-8"?>
<formControlPr xmlns="http://schemas.microsoft.com/office/spreadsheetml/2009/9/main" objectType="CheckBox" checked="Checked" lockText="1" noThreeD="1"/>
</file>

<file path=xl/ctrlProps/ctrlProp781.xml><?xml version="1.0" encoding="utf-8"?>
<formControlPr xmlns="http://schemas.microsoft.com/office/spreadsheetml/2009/9/main" objectType="CheckBox" checked="Checked" lockText="1" noThreeD="1"/>
</file>

<file path=xl/ctrlProps/ctrlProp782.xml><?xml version="1.0" encoding="utf-8"?>
<formControlPr xmlns="http://schemas.microsoft.com/office/spreadsheetml/2009/9/main" objectType="CheckBox" checked="Checked" lockText="1" noThreeD="1"/>
</file>

<file path=xl/ctrlProps/ctrlProp783.xml><?xml version="1.0" encoding="utf-8"?>
<formControlPr xmlns="http://schemas.microsoft.com/office/spreadsheetml/2009/9/main" objectType="CheckBox" checked="Checked" lockText="1" noThreeD="1"/>
</file>

<file path=xl/ctrlProps/ctrlProp784.xml><?xml version="1.0" encoding="utf-8"?>
<formControlPr xmlns="http://schemas.microsoft.com/office/spreadsheetml/2009/9/main" objectType="CheckBox" checked="Checked" lockText="1" noThreeD="1"/>
</file>

<file path=xl/ctrlProps/ctrlProp785.xml><?xml version="1.0" encoding="utf-8"?>
<formControlPr xmlns="http://schemas.microsoft.com/office/spreadsheetml/2009/9/main" objectType="CheckBox" checked="Checked" lockText="1" noThreeD="1"/>
</file>

<file path=xl/ctrlProps/ctrlProp786.xml><?xml version="1.0" encoding="utf-8"?>
<formControlPr xmlns="http://schemas.microsoft.com/office/spreadsheetml/2009/9/main" objectType="CheckBox" lockText="1" noThreeD="1"/>
</file>

<file path=xl/ctrlProps/ctrlProp787.xml><?xml version="1.0" encoding="utf-8"?>
<formControlPr xmlns="http://schemas.microsoft.com/office/spreadsheetml/2009/9/main" objectType="CheckBox" lockText="1" noThreeD="1"/>
</file>

<file path=xl/ctrlProps/ctrlProp788.xml><?xml version="1.0" encoding="utf-8"?>
<formControlPr xmlns="http://schemas.microsoft.com/office/spreadsheetml/2009/9/main" objectType="CheckBox" lockText="1" noThreeD="1"/>
</file>

<file path=xl/ctrlProps/ctrlProp789.xml><?xml version="1.0" encoding="utf-8"?>
<formControlPr xmlns="http://schemas.microsoft.com/office/spreadsheetml/2009/9/main" objectType="CheckBox" checked="Checked" lockText="1" noThreeD="1"/>
</file>

<file path=xl/ctrlProps/ctrlProp790.xml><?xml version="1.0" encoding="utf-8"?>
<formControlPr xmlns="http://schemas.microsoft.com/office/spreadsheetml/2009/9/main" objectType="CheckBox" checked="Checked" lockText="1" noThreeD="1"/>
</file>

<file path=xl/ctrlProps/ctrlProp791.xml><?xml version="1.0" encoding="utf-8"?>
<formControlPr xmlns="http://schemas.microsoft.com/office/spreadsheetml/2009/9/main" objectType="CheckBox" checked="Checked" lockText="1" noThreeD="1"/>
</file>

<file path=xl/ctrlProps/ctrlProp792.xml><?xml version="1.0" encoding="utf-8"?>
<formControlPr xmlns="http://schemas.microsoft.com/office/spreadsheetml/2009/9/main" objectType="CheckBox" lockText="1" noThreeD="1"/>
</file>

<file path=xl/ctrlProps/ctrlProp793.xml><?xml version="1.0" encoding="utf-8"?>
<formControlPr xmlns="http://schemas.microsoft.com/office/spreadsheetml/2009/9/main" objectType="CheckBox" lockText="1" noThreeD="1"/>
</file>

<file path=xl/ctrlProps/ctrlProp794.xml><?xml version="1.0" encoding="utf-8"?>
<formControlPr xmlns="http://schemas.microsoft.com/office/spreadsheetml/2009/9/main" objectType="CheckBox" checked="Checked" lockText="1" noThreeD="1"/>
</file>

<file path=xl/ctrlProps/ctrlProp795.xml><?xml version="1.0" encoding="utf-8"?>
<formControlPr xmlns="http://schemas.microsoft.com/office/spreadsheetml/2009/9/main" objectType="CheckBox" checked="Checked" lockText="1" noThreeD="1"/>
</file>

<file path=xl/ctrlProps/ctrlProp796.xml><?xml version="1.0" encoding="utf-8"?>
<formControlPr xmlns="http://schemas.microsoft.com/office/spreadsheetml/2009/9/main" objectType="CheckBox" checked="Checked" lockText="1" noThreeD="1"/>
</file>

<file path=xl/ctrlProps/ctrlProp797.xml><?xml version="1.0" encoding="utf-8"?>
<formControlPr xmlns="http://schemas.microsoft.com/office/spreadsheetml/2009/9/main" objectType="CheckBox" checked="Checked" lockText="1" noThreeD="1"/>
</file>

<file path=xl/ctrlProps/ctrlProp798.xml><?xml version="1.0" encoding="utf-8"?>
<formControlPr xmlns="http://schemas.microsoft.com/office/spreadsheetml/2009/9/main" objectType="CheckBox" lockText="1" noThreeD="1"/>
</file>

<file path=xl/ctrlProps/ctrlProp799.xml><?xml version="1.0" encoding="utf-8"?>
<formControlPr xmlns="http://schemas.microsoft.com/office/spreadsheetml/2009/9/main" objectType="CheckBox" lockText="1" noThreeD="1"/>
</file>

<file path=xl/ctrlProps/ctrlProp800.xml><?xml version="1.0" encoding="utf-8"?>
<formControlPr xmlns="http://schemas.microsoft.com/office/spreadsheetml/2009/9/main" objectType="CheckBox" checked="Checked" lockText="1" noThreeD="1"/>
</file>

<file path=xl/ctrlProps/ctrlProp801.xml><?xml version="1.0" encoding="utf-8"?>
<formControlPr xmlns="http://schemas.microsoft.com/office/spreadsheetml/2009/9/main" objectType="CheckBox" checked="Checked" lockText="1" noThreeD="1"/>
</file>

<file path=xl/ctrlProps/ctrlProp802.xml><?xml version="1.0" encoding="utf-8"?>
<formControlPr xmlns="http://schemas.microsoft.com/office/spreadsheetml/2009/9/main" objectType="CheckBox" lockText="1" noThreeD="1"/>
</file>

<file path=xl/ctrlProps/ctrlProp803.xml><?xml version="1.0" encoding="utf-8"?>
<formControlPr xmlns="http://schemas.microsoft.com/office/spreadsheetml/2009/9/main" objectType="CheckBox" checked="Checked" lockText="1" noThreeD="1"/>
</file>

<file path=xl/ctrlProps/ctrlProp804.xml><?xml version="1.0" encoding="utf-8"?>
<formControlPr xmlns="http://schemas.microsoft.com/office/spreadsheetml/2009/9/main" objectType="CheckBox" lockText="1" noThreeD="1"/>
</file>

<file path=xl/ctrlProps/ctrlProp805.xml><?xml version="1.0" encoding="utf-8"?>
<formControlPr xmlns="http://schemas.microsoft.com/office/spreadsheetml/2009/9/main" objectType="CheckBox" lockText="1" noThreeD="1"/>
</file>

<file path=xl/ctrlProps/ctrlProp806.xml><?xml version="1.0" encoding="utf-8"?>
<formControlPr xmlns="http://schemas.microsoft.com/office/spreadsheetml/2009/9/main" objectType="CheckBox" lockText="1" noThreeD="1"/>
</file>

<file path=xl/ctrlProps/ctrlProp807.xml><?xml version="1.0" encoding="utf-8"?>
<formControlPr xmlns="http://schemas.microsoft.com/office/spreadsheetml/2009/9/main" objectType="CheckBox" lockText="1" noThreeD="1"/>
</file>

<file path=xl/ctrlProps/ctrlProp808.xml><?xml version="1.0" encoding="utf-8"?>
<formControlPr xmlns="http://schemas.microsoft.com/office/spreadsheetml/2009/9/main" objectType="CheckBox" checked="Checked" lockText="1" noThreeD="1"/>
</file>

<file path=xl/ctrlProps/ctrlProp809.xml><?xml version="1.0" encoding="utf-8"?>
<formControlPr xmlns="http://schemas.microsoft.com/office/spreadsheetml/2009/9/main" objectType="CheckBox" checked="Checked" lockText="1" noThreeD="1"/>
</file>

<file path=xl/ctrlProps/ctrlProp810.xml><?xml version="1.0" encoding="utf-8"?>
<formControlPr xmlns="http://schemas.microsoft.com/office/spreadsheetml/2009/9/main" objectType="CheckBox" checked="Checked" lockText="1" noThreeD="1"/>
</file>

<file path=xl/ctrlProps/ctrlProp811.xml><?xml version="1.0" encoding="utf-8"?>
<formControlPr xmlns="http://schemas.microsoft.com/office/spreadsheetml/2009/9/main" objectType="CheckBox" checked="Checked" lockText="1" noThreeD="1"/>
</file>

<file path=xl/ctrlProps/ctrlProp812.xml><?xml version="1.0" encoding="utf-8"?>
<formControlPr xmlns="http://schemas.microsoft.com/office/spreadsheetml/2009/9/main" objectType="CheckBox" checked="Checked" lockText="1" noThreeD="1"/>
</file>

<file path=xl/ctrlProps/ctrlProp813.xml><?xml version="1.0" encoding="utf-8"?>
<formControlPr xmlns="http://schemas.microsoft.com/office/spreadsheetml/2009/9/main" objectType="CheckBox" checked="Checked" lockText="1" noThreeD="1"/>
</file>

<file path=xl/ctrlProps/ctrlProp814.xml><?xml version="1.0" encoding="utf-8"?>
<formControlPr xmlns="http://schemas.microsoft.com/office/spreadsheetml/2009/9/main" objectType="CheckBox" lockText="1" noThreeD="1"/>
</file>

<file path=xl/ctrlProps/ctrlProp815.xml><?xml version="1.0" encoding="utf-8"?>
<formControlPr xmlns="http://schemas.microsoft.com/office/spreadsheetml/2009/9/main" objectType="CheckBox" lockText="1" noThreeD="1"/>
</file>

<file path=xl/ctrlProps/ctrlProp816.xml><?xml version="1.0" encoding="utf-8"?>
<formControlPr xmlns="http://schemas.microsoft.com/office/spreadsheetml/2009/9/main" objectType="CheckBox" checked="Checked" lockText="1" noThreeD="1"/>
</file>

<file path=xl/ctrlProps/ctrlProp817.xml><?xml version="1.0" encoding="utf-8"?>
<formControlPr xmlns="http://schemas.microsoft.com/office/spreadsheetml/2009/9/main" objectType="CheckBox" checked="Checked" lockText="1" noThreeD="1"/>
</file>

<file path=xl/ctrlProps/ctrlProp818.xml><?xml version="1.0" encoding="utf-8"?>
<formControlPr xmlns="http://schemas.microsoft.com/office/spreadsheetml/2009/9/main" objectType="CheckBox" checked="Checked" lockText="1" noThreeD="1"/>
</file>

<file path=xl/ctrlProps/ctrlProp819.xml><?xml version="1.0" encoding="utf-8"?>
<formControlPr xmlns="http://schemas.microsoft.com/office/spreadsheetml/2009/9/main" objectType="CheckBox" checked="Checked" lockText="1" noThreeD="1"/>
</file>

<file path=xl/ctrlProps/ctrlProp820.xml><?xml version="1.0" encoding="utf-8"?>
<formControlPr xmlns="http://schemas.microsoft.com/office/spreadsheetml/2009/9/main" objectType="CheckBox" lockText="1" noThreeD="1"/>
</file>

<file path=xl/ctrlProps/ctrlProp821.xml><?xml version="1.0" encoding="utf-8"?>
<formControlPr xmlns="http://schemas.microsoft.com/office/spreadsheetml/2009/9/main" objectType="CheckBox" lockText="1" noThreeD="1"/>
</file>

<file path=xl/ctrlProps/ctrlProp822.xml><?xml version="1.0" encoding="utf-8"?>
<formControlPr xmlns="http://schemas.microsoft.com/office/spreadsheetml/2009/9/main" objectType="CheckBox" checked="Checked" lockText="1" noThreeD="1"/>
</file>

<file path=xl/ctrlProps/ctrlProp823.xml><?xml version="1.0" encoding="utf-8"?>
<formControlPr xmlns="http://schemas.microsoft.com/office/spreadsheetml/2009/9/main" objectType="CheckBox" lockText="1" noThreeD="1"/>
</file>

<file path=xl/ctrlProps/ctrlProp824.xml><?xml version="1.0" encoding="utf-8"?>
<formControlPr xmlns="http://schemas.microsoft.com/office/spreadsheetml/2009/9/main" objectType="CheckBox" lockText="1" noThreeD="1"/>
</file>

<file path=xl/ctrlProps/ctrlProp825.xml><?xml version="1.0" encoding="utf-8"?>
<formControlPr xmlns="http://schemas.microsoft.com/office/spreadsheetml/2009/9/main" objectType="CheckBox" checked="Checked" lockText="1" noThreeD="1"/>
</file>

<file path=xl/ctrlProps/ctrlProp826.xml><?xml version="1.0" encoding="utf-8"?>
<formControlPr xmlns="http://schemas.microsoft.com/office/spreadsheetml/2009/9/main" objectType="CheckBox" checked="Checked" lockText="1" noThreeD="1"/>
</file>

<file path=xl/ctrlProps/ctrlProp827.xml><?xml version="1.0" encoding="utf-8"?>
<formControlPr xmlns="http://schemas.microsoft.com/office/spreadsheetml/2009/9/main" objectType="CheckBox" lockText="1" noThreeD="1"/>
</file>

<file path=xl/ctrlProps/ctrlProp828.xml><?xml version="1.0" encoding="utf-8"?>
<formControlPr xmlns="http://schemas.microsoft.com/office/spreadsheetml/2009/9/main" objectType="CheckBox" checked="Checked" lockText="1" noThreeD="1"/>
</file>

<file path=xl/ctrlProps/ctrlProp829.xml><?xml version="1.0" encoding="utf-8"?>
<formControlPr xmlns="http://schemas.microsoft.com/office/spreadsheetml/2009/9/main" objectType="CheckBox" checked="Checked" lockText="1" noThreeD="1"/>
</file>

<file path=xl/ctrlProps/ctrlProp830.xml><?xml version="1.0" encoding="utf-8"?>
<formControlPr xmlns="http://schemas.microsoft.com/office/spreadsheetml/2009/9/main" objectType="CheckBox" lockText="1" noThreeD="1"/>
</file>

<file path=xl/ctrlProps/ctrlProp831.xml><?xml version="1.0" encoding="utf-8"?>
<formControlPr xmlns="http://schemas.microsoft.com/office/spreadsheetml/2009/9/main" objectType="CheckBox" checked="Checked" lockText="1" noThreeD="1"/>
</file>

<file path=xl/ctrlProps/ctrlProp832.xml><?xml version="1.0" encoding="utf-8"?>
<formControlPr xmlns="http://schemas.microsoft.com/office/spreadsheetml/2009/9/main" objectType="CheckBox" checked="Checked" lockText="1" noThreeD="1"/>
</file>

<file path=xl/ctrlProps/ctrlProp833.xml><?xml version="1.0" encoding="utf-8"?>
<formControlPr xmlns="http://schemas.microsoft.com/office/spreadsheetml/2009/9/main" objectType="CheckBox" checked="Checked" lockText="1" noThreeD="1"/>
</file>

<file path=xl/ctrlProps/ctrlProp834.xml><?xml version="1.0" encoding="utf-8"?>
<formControlPr xmlns="http://schemas.microsoft.com/office/spreadsheetml/2009/9/main" objectType="CheckBox" checked="Checked" lockText="1" noThreeD="1"/>
</file>

<file path=xl/ctrlProps/ctrlProp835.xml><?xml version="1.0" encoding="utf-8"?>
<formControlPr xmlns="http://schemas.microsoft.com/office/spreadsheetml/2009/9/main" objectType="CheckBox" checked="Checked" lockText="1" noThreeD="1"/>
</file>

<file path=xl/ctrlProps/ctrlProp836.xml><?xml version="1.0" encoding="utf-8"?>
<formControlPr xmlns="http://schemas.microsoft.com/office/spreadsheetml/2009/9/main" objectType="CheckBox" lockText="1" noThreeD="1"/>
</file>

<file path=xl/ctrlProps/ctrlProp837.xml><?xml version="1.0" encoding="utf-8"?>
<formControlPr xmlns="http://schemas.microsoft.com/office/spreadsheetml/2009/9/main" objectType="CheckBox" checked="Checked" lockText="1" noThreeD="1"/>
</file>

<file path=xl/ctrlProps/ctrlProp838.xml><?xml version="1.0" encoding="utf-8"?>
<formControlPr xmlns="http://schemas.microsoft.com/office/spreadsheetml/2009/9/main" objectType="CheckBox" lockText="1" noThreeD="1"/>
</file>

<file path=xl/ctrlProps/ctrlProp839.xml><?xml version="1.0" encoding="utf-8"?>
<formControlPr xmlns="http://schemas.microsoft.com/office/spreadsheetml/2009/9/main" objectType="CheckBox" lockText="1" noThreeD="1"/>
</file>

<file path=xl/ctrlProps/ctrlProp840.xml><?xml version="1.0" encoding="utf-8"?>
<formControlPr xmlns="http://schemas.microsoft.com/office/spreadsheetml/2009/9/main" objectType="CheckBox" checked="Checked" lockText="1" noThreeD="1"/>
</file>

<file path=xl/ctrlProps/ctrlProp841.xml><?xml version="1.0" encoding="utf-8"?>
<formControlPr xmlns="http://schemas.microsoft.com/office/spreadsheetml/2009/9/main" objectType="CheckBox" lockText="1" noThreeD="1"/>
</file>

<file path=xl/ctrlProps/ctrlProp842.xml><?xml version="1.0" encoding="utf-8"?>
<formControlPr xmlns="http://schemas.microsoft.com/office/spreadsheetml/2009/9/main" objectType="CheckBox" lockText="1" noThreeD="1"/>
</file>

<file path=xl/ctrlProps/ctrlProp843.xml><?xml version="1.0" encoding="utf-8"?>
<formControlPr xmlns="http://schemas.microsoft.com/office/spreadsheetml/2009/9/main" objectType="CheckBox" lockText="1" noThreeD="1"/>
</file>

<file path=xl/ctrlProps/ctrlProp844.xml><?xml version="1.0" encoding="utf-8"?>
<formControlPr xmlns="http://schemas.microsoft.com/office/spreadsheetml/2009/9/main" objectType="CheckBox" lockText="1" noThreeD="1"/>
</file>

<file path=xl/ctrlProps/ctrlProp845.xml><?xml version="1.0" encoding="utf-8"?>
<formControlPr xmlns="http://schemas.microsoft.com/office/spreadsheetml/2009/9/main" objectType="CheckBox" lockText="1" noThreeD="1"/>
</file>

<file path=xl/ctrlProps/ctrlProp846.xml><?xml version="1.0" encoding="utf-8"?>
<formControlPr xmlns="http://schemas.microsoft.com/office/spreadsheetml/2009/9/main" objectType="CheckBox" lockText="1" noThreeD="1"/>
</file>

<file path=xl/ctrlProps/ctrlProp847.xml><?xml version="1.0" encoding="utf-8"?>
<formControlPr xmlns="http://schemas.microsoft.com/office/spreadsheetml/2009/9/main" objectType="CheckBox" lockText="1" noThreeD="1"/>
</file>

<file path=xl/ctrlProps/ctrlProp848.xml><?xml version="1.0" encoding="utf-8"?>
<formControlPr xmlns="http://schemas.microsoft.com/office/spreadsheetml/2009/9/main" objectType="CheckBox" lockText="1" noThreeD="1"/>
</file>

<file path=xl/ctrlProps/ctrlProp849.xml><?xml version="1.0" encoding="utf-8"?>
<formControlPr xmlns="http://schemas.microsoft.com/office/spreadsheetml/2009/9/main" objectType="CheckBox" lockText="1" noThreeD="1"/>
</file>

<file path=xl/ctrlProps/ctrlProp850.xml><?xml version="1.0" encoding="utf-8"?>
<formControlPr xmlns="http://schemas.microsoft.com/office/spreadsheetml/2009/9/main" objectType="CheckBox" lockText="1" noThreeD="1"/>
</file>

<file path=xl/ctrlProps/ctrlProp851.xml><?xml version="1.0" encoding="utf-8"?>
<formControlPr xmlns="http://schemas.microsoft.com/office/spreadsheetml/2009/9/main" objectType="CheckBox" lockText="1" noThreeD="1"/>
</file>

<file path=xl/ctrlProps/ctrlProp852.xml><?xml version="1.0" encoding="utf-8"?>
<formControlPr xmlns="http://schemas.microsoft.com/office/spreadsheetml/2009/9/main" objectType="CheckBox" lockText="1" noThreeD="1"/>
</file>

<file path=xl/ctrlProps/ctrlProp853.xml><?xml version="1.0" encoding="utf-8"?>
<formControlPr xmlns="http://schemas.microsoft.com/office/spreadsheetml/2009/9/main" objectType="CheckBox" lockText="1" noThreeD="1"/>
</file>

<file path=xl/ctrlProps/ctrlProp854.xml><?xml version="1.0" encoding="utf-8"?>
<formControlPr xmlns="http://schemas.microsoft.com/office/spreadsheetml/2009/9/main" objectType="CheckBox" lockText="1" noThreeD="1"/>
</file>

<file path=xl/ctrlProps/ctrlProp855.xml><?xml version="1.0" encoding="utf-8"?>
<formControlPr xmlns="http://schemas.microsoft.com/office/spreadsheetml/2009/9/main" objectType="CheckBox" lockText="1" noThreeD="1"/>
</file>

<file path=xl/ctrlProps/ctrlProp856.xml><?xml version="1.0" encoding="utf-8"?>
<formControlPr xmlns="http://schemas.microsoft.com/office/spreadsheetml/2009/9/main" objectType="CheckBox" checked="Checked" lockText="1" noThreeD="1"/>
</file>

<file path=xl/ctrlProps/ctrlProp857.xml><?xml version="1.0" encoding="utf-8"?>
<formControlPr xmlns="http://schemas.microsoft.com/office/spreadsheetml/2009/9/main" objectType="CheckBox" lockText="1" noThreeD="1"/>
</file>

<file path=xl/ctrlProps/ctrlProp858.xml><?xml version="1.0" encoding="utf-8"?>
<formControlPr xmlns="http://schemas.microsoft.com/office/spreadsheetml/2009/9/main" objectType="CheckBox" checked="Checked" lockText="1" noThreeD="1"/>
</file>

<file path=xl/ctrlProps/ctrlProp859.xml><?xml version="1.0" encoding="utf-8"?>
<formControlPr xmlns="http://schemas.microsoft.com/office/spreadsheetml/2009/9/main" objectType="CheckBox" checked="Checked" lockText="1" noThreeD="1"/>
</file>

<file path=xl/ctrlProps/ctrlProp860.xml><?xml version="1.0" encoding="utf-8"?>
<formControlPr xmlns="http://schemas.microsoft.com/office/spreadsheetml/2009/9/main" objectType="CheckBox" checked="Checked" lockText="1" noThreeD="1"/>
</file>

<file path=xl/ctrlProps/ctrlProp861.xml><?xml version="1.0" encoding="utf-8"?>
<formControlPr xmlns="http://schemas.microsoft.com/office/spreadsheetml/2009/9/main" objectType="CheckBox" checked="Checked" lockText="1" noThreeD="1"/>
</file>

<file path=xl/ctrlProps/ctrlProp862.xml><?xml version="1.0" encoding="utf-8"?>
<formControlPr xmlns="http://schemas.microsoft.com/office/spreadsheetml/2009/9/main" objectType="CheckBox" lockText="1" noThreeD="1"/>
</file>

<file path=xl/ctrlProps/ctrlProp863.xml><?xml version="1.0" encoding="utf-8"?>
<formControlPr xmlns="http://schemas.microsoft.com/office/spreadsheetml/2009/9/main" objectType="CheckBox" lockText="1" noThreeD="1"/>
</file>

<file path=xl/ctrlProps/ctrlProp864.xml><?xml version="1.0" encoding="utf-8"?>
<formControlPr xmlns="http://schemas.microsoft.com/office/spreadsheetml/2009/9/main" objectType="CheckBox" lockText="1" noThreeD="1"/>
</file>

<file path=xl/ctrlProps/ctrlProp865.xml><?xml version="1.0" encoding="utf-8"?>
<formControlPr xmlns="http://schemas.microsoft.com/office/spreadsheetml/2009/9/main" objectType="CheckBox" lockText="1" noThreeD="1"/>
</file>

<file path=xl/ctrlProps/ctrlProp866.xml><?xml version="1.0" encoding="utf-8"?>
<formControlPr xmlns="http://schemas.microsoft.com/office/spreadsheetml/2009/9/main" objectType="CheckBox" lockText="1" noThreeD="1"/>
</file>

<file path=xl/ctrlProps/ctrlProp867.xml><?xml version="1.0" encoding="utf-8"?>
<formControlPr xmlns="http://schemas.microsoft.com/office/spreadsheetml/2009/9/main" objectType="CheckBox" checked="Checked" lockText="1" noThreeD="1"/>
</file>

<file path=xl/ctrlProps/ctrlProp868.xml><?xml version="1.0" encoding="utf-8"?>
<formControlPr xmlns="http://schemas.microsoft.com/office/spreadsheetml/2009/9/main" objectType="CheckBox" lockText="1" noThreeD="1"/>
</file>

<file path=xl/ctrlProps/ctrlProp869.xml><?xml version="1.0" encoding="utf-8"?>
<formControlPr xmlns="http://schemas.microsoft.com/office/spreadsheetml/2009/9/main" objectType="CheckBox" checked="Checked" lockText="1" noThreeD="1"/>
</file>

<file path=xl/ctrlProps/ctrlProp870.xml><?xml version="1.0" encoding="utf-8"?>
<formControlPr xmlns="http://schemas.microsoft.com/office/spreadsheetml/2009/9/main" objectType="CheckBox" lockText="1" noThreeD="1"/>
</file>

<file path=xl/ctrlProps/ctrlProp871.xml><?xml version="1.0" encoding="utf-8"?>
<formControlPr xmlns="http://schemas.microsoft.com/office/spreadsheetml/2009/9/main" objectType="CheckBox" lockText="1" noThreeD="1"/>
</file>

<file path=xl/ctrlProps/ctrlProp872.xml><?xml version="1.0" encoding="utf-8"?>
<formControlPr xmlns="http://schemas.microsoft.com/office/spreadsheetml/2009/9/main" objectType="CheckBox" lockText="1" noThreeD="1"/>
</file>

<file path=xl/ctrlProps/ctrlProp873.xml><?xml version="1.0" encoding="utf-8"?>
<formControlPr xmlns="http://schemas.microsoft.com/office/spreadsheetml/2009/9/main" objectType="CheckBox" lockText="1" noThreeD="1"/>
</file>

<file path=xl/ctrlProps/ctrlProp874.xml><?xml version="1.0" encoding="utf-8"?>
<formControlPr xmlns="http://schemas.microsoft.com/office/spreadsheetml/2009/9/main" objectType="CheckBox" checked="Checked" lockText="1" noThreeD="1"/>
</file>

<file path=xl/ctrlProps/ctrlProp875.xml><?xml version="1.0" encoding="utf-8"?>
<formControlPr xmlns="http://schemas.microsoft.com/office/spreadsheetml/2009/9/main" objectType="CheckBox" lockText="1" noThreeD="1"/>
</file>

<file path=xl/ctrlProps/ctrlProp876.xml><?xml version="1.0" encoding="utf-8"?>
<formControlPr xmlns="http://schemas.microsoft.com/office/spreadsheetml/2009/9/main" objectType="CheckBox" lockText="1" noThreeD="1"/>
</file>

<file path=xl/ctrlProps/ctrlProp877.xml><?xml version="1.0" encoding="utf-8"?>
<formControlPr xmlns="http://schemas.microsoft.com/office/spreadsheetml/2009/9/main" objectType="CheckBox" lockText="1" noThreeD="1"/>
</file>

<file path=xl/ctrlProps/ctrlProp878.xml><?xml version="1.0" encoding="utf-8"?>
<formControlPr xmlns="http://schemas.microsoft.com/office/spreadsheetml/2009/9/main" objectType="CheckBox" lockText="1" noThreeD="1"/>
</file>

<file path=xl/ctrlProps/ctrlProp879.xml><?xml version="1.0" encoding="utf-8"?>
<formControlPr xmlns="http://schemas.microsoft.com/office/spreadsheetml/2009/9/main" objectType="CheckBox" lockText="1" noThreeD="1"/>
</file>

<file path=xl/ctrlProps/ctrlProp880.xml><?xml version="1.0" encoding="utf-8"?>
<formControlPr xmlns="http://schemas.microsoft.com/office/spreadsheetml/2009/9/main" objectType="CheckBox" lockText="1" noThreeD="1"/>
</file>

<file path=xl/ctrlProps/ctrlProp881.xml><?xml version="1.0" encoding="utf-8"?>
<formControlPr xmlns="http://schemas.microsoft.com/office/spreadsheetml/2009/9/main" objectType="CheckBox" lockText="1" noThreeD="1"/>
</file>

<file path=xl/ctrlProps/ctrlProp882.xml><?xml version="1.0" encoding="utf-8"?>
<formControlPr xmlns="http://schemas.microsoft.com/office/spreadsheetml/2009/9/main" objectType="CheckBox" lockText="1" noThreeD="1"/>
</file>

<file path=xl/ctrlProps/ctrlProp883.xml><?xml version="1.0" encoding="utf-8"?>
<formControlPr xmlns="http://schemas.microsoft.com/office/spreadsheetml/2009/9/main" objectType="CheckBox" lockText="1" noThreeD="1"/>
</file>

<file path=xl/ctrlProps/ctrlProp884.xml><?xml version="1.0" encoding="utf-8"?>
<formControlPr xmlns="http://schemas.microsoft.com/office/spreadsheetml/2009/9/main" objectType="CheckBox" lockText="1" noThreeD="1"/>
</file>

<file path=xl/ctrlProps/ctrlProp885.xml><?xml version="1.0" encoding="utf-8"?>
<formControlPr xmlns="http://schemas.microsoft.com/office/spreadsheetml/2009/9/main" objectType="CheckBox" lockText="1" noThreeD="1"/>
</file>

<file path=xl/ctrlProps/ctrlProp886.xml><?xml version="1.0" encoding="utf-8"?>
<formControlPr xmlns="http://schemas.microsoft.com/office/spreadsheetml/2009/9/main" objectType="CheckBox" lockText="1" noThreeD="1"/>
</file>

<file path=xl/ctrlProps/ctrlProp887.xml><?xml version="1.0" encoding="utf-8"?>
<formControlPr xmlns="http://schemas.microsoft.com/office/spreadsheetml/2009/9/main" objectType="CheckBox" lockText="1" noThreeD="1"/>
</file>

<file path=xl/ctrlProps/ctrlProp888.xml><?xml version="1.0" encoding="utf-8"?>
<formControlPr xmlns="http://schemas.microsoft.com/office/spreadsheetml/2009/9/main" objectType="CheckBox" lockText="1" noThreeD="1"/>
</file>

<file path=xl/ctrlProps/ctrlProp889.xml><?xml version="1.0" encoding="utf-8"?>
<formControlPr xmlns="http://schemas.microsoft.com/office/spreadsheetml/2009/9/main" objectType="CheckBox" lockText="1" noThreeD="1"/>
</file>

<file path=xl/ctrlProps/ctrlProp890.xml><?xml version="1.0" encoding="utf-8"?>
<formControlPr xmlns="http://schemas.microsoft.com/office/spreadsheetml/2009/9/main" objectType="CheckBox" lockText="1" noThreeD="1"/>
</file>

<file path=xl/ctrlProps/ctrlProp891.xml><?xml version="1.0" encoding="utf-8"?>
<formControlPr xmlns="http://schemas.microsoft.com/office/spreadsheetml/2009/9/main" objectType="CheckBox" lockText="1" noThreeD="1"/>
</file>

<file path=xl/ctrlProps/ctrlProp892.xml><?xml version="1.0" encoding="utf-8"?>
<formControlPr xmlns="http://schemas.microsoft.com/office/spreadsheetml/2009/9/main" objectType="CheckBox" lockText="1" noThreeD="1"/>
</file>

<file path=xl/ctrlProps/ctrlProp893.xml><?xml version="1.0" encoding="utf-8"?>
<formControlPr xmlns="http://schemas.microsoft.com/office/spreadsheetml/2009/9/main" objectType="CheckBox" lockText="1" noThreeD="1"/>
</file>

<file path=xl/ctrlProps/ctrlProp894.xml><?xml version="1.0" encoding="utf-8"?>
<formControlPr xmlns="http://schemas.microsoft.com/office/spreadsheetml/2009/9/main" objectType="CheckBox" lockText="1" noThreeD="1"/>
</file>

<file path=xl/ctrlProps/ctrlProp895.xml><?xml version="1.0" encoding="utf-8"?>
<formControlPr xmlns="http://schemas.microsoft.com/office/spreadsheetml/2009/9/main" objectType="CheckBox" lockText="1" noThreeD="1"/>
</file>

<file path=xl/ctrlProps/ctrlProp896.xml><?xml version="1.0" encoding="utf-8"?>
<formControlPr xmlns="http://schemas.microsoft.com/office/spreadsheetml/2009/9/main" objectType="CheckBox" lockText="1" noThreeD="1"/>
</file>

<file path=xl/ctrlProps/ctrlProp897.xml><?xml version="1.0" encoding="utf-8"?>
<formControlPr xmlns="http://schemas.microsoft.com/office/spreadsheetml/2009/9/main" objectType="CheckBox" lockText="1" noThreeD="1"/>
</file>

<file path=xl/ctrlProps/ctrlProp898.xml><?xml version="1.0" encoding="utf-8"?>
<formControlPr xmlns="http://schemas.microsoft.com/office/spreadsheetml/2009/9/main" objectType="CheckBox" lockText="1" noThreeD="1"/>
</file>

<file path=xl/ctrlProps/ctrlProp899.xml><?xml version="1.0" encoding="utf-8"?>
<formControlPr xmlns="http://schemas.microsoft.com/office/spreadsheetml/2009/9/main" objectType="CheckBox" lockText="1" noThreeD="1"/>
</file>

<file path=xl/ctrlProps/ctrlProp900.xml><?xml version="1.0" encoding="utf-8"?>
<formControlPr xmlns="http://schemas.microsoft.com/office/spreadsheetml/2009/9/main" objectType="CheckBox" lockText="1" noThreeD="1"/>
</file>

<file path=xl/ctrlProps/ctrlProp901.xml><?xml version="1.0" encoding="utf-8"?>
<formControlPr xmlns="http://schemas.microsoft.com/office/spreadsheetml/2009/9/main" objectType="CheckBox" lockText="1" noThreeD="1"/>
</file>

<file path=xl/ctrlProps/ctrlProp902.xml><?xml version="1.0" encoding="utf-8"?>
<formControlPr xmlns="http://schemas.microsoft.com/office/spreadsheetml/2009/9/main" objectType="CheckBox" lockText="1" noThreeD="1"/>
</file>

<file path=xl/ctrlProps/ctrlProp903.xml><?xml version="1.0" encoding="utf-8"?>
<formControlPr xmlns="http://schemas.microsoft.com/office/spreadsheetml/2009/9/main" objectType="CheckBox" lockText="1" noThreeD="1"/>
</file>

<file path=xl/ctrlProps/ctrlProp904.xml><?xml version="1.0" encoding="utf-8"?>
<formControlPr xmlns="http://schemas.microsoft.com/office/spreadsheetml/2009/9/main" objectType="CheckBox" lockText="1" noThreeD="1"/>
</file>

<file path=xl/ctrlProps/ctrlProp905.xml><?xml version="1.0" encoding="utf-8"?>
<formControlPr xmlns="http://schemas.microsoft.com/office/spreadsheetml/2009/9/main" objectType="CheckBox" lockText="1" noThreeD="1"/>
</file>

<file path=xl/ctrlProps/ctrlProp906.xml><?xml version="1.0" encoding="utf-8"?>
<formControlPr xmlns="http://schemas.microsoft.com/office/spreadsheetml/2009/9/main" objectType="CheckBox" lockText="1" noThreeD="1"/>
</file>

<file path=xl/ctrlProps/ctrlProp907.xml><?xml version="1.0" encoding="utf-8"?>
<formControlPr xmlns="http://schemas.microsoft.com/office/spreadsheetml/2009/9/main" objectType="CheckBox" lockText="1" noThreeD="1"/>
</file>

<file path=xl/ctrlProps/ctrlProp908.xml><?xml version="1.0" encoding="utf-8"?>
<formControlPr xmlns="http://schemas.microsoft.com/office/spreadsheetml/2009/9/main" objectType="CheckBox" lockText="1" noThreeD="1"/>
</file>

<file path=xl/ctrlProps/ctrlProp909.xml><?xml version="1.0" encoding="utf-8"?>
<formControlPr xmlns="http://schemas.microsoft.com/office/spreadsheetml/2009/9/main" objectType="CheckBox" lockText="1" noThreeD="1"/>
</file>

<file path=xl/ctrlProps/ctrlProp910.xml><?xml version="1.0" encoding="utf-8"?>
<formControlPr xmlns="http://schemas.microsoft.com/office/spreadsheetml/2009/9/main" objectType="CheckBox" lockText="1" noThreeD="1"/>
</file>

<file path=xl/ctrlProps/ctrlProp911.xml><?xml version="1.0" encoding="utf-8"?>
<formControlPr xmlns="http://schemas.microsoft.com/office/spreadsheetml/2009/9/main" objectType="CheckBox" lockText="1" noThreeD="1"/>
</file>

<file path=xl/ctrlProps/ctrlProp912.xml><?xml version="1.0" encoding="utf-8"?>
<formControlPr xmlns="http://schemas.microsoft.com/office/spreadsheetml/2009/9/main" objectType="CheckBox" lockText="1" noThreeD="1"/>
</file>

<file path=xl/ctrlProps/ctrlProp913.xml><?xml version="1.0" encoding="utf-8"?>
<formControlPr xmlns="http://schemas.microsoft.com/office/spreadsheetml/2009/9/main" objectType="CheckBox" lockText="1" noThreeD="1"/>
</file>

<file path=xl/ctrlProps/ctrlProp914.xml><?xml version="1.0" encoding="utf-8"?>
<formControlPr xmlns="http://schemas.microsoft.com/office/spreadsheetml/2009/9/main" objectType="CheckBox" lockText="1" noThreeD="1"/>
</file>

<file path=xl/ctrlProps/ctrlProp915.xml><?xml version="1.0" encoding="utf-8"?>
<formControlPr xmlns="http://schemas.microsoft.com/office/spreadsheetml/2009/9/main" objectType="CheckBox" lockText="1" noThreeD="1"/>
</file>

<file path=xl/ctrlProps/ctrlProp916.xml><?xml version="1.0" encoding="utf-8"?>
<formControlPr xmlns="http://schemas.microsoft.com/office/spreadsheetml/2009/9/main" objectType="CheckBox" lockText="1" noThreeD="1"/>
</file>

<file path=xl/ctrlProps/ctrlProp917.xml><?xml version="1.0" encoding="utf-8"?>
<formControlPr xmlns="http://schemas.microsoft.com/office/spreadsheetml/2009/9/main" objectType="CheckBox" lockText="1" noThreeD="1"/>
</file>

<file path=xl/ctrlProps/ctrlProp918.xml><?xml version="1.0" encoding="utf-8"?>
<formControlPr xmlns="http://schemas.microsoft.com/office/spreadsheetml/2009/9/main" objectType="CheckBox" lockText="1" noThreeD="1"/>
</file>

<file path=xl/ctrlProps/ctrlProp919.xml><?xml version="1.0" encoding="utf-8"?>
<formControlPr xmlns="http://schemas.microsoft.com/office/spreadsheetml/2009/9/main" objectType="CheckBox" lockText="1" noThreeD="1"/>
</file>

<file path=xl/ctrlProps/ctrlProp920.xml><?xml version="1.0" encoding="utf-8"?>
<formControlPr xmlns="http://schemas.microsoft.com/office/spreadsheetml/2009/9/main" objectType="CheckBox" lockText="1" noThreeD="1"/>
</file>

<file path=xl/ctrlProps/ctrlProp921.xml><?xml version="1.0" encoding="utf-8"?>
<formControlPr xmlns="http://schemas.microsoft.com/office/spreadsheetml/2009/9/main" objectType="CheckBox" lockText="1" noThreeD="1"/>
</file>

<file path=xl/ctrlProps/ctrlProp922.xml><?xml version="1.0" encoding="utf-8"?>
<formControlPr xmlns="http://schemas.microsoft.com/office/spreadsheetml/2009/9/main" objectType="CheckBox" lockText="1" noThreeD="1"/>
</file>

<file path=xl/ctrlProps/ctrlProp923.xml><?xml version="1.0" encoding="utf-8"?>
<formControlPr xmlns="http://schemas.microsoft.com/office/spreadsheetml/2009/9/main" objectType="CheckBox" lockText="1" noThreeD="1"/>
</file>

<file path=xl/ctrlProps/ctrlProp924.xml><?xml version="1.0" encoding="utf-8"?>
<formControlPr xmlns="http://schemas.microsoft.com/office/spreadsheetml/2009/9/main" objectType="CheckBox" lockText="1" noThreeD="1"/>
</file>

<file path=xl/ctrlProps/ctrlProp925.xml><?xml version="1.0" encoding="utf-8"?>
<formControlPr xmlns="http://schemas.microsoft.com/office/spreadsheetml/2009/9/main" objectType="CheckBox" lockText="1" noThreeD="1"/>
</file>

<file path=xl/ctrlProps/ctrlProp926.xml><?xml version="1.0" encoding="utf-8"?>
<formControlPr xmlns="http://schemas.microsoft.com/office/spreadsheetml/2009/9/main" objectType="CheckBox" lockText="1" noThreeD="1"/>
</file>

<file path=xl/ctrlProps/ctrlProp927.xml><?xml version="1.0" encoding="utf-8"?>
<formControlPr xmlns="http://schemas.microsoft.com/office/spreadsheetml/2009/9/main" objectType="CheckBox" lockText="1" noThreeD="1"/>
</file>

<file path=xl/ctrlProps/ctrlProp928.xml><?xml version="1.0" encoding="utf-8"?>
<formControlPr xmlns="http://schemas.microsoft.com/office/spreadsheetml/2009/9/main" objectType="CheckBox" checked="Checked" lockText="1" noThreeD="1"/>
</file>

<file path=xl/ctrlProps/ctrlProp929.xml><?xml version="1.0" encoding="utf-8"?>
<formControlPr xmlns="http://schemas.microsoft.com/office/spreadsheetml/2009/9/main" objectType="CheckBox" lockText="1" noThreeD="1"/>
</file>

<file path=xl/ctrlProps/ctrlProp930.xml><?xml version="1.0" encoding="utf-8"?>
<formControlPr xmlns="http://schemas.microsoft.com/office/spreadsheetml/2009/9/main" objectType="CheckBox" lockText="1" noThreeD="1"/>
</file>

<file path=xl/ctrlProps/ctrlProp931.xml><?xml version="1.0" encoding="utf-8"?>
<formControlPr xmlns="http://schemas.microsoft.com/office/spreadsheetml/2009/9/main" objectType="CheckBox" lockText="1" noThreeD="1"/>
</file>

<file path=xl/ctrlProps/ctrlProp932.xml><?xml version="1.0" encoding="utf-8"?>
<formControlPr xmlns="http://schemas.microsoft.com/office/spreadsheetml/2009/9/main" objectType="CheckBox" lockText="1" noThreeD="1"/>
</file>

<file path=xl/ctrlProps/ctrlProp933.xml><?xml version="1.0" encoding="utf-8"?>
<formControlPr xmlns="http://schemas.microsoft.com/office/spreadsheetml/2009/9/main" objectType="CheckBox" lockText="1" noThreeD="1"/>
</file>

<file path=xl/ctrlProps/ctrlProp934.xml><?xml version="1.0" encoding="utf-8"?>
<formControlPr xmlns="http://schemas.microsoft.com/office/spreadsheetml/2009/9/main" objectType="CheckBox" lockText="1" noThreeD="1"/>
</file>

<file path=xl/ctrlProps/ctrlProp935.xml><?xml version="1.0" encoding="utf-8"?>
<formControlPr xmlns="http://schemas.microsoft.com/office/spreadsheetml/2009/9/main" objectType="CheckBox" lockText="1" noThreeD="1"/>
</file>

<file path=xl/ctrlProps/ctrlProp936.xml><?xml version="1.0" encoding="utf-8"?>
<formControlPr xmlns="http://schemas.microsoft.com/office/spreadsheetml/2009/9/main" objectType="CheckBox" lockText="1" noThreeD="1"/>
</file>

<file path=xl/ctrlProps/ctrlProp937.xml><?xml version="1.0" encoding="utf-8"?>
<formControlPr xmlns="http://schemas.microsoft.com/office/spreadsheetml/2009/9/main" objectType="CheckBox" lockText="1" noThreeD="1"/>
</file>

<file path=xl/ctrlProps/ctrlProp938.xml><?xml version="1.0" encoding="utf-8"?>
<formControlPr xmlns="http://schemas.microsoft.com/office/spreadsheetml/2009/9/main" objectType="CheckBox" lockText="1" noThreeD="1"/>
</file>

<file path=xl/ctrlProps/ctrlProp939.xml><?xml version="1.0" encoding="utf-8"?>
<formControlPr xmlns="http://schemas.microsoft.com/office/spreadsheetml/2009/9/main" objectType="CheckBox" lockText="1" noThreeD="1"/>
</file>

<file path=xl/ctrlProps/ctrlProp940.xml><?xml version="1.0" encoding="utf-8"?>
<formControlPr xmlns="http://schemas.microsoft.com/office/spreadsheetml/2009/9/main" objectType="CheckBox" lockText="1" noThreeD="1"/>
</file>

<file path=xl/ctrlProps/ctrlProp941.xml><?xml version="1.0" encoding="utf-8"?>
<formControlPr xmlns="http://schemas.microsoft.com/office/spreadsheetml/2009/9/main" objectType="CheckBox" lockText="1" noThreeD="1"/>
</file>

<file path=xl/ctrlProps/ctrlProp942.xml><?xml version="1.0" encoding="utf-8"?>
<formControlPr xmlns="http://schemas.microsoft.com/office/spreadsheetml/2009/9/main" objectType="CheckBox" lockText="1" noThreeD="1"/>
</file>

<file path=xl/ctrlProps/ctrlProp943.xml><?xml version="1.0" encoding="utf-8"?>
<formControlPr xmlns="http://schemas.microsoft.com/office/spreadsheetml/2009/9/main" objectType="CheckBox" checked="Checked" lockText="1" noThreeD="1"/>
</file>

<file path=xl/ctrlProps/ctrlProp944.xml><?xml version="1.0" encoding="utf-8"?>
<formControlPr xmlns="http://schemas.microsoft.com/office/spreadsheetml/2009/9/main" objectType="CheckBox" lockText="1" noThreeD="1"/>
</file>

<file path=xl/ctrlProps/ctrlProp945.xml><?xml version="1.0" encoding="utf-8"?>
<formControlPr xmlns="http://schemas.microsoft.com/office/spreadsheetml/2009/9/main" objectType="CheckBox" checked="Checked" lockText="1" noThreeD="1"/>
</file>

<file path=xl/ctrlProps/ctrlProp946.xml><?xml version="1.0" encoding="utf-8"?>
<formControlPr xmlns="http://schemas.microsoft.com/office/spreadsheetml/2009/9/main" objectType="CheckBox" lockText="1" noThreeD="1"/>
</file>

<file path=xl/ctrlProps/ctrlProp947.xml><?xml version="1.0" encoding="utf-8"?>
<formControlPr xmlns="http://schemas.microsoft.com/office/spreadsheetml/2009/9/main" objectType="CheckBox" lockText="1" noThreeD="1"/>
</file>

<file path=xl/ctrlProps/ctrlProp948.xml><?xml version="1.0" encoding="utf-8"?>
<formControlPr xmlns="http://schemas.microsoft.com/office/spreadsheetml/2009/9/main" objectType="CheckBox" lockText="1" noThreeD="1"/>
</file>

<file path=xl/ctrlProps/ctrlProp949.xml><?xml version="1.0" encoding="utf-8"?>
<formControlPr xmlns="http://schemas.microsoft.com/office/spreadsheetml/2009/9/main" objectType="CheckBox" lockText="1" noThreeD="1"/>
</file>

<file path=xl/ctrlProps/ctrlProp950.xml><?xml version="1.0" encoding="utf-8"?>
<formControlPr xmlns="http://schemas.microsoft.com/office/spreadsheetml/2009/9/main" objectType="CheckBox" checked="Checked" lockText="1" noThreeD="1"/>
</file>

<file path=xl/ctrlProps/ctrlProp951.xml><?xml version="1.0" encoding="utf-8"?>
<formControlPr xmlns="http://schemas.microsoft.com/office/spreadsheetml/2009/9/main" objectType="CheckBox" lockText="1" noThreeD="1"/>
</file>

<file path=xl/ctrlProps/ctrlProp952.xml><?xml version="1.0" encoding="utf-8"?>
<formControlPr xmlns="http://schemas.microsoft.com/office/spreadsheetml/2009/9/main" objectType="CheckBox" lockText="1" noThreeD="1"/>
</file>

<file path=xl/ctrlProps/ctrlProp953.xml><?xml version="1.0" encoding="utf-8"?>
<formControlPr xmlns="http://schemas.microsoft.com/office/spreadsheetml/2009/9/main" objectType="CheckBox" lockText="1" noThreeD="1"/>
</file>

<file path=xl/ctrlProps/ctrlProp954.xml><?xml version="1.0" encoding="utf-8"?>
<formControlPr xmlns="http://schemas.microsoft.com/office/spreadsheetml/2009/9/main" objectType="CheckBox" lockText="1" noThreeD="1"/>
</file>

<file path=xl/ctrlProps/ctrlProp955.xml><?xml version="1.0" encoding="utf-8"?>
<formControlPr xmlns="http://schemas.microsoft.com/office/spreadsheetml/2009/9/main" objectType="CheckBox" lockText="1" noThreeD="1"/>
</file>

<file path=xl/ctrlProps/ctrlProp956.xml><?xml version="1.0" encoding="utf-8"?>
<formControlPr xmlns="http://schemas.microsoft.com/office/spreadsheetml/2009/9/main" objectType="CheckBox" lockText="1" noThreeD="1"/>
</file>

<file path=xl/ctrlProps/ctrlProp957.xml><?xml version="1.0" encoding="utf-8"?>
<formControlPr xmlns="http://schemas.microsoft.com/office/spreadsheetml/2009/9/main" objectType="CheckBox" lockText="1" noThreeD="1"/>
</file>

<file path=xl/ctrlProps/ctrlProp958.xml><?xml version="1.0" encoding="utf-8"?>
<formControlPr xmlns="http://schemas.microsoft.com/office/spreadsheetml/2009/9/main" objectType="CheckBox" lockText="1" noThreeD="1"/>
</file>

<file path=xl/ctrlProps/ctrlProp959.xml><?xml version="1.0" encoding="utf-8"?>
<formControlPr xmlns="http://schemas.microsoft.com/office/spreadsheetml/2009/9/main" objectType="CheckBox" lockText="1" noThreeD="1"/>
</file>

<file path=xl/ctrlProps/ctrlProp960.xml><?xml version="1.0" encoding="utf-8"?>
<formControlPr xmlns="http://schemas.microsoft.com/office/spreadsheetml/2009/9/main" objectType="CheckBox" lockText="1" noThreeD="1"/>
</file>

<file path=xl/ctrlProps/ctrlProp961.xml><?xml version="1.0" encoding="utf-8"?>
<formControlPr xmlns="http://schemas.microsoft.com/office/spreadsheetml/2009/9/main" objectType="CheckBox" lockText="1" noThreeD="1"/>
</file>

<file path=xl/ctrlProps/ctrlProp962.xml><?xml version="1.0" encoding="utf-8"?>
<formControlPr xmlns="http://schemas.microsoft.com/office/spreadsheetml/2009/9/main" objectType="CheckBox" lockText="1" noThreeD="1"/>
</file>

<file path=xl/ctrlProps/ctrlProp963.xml><?xml version="1.0" encoding="utf-8"?>
<formControlPr xmlns="http://schemas.microsoft.com/office/spreadsheetml/2009/9/main" objectType="CheckBox" lockText="1" noThreeD="1"/>
</file>

<file path=xl/ctrlProps/ctrlProp964.xml><?xml version="1.0" encoding="utf-8"?>
<formControlPr xmlns="http://schemas.microsoft.com/office/spreadsheetml/2009/9/main" objectType="CheckBox" lockText="1" noThreeD="1"/>
</file>

<file path=xl/ctrlProps/ctrlProp965.xml><?xml version="1.0" encoding="utf-8"?>
<formControlPr xmlns="http://schemas.microsoft.com/office/spreadsheetml/2009/9/main" objectType="CheckBox" lockText="1" noThreeD="1"/>
</file>

<file path=xl/ctrlProps/ctrlProp966.xml><?xml version="1.0" encoding="utf-8"?>
<formControlPr xmlns="http://schemas.microsoft.com/office/spreadsheetml/2009/9/main" objectType="CheckBox" lockText="1" noThreeD="1"/>
</file>

<file path=xl/ctrlProps/ctrlProp967.xml><?xml version="1.0" encoding="utf-8"?>
<formControlPr xmlns="http://schemas.microsoft.com/office/spreadsheetml/2009/9/main" objectType="CheckBox" lockText="1" noThreeD="1"/>
</file>

<file path=xl/ctrlProps/ctrlProp968.xml><?xml version="1.0" encoding="utf-8"?>
<formControlPr xmlns="http://schemas.microsoft.com/office/spreadsheetml/2009/9/main" objectType="CheckBox" lockText="1" noThreeD="1"/>
</file>

<file path=xl/ctrlProps/ctrlProp969.xml><?xml version="1.0" encoding="utf-8"?>
<formControlPr xmlns="http://schemas.microsoft.com/office/spreadsheetml/2009/9/main" objectType="CheckBox" lockText="1" noThreeD="1"/>
</file>

<file path=xl/ctrlProps/ctrlProp970.xml><?xml version="1.0" encoding="utf-8"?>
<formControlPr xmlns="http://schemas.microsoft.com/office/spreadsheetml/2009/9/main" objectType="CheckBox" lockText="1" noThreeD="1"/>
</file>

<file path=xl/ctrlProps/ctrlProp971.xml><?xml version="1.0" encoding="utf-8"?>
<formControlPr xmlns="http://schemas.microsoft.com/office/spreadsheetml/2009/9/main" objectType="CheckBox" lockText="1" noThreeD="1"/>
</file>

<file path=xl/ctrlProps/ctrlProp972.xml><?xml version="1.0" encoding="utf-8"?>
<formControlPr xmlns="http://schemas.microsoft.com/office/spreadsheetml/2009/9/main" objectType="CheckBox" lockText="1" noThreeD="1"/>
</file>

<file path=xl/ctrlProps/ctrlProp973.xml><?xml version="1.0" encoding="utf-8"?>
<formControlPr xmlns="http://schemas.microsoft.com/office/spreadsheetml/2009/9/main" objectType="CheckBox" lockText="1" noThreeD="1"/>
</file>

<file path=xl/ctrlProps/ctrlProp974.xml><?xml version="1.0" encoding="utf-8"?>
<formControlPr xmlns="http://schemas.microsoft.com/office/spreadsheetml/2009/9/main" objectType="CheckBox" lockText="1" noThreeD="1"/>
</file>

<file path=xl/ctrlProps/ctrlProp975.xml><?xml version="1.0" encoding="utf-8"?>
<formControlPr xmlns="http://schemas.microsoft.com/office/spreadsheetml/2009/9/main" objectType="CheckBox" lockText="1" noThreeD="1"/>
</file>

<file path=xl/ctrlProps/ctrlProp976.xml><?xml version="1.0" encoding="utf-8"?>
<formControlPr xmlns="http://schemas.microsoft.com/office/spreadsheetml/2009/9/main" objectType="CheckBox" lockText="1" noThreeD="1"/>
</file>

<file path=xl/ctrlProps/ctrlProp977.xml><?xml version="1.0" encoding="utf-8"?>
<formControlPr xmlns="http://schemas.microsoft.com/office/spreadsheetml/2009/9/main" objectType="CheckBox" lockText="1" noThreeD="1"/>
</file>

<file path=xl/ctrlProps/ctrlProp978.xml><?xml version="1.0" encoding="utf-8"?>
<formControlPr xmlns="http://schemas.microsoft.com/office/spreadsheetml/2009/9/main" objectType="CheckBox" lockText="1" noThreeD="1"/>
</file>

<file path=xl/ctrlProps/ctrlProp979.xml><?xml version="1.0" encoding="utf-8"?>
<formControlPr xmlns="http://schemas.microsoft.com/office/spreadsheetml/2009/9/main" objectType="CheckBox" lockText="1" noThreeD="1"/>
</file>

<file path=xl/ctrlProps/ctrlProp980.xml><?xml version="1.0" encoding="utf-8"?>
<formControlPr xmlns="http://schemas.microsoft.com/office/spreadsheetml/2009/9/main" objectType="CheckBox" lockText="1" noThreeD="1"/>
</file>

<file path=xl/ctrlProps/ctrlProp981.xml><?xml version="1.0" encoding="utf-8"?>
<formControlPr xmlns="http://schemas.microsoft.com/office/spreadsheetml/2009/9/main" objectType="CheckBox" lockText="1" noThreeD="1"/>
</file>

<file path=xl/ctrlProps/ctrlProp982.xml><?xml version="1.0" encoding="utf-8"?>
<formControlPr xmlns="http://schemas.microsoft.com/office/spreadsheetml/2009/9/main" objectType="CheckBox" lockText="1" noThreeD="1"/>
</file>

<file path=xl/ctrlProps/ctrlProp983.xml><?xml version="1.0" encoding="utf-8"?>
<formControlPr xmlns="http://schemas.microsoft.com/office/spreadsheetml/2009/9/main" objectType="CheckBox" lockText="1" noThreeD="1"/>
</file>

<file path=xl/ctrlProps/ctrlProp984.xml><?xml version="1.0" encoding="utf-8"?>
<formControlPr xmlns="http://schemas.microsoft.com/office/spreadsheetml/2009/9/main" objectType="CheckBox" lockText="1" noThreeD="1"/>
</file>

<file path=xl/ctrlProps/ctrlProp985.xml><?xml version="1.0" encoding="utf-8"?>
<formControlPr xmlns="http://schemas.microsoft.com/office/spreadsheetml/2009/9/main" objectType="CheckBox" lockText="1" noThreeD="1"/>
</file>

<file path=xl/ctrlProps/ctrlProp986.xml><?xml version="1.0" encoding="utf-8"?>
<formControlPr xmlns="http://schemas.microsoft.com/office/spreadsheetml/2009/9/main" objectType="CheckBox" lockText="1" noThreeD="1"/>
</file>

<file path=xl/ctrlProps/ctrlProp987.xml><?xml version="1.0" encoding="utf-8"?>
<formControlPr xmlns="http://schemas.microsoft.com/office/spreadsheetml/2009/9/main" objectType="CheckBox" lockText="1" noThreeD="1"/>
</file>

<file path=xl/ctrlProps/ctrlProp988.xml><?xml version="1.0" encoding="utf-8"?>
<formControlPr xmlns="http://schemas.microsoft.com/office/spreadsheetml/2009/9/main" objectType="CheckBox" lockText="1" noThreeD="1"/>
</file>

<file path=xl/ctrlProps/ctrlProp989.xml><?xml version="1.0" encoding="utf-8"?>
<formControlPr xmlns="http://schemas.microsoft.com/office/spreadsheetml/2009/9/main" objectType="CheckBox" lockText="1" noThreeD="1"/>
</file>

<file path=xl/ctrlProps/ctrlProp990.xml><?xml version="1.0" encoding="utf-8"?>
<formControlPr xmlns="http://schemas.microsoft.com/office/spreadsheetml/2009/9/main" objectType="CheckBox" lockText="1" noThreeD="1"/>
</file>

<file path=xl/ctrlProps/ctrlProp991.xml><?xml version="1.0" encoding="utf-8"?>
<formControlPr xmlns="http://schemas.microsoft.com/office/spreadsheetml/2009/9/main" objectType="CheckBox" lockText="1" noThreeD="1"/>
</file>

<file path=xl/ctrlProps/ctrlProp992.xml><?xml version="1.0" encoding="utf-8"?>
<formControlPr xmlns="http://schemas.microsoft.com/office/spreadsheetml/2009/9/main" objectType="CheckBox" lockText="1" noThreeD="1"/>
</file>

<file path=xl/ctrlProps/ctrlProp993.xml><?xml version="1.0" encoding="utf-8"?>
<formControlPr xmlns="http://schemas.microsoft.com/office/spreadsheetml/2009/9/main" objectType="CheckBox" lockText="1" noThreeD="1"/>
</file>

<file path=xl/ctrlProps/ctrlProp994.xml><?xml version="1.0" encoding="utf-8"?>
<formControlPr xmlns="http://schemas.microsoft.com/office/spreadsheetml/2009/9/main" objectType="CheckBox" lockText="1" noThreeD="1"/>
</file>

<file path=xl/ctrlProps/ctrlProp995.xml><?xml version="1.0" encoding="utf-8"?>
<formControlPr xmlns="http://schemas.microsoft.com/office/spreadsheetml/2009/9/main" objectType="CheckBox" lockText="1" noThreeD="1"/>
</file>

<file path=xl/ctrlProps/ctrlProp996.xml><?xml version="1.0" encoding="utf-8"?>
<formControlPr xmlns="http://schemas.microsoft.com/office/spreadsheetml/2009/9/main" objectType="CheckBox" lockText="1" noThreeD="1"/>
</file>

<file path=xl/ctrlProps/ctrlProp997.xml><?xml version="1.0" encoding="utf-8"?>
<formControlPr xmlns="http://schemas.microsoft.com/office/spreadsheetml/2009/9/main" objectType="CheckBox" lockText="1" noThreeD="1"/>
</file>

<file path=xl/ctrlProps/ctrlProp998.xml><?xml version="1.0" encoding="utf-8"?>
<formControlPr xmlns="http://schemas.microsoft.com/office/spreadsheetml/2009/9/main" objectType="CheckBox" lockText="1" noThreeD="1"/>
</file>

<file path=xl/ctrlProps/ctrlProp999.xml><?xml version="1.0" encoding="utf-8"?>
<formControlPr xmlns="http://schemas.microsoft.com/office/spreadsheetml/2009/9/main" objectType="CheckBox" lockText="1" noThreeD="1"/>
</file>

<file path=xl/ctrlProps/ctrlProp1000.xml><?xml version="1.0" encoding="utf-8"?>
<formControlPr xmlns="http://schemas.microsoft.com/office/spreadsheetml/2009/9/main" objectType="CheckBox" lockText="1" noThreeD="1"/>
</file>

<file path=xl/ctrlProps/ctrlProp1001.xml><?xml version="1.0" encoding="utf-8"?>
<formControlPr xmlns="http://schemas.microsoft.com/office/spreadsheetml/2009/9/main" objectType="CheckBox" lockText="1" noThreeD="1"/>
</file>

<file path=xl/ctrlProps/ctrlProp1002.xml><?xml version="1.0" encoding="utf-8"?>
<formControlPr xmlns="http://schemas.microsoft.com/office/spreadsheetml/2009/9/main" objectType="CheckBox" lockText="1" noThreeD="1"/>
</file>

<file path=xl/ctrlProps/ctrlProp1003.xml><?xml version="1.0" encoding="utf-8"?>
<formControlPr xmlns="http://schemas.microsoft.com/office/spreadsheetml/2009/9/main" objectType="CheckBox" lockText="1" noThreeD="1"/>
</file>

<file path=xl/ctrlProps/ctrlProp1004.xml><?xml version="1.0" encoding="utf-8"?>
<formControlPr xmlns="http://schemas.microsoft.com/office/spreadsheetml/2009/9/main" objectType="CheckBox" lockText="1" noThreeD="1"/>
</file>

<file path=xl/ctrlProps/ctrlProp1005.xml><?xml version="1.0" encoding="utf-8"?>
<formControlPr xmlns="http://schemas.microsoft.com/office/spreadsheetml/2009/9/main" objectType="CheckBox" lockText="1" noThreeD="1"/>
</file>

<file path=xl/ctrlProps/ctrlProp1006.xml><?xml version="1.0" encoding="utf-8"?>
<formControlPr xmlns="http://schemas.microsoft.com/office/spreadsheetml/2009/9/main" objectType="CheckBox" lockText="1" noThreeD="1"/>
</file>

<file path=xl/ctrlProps/ctrlProp1007.xml><?xml version="1.0" encoding="utf-8"?>
<formControlPr xmlns="http://schemas.microsoft.com/office/spreadsheetml/2009/9/main" objectType="CheckBox" lockText="1" noThreeD="1"/>
</file>

<file path=xl/documenttasks/documenttask1.xml><?xml version="1.0" encoding="utf-8"?>
<Tasks xmlns="http://schemas.microsoft.com/office/tasks/2019/documenttasks">
  <Task id="{51ED0230-CA10-4172-BA10-95ED0AB0159F}">
    <Anchor>
      <Comment id="{9E799D5B-DC65-450B-94C0-8F37F445E3C7}"/>
    </Anchor>
    <History>
      <Event time="2026-08-12T10:54:29.26" id="{6469B4E8-C8B1-4848-85AB-8409671E037C}">
        <Attribution userId="S::joao.cardoso@delga.com.br::f65b71d0-4e05-4247-b4ac-41065453ba2e" userName="Joao Carlos Nogueira Cardoso" userProvider="AD"/>
        <Anchor>
          <Comment id="{9E799D5B-DC65-450B-94C0-8F37F445E3C7}"/>
        </Anchor>
        <Create/>
      </Event>
      <Event time="2026-08-12T10:54:29.26" id="{C4F1B81A-A568-43E6-8D60-6A31BF207BA1}">
        <Attribution userId="S::joao.cardoso@delga.com.br::f65b71d0-4e05-4247-b4ac-41065453ba2e" userName="Joao Carlos Nogueira Cardoso" userProvider="AD"/>
        <Anchor>
          <Comment id="{9E799D5B-DC65-450B-94C0-8F37F445E3C7}"/>
        </Anchor>
        <Assign userId="S::willian.matos@delga.com.br::313b58e4-b868-44ab-857b-6964f56cb71c" userName="Willian Avigni Matos" userProvider="AD"/>
      </Event>
      <Event time="2026-08-12T10:54:29.26" id="{E3353F79-ACFF-4C82-9B93-4BC5F33B3CCF}">
        <Attribution userId="S::joao.cardoso@delga.com.br::f65b71d0-4e05-4247-b4ac-41065453ba2e" userName="Joao Carlos Nogueira Cardoso" userProvider="AD"/>
        <Anchor>
          <Comment id="{9E799D5B-DC65-450B-94C0-8F37F445E3C7}"/>
        </Anchor>
        <SetTitle title="@Willian Avigni Matos "/>
      </Event>
    </History>
  </Task>
  <Task id="{B5AF3D30-D953-4E7B-976D-CE417C63AEE9}">
    <Anchor>
      <Comment id="{B7646165-9B2A-44FD-B8FC-47DCE5C4A1D3}"/>
    </Anchor>
    <History>
      <Event time="2026-08-10T10:44:51.82" id="{A9B13295-29AC-48B1-9E00-F4350865899A}">
        <Attribution userId="S::joao.cardoso@delga.com.br::f65b71d0-4e05-4247-b4ac-41065453ba2e" userName="Joao Carlos Nogueira Cardoso" userProvider="AD"/>
        <Anchor>
          <Comment id="{B7646165-9B2A-44FD-B8FC-47DCE5C4A1D3}"/>
        </Anchor>
        <Create/>
      </Event>
      <Event time="2026-08-10T10:44:51.82" id="{59CC5BE9-5ED2-4F2B-A8A6-33DEFF03545A}">
        <Attribution userId="S::joao.cardoso@delga.com.br::f65b71d0-4e05-4247-b4ac-41065453ba2e" userName="Joao Carlos Nogueira Cardoso" userProvider="AD"/>
        <Anchor>
          <Comment id="{B7646165-9B2A-44FD-B8FC-47DCE5C4A1D3}"/>
        </Anchor>
        <Assign userId="S::jonathan.alves@delga.com.br::5873c3ba-b24e-41f4-a5d5-3b58be22d41d" userName="Jonathan Henrique Alves" userProvider="AD"/>
      </Event>
      <Event time="2026-08-10T10:44:51.82" id="{9637F78B-272C-4B4D-A106-65D3F5BBE0C4}">
        <Attribution userId="S::joao.cardoso@delga.com.br::f65b71d0-4e05-4247-b4ac-41065453ba2e" userName="Joao Carlos Nogueira Cardoso" userProvider="AD"/>
        <Anchor>
          <Comment id="{B7646165-9B2A-44FD-B8FC-47DCE5C4A1D3}"/>
        </Anchor>
        <SetTitle title="@Jonathan Henrique Alves reavaliar projeto com a solução que Ferraz implementou."/>
      </Event>
    </History>
  </Task>
  <Task id="{451645B6-12C9-4F2F-90D7-A60A913A615B}">
    <Anchor>
      <Comment id="{34E7657A-2331-41DF-B89B-1560C533F04A}"/>
    </Anchor>
    <History>
      <Event time="2026-08-10T10:41:13.11" id="{4D50715E-35FB-48D3-8334-B38ABBB2615E}">
        <Attribution userId="S::joao.cardoso@delga.com.br::f65b71d0-4e05-4247-b4ac-41065453ba2e" userName="Joao Carlos Nogueira Cardoso" userProvider="AD"/>
        <Anchor>
          <Comment id="{34E7657A-2331-41DF-B89B-1560C533F04A}"/>
        </Anchor>
        <Create/>
      </Event>
      <Event time="2026-08-10T10:41:13.11" id="{8172430D-3C8C-4905-8E10-DEB316BE388C}">
        <Attribution userId="S::joao.cardoso@delga.com.br::f65b71d0-4e05-4247-b4ac-41065453ba2e" userName="Joao Carlos Nogueira Cardoso" userProvider="AD"/>
        <Anchor>
          <Comment id="{34E7657A-2331-41DF-B89B-1560C533F04A}"/>
        </Anchor>
        <Assign userId="S::jonathan.alves@delga.com.br::5873c3ba-b24e-41f4-a5d5-3b58be22d41d" userName="Jonathan Henrique Alves" userProvider="AD"/>
      </Event>
      <Event time="2026-08-10T10:41:13.11" id="{7D6B9C32-291B-41C5-B3C1-7A2D65214AA5}">
        <Attribution userId="S::joao.cardoso@delga.com.br::f65b71d0-4e05-4247-b4ac-41065453ba2e" userName="Joao Carlos Nogueira Cardoso" userProvider="AD"/>
        <Anchor>
          <Comment id="{34E7657A-2331-41DF-B89B-1560C533F04A}"/>
        </Anchor>
        <SetTitle title="@Jonathan Henrique Alves Justificar"/>
      </Event>
    </History>
  </Task>
</Tasks>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chart" Target="../charts/chart30.xml"/><Relationship Id="rId4" Type="http://schemas.openxmlformats.org/officeDocument/2006/relationships/chart" Target="../charts/chart2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chart" Target="../charts/chart32.xml"/><Relationship Id="rId1" Type="http://schemas.openxmlformats.org/officeDocument/2006/relationships/chart" Target="../charts/chart31.xml"/><Relationship Id="rId5" Type="http://schemas.openxmlformats.org/officeDocument/2006/relationships/chart" Target="../charts/chart35.xml"/><Relationship Id="rId4" Type="http://schemas.openxmlformats.org/officeDocument/2006/relationships/chart" Target="../charts/chart34.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15</xdr:col>
      <xdr:colOff>719016</xdr:colOff>
      <xdr:row>16</xdr:row>
      <xdr:rowOff>121985</xdr:rowOff>
    </xdr:from>
    <xdr:to>
      <xdr:col>21</xdr:col>
      <xdr:colOff>214816</xdr:colOff>
      <xdr:row>32</xdr:row>
      <xdr:rowOff>100854</xdr:rowOff>
    </xdr:to>
    <xdr:graphicFrame macro="">
      <xdr:nvGraphicFramePr>
        <xdr:cNvPr id="2" name="Gráfico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1218656</xdr:colOff>
      <xdr:row>33</xdr:row>
      <xdr:rowOff>77801</xdr:rowOff>
    </xdr:from>
    <xdr:to>
      <xdr:col>19</xdr:col>
      <xdr:colOff>72725</xdr:colOff>
      <xdr:row>51</xdr:row>
      <xdr:rowOff>16601</xdr:rowOff>
    </xdr:to>
    <xdr:graphicFrame macro="">
      <xdr:nvGraphicFramePr>
        <xdr:cNvPr id="3" name="Gráfico 3">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1718309</xdr:colOff>
      <xdr:row>16</xdr:row>
      <xdr:rowOff>63684</xdr:rowOff>
    </xdr:from>
    <xdr:to>
      <xdr:col>15</xdr:col>
      <xdr:colOff>1154430</xdr:colOff>
      <xdr:row>33</xdr:row>
      <xdr:rowOff>17146</xdr:rowOff>
    </xdr:to>
    <xdr:graphicFrame macro="">
      <xdr:nvGraphicFramePr>
        <xdr:cNvPr id="6" name="Gráfico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33</xdr:row>
      <xdr:rowOff>64225</xdr:rowOff>
    </xdr:from>
    <xdr:to>
      <xdr:col>6</xdr:col>
      <xdr:colOff>1096270</xdr:colOff>
      <xdr:row>50</xdr:row>
      <xdr:rowOff>2720452</xdr:rowOff>
    </xdr:to>
    <xdr:graphicFrame macro="">
      <xdr:nvGraphicFramePr>
        <xdr:cNvPr id="11" name="Gráfico 2">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40822</xdr:rowOff>
    </xdr:from>
    <xdr:to>
      <xdr:col>4</xdr:col>
      <xdr:colOff>2078082</xdr:colOff>
      <xdr:row>25</xdr:row>
      <xdr:rowOff>190500</xdr:rowOff>
    </xdr:to>
    <xdr:graphicFrame macro="">
      <xdr:nvGraphicFramePr>
        <xdr:cNvPr id="9" name="Gráfico 4">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2286000</xdr:colOff>
      <xdr:row>10</xdr:row>
      <xdr:rowOff>40823</xdr:rowOff>
    </xdr:from>
    <xdr:to>
      <xdr:col>13</xdr:col>
      <xdr:colOff>0</xdr:colOff>
      <xdr:row>25</xdr:row>
      <xdr:rowOff>190500</xdr:rowOff>
    </xdr:to>
    <xdr:graphicFrame macro="">
      <xdr:nvGraphicFramePr>
        <xdr:cNvPr id="3" name="Gráfico 3">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54</xdr:row>
          <xdr:rowOff>30480</xdr:rowOff>
        </xdr:from>
        <xdr:to>
          <xdr:col>11</xdr:col>
          <xdr:colOff>1866900</xdr:colOff>
          <xdr:row>54</xdr:row>
          <xdr:rowOff>283845</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2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259080</xdr:rowOff>
        </xdr:from>
        <xdr:to>
          <xdr:col>11</xdr:col>
          <xdr:colOff>1866900</xdr:colOff>
          <xdr:row>55</xdr:row>
          <xdr:rowOff>190500</xdr:rowOff>
        </xdr:to>
        <xdr:sp macro="" textlink="">
          <xdr:nvSpPr>
            <xdr:cNvPr id="3146" name="Check Box 74" hidden="1">
              <a:extLst>
                <a:ext uri="{63B3BB69-23CF-44E3-9099-C40C66FF867C}">
                  <a14:compatExt spid="_x0000_s3146"/>
                </a:ext>
                <a:ext uri="{FF2B5EF4-FFF2-40B4-BE49-F238E27FC236}">
                  <a16:creationId xmlns:a16="http://schemas.microsoft.com/office/drawing/2014/main" id="{00000000-0008-0000-0200-00004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106680</xdr:rowOff>
        </xdr:from>
        <xdr:to>
          <xdr:col>11</xdr:col>
          <xdr:colOff>1866900</xdr:colOff>
          <xdr:row>55</xdr:row>
          <xdr:rowOff>342900</xdr:rowOff>
        </xdr:to>
        <xdr:sp macro="" textlink="">
          <xdr:nvSpPr>
            <xdr:cNvPr id="3147" name="Check Box 75" hidden="1">
              <a:extLst>
                <a:ext uri="{63B3BB69-23CF-44E3-9099-C40C66FF867C}">
                  <a14:compatExt spid="_x0000_s3147"/>
                </a:ext>
                <a:ext uri="{FF2B5EF4-FFF2-40B4-BE49-F238E27FC236}">
                  <a16:creationId xmlns:a16="http://schemas.microsoft.com/office/drawing/2014/main" id="{00000000-0008-0000-0200-00004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11</xdr:col>
          <xdr:colOff>1866900</xdr:colOff>
          <xdr:row>56</xdr:row>
          <xdr:rowOff>266700</xdr:rowOff>
        </xdr:to>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2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259080</xdr:rowOff>
        </xdr:from>
        <xdr:to>
          <xdr:col>11</xdr:col>
          <xdr:colOff>1866900</xdr:colOff>
          <xdr:row>57</xdr:row>
          <xdr:rowOff>228600</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200-00004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106680</xdr:rowOff>
        </xdr:from>
        <xdr:to>
          <xdr:col>11</xdr:col>
          <xdr:colOff>1866900</xdr:colOff>
          <xdr:row>57</xdr:row>
          <xdr:rowOff>342900</xdr:rowOff>
        </xdr:to>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200-00004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11</xdr:col>
          <xdr:colOff>1866900</xdr:colOff>
          <xdr:row>58</xdr:row>
          <xdr:rowOff>266700</xdr:rowOff>
        </xdr:to>
        <xdr:sp macro="" textlink="">
          <xdr:nvSpPr>
            <xdr:cNvPr id="3152" name="Check Box 80" hidden="1">
              <a:extLst>
                <a:ext uri="{63B3BB69-23CF-44E3-9099-C40C66FF867C}">
                  <a14:compatExt spid="_x0000_s3152"/>
                </a:ext>
                <a:ext uri="{FF2B5EF4-FFF2-40B4-BE49-F238E27FC236}">
                  <a16:creationId xmlns:a16="http://schemas.microsoft.com/office/drawing/2014/main" id="{00000000-0008-0000-0200-00005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259080</xdr:rowOff>
        </xdr:from>
        <xdr:to>
          <xdr:col>11</xdr:col>
          <xdr:colOff>1866900</xdr:colOff>
          <xdr:row>59</xdr:row>
          <xdr:rowOff>190500</xdr:rowOff>
        </xdr:to>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2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106680</xdr:rowOff>
        </xdr:from>
        <xdr:to>
          <xdr:col>11</xdr:col>
          <xdr:colOff>1866900</xdr:colOff>
          <xdr:row>59</xdr:row>
          <xdr:rowOff>342900</xdr:rowOff>
        </xdr:to>
        <xdr:sp macro="" textlink="">
          <xdr:nvSpPr>
            <xdr:cNvPr id="3154" name="Check Box 82" hidden="1">
              <a:extLst>
                <a:ext uri="{63B3BB69-23CF-44E3-9099-C40C66FF867C}">
                  <a14:compatExt spid="_x0000_s3154"/>
                </a:ext>
                <a:ext uri="{FF2B5EF4-FFF2-40B4-BE49-F238E27FC236}">
                  <a16:creationId xmlns:a16="http://schemas.microsoft.com/office/drawing/2014/main" id="{00000000-0008-0000-02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259080</xdr:rowOff>
        </xdr:from>
        <xdr:to>
          <xdr:col>11</xdr:col>
          <xdr:colOff>1866900</xdr:colOff>
          <xdr:row>61</xdr:row>
          <xdr:rowOff>190500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2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106680</xdr:rowOff>
        </xdr:from>
        <xdr:to>
          <xdr:col>11</xdr:col>
          <xdr:colOff>1866900</xdr:colOff>
          <xdr:row>61</xdr:row>
          <xdr:rowOff>342900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2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259080</xdr:rowOff>
        </xdr:from>
        <xdr:to>
          <xdr:col>11</xdr:col>
          <xdr:colOff>1866900</xdr:colOff>
          <xdr:row>63</xdr:row>
          <xdr:rowOff>190500</xdr:rowOff>
        </xdr:to>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2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106680</xdr:rowOff>
        </xdr:from>
        <xdr:to>
          <xdr:col>11</xdr:col>
          <xdr:colOff>1866900</xdr:colOff>
          <xdr:row>63</xdr:row>
          <xdr:rowOff>342900</xdr:rowOff>
        </xdr:to>
        <xdr:sp macro="" textlink="">
          <xdr:nvSpPr>
            <xdr:cNvPr id="3160" name="Check Box 88" hidden="1">
              <a:extLst>
                <a:ext uri="{63B3BB69-23CF-44E3-9099-C40C66FF867C}">
                  <a14:compatExt spid="_x0000_s3160"/>
                </a:ext>
                <a:ext uri="{FF2B5EF4-FFF2-40B4-BE49-F238E27FC236}">
                  <a16:creationId xmlns:a16="http://schemas.microsoft.com/office/drawing/2014/main" id="{00000000-0008-0000-02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259080</xdr:rowOff>
        </xdr:from>
        <xdr:to>
          <xdr:col>11</xdr:col>
          <xdr:colOff>1866900</xdr:colOff>
          <xdr:row>65</xdr:row>
          <xdr:rowOff>190500</xdr:rowOff>
        </xdr:to>
        <xdr:sp macro="" textlink="">
          <xdr:nvSpPr>
            <xdr:cNvPr id="3162" name="Check Box 90" hidden="1">
              <a:extLst>
                <a:ext uri="{63B3BB69-23CF-44E3-9099-C40C66FF867C}">
                  <a14:compatExt spid="_x0000_s3162"/>
                </a:ext>
                <a:ext uri="{FF2B5EF4-FFF2-40B4-BE49-F238E27FC236}">
                  <a16:creationId xmlns:a16="http://schemas.microsoft.com/office/drawing/2014/main" id="{00000000-0008-0000-0200-00005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106680</xdr:rowOff>
        </xdr:from>
        <xdr:to>
          <xdr:col>11</xdr:col>
          <xdr:colOff>1866900</xdr:colOff>
          <xdr:row>65</xdr:row>
          <xdr:rowOff>342900</xdr:rowOff>
        </xdr:to>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2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259080</xdr:rowOff>
        </xdr:from>
        <xdr:to>
          <xdr:col>11</xdr:col>
          <xdr:colOff>1866900</xdr:colOff>
          <xdr:row>67</xdr:row>
          <xdr:rowOff>190500</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200-00005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106680</xdr:rowOff>
        </xdr:from>
        <xdr:to>
          <xdr:col>11</xdr:col>
          <xdr:colOff>1866900</xdr:colOff>
          <xdr:row>67</xdr:row>
          <xdr:rowOff>342900</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200-00005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259080</xdr:rowOff>
        </xdr:from>
        <xdr:to>
          <xdr:col>11</xdr:col>
          <xdr:colOff>1866900</xdr:colOff>
          <xdr:row>69</xdr:row>
          <xdr:rowOff>169545</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2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69</xdr:row>
          <xdr:rowOff>106680</xdr:rowOff>
        </xdr:from>
        <xdr:to>
          <xdr:col>11</xdr:col>
          <xdr:colOff>1866900</xdr:colOff>
          <xdr:row>69</xdr:row>
          <xdr:rowOff>342900</xdr:rowOff>
        </xdr:to>
        <xdr:sp macro="" textlink="">
          <xdr:nvSpPr>
            <xdr:cNvPr id="3169" name="Check Box 97" hidden="1">
              <a:extLst>
                <a:ext uri="{63B3BB69-23CF-44E3-9099-C40C66FF867C}">
                  <a14:compatExt spid="_x0000_s3169"/>
                </a:ext>
                <a:ext uri="{FF2B5EF4-FFF2-40B4-BE49-F238E27FC236}">
                  <a16:creationId xmlns:a16="http://schemas.microsoft.com/office/drawing/2014/main" id="{00000000-0008-0000-0200-00006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259080</xdr:rowOff>
        </xdr:from>
        <xdr:to>
          <xdr:col>11</xdr:col>
          <xdr:colOff>1866900</xdr:colOff>
          <xdr:row>71</xdr:row>
          <xdr:rowOff>190500</xdr:rowOff>
        </xdr:to>
        <xdr:sp macro="" textlink="">
          <xdr:nvSpPr>
            <xdr:cNvPr id="3171" name="Check Box 99" hidden="1">
              <a:extLst>
                <a:ext uri="{63B3BB69-23CF-44E3-9099-C40C66FF867C}">
                  <a14:compatExt spid="_x0000_s3171"/>
                </a:ext>
                <a:ext uri="{FF2B5EF4-FFF2-40B4-BE49-F238E27FC236}">
                  <a16:creationId xmlns:a16="http://schemas.microsoft.com/office/drawing/2014/main" id="{00000000-0008-0000-0200-00006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106680</xdr:rowOff>
        </xdr:from>
        <xdr:to>
          <xdr:col>11</xdr:col>
          <xdr:colOff>1866900</xdr:colOff>
          <xdr:row>71</xdr:row>
          <xdr:rowOff>342900</xdr:rowOff>
        </xdr:to>
        <xdr:sp macro="" textlink="">
          <xdr:nvSpPr>
            <xdr:cNvPr id="3172" name="Check Box 100" hidden="1">
              <a:extLst>
                <a:ext uri="{63B3BB69-23CF-44E3-9099-C40C66FF867C}">
                  <a14:compatExt spid="_x0000_s3172"/>
                </a:ext>
                <a:ext uri="{FF2B5EF4-FFF2-40B4-BE49-F238E27FC236}">
                  <a16:creationId xmlns:a16="http://schemas.microsoft.com/office/drawing/2014/main" id="{00000000-0008-0000-0200-00006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259080</xdr:rowOff>
        </xdr:from>
        <xdr:to>
          <xdr:col>11</xdr:col>
          <xdr:colOff>1866900</xdr:colOff>
          <xdr:row>73</xdr:row>
          <xdr:rowOff>190500</xdr:rowOff>
        </xdr:to>
        <xdr:sp macro="" textlink="">
          <xdr:nvSpPr>
            <xdr:cNvPr id="3174" name="Check Box 102" hidden="1">
              <a:extLst>
                <a:ext uri="{63B3BB69-23CF-44E3-9099-C40C66FF867C}">
                  <a14:compatExt spid="_x0000_s3174"/>
                </a:ext>
                <a:ext uri="{FF2B5EF4-FFF2-40B4-BE49-F238E27FC236}">
                  <a16:creationId xmlns:a16="http://schemas.microsoft.com/office/drawing/2014/main" id="{00000000-0008-0000-0200-00006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106680</xdr:rowOff>
        </xdr:from>
        <xdr:to>
          <xdr:col>11</xdr:col>
          <xdr:colOff>1866900</xdr:colOff>
          <xdr:row>73</xdr:row>
          <xdr:rowOff>342900</xdr:rowOff>
        </xdr:to>
        <xdr:sp macro="" textlink="">
          <xdr:nvSpPr>
            <xdr:cNvPr id="3175" name="Check Box 103" hidden="1">
              <a:extLst>
                <a:ext uri="{63B3BB69-23CF-44E3-9099-C40C66FF867C}">
                  <a14:compatExt spid="_x0000_s3175"/>
                </a:ext>
                <a:ext uri="{FF2B5EF4-FFF2-40B4-BE49-F238E27FC236}">
                  <a16:creationId xmlns:a16="http://schemas.microsoft.com/office/drawing/2014/main" id="{00000000-0008-0000-0200-00006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259080</xdr:rowOff>
        </xdr:from>
        <xdr:to>
          <xdr:col>11</xdr:col>
          <xdr:colOff>1866900</xdr:colOff>
          <xdr:row>75</xdr:row>
          <xdr:rowOff>190500</xdr:rowOff>
        </xdr:to>
        <xdr:sp macro="" textlink="">
          <xdr:nvSpPr>
            <xdr:cNvPr id="3177" name="Check Box 105" hidden="1">
              <a:extLst>
                <a:ext uri="{63B3BB69-23CF-44E3-9099-C40C66FF867C}">
                  <a14:compatExt spid="_x0000_s3177"/>
                </a:ext>
                <a:ext uri="{FF2B5EF4-FFF2-40B4-BE49-F238E27FC236}">
                  <a16:creationId xmlns:a16="http://schemas.microsoft.com/office/drawing/2014/main" id="{00000000-0008-0000-0200-00006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75</xdr:row>
          <xdr:rowOff>106680</xdr:rowOff>
        </xdr:from>
        <xdr:to>
          <xdr:col>11</xdr:col>
          <xdr:colOff>1866900</xdr:colOff>
          <xdr:row>75</xdr:row>
          <xdr:rowOff>342900</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200-00006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259080</xdr:rowOff>
        </xdr:from>
        <xdr:to>
          <xdr:col>11</xdr:col>
          <xdr:colOff>1866900</xdr:colOff>
          <xdr:row>77</xdr:row>
          <xdr:rowOff>228600</xdr:rowOff>
        </xdr:to>
        <xdr:sp macro="" textlink="">
          <xdr:nvSpPr>
            <xdr:cNvPr id="3180" name="Check Box 108" hidden="1">
              <a:extLst>
                <a:ext uri="{63B3BB69-23CF-44E3-9099-C40C66FF867C}">
                  <a14:compatExt spid="_x0000_s3180"/>
                </a:ext>
                <a:ext uri="{FF2B5EF4-FFF2-40B4-BE49-F238E27FC236}">
                  <a16:creationId xmlns:a16="http://schemas.microsoft.com/office/drawing/2014/main" id="{00000000-0008-0000-0200-00006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77</xdr:row>
          <xdr:rowOff>106680</xdr:rowOff>
        </xdr:from>
        <xdr:to>
          <xdr:col>11</xdr:col>
          <xdr:colOff>1866900</xdr:colOff>
          <xdr:row>77</xdr:row>
          <xdr:rowOff>342900</xdr:rowOff>
        </xdr:to>
        <xdr:sp macro="" textlink="">
          <xdr:nvSpPr>
            <xdr:cNvPr id="3181" name="Check Box 109" hidden="1">
              <a:extLst>
                <a:ext uri="{63B3BB69-23CF-44E3-9099-C40C66FF867C}">
                  <a14:compatExt spid="_x0000_s3181"/>
                </a:ext>
                <a:ext uri="{FF2B5EF4-FFF2-40B4-BE49-F238E27FC236}">
                  <a16:creationId xmlns:a16="http://schemas.microsoft.com/office/drawing/2014/main" id="{00000000-0008-0000-0200-00006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11</xdr:col>
          <xdr:colOff>1866900</xdr:colOff>
          <xdr:row>78</xdr:row>
          <xdr:rowOff>281940</xdr:rowOff>
        </xdr:to>
        <xdr:sp macro="" textlink="">
          <xdr:nvSpPr>
            <xdr:cNvPr id="3182" name="Check Box 110" hidden="1">
              <a:extLst>
                <a:ext uri="{63B3BB69-23CF-44E3-9099-C40C66FF867C}">
                  <a14:compatExt spid="_x0000_s3182"/>
                </a:ext>
                <a:ext uri="{FF2B5EF4-FFF2-40B4-BE49-F238E27FC236}">
                  <a16:creationId xmlns:a16="http://schemas.microsoft.com/office/drawing/2014/main" id="{00000000-0008-0000-0200-00006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259080</xdr:rowOff>
        </xdr:from>
        <xdr:to>
          <xdr:col>11</xdr:col>
          <xdr:colOff>1866900</xdr:colOff>
          <xdr:row>79</xdr:row>
          <xdr:rowOff>190500</xdr:rowOff>
        </xdr:to>
        <xdr:sp macro="" textlink="">
          <xdr:nvSpPr>
            <xdr:cNvPr id="3183" name="Check Box 111" hidden="1">
              <a:extLst>
                <a:ext uri="{63B3BB69-23CF-44E3-9099-C40C66FF867C}">
                  <a14:compatExt spid="_x0000_s3183"/>
                </a:ext>
                <a:ext uri="{FF2B5EF4-FFF2-40B4-BE49-F238E27FC236}">
                  <a16:creationId xmlns:a16="http://schemas.microsoft.com/office/drawing/2014/main" id="{00000000-0008-0000-0200-00006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106680</xdr:rowOff>
        </xdr:from>
        <xdr:to>
          <xdr:col>11</xdr:col>
          <xdr:colOff>1866900</xdr:colOff>
          <xdr:row>79</xdr:row>
          <xdr:rowOff>342900</xdr:rowOff>
        </xdr:to>
        <xdr:sp macro="" textlink="">
          <xdr:nvSpPr>
            <xdr:cNvPr id="3184" name="Check Box 112" hidden="1">
              <a:extLst>
                <a:ext uri="{63B3BB69-23CF-44E3-9099-C40C66FF867C}">
                  <a14:compatExt spid="_x0000_s3184"/>
                </a:ext>
                <a:ext uri="{FF2B5EF4-FFF2-40B4-BE49-F238E27FC236}">
                  <a16:creationId xmlns:a16="http://schemas.microsoft.com/office/drawing/2014/main" id="{00000000-0008-0000-0200-00007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259080</xdr:rowOff>
        </xdr:from>
        <xdr:to>
          <xdr:col>11</xdr:col>
          <xdr:colOff>1866900</xdr:colOff>
          <xdr:row>81</xdr:row>
          <xdr:rowOff>169545</xdr:rowOff>
        </xdr:to>
        <xdr:sp macro="" textlink="">
          <xdr:nvSpPr>
            <xdr:cNvPr id="3186" name="Check Box 114" hidden="1">
              <a:extLst>
                <a:ext uri="{63B3BB69-23CF-44E3-9099-C40C66FF867C}">
                  <a14:compatExt spid="_x0000_s3186"/>
                </a:ext>
                <a:ext uri="{FF2B5EF4-FFF2-40B4-BE49-F238E27FC236}">
                  <a16:creationId xmlns:a16="http://schemas.microsoft.com/office/drawing/2014/main" id="{00000000-0008-0000-0200-00007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106680</xdr:rowOff>
        </xdr:from>
        <xdr:to>
          <xdr:col>11</xdr:col>
          <xdr:colOff>1866900</xdr:colOff>
          <xdr:row>81</xdr:row>
          <xdr:rowOff>342900</xdr:rowOff>
        </xdr:to>
        <xdr:sp macro="" textlink="">
          <xdr:nvSpPr>
            <xdr:cNvPr id="3187" name="Check Box 115" hidden="1">
              <a:extLst>
                <a:ext uri="{63B3BB69-23CF-44E3-9099-C40C66FF867C}">
                  <a14:compatExt spid="_x0000_s3187"/>
                </a:ext>
                <a:ext uri="{FF2B5EF4-FFF2-40B4-BE49-F238E27FC236}">
                  <a16:creationId xmlns:a16="http://schemas.microsoft.com/office/drawing/2014/main" id="{00000000-0008-0000-0200-00007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259080</xdr:rowOff>
        </xdr:from>
        <xdr:to>
          <xdr:col>11</xdr:col>
          <xdr:colOff>1866900</xdr:colOff>
          <xdr:row>83</xdr:row>
          <xdr:rowOff>228600</xdr:rowOff>
        </xdr:to>
        <xdr:sp macro="" textlink="">
          <xdr:nvSpPr>
            <xdr:cNvPr id="3189" name="Check Box 117" hidden="1">
              <a:extLst>
                <a:ext uri="{63B3BB69-23CF-44E3-9099-C40C66FF867C}">
                  <a14:compatExt spid="_x0000_s3189"/>
                </a:ext>
                <a:ext uri="{FF2B5EF4-FFF2-40B4-BE49-F238E27FC236}">
                  <a16:creationId xmlns:a16="http://schemas.microsoft.com/office/drawing/2014/main" id="{00000000-0008-0000-0200-00007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106680</xdr:rowOff>
        </xdr:from>
        <xdr:to>
          <xdr:col>11</xdr:col>
          <xdr:colOff>1866900</xdr:colOff>
          <xdr:row>83</xdr:row>
          <xdr:rowOff>342900</xdr:rowOff>
        </xdr:to>
        <xdr:sp macro="" textlink="">
          <xdr:nvSpPr>
            <xdr:cNvPr id="3190" name="Check Box 118" hidden="1">
              <a:extLst>
                <a:ext uri="{63B3BB69-23CF-44E3-9099-C40C66FF867C}">
                  <a14:compatExt spid="_x0000_s3190"/>
                </a:ext>
                <a:ext uri="{FF2B5EF4-FFF2-40B4-BE49-F238E27FC236}">
                  <a16:creationId xmlns:a16="http://schemas.microsoft.com/office/drawing/2014/main" id="{00000000-0008-0000-0200-00007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259080</xdr:rowOff>
        </xdr:from>
        <xdr:to>
          <xdr:col>11</xdr:col>
          <xdr:colOff>1866900</xdr:colOff>
          <xdr:row>85</xdr:row>
          <xdr:rowOff>169545</xdr:rowOff>
        </xdr:to>
        <xdr:sp macro="" textlink="">
          <xdr:nvSpPr>
            <xdr:cNvPr id="3192" name="Check Box 120" hidden="1">
              <a:extLst>
                <a:ext uri="{63B3BB69-23CF-44E3-9099-C40C66FF867C}">
                  <a14:compatExt spid="_x0000_s3192"/>
                </a:ext>
                <a:ext uri="{FF2B5EF4-FFF2-40B4-BE49-F238E27FC236}">
                  <a16:creationId xmlns:a16="http://schemas.microsoft.com/office/drawing/2014/main" id="{00000000-0008-0000-0200-00007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106680</xdr:rowOff>
        </xdr:from>
        <xdr:to>
          <xdr:col>11</xdr:col>
          <xdr:colOff>1866900</xdr:colOff>
          <xdr:row>85</xdr:row>
          <xdr:rowOff>342900</xdr:rowOff>
        </xdr:to>
        <xdr:sp macro="" textlink="">
          <xdr:nvSpPr>
            <xdr:cNvPr id="3193" name="Check Box 121" hidden="1">
              <a:extLst>
                <a:ext uri="{63B3BB69-23CF-44E3-9099-C40C66FF867C}">
                  <a14:compatExt spid="_x0000_s3193"/>
                </a:ext>
                <a:ext uri="{FF2B5EF4-FFF2-40B4-BE49-F238E27FC236}">
                  <a16:creationId xmlns:a16="http://schemas.microsoft.com/office/drawing/2014/main" id="{00000000-0008-0000-0200-00007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259080</xdr:rowOff>
        </xdr:from>
        <xdr:to>
          <xdr:col>11</xdr:col>
          <xdr:colOff>1866900</xdr:colOff>
          <xdr:row>87</xdr:row>
          <xdr:rowOff>169545</xdr:rowOff>
        </xdr:to>
        <xdr:sp macro="" textlink="">
          <xdr:nvSpPr>
            <xdr:cNvPr id="3196" name="Check Box 124" hidden="1">
              <a:extLst>
                <a:ext uri="{63B3BB69-23CF-44E3-9099-C40C66FF867C}">
                  <a14:compatExt spid="_x0000_s3196"/>
                </a:ext>
                <a:ext uri="{FF2B5EF4-FFF2-40B4-BE49-F238E27FC236}">
                  <a16:creationId xmlns:a16="http://schemas.microsoft.com/office/drawing/2014/main" id="{00000000-0008-0000-0200-00007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106680</xdr:rowOff>
        </xdr:from>
        <xdr:to>
          <xdr:col>11</xdr:col>
          <xdr:colOff>1866900</xdr:colOff>
          <xdr:row>87</xdr:row>
          <xdr:rowOff>342900</xdr:rowOff>
        </xdr:to>
        <xdr:sp macro="" textlink="">
          <xdr:nvSpPr>
            <xdr:cNvPr id="3197" name="Check Box 125" hidden="1">
              <a:extLst>
                <a:ext uri="{63B3BB69-23CF-44E3-9099-C40C66FF867C}">
                  <a14:compatExt spid="_x0000_s3197"/>
                </a:ext>
                <a:ext uri="{FF2B5EF4-FFF2-40B4-BE49-F238E27FC236}">
                  <a16:creationId xmlns:a16="http://schemas.microsoft.com/office/drawing/2014/main" id="{00000000-0008-0000-0200-00007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259080</xdr:rowOff>
        </xdr:from>
        <xdr:to>
          <xdr:col>11</xdr:col>
          <xdr:colOff>1866900</xdr:colOff>
          <xdr:row>91</xdr:row>
          <xdr:rowOff>190500</xdr:rowOff>
        </xdr:to>
        <xdr:sp macro="" textlink="">
          <xdr:nvSpPr>
            <xdr:cNvPr id="3202" name="Check Box 130" hidden="1">
              <a:extLst>
                <a:ext uri="{63B3BB69-23CF-44E3-9099-C40C66FF867C}">
                  <a14:compatExt spid="_x0000_s3202"/>
                </a:ext>
                <a:ext uri="{FF2B5EF4-FFF2-40B4-BE49-F238E27FC236}">
                  <a16:creationId xmlns:a16="http://schemas.microsoft.com/office/drawing/2014/main" id="{00000000-0008-0000-0200-00008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106680</xdr:rowOff>
        </xdr:from>
        <xdr:to>
          <xdr:col>11</xdr:col>
          <xdr:colOff>1866900</xdr:colOff>
          <xdr:row>91</xdr:row>
          <xdr:rowOff>342900</xdr:rowOff>
        </xdr:to>
        <xdr:sp macro="" textlink="">
          <xdr:nvSpPr>
            <xdr:cNvPr id="3203" name="Check Box 131" hidden="1">
              <a:extLst>
                <a:ext uri="{63B3BB69-23CF-44E3-9099-C40C66FF867C}">
                  <a14:compatExt spid="_x0000_s3203"/>
                </a:ext>
                <a:ext uri="{FF2B5EF4-FFF2-40B4-BE49-F238E27FC236}">
                  <a16:creationId xmlns:a16="http://schemas.microsoft.com/office/drawing/2014/main" id="{00000000-0008-0000-0200-00008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259080</xdr:rowOff>
        </xdr:from>
        <xdr:to>
          <xdr:col>11</xdr:col>
          <xdr:colOff>1866900</xdr:colOff>
          <xdr:row>93</xdr:row>
          <xdr:rowOff>190500</xdr:rowOff>
        </xdr:to>
        <xdr:sp macro="" textlink="">
          <xdr:nvSpPr>
            <xdr:cNvPr id="3205" name="Check Box 133" hidden="1">
              <a:extLst>
                <a:ext uri="{63B3BB69-23CF-44E3-9099-C40C66FF867C}">
                  <a14:compatExt spid="_x0000_s3205"/>
                </a:ext>
                <a:ext uri="{FF2B5EF4-FFF2-40B4-BE49-F238E27FC236}">
                  <a16:creationId xmlns:a16="http://schemas.microsoft.com/office/drawing/2014/main" id="{00000000-0008-0000-0200-00008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106680</xdr:rowOff>
        </xdr:from>
        <xdr:to>
          <xdr:col>11</xdr:col>
          <xdr:colOff>1866900</xdr:colOff>
          <xdr:row>93</xdr:row>
          <xdr:rowOff>342900</xdr:rowOff>
        </xdr:to>
        <xdr:sp macro="" textlink="">
          <xdr:nvSpPr>
            <xdr:cNvPr id="3206" name="Check Box 134" hidden="1">
              <a:extLst>
                <a:ext uri="{63B3BB69-23CF-44E3-9099-C40C66FF867C}">
                  <a14:compatExt spid="_x0000_s3206"/>
                </a:ext>
                <a:ext uri="{FF2B5EF4-FFF2-40B4-BE49-F238E27FC236}">
                  <a16:creationId xmlns:a16="http://schemas.microsoft.com/office/drawing/2014/main" id="{00000000-0008-0000-0200-00008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259080</xdr:rowOff>
        </xdr:from>
        <xdr:to>
          <xdr:col>11</xdr:col>
          <xdr:colOff>1866900</xdr:colOff>
          <xdr:row>95</xdr:row>
          <xdr:rowOff>169545</xdr:rowOff>
        </xdr:to>
        <xdr:sp macro="" textlink="">
          <xdr:nvSpPr>
            <xdr:cNvPr id="3208" name="Check Box 136" hidden="1">
              <a:extLst>
                <a:ext uri="{63B3BB69-23CF-44E3-9099-C40C66FF867C}">
                  <a14:compatExt spid="_x0000_s3208"/>
                </a:ext>
                <a:ext uri="{FF2B5EF4-FFF2-40B4-BE49-F238E27FC236}">
                  <a16:creationId xmlns:a16="http://schemas.microsoft.com/office/drawing/2014/main" id="{00000000-0008-0000-0200-00008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106680</xdr:rowOff>
        </xdr:from>
        <xdr:to>
          <xdr:col>11</xdr:col>
          <xdr:colOff>1866900</xdr:colOff>
          <xdr:row>95</xdr:row>
          <xdr:rowOff>342900</xdr:rowOff>
        </xdr:to>
        <xdr:sp macro="" textlink="">
          <xdr:nvSpPr>
            <xdr:cNvPr id="3209" name="Check Box 137" hidden="1">
              <a:extLst>
                <a:ext uri="{63B3BB69-23CF-44E3-9099-C40C66FF867C}">
                  <a14:compatExt spid="_x0000_s3209"/>
                </a:ext>
                <a:ext uri="{FF2B5EF4-FFF2-40B4-BE49-F238E27FC236}">
                  <a16:creationId xmlns:a16="http://schemas.microsoft.com/office/drawing/2014/main" id="{00000000-0008-0000-0200-00008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259080</xdr:rowOff>
        </xdr:from>
        <xdr:to>
          <xdr:col>11</xdr:col>
          <xdr:colOff>1866900</xdr:colOff>
          <xdr:row>97</xdr:row>
          <xdr:rowOff>169545</xdr:rowOff>
        </xdr:to>
        <xdr:sp macro="" textlink="">
          <xdr:nvSpPr>
            <xdr:cNvPr id="3211" name="Check Box 139" hidden="1">
              <a:extLst>
                <a:ext uri="{63B3BB69-23CF-44E3-9099-C40C66FF867C}">
                  <a14:compatExt spid="_x0000_s3211"/>
                </a:ext>
                <a:ext uri="{FF2B5EF4-FFF2-40B4-BE49-F238E27FC236}">
                  <a16:creationId xmlns:a16="http://schemas.microsoft.com/office/drawing/2014/main" id="{00000000-0008-0000-0200-00008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106680</xdr:rowOff>
        </xdr:from>
        <xdr:to>
          <xdr:col>11</xdr:col>
          <xdr:colOff>1866900</xdr:colOff>
          <xdr:row>97</xdr:row>
          <xdr:rowOff>342900</xdr:rowOff>
        </xdr:to>
        <xdr:sp macro="" textlink="">
          <xdr:nvSpPr>
            <xdr:cNvPr id="3212" name="Check Box 140" hidden="1">
              <a:extLst>
                <a:ext uri="{63B3BB69-23CF-44E3-9099-C40C66FF867C}">
                  <a14:compatExt spid="_x0000_s3212"/>
                </a:ext>
                <a:ext uri="{FF2B5EF4-FFF2-40B4-BE49-F238E27FC236}">
                  <a16:creationId xmlns:a16="http://schemas.microsoft.com/office/drawing/2014/main" id="{00000000-0008-0000-0200-00008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259080</xdr:rowOff>
        </xdr:from>
        <xdr:to>
          <xdr:col>11</xdr:col>
          <xdr:colOff>1866900</xdr:colOff>
          <xdr:row>99</xdr:row>
          <xdr:rowOff>169545</xdr:rowOff>
        </xdr:to>
        <xdr:sp macro="" textlink="">
          <xdr:nvSpPr>
            <xdr:cNvPr id="3214" name="Check Box 142" hidden="1">
              <a:extLst>
                <a:ext uri="{63B3BB69-23CF-44E3-9099-C40C66FF867C}">
                  <a14:compatExt spid="_x0000_s3214"/>
                </a:ext>
                <a:ext uri="{FF2B5EF4-FFF2-40B4-BE49-F238E27FC236}">
                  <a16:creationId xmlns:a16="http://schemas.microsoft.com/office/drawing/2014/main" id="{00000000-0008-0000-0200-00008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106680</xdr:rowOff>
        </xdr:from>
        <xdr:to>
          <xdr:col>11</xdr:col>
          <xdr:colOff>1866900</xdr:colOff>
          <xdr:row>99</xdr:row>
          <xdr:rowOff>342900</xdr:rowOff>
        </xdr:to>
        <xdr:sp macro="" textlink="">
          <xdr:nvSpPr>
            <xdr:cNvPr id="3215" name="Check Box 143" hidden="1">
              <a:extLst>
                <a:ext uri="{63B3BB69-23CF-44E3-9099-C40C66FF867C}">
                  <a14:compatExt spid="_x0000_s3215"/>
                </a:ext>
                <a:ext uri="{FF2B5EF4-FFF2-40B4-BE49-F238E27FC236}">
                  <a16:creationId xmlns:a16="http://schemas.microsoft.com/office/drawing/2014/main" id="{00000000-0008-0000-0200-00008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30480</xdr:rowOff>
        </xdr:from>
        <xdr:to>
          <xdr:col>11</xdr:col>
          <xdr:colOff>1866900</xdr:colOff>
          <xdr:row>60</xdr:row>
          <xdr:rowOff>266700</xdr:rowOff>
        </xdr:to>
        <xdr:sp macro="" textlink="">
          <xdr:nvSpPr>
            <xdr:cNvPr id="3232" name="Check Box 160" hidden="1">
              <a:extLst>
                <a:ext uri="{63B3BB69-23CF-44E3-9099-C40C66FF867C}">
                  <a14:compatExt spid="_x0000_s3232"/>
                </a:ext>
                <a:ext uri="{FF2B5EF4-FFF2-40B4-BE49-F238E27FC236}">
                  <a16:creationId xmlns:a16="http://schemas.microsoft.com/office/drawing/2014/main" id="{00000000-0008-0000-0200-0000A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11</xdr:col>
          <xdr:colOff>1866900</xdr:colOff>
          <xdr:row>62</xdr:row>
          <xdr:rowOff>281940</xdr:rowOff>
        </xdr:to>
        <xdr:sp macro="" textlink="">
          <xdr:nvSpPr>
            <xdr:cNvPr id="3234" name="Check Box 162" hidden="1">
              <a:extLst>
                <a:ext uri="{63B3BB69-23CF-44E3-9099-C40C66FF867C}">
                  <a14:compatExt spid="_x0000_s3234"/>
                </a:ext>
                <a:ext uri="{FF2B5EF4-FFF2-40B4-BE49-F238E27FC236}">
                  <a16:creationId xmlns:a16="http://schemas.microsoft.com/office/drawing/2014/main" id="{00000000-0008-0000-0200-0000A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11</xdr:col>
          <xdr:colOff>1866900</xdr:colOff>
          <xdr:row>64</xdr:row>
          <xdr:rowOff>281940</xdr:rowOff>
        </xdr:to>
        <xdr:sp macro="" textlink="">
          <xdr:nvSpPr>
            <xdr:cNvPr id="3236" name="Check Box 164" hidden="1">
              <a:extLst>
                <a:ext uri="{63B3BB69-23CF-44E3-9099-C40C66FF867C}">
                  <a14:compatExt spid="_x0000_s3236"/>
                </a:ext>
                <a:ext uri="{FF2B5EF4-FFF2-40B4-BE49-F238E27FC236}">
                  <a16:creationId xmlns:a16="http://schemas.microsoft.com/office/drawing/2014/main" id="{00000000-0008-0000-0200-0000A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11</xdr:col>
          <xdr:colOff>1866900</xdr:colOff>
          <xdr:row>66</xdr:row>
          <xdr:rowOff>266700</xdr:rowOff>
        </xdr:to>
        <xdr:sp macro="" textlink="">
          <xdr:nvSpPr>
            <xdr:cNvPr id="3238" name="Check Box 166" hidden="1">
              <a:extLst>
                <a:ext uri="{63B3BB69-23CF-44E3-9099-C40C66FF867C}">
                  <a14:compatExt spid="_x0000_s3238"/>
                </a:ext>
                <a:ext uri="{FF2B5EF4-FFF2-40B4-BE49-F238E27FC236}">
                  <a16:creationId xmlns:a16="http://schemas.microsoft.com/office/drawing/2014/main" id="{00000000-0008-0000-0200-0000A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30480</xdr:rowOff>
        </xdr:from>
        <xdr:to>
          <xdr:col>11</xdr:col>
          <xdr:colOff>1866900</xdr:colOff>
          <xdr:row>68</xdr:row>
          <xdr:rowOff>281940</xdr:rowOff>
        </xdr:to>
        <xdr:sp macro="" textlink="">
          <xdr:nvSpPr>
            <xdr:cNvPr id="3239" name="Check Box 167" hidden="1">
              <a:extLst>
                <a:ext uri="{63B3BB69-23CF-44E3-9099-C40C66FF867C}">
                  <a14:compatExt spid="_x0000_s3239"/>
                </a:ext>
                <a:ext uri="{FF2B5EF4-FFF2-40B4-BE49-F238E27FC236}">
                  <a16:creationId xmlns:a16="http://schemas.microsoft.com/office/drawing/2014/main" id="{00000000-0008-0000-0200-0000A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30480</xdr:rowOff>
        </xdr:from>
        <xdr:to>
          <xdr:col>11</xdr:col>
          <xdr:colOff>1866900</xdr:colOff>
          <xdr:row>70</xdr:row>
          <xdr:rowOff>266700</xdr:rowOff>
        </xdr:to>
        <xdr:sp macro="" textlink="">
          <xdr:nvSpPr>
            <xdr:cNvPr id="3241" name="Check Box 169" hidden="1">
              <a:extLst>
                <a:ext uri="{63B3BB69-23CF-44E3-9099-C40C66FF867C}">
                  <a14:compatExt spid="_x0000_s3241"/>
                </a:ext>
                <a:ext uri="{FF2B5EF4-FFF2-40B4-BE49-F238E27FC236}">
                  <a16:creationId xmlns:a16="http://schemas.microsoft.com/office/drawing/2014/main" id="{00000000-0008-0000-0200-0000A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11</xdr:col>
          <xdr:colOff>1866900</xdr:colOff>
          <xdr:row>72</xdr:row>
          <xdr:rowOff>266700</xdr:rowOff>
        </xdr:to>
        <xdr:sp macro="" textlink="">
          <xdr:nvSpPr>
            <xdr:cNvPr id="3243" name="Check Box 171" hidden="1">
              <a:extLst>
                <a:ext uri="{63B3BB69-23CF-44E3-9099-C40C66FF867C}">
                  <a14:compatExt spid="_x0000_s3243"/>
                </a:ext>
                <a:ext uri="{FF2B5EF4-FFF2-40B4-BE49-F238E27FC236}">
                  <a16:creationId xmlns:a16="http://schemas.microsoft.com/office/drawing/2014/main" id="{00000000-0008-0000-0200-0000A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30480</xdr:rowOff>
        </xdr:from>
        <xdr:to>
          <xdr:col>11</xdr:col>
          <xdr:colOff>1866900</xdr:colOff>
          <xdr:row>74</xdr:row>
          <xdr:rowOff>266700</xdr:rowOff>
        </xdr:to>
        <xdr:sp macro="" textlink="">
          <xdr:nvSpPr>
            <xdr:cNvPr id="3245" name="Check Box 173" hidden="1">
              <a:extLst>
                <a:ext uri="{63B3BB69-23CF-44E3-9099-C40C66FF867C}">
                  <a14:compatExt spid="_x0000_s3245"/>
                </a:ext>
                <a:ext uri="{FF2B5EF4-FFF2-40B4-BE49-F238E27FC236}">
                  <a16:creationId xmlns:a16="http://schemas.microsoft.com/office/drawing/2014/main" id="{00000000-0008-0000-0200-0000A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30480</xdr:rowOff>
        </xdr:from>
        <xdr:to>
          <xdr:col>11</xdr:col>
          <xdr:colOff>1866900</xdr:colOff>
          <xdr:row>76</xdr:row>
          <xdr:rowOff>281940</xdr:rowOff>
        </xdr:to>
        <xdr:sp macro="" textlink="">
          <xdr:nvSpPr>
            <xdr:cNvPr id="3246" name="Check Box 174" hidden="1">
              <a:extLst>
                <a:ext uri="{63B3BB69-23CF-44E3-9099-C40C66FF867C}">
                  <a14:compatExt spid="_x0000_s3246"/>
                </a:ext>
                <a:ext uri="{FF2B5EF4-FFF2-40B4-BE49-F238E27FC236}">
                  <a16:creationId xmlns:a16="http://schemas.microsoft.com/office/drawing/2014/main" id="{00000000-0008-0000-0200-0000A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11</xdr:col>
          <xdr:colOff>1866900</xdr:colOff>
          <xdr:row>80</xdr:row>
          <xdr:rowOff>281940</xdr:rowOff>
        </xdr:to>
        <xdr:sp macro="" textlink="">
          <xdr:nvSpPr>
            <xdr:cNvPr id="3247" name="Check Box 175" hidden="1">
              <a:extLst>
                <a:ext uri="{63B3BB69-23CF-44E3-9099-C40C66FF867C}">
                  <a14:compatExt spid="_x0000_s3247"/>
                </a:ext>
                <a:ext uri="{FF2B5EF4-FFF2-40B4-BE49-F238E27FC236}">
                  <a16:creationId xmlns:a16="http://schemas.microsoft.com/office/drawing/2014/main" id="{00000000-0008-0000-0200-0000A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30480</xdr:rowOff>
        </xdr:from>
        <xdr:to>
          <xdr:col>11</xdr:col>
          <xdr:colOff>1866900</xdr:colOff>
          <xdr:row>82</xdr:row>
          <xdr:rowOff>281940</xdr:rowOff>
        </xdr:to>
        <xdr:sp macro="" textlink="">
          <xdr:nvSpPr>
            <xdr:cNvPr id="3248" name="Check Box 176" hidden="1">
              <a:extLst>
                <a:ext uri="{63B3BB69-23CF-44E3-9099-C40C66FF867C}">
                  <a14:compatExt spid="_x0000_s3248"/>
                </a:ext>
                <a:ext uri="{FF2B5EF4-FFF2-40B4-BE49-F238E27FC236}">
                  <a16:creationId xmlns:a16="http://schemas.microsoft.com/office/drawing/2014/main" id="{00000000-0008-0000-0200-0000B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30480</xdr:rowOff>
        </xdr:from>
        <xdr:to>
          <xdr:col>11</xdr:col>
          <xdr:colOff>1866900</xdr:colOff>
          <xdr:row>84</xdr:row>
          <xdr:rowOff>281940</xdr:rowOff>
        </xdr:to>
        <xdr:sp macro="" textlink="">
          <xdr:nvSpPr>
            <xdr:cNvPr id="3249" name="Check Box 177" hidden="1">
              <a:extLst>
                <a:ext uri="{63B3BB69-23CF-44E3-9099-C40C66FF867C}">
                  <a14:compatExt spid="_x0000_s3249"/>
                </a:ext>
                <a:ext uri="{FF2B5EF4-FFF2-40B4-BE49-F238E27FC236}">
                  <a16:creationId xmlns:a16="http://schemas.microsoft.com/office/drawing/2014/main" id="{00000000-0008-0000-0200-0000B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30480</xdr:rowOff>
        </xdr:from>
        <xdr:to>
          <xdr:col>11</xdr:col>
          <xdr:colOff>1866900</xdr:colOff>
          <xdr:row>86</xdr:row>
          <xdr:rowOff>281940</xdr:rowOff>
        </xdr:to>
        <xdr:sp macro="" textlink="">
          <xdr:nvSpPr>
            <xdr:cNvPr id="3250" name="Check Box 178" hidden="1">
              <a:extLst>
                <a:ext uri="{63B3BB69-23CF-44E3-9099-C40C66FF867C}">
                  <a14:compatExt spid="_x0000_s3250"/>
                </a:ext>
                <a:ext uri="{FF2B5EF4-FFF2-40B4-BE49-F238E27FC236}">
                  <a16:creationId xmlns:a16="http://schemas.microsoft.com/office/drawing/2014/main" id="{00000000-0008-0000-0200-0000B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88</xdr:row>
          <xdr:rowOff>228600</xdr:rowOff>
        </xdr:from>
        <xdr:to>
          <xdr:col>11</xdr:col>
          <xdr:colOff>1866900</xdr:colOff>
          <xdr:row>89</xdr:row>
          <xdr:rowOff>169545</xdr:rowOff>
        </xdr:to>
        <xdr:sp macro="" textlink="">
          <xdr:nvSpPr>
            <xdr:cNvPr id="3251" name="Check Box 179" hidden="1">
              <a:extLst>
                <a:ext uri="{63B3BB69-23CF-44E3-9099-C40C66FF867C}">
                  <a14:compatExt spid="_x0000_s3251"/>
                </a:ext>
                <a:ext uri="{FF2B5EF4-FFF2-40B4-BE49-F238E27FC236}">
                  <a16:creationId xmlns:a16="http://schemas.microsoft.com/office/drawing/2014/main" id="{00000000-0008-0000-0200-0000B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30480</xdr:rowOff>
        </xdr:from>
        <xdr:to>
          <xdr:col>11</xdr:col>
          <xdr:colOff>1866900</xdr:colOff>
          <xdr:row>90</xdr:row>
          <xdr:rowOff>266700</xdr:rowOff>
        </xdr:to>
        <xdr:sp macro="" textlink="">
          <xdr:nvSpPr>
            <xdr:cNvPr id="3252" name="Check Box 180" hidden="1">
              <a:extLst>
                <a:ext uri="{63B3BB69-23CF-44E3-9099-C40C66FF867C}">
                  <a14:compatExt spid="_x0000_s3252"/>
                </a:ext>
                <a:ext uri="{FF2B5EF4-FFF2-40B4-BE49-F238E27FC236}">
                  <a16:creationId xmlns:a16="http://schemas.microsoft.com/office/drawing/2014/main" id="{00000000-0008-0000-0200-0000B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30480</xdr:rowOff>
        </xdr:from>
        <xdr:to>
          <xdr:col>11</xdr:col>
          <xdr:colOff>1866900</xdr:colOff>
          <xdr:row>92</xdr:row>
          <xdr:rowOff>266700</xdr:rowOff>
        </xdr:to>
        <xdr:sp macro="" textlink="">
          <xdr:nvSpPr>
            <xdr:cNvPr id="3253" name="Check Box 181" hidden="1">
              <a:extLst>
                <a:ext uri="{63B3BB69-23CF-44E3-9099-C40C66FF867C}">
                  <a14:compatExt spid="_x0000_s3253"/>
                </a:ext>
                <a:ext uri="{FF2B5EF4-FFF2-40B4-BE49-F238E27FC236}">
                  <a16:creationId xmlns:a16="http://schemas.microsoft.com/office/drawing/2014/main" id="{00000000-0008-0000-0200-0000B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11</xdr:col>
          <xdr:colOff>1866900</xdr:colOff>
          <xdr:row>94</xdr:row>
          <xdr:rowOff>281940</xdr:rowOff>
        </xdr:to>
        <xdr:sp macro="" textlink="">
          <xdr:nvSpPr>
            <xdr:cNvPr id="3254" name="Check Box 182" hidden="1">
              <a:extLst>
                <a:ext uri="{63B3BB69-23CF-44E3-9099-C40C66FF867C}">
                  <a14:compatExt spid="_x0000_s3254"/>
                </a:ext>
                <a:ext uri="{FF2B5EF4-FFF2-40B4-BE49-F238E27FC236}">
                  <a16:creationId xmlns:a16="http://schemas.microsoft.com/office/drawing/2014/main" id="{00000000-0008-0000-0200-0000B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11</xdr:col>
          <xdr:colOff>1866900</xdr:colOff>
          <xdr:row>96</xdr:row>
          <xdr:rowOff>266700</xdr:rowOff>
        </xdr:to>
        <xdr:sp macro="" textlink="">
          <xdr:nvSpPr>
            <xdr:cNvPr id="3255" name="Check Box 183" hidden="1">
              <a:extLst>
                <a:ext uri="{63B3BB69-23CF-44E3-9099-C40C66FF867C}">
                  <a14:compatExt spid="_x0000_s3255"/>
                </a:ext>
                <a:ext uri="{FF2B5EF4-FFF2-40B4-BE49-F238E27FC236}">
                  <a16:creationId xmlns:a16="http://schemas.microsoft.com/office/drawing/2014/main" id="{00000000-0008-0000-0200-0000B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30480</xdr:rowOff>
        </xdr:from>
        <xdr:to>
          <xdr:col>11</xdr:col>
          <xdr:colOff>1866900</xdr:colOff>
          <xdr:row>98</xdr:row>
          <xdr:rowOff>281940</xdr:rowOff>
        </xdr:to>
        <xdr:sp macro="" textlink="">
          <xdr:nvSpPr>
            <xdr:cNvPr id="3256" name="Check Box 184" hidden="1">
              <a:extLst>
                <a:ext uri="{63B3BB69-23CF-44E3-9099-C40C66FF867C}">
                  <a14:compatExt spid="_x0000_s3256"/>
                </a:ext>
                <a:ext uri="{FF2B5EF4-FFF2-40B4-BE49-F238E27FC236}">
                  <a16:creationId xmlns:a16="http://schemas.microsoft.com/office/drawing/2014/main" id="{00000000-0008-0000-0200-0000B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259080</xdr:rowOff>
        </xdr:from>
        <xdr:to>
          <xdr:col>11</xdr:col>
          <xdr:colOff>1866900</xdr:colOff>
          <xdr:row>105</xdr:row>
          <xdr:rowOff>228600</xdr:rowOff>
        </xdr:to>
        <xdr:sp macro="" textlink="">
          <xdr:nvSpPr>
            <xdr:cNvPr id="3261" name="Check Box 189" hidden="1">
              <a:extLst>
                <a:ext uri="{63B3BB69-23CF-44E3-9099-C40C66FF867C}">
                  <a14:compatExt spid="_x0000_s3261"/>
                </a:ext>
                <a:ext uri="{FF2B5EF4-FFF2-40B4-BE49-F238E27FC236}">
                  <a16:creationId xmlns:a16="http://schemas.microsoft.com/office/drawing/2014/main" id="{00000000-0008-0000-0200-0000B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106680</xdr:rowOff>
        </xdr:from>
        <xdr:to>
          <xdr:col>11</xdr:col>
          <xdr:colOff>1866900</xdr:colOff>
          <xdr:row>105</xdr:row>
          <xdr:rowOff>342900</xdr:rowOff>
        </xdr:to>
        <xdr:sp macro="" textlink="">
          <xdr:nvSpPr>
            <xdr:cNvPr id="3262" name="Check Box 190" hidden="1">
              <a:extLst>
                <a:ext uri="{63B3BB69-23CF-44E3-9099-C40C66FF867C}">
                  <a14:compatExt spid="_x0000_s3262"/>
                </a:ext>
                <a:ext uri="{FF2B5EF4-FFF2-40B4-BE49-F238E27FC236}">
                  <a16:creationId xmlns:a16="http://schemas.microsoft.com/office/drawing/2014/main" id="{00000000-0008-0000-0200-0000B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259080</xdr:rowOff>
        </xdr:from>
        <xdr:to>
          <xdr:col>11</xdr:col>
          <xdr:colOff>1866900</xdr:colOff>
          <xdr:row>107</xdr:row>
          <xdr:rowOff>228600</xdr:rowOff>
        </xdr:to>
        <xdr:sp macro="" textlink="">
          <xdr:nvSpPr>
            <xdr:cNvPr id="3263" name="Check Box 191" hidden="1">
              <a:extLst>
                <a:ext uri="{63B3BB69-23CF-44E3-9099-C40C66FF867C}">
                  <a14:compatExt spid="_x0000_s3263"/>
                </a:ext>
                <a:ext uri="{FF2B5EF4-FFF2-40B4-BE49-F238E27FC236}">
                  <a16:creationId xmlns:a16="http://schemas.microsoft.com/office/drawing/2014/main" id="{00000000-0008-0000-0200-0000B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107</xdr:row>
          <xdr:rowOff>106680</xdr:rowOff>
        </xdr:from>
        <xdr:to>
          <xdr:col>11</xdr:col>
          <xdr:colOff>1866900</xdr:colOff>
          <xdr:row>107</xdr:row>
          <xdr:rowOff>342900</xdr:rowOff>
        </xdr:to>
        <xdr:sp macro="" textlink="">
          <xdr:nvSpPr>
            <xdr:cNvPr id="3264" name="Check Box 192" hidden="1">
              <a:extLst>
                <a:ext uri="{63B3BB69-23CF-44E3-9099-C40C66FF867C}">
                  <a14:compatExt spid="_x0000_s3264"/>
                </a:ext>
                <a:ext uri="{FF2B5EF4-FFF2-40B4-BE49-F238E27FC236}">
                  <a16:creationId xmlns:a16="http://schemas.microsoft.com/office/drawing/2014/main" id="{00000000-0008-0000-0200-0000C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30480</xdr:rowOff>
        </xdr:from>
        <xdr:to>
          <xdr:col>11</xdr:col>
          <xdr:colOff>1866900</xdr:colOff>
          <xdr:row>104</xdr:row>
          <xdr:rowOff>281940</xdr:rowOff>
        </xdr:to>
        <xdr:sp macro="" textlink="">
          <xdr:nvSpPr>
            <xdr:cNvPr id="3265" name="Check Box 193" hidden="1">
              <a:extLst>
                <a:ext uri="{63B3BB69-23CF-44E3-9099-C40C66FF867C}">
                  <a14:compatExt spid="_x0000_s3265"/>
                </a:ext>
                <a:ext uri="{FF2B5EF4-FFF2-40B4-BE49-F238E27FC236}">
                  <a16:creationId xmlns:a16="http://schemas.microsoft.com/office/drawing/2014/main" id="{00000000-0008-0000-0200-0000C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30480</xdr:rowOff>
        </xdr:from>
        <xdr:to>
          <xdr:col>11</xdr:col>
          <xdr:colOff>1866900</xdr:colOff>
          <xdr:row>106</xdr:row>
          <xdr:rowOff>281940</xdr:rowOff>
        </xdr:to>
        <xdr:sp macro="" textlink="">
          <xdr:nvSpPr>
            <xdr:cNvPr id="3266" name="Check Box 194" hidden="1">
              <a:extLst>
                <a:ext uri="{63B3BB69-23CF-44E3-9099-C40C66FF867C}">
                  <a14:compatExt spid="_x0000_s3266"/>
                </a:ext>
                <a:ext uri="{FF2B5EF4-FFF2-40B4-BE49-F238E27FC236}">
                  <a16:creationId xmlns:a16="http://schemas.microsoft.com/office/drawing/2014/main" id="{00000000-0008-0000-0200-0000C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259080</xdr:rowOff>
        </xdr:from>
        <xdr:to>
          <xdr:col>11</xdr:col>
          <xdr:colOff>1866900</xdr:colOff>
          <xdr:row>101</xdr:row>
          <xdr:rowOff>169545</xdr:rowOff>
        </xdr:to>
        <xdr:sp macro="" textlink="">
          <xdr:nvSpPr>
            <xdr:cNvPr id="3267" name="Check Box 195" hidden="1">
              <a:extLst>
                <a:ext uri="{63B3BB69-23CF-44E3-9099-C40C66FF867C}">
                  <a14:compatExt spid="_x0000_s3267"/>
                </a:ext>
                <a:ext uri="{FF2B5EF4-FFF2-40B4-BE49-F238E27FC236}">
                  <a16:creationId xmlns:a16="http://schemas.microsoft.com/office/drawing/2014/main" id="{00000000-0008-0000-0200-0000C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106680</xdr:rowOff>
        </xdr:from>
        <xdr:to>
          <xdr:col>11</xdr:col>
          <xdr:colOff>1866900</xdr:colOff>
          <xdr:row>101</xdr:row>
          <xdr:rowOff>342900</xdr:rowOff>
        </xdr:to>
        <xdr:sp macro="" textlink="">
          <xdr:nvSpPr>
            <xdr:cNvPr id="3268" name="Check Box 196" hidden="1">
              <a:extLst>
                <a:ext uri="{63B3BB69-23CF-44E3-9099-C40C66FF867C}">
                  <a14:compatExt spid="_x0000_s3268"/>
                </a:ext>
                <a:ext uri="{FF2B5EF4-FFF2-40B4-BE49-F238E27FC236}">
                  <a16:creationId xmlns:a16="http://schemas.microsoft.com/office/drawing/2014/main" id="{00000000-0008-0000-0200-0000C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259080</xdr:rowOff>
        </xdr:from>
        <xdr:to>
          <xdr:col>11</xdr:col>
          <xdr:colOff>1866900</xdr:colOff>
          <xdr:row>103</xdr:row>
          <xdr:rowOff>169545</xdr:rowOff>
        </xdr:to>
        <xdr:sp macro="" textlink="">
          <xdr:nvSpPr>
            <xdr:cNvPr id="3269" name="Check Box 197" hidden="1">
              <a:extLst>
                <a:ext uri="{63B3BB69-23CF-44E3-9099-C40C66FF867C}">
                  <a14:compatExt spid="_x0000_s3269"/>
                </a:ext>
                <a:ext uri="{FF2B5EF4-FFF2-40B4-BE49-F238E27FC236}">
                  <a16:creationId xmlns:a16="http://schemas.microsoft.com/office/drawing/2014/main" id="{00000000-0008-0000-0200-0000C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106680</xdr:rowOff>
        </xdr:from>
        <xdr:to>
          <xdr:col>11</xdr:col>
          <xdr:colOff>1866900</xdr:colOff>
          <xdr:row>103</xdr:row>
          <xdr:rowOff>342900</xdr:rowOff>
        </xdr:to>
        <xdr:sp macro="" textlink="">
          <xdr:nvSpPr>
            <xdr:cNvPr id="3270" name="Check Box 198" hidden="1">
              <a:extLst>
                <a:ext uri="{63B3BB69-23CF-44E3-9099-C40C66FF867C}">
                  <a14:compatExt spid="_x0000_s3270"/>
                </a:ext>
                <a:ext uri="{FF2B5EF4-FFF2-40B4-BE49-F238E27FC236}">
                  <a16:creationId xmlns:a16="http://schemas.microsoft.com/office/drawing/2014/main" id="{00000000-0008-0000-0200-0000C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30480</xdr:rowOff>
        </xdr:from>
        <xdr:to>
          <xdr:col>11</xdr:col>
          <xdr:colOff>1866900</xdr:colOff>
          <xdr:row>100</xdr:row>
          <xdr:rowOff>281940</xdr:rowOff>
        </xdr:to>
        <xdr:sp macro="" textlink="">
          <xdr:nvSpPr>
            <xdr:cNvPr id="3271" name="Check Box 199" hidden="1">
              <a:extLst>
                <a:ext uri="{63B3BB69-23CF-44E3-9099-C40C66FF867C}">
                  <a14:compatExt spid="_x0000_s3271"/>
                </a:ext>
                <a:ext uri="{FF2B5EF4-FFF2-40B4-BE49-F238E27FC236}">
                  <a16:creationId xmlns:a16="http://schemas.microsoft.com/office/drawing/2014/main" id="{00000000-0008-0000-0200-0000C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30480</xdr:rowOff>
        </xdr:from>
        <xdr:to>
          <xdr:col>11</xdr:col>
          <xdr:colOff>1866900</xdr:colOff>
          <xdr:row>102</xdr:row>
          <xdr:rowOff>281940</xdr:rowOff>
        </xdr:to>
        <xdr:sp macro="" textlink="">
          <xdr:nvSpPr>
            <xdr:cNvPr id="3272" name="Check Box 200" hidden="1">
              <a:extLst>
                <a:ext uri="{63B3BB69-23CF-44E3-9099-C40C66FF867C}">
                  <a14:compatExt spid="_x0000_s3272"/>
                </a:ext>
                <a:ext uri="{FF2B5EF4-FFF2-40B4-BE49-F238E27FC236}">
                  <a16:creationId xmlns:a16="http://schemas.microsoft.com/office/drawing/2014/main" id="{00000000-0008-0000-0200-0000C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266700</xdr:rowOff>
        </xdr:from>
        <xdr:to>
          <xdr:col>11</xdr:col>
          <xdr:colOff>1866900</xdr:colOff>
          <xdr:row>129</xdr:row>
          <xdr:rowOff>190500</xdr:rowOff>
        </xdr:to>
        <xdr:sp macro="" textlink="">
          <xdr:nvSpPr>
            <xdr:cNvPr id="3281" name="Check Box 209" hidden="1">
              <a:extLst>
                <a:ext uri="{63B3BB69-23CF-44E3-9099-C40C66FF867C}">
                  <a14:compatExt spid="_x0000_s3281"/>
                </a:ext>
                <a:ext uri="{FF2B5EF4-FFF2-40B4-BE49-F238E27FC236}">
                  <a16:creationId xmlns:a16="http://schemas.microsoft.com/office/drawing/2014/main" id="{00000000-0008-0000-0200-0000D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129</xdr:row>
          <xdr:rowOff>144780</xdr:rowOff>
        </xdr:from>
        <xdr:to>
          <xdr:col>11</xdr:col>
          <xdr:colOff>1866900</xdr:colOff>
          <xdr:row>130</xdr:row>
          <xdr:rowOff>17145</xdr:rowOff>
        </xdr:to>
        <xdr:sp macro="" textlink="">
          <xdr:nvSpPr>
            <xdr:cNvPr id="3282" name="Check Box 210" hidden="1">
              <a:extLst>
                <a:ext uri="{63B3BB69-23CF-44E3-9099-C40C66FF867C}">
                  <a14:compatExt spid="_x0000_s3282"/>
                </a:ext>
                <a:ext uri="{FF2B5EF4-FFF2-40B4-BE49-F238E27FC236}">
                  <a16:creationId xmlns:a16="http://schemas.microsoft.com/office/drawing/2014/main" id="{00000000-0008-0000-0200-0000D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30480</xdr:rowOff>
        </xdr:from>
        <xdr:to>
          <xdr:col>11</xdr:col>
          <xdr:colOff>1866900</xdr:colOff>
          <xdr:row>129</xdr:row>
          <xdr:rowOff>0</xdr:rowOff>
        </xdr:to>
        <xdr:sp macro="" textlink="">
          <xdr:nvSpPr>
            <xdr:cNvPr id="3283" name="Check Box 211" hidden="1">
              <a:extLst>
                <a:ext uri="{63B3BB69-23CF-44E3-9099-C40C66FF867C}">
                  <a14:compatExt spid="_x0000_s3283"/>
                </a:ext>
                <a:ext uri="{FF2B5EF4-FFF2-40B4-BE49-F238E27FC236}">
                  <a16:creationId xmlns:a16="http://schemas.microsoft.com/office/drawing/2014/main" id="{00000000-0008-0000-0200-0000D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266700</xdr:rowOff>
        </xdr:from>
        <xdr:to>
          <xdr:col>11</xdr:col>
          <xdr:colOff>1866900</xdr:colOff>
          <xdr:row>131</xdr:row>
          <xdr:rowOff>190500</xdr:rowOff>
        </xdr:to>
        <xdr:sp macro="" textlink="">
          <xdr:nvSpPr>
            <xdr:cNvPr id="3284" name="Check Box 212" hidden="1">
              <a:extLst>
                <a:ext uri="{63B3BB69-23CF-44E3-9099-C40C66FF867C}">
                  <a14:compatExt spid="_x0000_s3284"/>
                </a:ext>
                <a:ext uri="{FF2B5EF4-FFF2-40B4-BE49-F238E27FC236}">
                  <a16:creationId xmlns:a16="http://schemas.microsoft.com/office/drawing/2014/main" id="{00000000-0008-0000-0200-0000D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131</xdr:row>
          <xdr:rowOff>144780</xdr:rowOff>
        </xdr:from>
        <xdr:to>
          <xdr:col>11</xdr:col>
          <xdr:colOff>1866900</xdr:colOff>
          <xdr:row>132</xdr:row>
          <xdr:rowOff>17145</xdr:rowOff>
        </xdr:to>
        <xdr:sp macro="" textlink="">
          <xdr:nvSpPr>
            <xdr:cNvPr id="3285" name="Check Box 213" hidden="1">
              <a:extLst>
                <a:ext uri="{63B3BB69-23CF-44E3-9099-C40C66FF867C}">
                  <a14:compatExt spid="_x0000_s3285"/>
                </a:ext>
                <a:ext uri="{FF2B5EF4-FFF2-40B4-BE49-F238E27FC236}">
                  <a16:creationId xmlns:a16="http://schemas.microsoft.com/office/drawing/2014/main" id="{00000000-0008-0000-0200-0000D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30480</xdr:rowOff>
        </xdr:from>
        <xdr:to>
          <xdr:col>11</xdr:col>
          <xdr:colOff>1866900</xdr:colOff>
          <xdr:row>131</xdr:row>
          <xdr:rowOff>0</xdr:rowOff>
        </xdr:to>
        <xdr:sp macro="" textlink="">
          <xdr:nvSpPr>
            <xdr:cNvPr id="3286" name="Check Box 214" hidden="1">
              <a:extLst>
                <a:ext uri="{63B3BB69-23CF-44E3-9099-C40C66FF867C}">
                  <a14:compatExt spid="_x0000_s3286"/>
                </a:ext>
                <a:ext uri="{FF2B5EF4-FFF2-40B4-BE49-F238E27FC236}">
                  <a16:creationId xmlns:a16="http://schemas.microsoft.com/office/drawing/2014/main" id="{00000000-0008-0000-0200-0000D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266700</xdr:rowOff>
        </xdr:from>
        <xdr:to>
          <xdr:col>11</xdr:col>
          <xdr:colOff>1866900</xdr:colOff>
          <xdr:row>109</xdr:row>
          <xdr:rowOff>205740</xdr:rowOff>
        </xdr:to>
        <xdr:sp macro="" textlink="">
          <xdr:nvSpPr>
            <xdr:cNvPr id="3311" name="Check Box 239" hidden="1">
              <a:extLst>
                <a:ext uri="{63B3BB69-23CF-44E3-9099-C40C66FF867C}">
                  <a14:compatExt spid="_x0000_s3311"/>
                </a:ext>
                <a:ext uri="{FF2B5EF4-FFF2-40B4-BE49-F238E27FC236}">
                  <a16:creationId xmlns:a16="http://schemas.microsoft.com/office/drawing/2014/main" id="{00000000-0008-0000-0200-0000E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109</xdr:row>
          <xdr:rowOff>144780</xdr:rowOff>
        </xdr:from>
        <xdr:to>
          <xdr:col>11</xdr:col>
          <xdr:colOff>1866900</xdr:colOff>
          <xdr:row>110</xdr:row>
          <xdr:rowOff>17145</xdr:rowOff>
        </xdr:to>
        <xdr:sp macro="" textlink="">
          <xdr:nvSpPr>
            <xdr:cNvPr id="3312" name="Check Box 240" hidden="1">
              <a:extLst>
                <a:ext uri="{63B3BB69-23CF-44E3-9099-C40C66FF867C}">
                  <a14:compatExt spid="_x0000_s3312"/>
                </a:ext>
                <a:ext uri="{FF2B5EF4-FFF2-40B4-BE49-F238E27FC236}">
                  <a16:creationId xmlns:a16="http://schemas.microsoft.com/office/drawing/2014/main" id="{00000000-0008-0000-0200-0000F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30480</xdr:rowOff>
        </xdr:from>
        <xdr:to>
          <xdr:col>11</xdr:col>
          <xdr:colOff>1866900</xdr:colOff>
          <xdr:row>108</xdr:row>
          <xdr:rowOff>283845</xdr:rowOff>
        </xdr:to>
        <xdr:sp macro="" textlink="">
          <xdr:nvSpPr>
            <xdr:cNvPr id="3313" name="Check Box 241" hidden="1">
              <a:extLst>
                <a:ext uri="{63B3BB69-23CF-44E3-9099-C40C66FF867C}">
                  <a14:compatExt spid="_x0000_s3313"/>
                </a:ext>
                <a:ext uri="{FF2B5EF4-FFF2-40B4-BE49-F238E27FC236}">
                  <a16:creationId xmlns:a16="http://schemas.microsoft.com/office/drawing/2014/main" id="{00000000-0008-0000-0200-0000F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266700</xdr:rowOff>
        </xdr:from>
        <xdr:to>
          <xdr:col>11</xdr:col>
          <xdr:colOff>1866900</xdr:colOff>
          <xdr:row>111</xdr:row>
          <xdr:rowOff>190500</xdr:rowOff>
        </xdr:to>
        <xdr:sp macro="" textlink="">
          <xdr:nvSpPr>
            <xdr:cNvPr id="3314" name="Check Box 242" hidden="1">
              <a:extLst>
                <a:ext uri="{63B3BB69-23CF-44E3-9099-C40C66FF867C}">
                  <a14:compatExt spid="_x0000_s3314"/>
                </a:ext>
                <a:ext uri="{FF2B5EF4-FFF2-40B4-BE49-F238E27FC236}">
                  <a16:creationId xmlns:a16="http://schemas.microsoft.com/office/drawing/2014/main" id="{00000000-0008-0000-0200-0000F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111</xdr:row>
          <xdr:rowOff>144780</xdr:rowOff>
        </xdr:from>
        <xdr:to>
          <xdr:col>11</xdr:col>
          <xdr:colOff>1866900</xdr:colOff>
          <xdr:row>112</xdr:row>
          <xdr:rowOff>17145</xdr:rowOff>
        </xdr:to>
        <xdr:sp macro="" textlink="">
          <xdr:nvSpPr>
            <xdr:cNvPr id="3315" name="Check Box 243" hidden="1">
              <a:extLst>
                <a:ext uri="{63B3BB69-23CF-44E3-9099-C40C66FF867C}">
                  <a14:compatExt spid="_x0000_s3315"/>
                </a:ext>
                <a:ext uri="{FF2B5EF4-FFF2-40B4-BE49-F238E27FC236}">
                  <a16:creationId xmlns:a16="http://schemas.microsoft.com/office/drawing/2014/main" id="{00000000-0008-0000-0200-0000F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30480</xdr:rowOff>
        </xdr:from>
        <xdr:to>
          <xdr:col>11</xdr:col>
          <xdr:colOff>1866900</xdr:colOff>
          <xdr:row>111</xdr:row>
          <xdr:rowOff>0</xdr:rowOff>
        </xdr:to>
        <xdr:sp macro="" textlink="">
          <xdr:nvSpPr>
            <xdr:cNvPr id="3316" name="Check Box 244" hidden="1">
              <a:extLst>
                <a:ext uri="{63B3BB69-23CF-44E3-9099-C40C66FF867C}">
                  <a14:compatExt spid="_x0000_s3316"/>
                </a:ext>
                <a:ext uri="{FF2B5EF4-FFF2-40B4-BE49-F238E27FC236}">
                  <a16:creationId xmlns:a16="http://schemas.microsoft.com/office/drawing/2014/main" id="{00000000-0008-0000-0200-0000F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266700</xdr:rowOff>
        </xdr:from>
        <xdr:to>
          <xdr:col>11</xdr:col>
          <xdr:colOff>1866900</xdr:colOff>
          <xdr:row>113</xdr:row>
          <xdr:rowOff>169545</xdr:rowOff>
        </xdr:to>
        <xdr:sp macro="" textlink="">
          <xdr:nvSpPr>
            <xdr:cNvPr id="3317" name="Check Box 245" hidden="1">
              <a:extLst>
                <a:ext uri="{63B3BB69-23CF-44E3-9099-C40C66FF867C}">
                  <a14:compatExt spid="_x0000_s3317"/>
                </a:ext>
                <a:ext uri="{FF2B5EF4-FFF2-40B4-BE49-F238E27FC236}">
                  <a16:creationId xmlns:a16="http://schemas.microsoft.com/office/drawing/2014/main" id="{00000000-0008-0000-0200-0000F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113</xdr:row>
          <xdr:rowOff>144780</xdr:rowOff>
        </xdr:from>
        <xdr:to>
          <xdr:col>11</xdr:col>
          <xdr:colOff>1866900</xdr:colOff>
          <xdr:row>114</xdr:row>
          <xdr:rowOff>17145</xdr:rowOff>
        </xdr:to>
        <xdr:sp macro="" textlink="">
          <xdr:nvSpPr>
            <xdr:cNvPr id="3318" name="Check Box 246" hidden="1">
              <a:extLst>
                <a:ext uri="{63B3BB69-23CF-44E3-9099-C40C66FF867C}">
                  <a14:compatExt spid="_x0000_s3318"/>
                </a:ext>
                <a:ext uri="{FF2B5EF4-FFF2-40B4-BE49-F238E27FC236}">
                  <a16:creationId xmlns:a16="http://schemas.microsoft.com/office/drawing/2014/main" id="{00000000-0008-0000-0200-0000F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30480</xdr:rowOff>
        </xdr:from>
        <xdr:to>
          <xdr:col>11</xdr:col>
          <xdr:colOff>1866900</xdr:colOff>
          <xdr:row>112</xdr:row>
          <xdr:rowOff>283845</xdr:rowOff>
        </xdr:to>
        <xdr:sp macro="" textlink="">
          <xdr:nvSpPr>
            <xdr:cNvPr id="3319" name="Check Box 247" hidden="1">
              <a:extLst>
                <a:ext uri="{63B3BB69-23CF-44E3-9099-C40C66FF867C}">
                  <a14:compatExt spid="_x0000_s3319"/>
                </a:ext>
                <a:ext uri="{FF2B5EF4-FFF2-40B4-BE49-F238E27FC236}">
                  <a16:creationId xmlns:a16="http://schemas.microsoft.com/office/drawing/2014/main" id="{00000000-0008-0000-0200-0000F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266700</xdr:rowOff>
        </xdr:from>
        <xdr:to>
          <xdr:col>11</xdr:col>
          <xdr:colOff>1866900</xdr:colOff>
          <xdr:row>115</xdr:row>
          <xdr:rowOff>55245</xdr:rowOff>
        </xdr:to>
        <xdr:sp macro="" textlink="">
          <xdr:nvSpPr>
            <xdr:cNvPr id="3320" name="Check Box 248" hidden="1">
              <a:extLst>
                <a:ext uri="{63B3BB69-23CF-44E3-9099-C40C66FF867C}">
                  <a14:compatExt spid="_x0000_s3320"/>
                </a:ext>
                <a:ext uri="{FF2B5EF4-FFF2-40B4-BE49-F238E27FC236}">
                  <a16:creationId xmlns:a16="http://schemas.microsoft.com/office/drawing/2014/main" id="{00000000-0008-0000-0200-0000F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115</xdr:row>
          <xdr:rowOff>106680</xdr:rowOff>
        </xdr:from>
        <xdr:to>
          <xdr:col>11</xdr:col>
          <xdr:colOff>1866900</xdr:colOff>
          <xdr:row>115</xdr:row>
          <xdr:rowOff>342900</xdr:rowOff>
        </xdr:to>
        <xdr:sp macro="" textlink="">
          <xdr:nvSpPr>
            <xdr:cNvPr id="3321" name="Check Box 249" hidden="1">
              <a:extLst>
                <a:ext uri="{63B3BB69-23CF-44E3-9099-C40C66FF867C}">
                  <a14:compatExt spid="_x0000_s3321"/>
                </a:ext>
                <a:ext uri="{FF2B5EF4-FFF2-40B4-BE49-F238E27FC236}">
                  <a16:creationId xmlns:a16="http://schemas.microsoft.com/office/drawing/2014/main" id="{00000000-0008-0000-0200-0000F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30480</xdr:rowOff>
        </xdr:from>
        <xdr:to>
          <xdr:col>11</xdr:col>
          <xdr:colOff>1866900</xdr:colOff>
          <xdr:row>114</xdr:row>
          <xdr:rowOff>360045</xdr:rowOff>
        </xdr:to>
        <xdr:sp macro="" textlink="">
          <xdr:nvSpPr>
            <xdr:cNvPr id="3322" name="Check Box 250" hidden="1">
              <a:extLst>
                <a:ext uri="{63B3BB69-23CF-44E3-9099-C40C66FF867C}">
                  <a14:compatExt spid="_x0000_s3322"/>
                </a:ext>
                <a:ext uri="{FF2B5EF4-FFF2-40B4-BE49-F238E27FC236}">
                  <a16:creationId xmlns:a16="http://schemas.microsoft.com/office/drawing/2014/main" id="{00000000-0008-0000-0200-0000F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266700</xdr:rowOff>
        </xdr:from>
        <xdr:to>
          <xdr:col>11</xdr:col>
          <xdr:colOff>1866900</xdr:colOff>
          <xdr:row>117</xdr:row>
          <xdr:rowOff>190500</xdr:rowOff>
        </xdr:to>
        <xdr:sp macro="" textlink="">
          <xdr:nvSpPr>
            <xdr:cNvPr id="3323" name="Check Box 251" hidden="1">
              <a:extLst>
                <a:ext uri="{63B3BB69-23CF-44E3-9099-C40C66FF867C}">
                  <a14:compatExt spid="_x0000_s3323"/>
                </a:ext>
                <a:ext uri="{FF2B5EF4-FFF2-40B4-BE49-F238E27FC236}">
                  <a16:creationId xmlns:a16="http://schemas.microsoft.com/office/drawing/2014/main" id="{00000000-0008-0000-0200-0000F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117</xdr:row>
          <xdr:rowOff>144780</xdr:rowOff>
        </xdr:from>
        <xdr:to>
          <xdr:col>11</xdr:col>
          <xdr:colOff>1866900</xdr:colOff>
          <xdr:row>118</xdr:row>
          <xdr:rowOff>17145</xdr:rowOff>
        </xdr:to>
        <xdr:sp macro="" textlink="">
          <xdr:nvSpPr>
            <xdr:cNvPr id="3324" name="Check Box 252" hidden="1">
              <a:extLst>
                <a:ext uri="{63B3BB69-23CF-44E3-9099-C40C66FF867C}">
                  <a14:compatExt spid="_x0000_s3324"/>
                </a:ext>
                <a:ext uri="{FF2B5EF4-FFF2-40B4-BE49-F238E27FC236}">
                  <a16:creationId xmlns:a16="http://schemas.microsoft.com/office/drawing/2014/main" id="{00000000-0008-0000-0200-0000F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30480</xdr:rowOff>
        </xdr:from>
        <xdr:to>
          <xdr:col>11</xdr:col>
          <xdr:colOff>1866900</xdr:colOff>
          <xdr:row>117</xdr:row>
          <xdr:rowOff>0</xdr:rowOff>
        </xdr:to>
        <xdr:sp macro="" textlink="">
          <xdr:nvSpPr>
            <xdr:cNvPr id="3325" name="Check Box 253" hidden="1">
              <a:extLst>
                <a:ext uri="{63B3BB69-23CF-44E3-9099-C40C66FF867C}">
                  <a14:compatExt spid="_x0000_s3325"/>
                </a:ext>
                <a:ext uri="{FF2B5EF4-FFF2-40B4-BE49-F238E27FC236}">
                  <a16:creationId xmlns:a16="http://schemas.microsoft.com/office/drawing/2014/main" id="{00000000-0008-0000-0200-0000F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266700</xdr:rowOff>
        </xdr:from>
        <xdr:to>
          <xdr:col>11</xdr:col>
          <xdr:colOff>1866900</xdr:colOff>
          <xdr:row>119</xdr:row>
          <xdr:rowOff>190500</xdr:rowOff>
        </xdr:to>
        <xdr:sp macro="" textlink="">
          <xdr:nvSpPr>
            <xdr:cNvPr id="3326" name="Check Box 254" hidden="1">
              <a:extLst>
                <a:ext uri="{63B3BB69-23CF-44E3-9099-C40C66FF867C}">
                  <a14:compatExt spid="_x0000_s3326"/>
                </a:ext>
                <a:ext uri="{FF2B5EF4-FFF2-40B4-BE49-F238E27FC236}">
                  <a16:creationId xmlns:a16="http://schemas.microsoft.com/office/drawing/2014/main" id="{00000000-0008-0000-0200-0000F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119</xdr:row>
          <xdr:rowOff>144780</xdr:rowOff>
        </xdr:from>
        <xdr:to>
          <xdr:col>11</xdr:col>
          <xdr:colOff>1866900</xdr:colOff>
          <xdr:row>120</xdr:row>
          <xdr:rowOff>17145</xdr:rowOff>
        </xdr:to>
        <xdr:sp macro="" textlink="">
          <xdr:nvSpPr>
            <xdr:cNvPr id="3327" name="Check Box 255" hidden="1">
              <a:extLst>
                <a:ext uri="{63B3BB69-23CF-44E3-9099-C40C66FF867C}">
                  <a14:compatExt spid="_x0000_s3327"/>
                </a:ext>
                <a:ext uri="{FF2B5EF4-FFF2-40B4-BE49-F238E27FC236}">
                  <a16:creationId xmlns:a16="http://schemas.microsoft.com/office/drawing/2014/main" id="{00000000-0008-0000-0200-0000F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30480</xdr:rowOff>
        </xdr:from>
        <xdr:to>
          <xdr:col>11</xdr:col>
          <xdr:colOff>1866900</xdr:colOff>
          <xdr:row>119</xdr:row>
          <xdr:rowOff>0</xdr:rowOff>
        </xdr:to>
        <xdr:sp macro="" textlink="">
          <xdr:nvSpPr>
            <xdr:cNvPr id="3328" name="Check Box 256" hidden="1">
              <a:extLst>
                <a:ext uri="{63B3BB69-23CF-44E3-9099-C40C66FF867C}">
                  <a14:compatExt spid="_x0000_s3328"/>
                </a:ext>
                <a:ext uri="{FF2B5EF4-FFF2-40B4-BE49-F238E27FC236}">
                  <a16:creationId xmlns:a16="http://schemas.microsoft.com/office/drawing/2014/main" id="{00000000-0008-0000-0200-00000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266700</xdr:rowOff>
        </xdr:from>
        <xdr:to>
          <xdr:col>11</xdr:col>
          <xdr:colOff>1866900</xdr:colOff>
          <xdr:row>121</xdr:row>
          <xdr:rowOff>190500</xdr:rowOff>
        </xdr:to>
        <xdr:sp macro="" textlink="">
          <xdr:nvSpPr>
            <xdr:cNvPr id="3329" name="Check Box 257" hidden="1">
              <a:extLst>
                <a:ext uri="{63B3BB69-23CF-44E3-9099-C40C66FF867C}">
                  <a14:compatExt spid="_x0000_s3329"/>
                </a:ext>
                <a:ext uri="{FF2B5EF4-FFF2-40B4-BE49-F238E27FC236}">
                  <a16:creationId xmlns:a16="http://schemas.microsoft.com/office/drawing/2014/main" id="{00000000-0008-0000-0200-00000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121</xdr:row>
          <xdr:rowOff>144780</xdr:rowOff>
        </xdr:from>
        <xdr:to>
          <xdr:col>11</xdr:col>
          <xdr:colOff>1866900</xdr:colOff>
          <xdr:row>122</xdr:row>
          <xdr:rowOff>17145</xdr:rowOff>
        </xdr:to>
        <xdr:sp macro="" textlink="">
          <xdr:nvSpPr>
            <xdr:cNvPr id="3330" name="Check Box 258" hidden="1">
              <a:extLst>
                <a:ext uri="{63B3BB69-23CF-44E3-9099-C40C66FF867C}">
                  <a14:compatExt spid="_x0000_s3330"/>
                </a:ext>
                <a:ext uri="{FF2B5EF4-FFF2-40B4-BE49-F238E27FC236}">
                  <a16:creationId xmlns:a16="http://schemas.microsoft.com/office/drawing/2014/main" id="{00000000-0008-0000-0200-00000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30480</xdr:rowOff>
        </xdr:from>
        <xdr:to>
          <xdr:col>11</xdr:col>
          <xdr:colOff>1866900</xdr:colOff>
          <xdr:row>121</xdr:row>
          <xdr:rowOff>0</xdr:rowOff>
        </xdr:to>
        <xdr:sp macro="" textlink="">
          <xdr:nvSpPr>
            <xdr:cNvPr id="3331" name="Check Box 259" hidden="1">
              <a:extLst>
                <a:ext uri="{63B3BB69-23CF-44E3-9099-C40C66FF867C}">
                  <a14:compatExt spid="_x0000_s3331"/>
                </a:ext>
                <a:ext uri="{FF2B5EF4-FFF2-40B4-BE49-F238E27FC236}">
                  <a16:creationId xmlns:a16="http://schemas.microsoft.com/office/drawing/2014/main" id="{00000000-0008-0000-0200-00000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266700</xdr:rowOff>
        </xdr:from>
        <xdr:to>
          <xdr:col>11</xdr:col>
          <xdr:colOff>1866900</xdr:colOff>
          <xdr:row>123</xdr:row>
          <xdr:rowOff>190500</xdr:rowOff>
        </xdr:to>
        <xdr:sp macro="" textlink="">
          <xdr:nvSpPr>
            <xdr:cNvPr id="3332" name="Check Box 260" hidden="1">
              <a:extLst>
                <a:ext uri="{63B3BB69-23CF-44E3-9099-C40C66FF867C}">
                  <a14:compatExt spid="_x0000_s3332"/>
                </a:ext>
                <a:ext uri="{FF2B5EF4-FFF2-40B4-BE49-F238E27FC236}">
                  <a16:creationId xmlns:a16="http://schemas.microsoft.com/office/drawing/2014/main" id="{00000000-0008-0000-0200-000004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123</xdr:row>
          <xdr:rowOff>144780</xdr:rowOff>
        </xdr:from>
        <xdr:to>
          <xdr:col>11</xdr:col>
          <xdr:colOff>1866900</xdr:colOff>
          <xdr:row>124</xdr:row>
          <xdr:rowOff>17145</xdr:rowOff>
        </xdr:to>
        <xdr:sp macro="" textlink="">
          <xdr:nvSpPr>
            <xdr:cNvPr id="3333" name="Check Box 261" hidden="1">
              <a:extLst>
                <a:ext uri="{63B3BB69-23CF-44E3-9099-C40C66FF867C}">
                  <a14:compatExt spid="_x0000_s3333"/>
                </a:ext>
                <a:ext uri="{FF2B5EF4-FFF2-40B4-BE49-F238E27FC236}">
                  <a16:creationId xmlns:a16="http://schemas.microsoft.com/office/drawing/2014/main" id="{00000000-0008-0000-0200-000005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30480</xdr:rowOff>
        </xdr:from>
        <xdr:to>
          <xdr:col>11</xdr:col>
          <xdr:colOff>1866900</xdr:colOff>
          <xdr:row>123</xdr:row>
          <xdr:rowOff>0</xdr:rowOff>
        </xdr:to>
        <xdr:sp macro="" textlink="">
          <xdr:nvSpPr>
            <xdr:cNvPr id="3334" name="Check Box 262" hidden="1">
              <a:extLst>
                <a:ext uri="{63B3BB69-23CF-44E3-9099-C40C66FF867C}">
                  <a14:compatExt spid="_x0000_s3334"/>
                </a:ext>
                <a:ext uri="{FF2B5EF4-FFF2-40B4-BE49-F238E27FC236}">
                  <a16:creationId xmlns:a16="http://schemas.microsoft.com/office/drawing/2014/main" id="{00000000-0008-0000-0200-000006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266700</xdr:rowOff>
        </xdr:from>
        <xdr:to>
          <xdr:col>11</xdr:col>
          <xdr:colOff>1866900</xdr:colOff>
          <xdr:row>125</xdr:row>
          <xdr:rowOff>190500</xdr:rowOff>
        </xdr:to>
        <xdr:sp macro="" textlink="">
          <xdr:nvSpPr>
            <xdr:cNvPr id="3335" name="Check Box 263" hidden="1">
              <a:extLst>
                <a:ext uri="{63B3BB69-23CF-44E3-9099-C40C66FF867C}">
                  <a14:compatExt spid="_x0000_s3335"/>
                </a:ext>
                <a:ext uri="{FF2B5EF4-FFF2-40B4-BE49-F238E27FC236}">
                  <a16:creationId xmlns:a16="http://schemas.microsoft.com/office/drawing/2014/main" id="{00000000-0008-0000-0200-000007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125</xdr:row>
          <xdr:rowOff>144780</xdr:rowOff>
        </xdr:from>
        <xdr:to>
          <xdr:col>11</xdr:col>
          <xdr:colOff>1866900</xdr:colOff>
          <xdr:row>126</xdr:row>
          <xdr:rowOff>17145</xdr:rowOff>
        </xdr:to>
        <xdr:sp macro="" textlink="">
          <xdr:nvSpPr>
            <xdr:cNvPr id="3336" name="Check Box 264" hidden="1">
              <a:extLst>
                <a:ext uri="{63B3BB69-23CF-44E3-9099-C40C66FF867C}">
                  <a14:compatExt spid="_x0000_s3336"/>
                </a:ext>
                <a:ext uri="{FF2B5EF4-FFF2-40B4-BE49-F238E27FC236}">
                  <a16:creationId xmlns:a16="http://schemas.microsoft.com/office/drawing/2014/main" id="{00000000-0008-0000-0200-000008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30480</xdr:rowOff>
        </xdr:from>
        <xdr:to>
          <xdr:col>11</xdr:col>
          <xdr:colOff>1866900</xdr:colOff>
          <xdr:row>125</xdr:row>
          <xdr:rowOff>0</xdr:rowOff>
        </xdr:to>
        <xdr:sp macro="" textlink="">
          <xdr:nvSpPr>
            <xdr:cNvPr id="3337" name="Check Box 265" hidden="1">
              <a:extLst>
                <a:ext uri="{63B3BB69-23CF-44E3-9099-C40C66FF867C}">
                  <a14:compatExt spid="_x0000_s3337"/>
                </a:ext>
                <a:ext uri="{FF2B5EF4-FFF2-40B4-BE49-F238E27FC236}">
                  <a16:creationId xmlns:a16="http://schemas.microsoft.com/office/drawing/2014/main" id="{00000000-0008-0000-0200-000009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266700</xdr:rowOff>
        </xdr:from>
        <xdr:to>
          <xdr:col>11</xdr:col>
          <xdr:colOff>1866900</xdr:colOff>
          <xdr:row>127</xdr:row>
          <xdr:rowOff>190500</xdr:rowOff>
        </xdr:to>
        <xdr:sp macro="" textlink="">
          <xdr:nvSpPr>
            <xdr:cNvPr id="3338" name="Check Box 266" hidden="1">
              <a:extLst>
                <a:ext uri="{63B3BB69-23CF-44E3-9099-C40C66FF867C}">
                  <a14:compatExt spid="_x0000_s3338"/>
                </a:ext>
                <a:ext uri="{FF2B5EF4-FFF2-40B4-BE49-F238E27FC236}">
                  <a16:creationId xmlns:a16="http://schemas.microsoft.com/office/drawing/2014/main" id="{00000000-0008-0000-0200-00000A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127</xdr:row>
          <xdr:rowOff>144780</xdr:rowOff>
        </xdr:from>
        <xdr:to>
          <xdr:col>11</xdr:col>
          <xdr:colOff>1866900</xdr:colOff>
          <xdr:row>128</xdr:row>
          <xdr:rowOff>17145</xdr:rowOff>
        </xdr:to>
        <xdr:sp macro="" textlink="">
          <xdr:nvSpPr>
            <xdr:cNvPr id="3339" name="Check Box 267" hidden="1">
              <a:extLst>
                <a:ext uri="{63B3BB69-23CF-44E3-9099-C40C66FF867C}">
                  <a14:compatExt spid="_x0000_s3339"/>
                </a:ext>
                <a:ext uri="{FF2B5EF4-FFF2-40B4-BE49-F238E27FC236}">
                  <a16:creationId xmlns:a16="http://schemas.microsoft.com/office/drawing/2014/main" id="{00000000-0008-0000-0200-00000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30480</xdr:rowOff>
        </xdr:from>
        <xdr:to>
          <xdr:col>11</xdr:col>
          <xdr:colOff>1866900</xdr:colOff>
          <xdr:row>127</xdr:row>
          <xdr:rowOff>0</xdr:rowOff>
        </xdr:to>
        <xdr:sp macro="" textlink="">
          <xdr:nvSpPr>
            <xdr:cNvPr id="3340" name="Check Box 268" hidden="1">
              <a:extLst>
                <a:ext uri="{63B3BB69-23CF-44E3-9099-C40C66FF867C}">
                  <a14:compatExt spid="_x0000_s3340"/>
                </a:ext>
                <a:ext uri="{FF2B5EF4-FFF2-40B4-BE49-F238E27FC236}">
                  <a16:creationId xmlns:a16="http://schemas.microsoft.com/office/drawing/2014/main" id="{00000000-0008-0000-0200-00000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266700</xdr:rowOff>
        </xdr:from>
        <xdr:to>
          <xdr:col>11</xdr:col>
          <xdr:colOff>1866900</xdr:colOff>
          <xdr:row>135</xdr:row>
          <xdr:rowOff>190500</xdr:rowOff>
        </xdr:to>
        <xdr:sp macro="" textlink="">
          <xdr:nvSpPr>
            <xdr:cNvPr id="3350" name="Check Box 278" hidden="1">
              <a:extLst>
                <a:ext uri="{63B3BB69-23CF-44E3-9099-C40C66FF867C}">
                  <a14:compatExt spid="_x0000_s3350"/>
                </a:ext>
                <a:ext uri="{FF2B5EF4-FFF2-40B4-BE49-F238E27FC236}">
                  <a16:creationId xmlns:a16="http://schemas.microsoft.com/office/drawing/2014/main" id="{00000000-0008-0000-0200-000016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135</xdr:row>
          <xdr:rowOff>144780</xdr:rowOff>
        </xdr:from>
        <xdr:to>
          <xdr:col>11</xdr:col>
          <xdr:colOff>1866900</xdr:colOff>
          <xdr:row>136</xdr:row>
          <xdr:rowOff>17145</xdr:rowOff>
        </xdr:to>
        <xdr:sp macro="" textlink="">
          <xdr:nvSpPr>
            <xdr:cNvPr id="3351" name="Check Box 279" hidden="1">
              <a:extLst>
                <a:ext uri="{63B3BB69-23CF-44E3-9099-C40C66FF867C}">
                  <a14:compatExt spid="_x0000_s3351"/>
                </a:ext>
                <a:ext uri="{FF2B5EF4-FFF2-40B4-BE49-F238E27FC236}">
                  <a16:creationId xmlns:a16="http://schemas.microsoft.com/office/drawing/2014/main" id="{00000000-0008-0000-0200-000017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30480</xdr:rowOff>
        </xdr:from>
        <xdr:to>
          <xdr:col>11</xdr:col>
          <xdr:colOff>1866900</xdr:colOff>
          <xdr:row>135</xdr:row>
          <xdr:rowOff>0</xdr:rowOff>
        </xdr:to>
        <xdr:sp macro="" textlink="">
          <xdr:nvSpPr>
            <xdr:cNvPr id="3352" name="Check Box 280" hidden="1">
              <a:extLst>
                <a:ext uri="{63B3BB69-23CF-44E3-9099-C40C66FF867C}">
                  <a14:compatExt spid="_x0000_s3352"/>
                </a:ext>
                <a:ext uri="{FF2B5EF4-FFF2-40B4-BE49-F238E27FC236}">
                  <a16:creationId xmlns:a16="http://schemas.microsoft.com/office/drawing/2014/main" id="{00000000-0008-0000-0200-000018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266700</xdr:rowOff>
        </xdr:from>
        <xdr:to>
          <xdr:col>11</xdr:col>
          <xdr:colOff>1866900</xdr:colOff>
          <xdr:row>133</xdr:row>
          <xdr:rowOff>190500</xdr:rowOff>
        </xdr:to>
        <xdr:sp macro="" textlink="">
          <xdr:nvSpPr>
            <xdr:cNvPr id="3392" name="Check Box 320" hidden="1">
              <a:extLst>
                <a:ext uri="{63B3BB69-23CF-44E3-9099-C40C66FF867C}">
                  <a14:compatExt spid="_x0000_s3392"/>
                </a:ext>
                <a:ext uri="{FF2B5EF4-FFF2-40B4-BE49-F238E27FC236}">
                  <a16:creationId xmlns:a16="http://schemas.microsoft.com/office/drawing/2014/main" id="{00000000-0008-0000-0200-00004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133</xdr:row>
          <xdr:rowOff>144780</xdr:rowOff>
        </xdr:from>
        <xdr:to>
          <xdr:col>11</xdr:col>
          <xdr:colOff>1866900</xdr:colOff>
          <xdr:row>134</xdr:row>
          <xdr:rowOff>17145</xdr:rowOff>
        </xdr:to>
        <xdr:sp macro="" textlink="">
          <xdr:nvSpPr>
            <xdr:cNvPr id="3393" name="Check Box 321" hidden="1">
              <a:extLst>
                <a:ext uri="{63B3BB69-23CF-44E3-9099-C40C66FF867C}">
                  <a14:compatExt spid="_x0000_s3393"/>
                </a:ext>
                <a:ext uri="{FF2B5EF4-FFF2-40B4-BE49-F238E27FC236}">
                  <a16:creationId xmlns:a16="http://schemas.microsoft.com/office/drawing/2014/main" id="{00000000-0008-0000-0200-00004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30480</xdr:rowOff>
        </xdr:from>
        <xdr:to>
          <xdr:col>11</xdr:col>
          <xdr:colOff>1866900</xdr:colOff>
          <xdr:row>133</xdr:row>
          <xdr:rowOff>0</xdr:rowOff>
        </xdr:to>
        <xdr:sp macro="" textlink="">
          <xdr:nvSpPr>
            <xdr:cNvPr id="3394" name="Check Box 322" hidden="1">
              <a:extLst>
                <a:ext uri="{63B3BB69-23CF-44E3-9099-C40C66FF867C}">
                  <a14:compatExt spid="_x0000_s3394"/>
                </a:ext>
                <a:ext uri="{FF2B5EF4-FFF2-40B4-BE49-F238E27FC236}">
                  <a16:creationId xmlns:a16="http://schemas.microsoft.com/office/drawing/2014/main" id="{00000000-0008-0000-0200-00004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266700</xdr:rowOff>
        </xdr:from>
        <xdr:to>
          <xdr:col>11</xdr:col>
          <xdr:colOff>1866900</xdr:colOff>
          <xdr:row>143</xdr:row>
          <xdr:rowOff>190500</xdr:rowOff>
        </xdr:to>
        <xdr:sp macro="" textlink="">
          <xdr:nvSpPr>
            <xdr:cNvPr id="3416" name="Check Box 344" hidden="1">
              <a:extLst>
                <a:ext uri="{63B3BB69-23CF-44E3-9099-C40C66FF867C}">
                  <a14:compatExt spid="_x0000_s3416"/>
                </a:ext>
                <a:ext uri="{FF2B5EF4-FFF2-40B4-BE49-F238E27FC236}">
                  <a16:creationId xmlns:a16="http://schemas.microsoft.com/office/drawing/2014/main" id="{00000000-0008-0000-0200-000058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143</xdr:row>
          <xdr:rowOff>144780</xdr:rowOff>
        </xdr:from>
        <xdr:to>
          <xdr:col>11</xdr:col>
          <xdr:colOff>1866900</xdr:colOff>
          <xdr:row>144</xdr:row>
          <xdr:rowOff>17145</xdr:rowOff>
        </xdr:to>
        <xdr:sp macro="" textlink="">
          <xdr:nvSpPr>
            <xdr:cNvPr id="3417" name="Check Box 345" hidden="1">
              <a:extLst>
                <a:ext uri="{63B3BB69-23CF-44E3-9099-C40C66FF867C}">
                  <a14:compatExt spid="_x0000_s3417"/>
                </a:ext>
                <a:ext uri="{FF2B5EF4-FFF2-40B4-BE49-F238E27FC236}">
                  <a16:creationId xmlns:a16="http://schemas.microsoft.com/office/drawing/2014/main" id="{00000000-0008-0000-0200-000059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30480</xdr:rowOff>
        </xdr:from>
        <xdr:to>
          <xdr:col>11</xdr:col>
          <xdr:colOff>1866900</xdr:colOff>
          <xdr:row>143</xdr:row>
          <xdr:rowOff>0</xdr:rowOff>
        </xdr:to>
        <xdr:sp macro="" textlink="">
          <xdr:nvSpPr>
            <xdr:cNvPr id="3418" name="Check Box 346" hidden="1">
              <a:extLst>
                <a:ext uri="{63B3BB69-23CF-44E3-9099-C40C66FF867C}">
                  <a14:compatExt spid="_x0000_s3418"/>
                </a:ext>
                <a:ext uri="{FF2B5EF4-FFF2-40B4-BE49-F238E27FC236}">
                  <a16:creationId xmlns:a16="http://schemas.microsoft.com/office/drawing/2014/main" id="{00000000-0008-0000-0200-00005A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266700</xdr:rowOff>
        </xdr:from>
        <xdr:to>
          <xdr:col>11</xdr:col>
          <xdr:colOff>1866900</xdr:colOff>
          <xdr:row>141</xdr:row>
          <xdr:rowOff>169545</xdr:rowOff>
        </xdr:to>
        <xdr:sp macro="" textlink="">
          <xdr:nvSpPr>
            <xdr:cNvPr id="3419" name="Check Box 347" hidden="1">
              <a:extLst>
                <a:ext uri="{63B3BB69-23CF-44E3-9099-C40C66FF867C}">
                  <a14:compatExt spid="_x0000_s3419"/>
                </a:ext>
                <a:ext uri="{FF2B5EF4-FFF2-40B4-BE49-F238E27FC236}">
                  <a16:creationId xmlns:a16="http://schemas.microsoft.com/office/drawing/2014/main" id="{00000000-0008-0000-0200-00005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141</xdr:row>
          <xdr:rowOff>144780</xdr:rowOff>
        </xdr:from>
        <xdr:to>
          <xdr:col>11</xdr:col>
          <xdr:colOff>1866900</xdr:colOff>
          <xdr:row>142</xdr:row>
          <xdr:rowOff>17145</xdr:rowOff>
        </xdr:to>
        <xdr:sp macro="" textlink="">
          <xdr:nvSpPr>
            <xdr:cNvPr id="3420" name="Check Box 348" hidden="1">
              <a:extLst>
                <a:ext uri="{63B3BB69-23CF-44E3-9099-C40C66FF867C}">
                  <a14:compatExt spid="_x0000_s3420"/>
                </a:ext>
                <a:ext uri="{FF2B5EF4-FFF2-40B4-BE49-F238E27FC236}">
                  <a16:creationId xmlns:a16="http://schemas.microsoft.com/office/drawing/2014/main" id="{00000000-0008-0000-0200-00005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30480</xdr:rowOff>
        </xdr:from>
        <xdr:to>
          <xdr:col>11</xdr:col>
          <xdr:colOff>1866900</xdr:colOff>
          <xdr:row>140</xdr:row>
          <xdr:rowOff>283845</xdr:rowOff>
        </xdr:to>
        <xdr:sp macro="" textlink="">
          <xdr:nvSpPr>
            <xdr:cNvPr id="3421" name="Check Box 349" hidden="1">
              <a:extLst>
                <a:ext uri="{63B3BB69-23CF-44E3-9099-C40C66FF867C}">
                  <a14:compatExt spid="_x0000_s3421"/>
                </a:ext>
                <a:ext uri="{FF2B5EF4-FFF2-40B4-BE49-F238E27FC236}">
                  <a16:creationId xmlns:a16="http://schemas.microsoft.com/office/drawing/2014/main" id="{00000000-0008-0000-0200-00005D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144</xdr:row>
          <xdr:rowOff>266700</xdr:rowOff>
        </xdr:from>
        <xdr:to>
          <xdr:col>11</xdr:col>
          <xdr:colOff>1866900</xdr:colOff>
          <xdr:row>145</xdr:row>
          <xdr:rowOff>205740</xdr:rowOff>
        </xdr:to>
        <xdr:sp macro="" textlink="">
          <xdr:nvSpPr>
            <xdr:cNvPr id="3423" name="Check Box 351" hidden="1">
              <a:extLst>
                <a:ext uri="{63B3BB69-23CF-44E3-9099-C40C66FF867C}">
                  <a14:compatExt spid="_x0000_s3423"/>
                </a:ext>
                <a:ext uri="{FF2B5EF4-FFF2-40B4-BE49-F238E27FC236}">
                  <a16:creationId xmlns:a16="http://schemas.microsoft.com/office/drawing/2014/main" id="{00000000-0008-0000-0200-00005F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145</xdr:row>
          <xdr:rowOff>144780</xdr:rowOff>
        </xdr:from>
        <xdr:to>
          <xdr:col>11</xdr:col>
          <xdr:colOff>1866900</xdr:colOff>
          <xdr:row>146</xdr:row>
          <xdr:rowOff>17145</xdr:rowOff>
        </xdr:to>
        <xdr:sp macro="" textlink="">
          <xdr:nvSpPr>
            <xdr:cNvPr id="3424" name="Check Box 352" hidden="1">
              <a:extLst>
                <a:ext uri="{63B3BB69-23CF-44E3-9099-C40C66FF867C}">
                  <a14:compatExt spid="_x0000_s3424"/>
                </a:ext>
                <a:ext uri="{FF2B5EF4-FFF2-40B4-BE49-F238E27FC236}">
                  <a16:creationId xmlns:a16="http://schemas.microsoft.com/office/drawing/2014/main" id="{00000000-0008-0000-0200-00006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144</xdr:row>
          <xdr:rowOff>30480</xdr:rowOff>
        </xdr:from>
        <xdr:to>
          <xdr:col>11</xdr:col>
          <xdr:colOff>1866900</xdr:colOff>
          <xdr:row>144</xdr:row>
          <xdr:rowOff>283845</xdr:rowOff>
        </xdr:to>
        <xdr:sp macro="" textlink="">
          <xdr:nvSpPr>
            <xdr:cNvPr id="3425" name="Check Box 353" hidden="1">
              <a:extLst>
                <a:ext uri="{63B3BB69-23CF-44E3-9099-C40C66FF867C}">
                  <a14:compatExt spid="_x0000_s3425"/>
                </a:ext>
                <a:ext uri="{FF2B5EF4-FFF2-40B4-BE49-F238E27FC236}">
                  <a16:creationId xmlns:a16="http://schemas.microsoft.com/office/drawing/2014/main" id="{00000000-0008-0000-0200-00006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160</xdr:row>
          <xdr:rowOff>266700</xdr:rowOff>
        </xdr:from>
        <xdr:to>
          <xdr:col>11</xdr:col>
          <xdr:colOff>1866900</xdr:colOff>
          <xdr:row>161</xdr:row>
          <xdr:rowOff>169545</xdr:rowOff>
        </xdr:to>
        <xdr:sp macro="" textlink="">
          <xdr:nvSpPr>
            <xdr:cNvPr id="3427" name="Check Box 355" hidden="1">
              <a:extLst>
                <a:ext uri="{63B3BB69-23CF-44E3-9099-C40C66FF867C}">
                  <a14:compatExt spid="_x0000_s3427"/>
                </a:ext>
                <a:ext uri="{FF2B5EF4-FFF2-40B4-BE49-F238E27FC236}">
                  <a16:creationId xmlns:a16="http://schemas.microsoft.com/office/drawing/2014/main" id="{00000000-0008-0000-0200-00006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161</xdr:row>
          <xdr:rowOff>144780</xdr:rowOff>
        </xdr:from>
        <xdr:to>
          <xdr:col>11</xdr:col>
          <xdr:colOff>1866900</xdr:colOff>
          <xdr:row>162</xdr:row>
          <xdr:rowOff>17145</xdr:rowOff>
        </xdr:to>
        <xdr:sp macro="" textlink="">
          <xdr:nvSpPr>
            <xdr:cNvPr id="3428" name="Check Box 356" hidden="1">
              <a:extLst>
                <a:ext uri="{63B3BB69-23CF-44E3-9099-C40C66FF867C}">
                  <a14:compatExt spid="_x0000_s3428"/>
                </a:ext>
                <a:ext uri="{FF2B5EF4-FFF2-40B4-BE49-F238E27FC236}">
                  <a16:creationId xmlns:a16="http://schemas.microsoft.com/office/drawing/2014/main" id="{00000000-0008-0000-0200-000064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160</xdr:row>
          <xdr:rowOff>30480</xdr:rowOff>
        </xdr:from>
        <xdr:to>
          <xdr:col>11</xdr:col>
          <xdr:colOff>1866900</xdr:colOff>
          <xdr:row>160</xdr:row>
          <xdr:rowOff>283845</xdr:rowOff>
        </xdr:to>
        <xdr:sp macro="" textlink="">
          <xdr:nvSpPr>
            <xdr:cNvPr id="3429" name="Check Box 357" hidden="1">
              <a:extLst>
                <a:ext uri="{63B3BB69-23CF-44E3-9099-C40C66FF867C}">
                  <a14:compatExt spid="_x0000_s3429"/>
                </a:ext>
                <a:ext uri="{FF2B5EF4-FFF2-40B4-BE49-F238E27FC236}">
                  <a16:creationId xmlns:a16="http://schemas.microsoft.com/office/drawing/2014/main" id="{00000000-0008-0000-0200-000065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162</xdr:row>
          <xdr:rowOff>266700</xdr:rowOff>
        </xdr:from>
        <xdr:to>
          <xdr:col>11</xdr:col>
          <xdr:colOff>1866900</xdr:colOff>
          <xdr:row>163</xdr:row>
          <xdr:rowOff>169545</xdr:rowOff>
        </xdr:to>
        <xdr:sp macro="" textlink="">
          <xdr:nvSpPr>
            <xdr:cNvPr id="3430" name="Check Box 358" hidden="1">
              <a:extLst>
                <a:ext uri="{63B3BB69-23CF-44E3-9099-C40C66FF867C}">
                  <a14:compatExt spid="_x0000_s3430"/>
                </a:ext>
                <a:ext uri="{FF2B5EF4-FFF2-40B4-BE49-F238E27FC236}">
                  <a16:creationId xmlns:a16="http://schemas.microsoft.com/office/drawing/2014/main" id="{00000000-0008-0000-0200-000066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163</xdr:row>
          <xdr:rowOff>144780</xdr:rowOff>
        </xdr:from>
        <xdr:to>
          <xdr:col>11</xdr:col>
          <xdr:colOff>1866900</xdr:colOff>
          <xdr:row>164</xdr:row>
          <xdr:rowOff>15240</xdr:rowOff>
        </xdr:to>
        <xdr:sp macro="" textlink="">
          <xdr:nvSpPr>
            <xdr:cNvPr id="3431" name="Check Box 359" hidden="1">
              <a:extLst>
                <a:ext uri="{63B3BB69-23CF-44E3-9099-C40C66FF867C}">
                  <a14:compatExt spid="_x0000_s3431"/>
                </a:ext>
                <a:ext uri="{FF2B5EF4-FFF2-40B4-BE49-F238E27FC236}">
                  <a16:creationId xmlns:a16="http://schemas.microsoft.com/office/drawing/2014/main" id="{00000000-0008-0000-0200-000067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162</xdr:row>
          <xdr:rowOff>30480</xdr:rowOff>
        </xdr:from>
        <xdr:to>
          <xdr:col>11</xdr:col>
          <xdr:colOff>1866900</xdr:colOff>
          <xdr:row>162</xdr:row>
          <xdr:rowOff>283845</xdr:rowOff>
        </xdr:to>
        <xdr:sp macro="" textlink="">
          <xdr:nvSpPr>
            <xdr:cNvPr id="3432" name="Check Box 360" hidden="1">
              <a:extLst>
                <a:ext uri="{63B3BB69-23CF-44E3-9099-C40C66FF867C}">
                  <a14:compatExt spid="_x0000_s3432"/>
                </a:ext>
                <a:ext uri="{FF2B5EF4-FFF2-40B4-BE49-F238E27FC236}">
                  <a16:creationId xmlns:a16="http://schemas.microsoft.com/office/drawing/2014/main" id="{00000000-0008-0000-0200-000068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146</xdr:row>
          <xdr:rowOff>266700</xdr:rowOff>
        </xdr:from>
        <xdr:to>
          <xdr:col>11</xdr:col>
          <xdr:colOff>1767840</xdr:colOff>
          <xdr:row>147</xdr:row>
          <xdr:rowOff>91440</xdr:rowOff>
        </xdr:to>
        <xdr:sp macro="" textlink="">
          <xdr:nvSpPr>
            <xdr:cNvPr id="3433" name="Check Box 361" hidden="1">
              <a:extLst>
                <a:ext uri="{63B3BB69-23CF-44E3-9099-C40C66FF867C}">
                  <a14:compatExt spid="_x0000_s3433"/>
                </a:ext>
                <a:ext uri="{FF2B5EF4-FFF2-40B4-BE49-F238E27FC236}">
                  <a16:creationId xmlns:a16="http://schemas.microsoft.com/office/drawing/2014/main" id="{00000000-0008-0000-0200-000069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147</xdr:row>
          <xdr:rowOff>106680</xdr:rowOff>
        </xdr:from>
        <xdr:to>
          <xdr:col>11</xdr:col>
          <xdr:colOff>1767840</xdr:colOff>
          <xdr:row>147</xdr:row>
          <xdr:rowOff>342900</xdr:rowOff>
        </xdr:to>
        <xdr:sp macro="" textlink="">
          <xdr:nvSpPr>
            <xdr:cNvPr id="3434" name="Check Box 362" hidden="1">
              <a:extLst>
                <a:ext uri="{63B3BB69-23CF-44E3-9099-C40C66FF867C}">
                  <a14:compatExt spid="_x0000_s3434"/>
                </a:ext>
                <a:ext uri="{FF2B5EF4-FFF2-40B4-BE49-F238E27FC236}">
                  <a16:creationId xmlns:a16="http://schemas.microsoft.com/office/drawing/2014/main" id="{00000000-0008-0000-0200-00006A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146</xdr:row>
          <xdr:rowOff>30480</xdr:rowOff>
        </xdr:from>
        <xdr:to>
          <xdr:col>11</xdr:col>
          <xdr:colOff>1767840</xdr:colOff>
          <xdr:row>146</xdr:row>
          <xdr:rowOff>283845</xdr:rowOff>
        </xdr:to>
        <xdr:sp macro="" textlink="">
          <xdr:nvSpPr>
            <xdr:cNvPr id="3435" name="Check Box 363" hidden="1">
              <a:extLst>
                <a:ext uri="{63B3BB69-23CF-44E3-9099-C40C66FF867C}">
                  <a14:compatExt spid="_x0000_s3435"/>
                </a:ext>
                <a:ext uri="{FF2B5EF4-FFF2-40B4-BE49-F238E27FC236}">
                  <a16:creationId xmlns:a16="http://schemas.microsoft.com/office/drawing/2014/main" id="{00000000-0008-0000-0200-00006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148</xdr:row>
          <xdr:rowOff>266700</xdr:rowOff>
        </xdr:from>
        <xdr:to>
          <xdr:col>11</xdr:col>
          <xdr:colOff>1767840</xdr:colOff>
          <xdr:row>149</xdr:row>
          <xdr:rowOff>169545</xdr:rowOff>
        </xdr:to>
        <xdr:sp macro="" textlink="">
          <xdr:nvSpPr>
            <xdr:cNvPr id="3436" name="Check Box 364" hidden="1">
              <a:extLst>
                <a:ext uri="{63B3BB69-23CF-44E3-9099-C40C66FF867C}">
                  <a14:compatExt spid="_x0000_s3436"/>
                </a:ext>
                <a:ext uri="{FF2B5EF4-FFF2-40B4-BE49-F238E27FC236}">
                  <a16:creationId xmlns:a16="http://schemas.microsoft.com/office/drawing/2014/main" id="{00000000-0008-0000-0200-00006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149</xdr:row>
          <xdr:rowOff>144780</xdr:rowOff>
        </xdr:from>
        <xdr:to>
          <xdr:col>11</xdr:col>
          <xdr:colOff>1767840</xdr:colOff>
          <xdr:row>150</xdr:row>
          <xdr:rowOff>17145</xdr:rowOff>
        </xdr:to>
        <xdr:sp macro="" textlink="">
          <xdr:nvSpPr>
            <xdr:cNvPr id="3437" name="Check Box 365" hidden="1">
              <a:extLst>
                <a:ext uri="{63B3BB69-23CF-44E3-9099-C40C66FF867C}">
                  <a14:compatExt spid="_x0000_s3437"/>
                </a:ext>
                <a:ext uri="{FF2B5EF4-FFF2-40B4-BE49-F238E27FC236}">
                  <a16:creationId xmlns:a16="http://schemas.microsoft.com/office/drawing/2014/main" id="{00000000-0008-0000-0200-00006D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148</xdr:row>
          <xdr:rowOff>30480</xdr:rowOff>
        </xdr:from>
        <xdr:to>
          <xdr:col>11</xdr:col>
          <xdr:colOff>1767840</xdr:colOff>
          <xdr:row>148</xdr:row>
          <xdr:rowOff>283845</xdr:rowOff>
        </xdr:to>
        <xdr:sp macro="" textlink="">
          <xdr:nvSpPr>
            <xdr:cNvPr id="3438" name="Check Box 366" hidden="1">
              <a:extLst>
                <a:ext uri="{63B3BB69-23CF-44E3-9099-C40C66FF867C}">
                  <a14:compatExt spid="_x0000_s3438"/>
                </a:ext>
                <a:ext uri="{FF2B5EF4-FFF2-40B4-BE49-F238E27FC236}">
                  <a16:creationId xmlns:a16="http://schemas.microsoft.com/office/drawing/2014/main" id="{00000000-0008-0000-0200-00006E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150</xdr:row>
          <xdr:rowOff>266700</xdr:rowOff>
        </xdr:from>
        <xdr:to>
          <xdr:col>11</xdr:col>
          <xdr:colOff>1767840</xdr:colOff>
          <xdr:row>151</xdr:row>
          <xdr:rowOff>169545</xdr:rowOff>
        </xdr:to>
        <xdr:sp macro="" textlink="">
          <xdr:nvSpPr>
            <xdr:cNvPr id="3439" name="Check Box 367" hidden="1">
              <a:extLst>
                <a:ext uri="{63B3BB69-23CF-44E3-9099-C40C66FF867C}">
                  <a14:compatExt spid="_x0000_s3439"/>
                </a:ext>
                <a:ext uri="{FF2B5EF4-FFF2-40B4-BE49-F238E27FC236}">
                  <a16:creationId xmlns:a16="http://schemas.microsoft.com/office/drawing/2014/main" id="{00000000-0008-0000-0200-00006F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151</xdr:row>
          <xdr:rowOff>144780</xdr:rowOff>
        </xdr:from>
        <xdr:to>
          <xdr:col>11</xdr:col>
          <xdr:colOff>1767840</xdr:colOff>
          <xdr:row>152</xdr:row>
          <xdr:rowOff>17145</xdr:rowOff>
        </xdr:to>
        <xdr:sp macro="" textlink="">
          <xdr:nvSpPr>
            <xdr:cNvPr id="3440" name="Check Box 368" hidden="1">
              <a:extLst>
                <a:ext uri="{63B3BB69-23CF-44E3-9099-C40C66FF867C}">
                  <a14:compatExt spid="_x0000_s3440"/>
                </a:ext>
                <a:ext uri="{FF2B5EF4-FFF2-40B4-BE49-F238E27FC236}">
                  <a16:creationId xmlns:a16="http://schemas.microsoft.com/office/drawing/2014/main" id="{00000000-0008-0000-0200-00007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150</xdr:row>
          <xdr:rowOff>30480</xdr:rowOff>
        </xdr:from>
        <xdr:to>
          <xdr:col>11</xdr:col>
          <xdr:colOff>1767840</xdr:colOff>
          <xdr:row>150</xdr:row>
          <xdr:rowOff>283845</xdr:rowOff>
        </xdr:to>
        <xdr:sp macro="" textlink="">
          <xdr:nvSpPr>
            <xdr:cNvPr id="3441" name="Check Box 369" hidden="1">
              <a:extLst>
                <a:ext uri="{63B3BB69-23CF-44E3-9099-C40C66FF867C}">
                  <a14:compatExt spid="_x0000_s3441"/>
                </a:ext>
                <a:ext uri="{FF2B5EF4-FFF2-40B4-BE49-F238E27FC236}">
                  <a16:creationId xmlns:a16="http://schemas.microsoft.com/office/drawing/2014/main" id="{00000000-0008-0000-0200-00007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152</xdr:row>
          <xdr:rowOff>266700</xdr:rowOff>
        </xdr:from>
        <xdr:to>
          <xdr:col>11</xdr:col>
          <xdr:colOff>1767840</xdr:colOff>
          <xdr:row>153</xdr:row>
          <xdr:rowOff>169545</xdr:rowOff>
        </xdr:to>
        <xdr:sp macro="" textlink="">
          <xdr:nvSpPr>
            <xdr:cNvPr id="3442" name="Check Box 370" hidden="1">
              <a:extLst>
                <a:ext uri="{63B3BB69-23CF-44E3-9099-C40C66FF867C}">
                  <a14:compatExt spid="_x0000_s3442"/>
                </a:ext>
                <a:ext uri="{FF2B5EF4-FFF2-40B4-BE49-F238E27FC236}">
                  <a16:creationId xmlns:a16="http://schemas.microsoft.com/office/drawing/2014/main" id="{00000000-0008-0000-0200-00007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153</xdr:row>
          <xdr:rowOff>144780</xdr:rowOff>
        </xdr:from>
        <xdr:to>
          <xdr:col>11</xdr:col>
          <xdr:colOff>1767840</xdr:colOff>
          <xdr:row>154</xdr:row>
          <xdr:rowOff>17145</xdr:rowOff>
        </xdr:to>
        <xdr:sp macro="" textlink="">
          <xdr:nvSpPr>
            <xdr:cNvPr id="3443" name="Check Box 371" hidden="1">
              <a:extLst>
                <a:ext uri="{63B3BB69-23CF-44E3-9099-C40C66FF867C}">
                  <a14:compatExt spid="_x0000_s3443"/>
                </a:ext>
                <a:ext uri="{FF2B5EF4-FFF2-40B4-BE49-F238E27FC236}">
                  <a16:creationId xmlns:a16="http://schemas.microsoft.com/office/drawing/2014/main" id="{00000000-0008-0000-0200-00007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152</xdr:row>
          <xdr:rowOff>30480</xdr:rowOff>
        </xdr:from>
        <xdr:to>
          <xdr:col>11</xdr:col>
          <xdr:colOff>1767840</xdr:colOff>
          <xdr:row>152</xdr:row>
          <xdr:rowOff>283845</xdr:rowOff>
        </xdr:to>
        <xdr:sp macro="" textlink="">
          <xdr:nvSpPr>
            <xdr:cNvPr id="3444" name="Check Box 372" hidden="1">
              <a:extLst>
                <a:ext uri="{63B3BB69-23CF-44E3-9099-C40C66FF867C}">
                  <a14:compatExt spid="_x0000_s3444"/>
                </a:ext>
                <a:ext uri="{FF2B5EF4-FFF2-40B4-BE49-F238E27FC236}">
                  <a16:creationId xmlns:a16="http://schemas.microsoft.com/office/drawing/2014/main" id="{00000000-0008-0000-0200-000074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154</xdr:row>
          <xdr:rowOff>266700</xdr:rowOff>
        </xdr:from>
        <xdr:to>
          <xdr:col>11</xdr:col>
          <xdr:colOff>1767840</xdr:colOff>
          <xdr:row>155</xdr:row>
          <xdr:rowOff>190500</xdr:rowOff>
        </xdr:to>
        <xdr:sp macro="" textlink="">
          <xdr:nvSpPr>
            <xdr:cNvPr id="3445" name="Check Box 373" hidden="1">
              <a:extLst>
                <a:ext uri="{63B3BB69-23CF-44E3-9099-C40C66FF867C}">
                  <a14:compatExt spid="_x0000_s3445"/>
                </a:ext>
                <a:ext uri="{FF2B5EF4-FFF2-40B4-BE49-F238E27FC236}">
                  <a16:creationId xmlns:a16="http://schemas.microsoft.com/office/drawing/2014/main" id="{00000000-0008-0000-0200-000075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155</xdr:row>
          <xdr:rowOff>144780</xdr:rowOff>
        </xdr:from>
        <xdr:to>
          <xdr:col>11</xdr:col>
          <xdr:colOff>1767840</xdr:colOff>
          <xdr:row>156</xdr:row>
          <xdr:rowOff>17145</xdr:rowOff>
        </xdr:to>
        <xdr:sp macro="" textlink="">
          <xdr:nvSpPr>
            <xdr:cNvPr id="3446" name="Check Box 374" hidden="1">
              <a:extLst>
                <a:ext uri="{63B3BB69-23CF-44E3-9099-C40C66FF867C}">
                  <a14:compatExt spid="_x0000_s3446"/>
                </a:ext>
                <a:ext uri="{FF2B5EF4-FFF2-40B4-BE49-F238E27FC236}">
                  <a16:creationId xmlns:a16="http://schemas.microsoft.com/office/drawing/2014/main" id="{00000000-0008-0000-0200-000076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154</xdr:row>
          <xdr:rowOff>30480</xdr:rowOff>
        </xdr:from>
        <xdr:to>
          <xdr:col>11</xdr:col>
          <xdr:colOff>1767840</xdr:colOff>
          <xdr:row>154</xdr:row>
          <xdr:rowOff>283845</xdr:rowOff>
        </xdr:to>
        <xdr:sp macro="" textlink="">
          <xdr:nvSpPr>
            <xdr:cNvPr id="3447" name="Check Box 375" hidden="1">
              <a:extLst>
                <a:ext uri="{63B3BB69-23CF-44E3-9099-C40C66FF867C}">
                  <a14:compatExt spid="_x0000_s3447"/>
                </a:ext>
                <a:ext uri="{FF2B5EF4-FFF2-40B4-BE49-F238E27FC236}">
                  <a16:creationId xmlns:a16="http://schemas.microsoft.com/office/drawing/2014/main" id="{00000000-0008-0000-0200-000077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156</xdr:row>
          <xdr:rowOff>266700</xdr:rowOff>
        </xdr:from>
        <xdr:to>
          <xdr:col>11</xdr:col>
          <xdr:colOff>1767840</xdr:colOff>
          <xdr:row>157</xdr:row>
          <xdr:rowOff>190500</xdr:rowOff>
        </xdr:to>
        <xdr:sp macro="" textlink="">
          <xdr:nvSpPr>
            <xdr:cNvPr id="3448" name="Check Box 376" hidden="1">
              <a:extLst>
                <a:ext uri="{63B3BB69-23CF-44E3-9099-C40C66FF867C}">
                  <a14:compatExt spid="_x0000_s3448"/>
                </a:ext>
                <a:ext uri="{FF2B5EF4-FFF2-40B4-BE49-F238E27FC236}">
                  <a16:creationId xmlns:a16="http://schemas.microsoft.com/office/drawing/2014/main" id="{00000000-0008-0000-0200-000078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157</xdr:row>
          <xdr:rowOff>144780</xdr:rowOff>
        </xdr:from>
        <xdr:to>
          <xdr:col>11</xdr:col>
          <xdr:colOff>1767840</xdr:colOff>
          <xdr:row>158</xdr:row>
          <xdr:rowOff>17145</xdr:rowOff>
        </xdr:to>
        <xdr:sp macro="" textlink="">
          <xdr:nvSpPr>
            <xdr:cNvPr id="3449" name="Check Box 377" hidden="1">
              <a:extLst>
                <a:ext uri="{63B3BB69-23CF-44E3-9099-C40C66FF867C}">
                  <a14:compatExt spid="_x0000_s3449"/>
                </a:ext>
                <a:ext uri="{FF2B5EF4-FFF2-40B4-BE49-F238E27FC236}">
                  <a16:creationId xmlns:a16="http://schemas.microsoft.com/office/drawing/2014/main" id="{00000000-0008-0000-0200-000079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156</xdr:row>
          <xdr:rowOff>30480</xdr:rowOff>
        </xdr:from>
        <xdr:to>
          <xdr:col>11</xdr:col>
          <xdr:colOff>1767840</xdr:colOff>
          <xdr:row>157</xdr:row>
          <xdr:rowOff>0</xdr:rowOff>
        </xdr:to>
        <xdr:sp macro="" textlink="">
          <xdr:nvSpPr>
            <xdr:cNvPr id="3450" name="Check Box 378" hidden="1">
              <a:extLst>
                <a:ext uri="{63B3BB69-23CF-44E3-9099-C40C66FF867C}">
                  <a14:compatExt spid="_x0000_s3450"/>
                </a:ext>
                <a:ext uri="{FF2B5EF4-FFF2-40B4-BE49-F238E27FC236}">
                  <a16:creationId xmlns:a16="http://schemas.microsoft.com/office/drawing/2014/main" id="{00000000-0008-0000-0200-00007A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158</xdr:row>
          <xdr:rowOff>266700</xdr:rowOff>
        </xdr:from>
        <xdr:to>
          <xdr:col>11</xdr:col>
          <xdr:colOff>1767840</xdr:colOff>
          <xdr:row>159</xdr:row>
          <xdr:rowOff>207645</xdr:rowOff>
        </xdr:to>
        <xdr:sp macro="" textlink="">
          <xdr:nvSpPr>
            <xdr:cNvPr id="3451" name="Check Box 379" hidden="1">
              <a:extLst>
                <a:ext uri="{63B3BB69-23CF-44E3-9099-C40C66FF867C}">
                  <a14:compatExt spid="_x0000_s3451"/>
                </a:ext>
                <a:ext uri="{FF2B5EF4-FFF2-40B4-BE49-F238E27FC236}">
                  <a16:creationId xmlns:a16="http://schemas.microsoft.com/office/drawing/2014/main" id="{00000000-0008-0000-0200-00007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159</xdr:row>
          <xdr:rowOff>144780</xdr:rowOff>
        </xdr:from>
        <xdr:to>
          <xdr:col>11</xdr:col>
          <xdr:colOff>1767840</xdr:colOff>
          <xdr:row>160</xdr:row>
          <xdr:rowOff>17145</xdr:rowOff>
        </xdr:to>
        <xdr:sp macro="" textlink="">
          <xdr:nvSpPr>
            <xdr:cNvPr id="3452" name="Check Box 380" hidden="1">
              <a:extLst>
                <a:ext uri="{63B3BB69-23CF-44E3-9099-C40C66FF867C}">
                  <a14:compatExt spid="_x0000_s3452"/>
                </a:ext>
                <a:ext uri="{FF2B5EF4-FFF2-40B4-BE49-F238E27FC236}">
                  <a16:creationId xmlns:a16="http://schemas.microsoft.com/office/drawing/2014/main" id="{00000000-0008-0000-0200-00007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158</xdr:row>
          <xdr:rowOff>30480</xdr:rowOff>
        </xdr:from>
        <xdr:to>
          <xdr:col>11</xdr:col>
          <xdr:colOff>1767840</xdr:colOff>
          <xdr:row>158</xdr:row>
          <xdr:rowOff>283845</xdr:rowOff>
        </xdr:to>
        <xdr:sp macro="" textlink="">
          <xdr:nvSpPr>
            <xdr:cNvPr id="3453" name="Check Box 381" hidden="1">
              <a:extLst>
                <a:ext uri="{63B3BB69-23CF-44E3-9099-C40C66FF867C}">
                  <a14:compatExt spid="_x0000_s3453"/>
                </a:ext>
                <a:ext uri="{FF2B5EF4-FFF2-40B4-BE49-F238E27FC236}">
                  <a16:creationId xmlns:a16="http://schemas.microsoft.com/office/drawing/2014/main" id="{00000000-0008-0000-0200-00007D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166</xdr:row>
          <xdr:rowOff>266700</xdr:rowOff>
        </xdr:from>
        <xdr:to>
          <xdr:col>11</xdr:col>
          <xdr:colOff>1866900</xdr:colOff>
          <xdr:row>167</xdr:row>
          <xdr:rowOff>207645</xdr:rowOff>
        </xdr:to>
        <xdr:sp macro="" textlink="">
          <xdr:nvSpPr>
            <xdr:cNvPr id="3454" name="Check Box 382" hidden="1">
              <a:extLst>
                <a:ext uri="{63B3BB69-23CF-44E3-9099-C40C66FF867C}">
                  <a14:compatExt spid="_x0000_s3454"/>
                </a:ext>
                <a:ext uri="{FF2B5EF4-FFF2-40B4-BE49-F238E27FC236}">
                  <a16:creationId xmlns:a16="http://schemas.microsoft.com/office/drawing/2014/main" id="{00000000-0008-0000-0200-00007E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167</xdr:row>
          <xdr:rowOff>144780</xdr:rowOff>
        </xdr:from>
        <xdr:to>
          <xdr:col>11</xdr:col>
          <xdr:colOff>1866900</xdr:colOff>
          <xdr:row>168</xdr:row>
          <xdr:rowOff>15240</xdr:rowOff>
        </xdr:to>
        <xdr:sp macro="" textlink="">
          <xdr:nvSpPr>
            <xdr:cNvPr id="3455" name="Check Box 383" hidden="1">
              <a:extLst>
                <a:ext uri="{63B3BB69-23CF-44E3-9099-C40C66FF867C}">
                  <a14:compatExt spid="_x0000_s3455"/>
                </a:ext>
                <a:ext uri="{FF2B5EF4-FFF2-40B4-BE49-F238E27FC236}">
                  <a16:creationId xmlns:a16="http://schemas.microsoft.com/office/drawing/2014/main" id="{00000000-0008-0000-0200-00007F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166</xdr:row>
          <xdr:rowOff>30480</xdr:rowOff>
        </xdr:from>
        <xdr:to>
          <xdr:col>11</xdr:col>
          <xdr:colOff>1866900</xdr:colOff>
          <xdr:row>166</xdr:row>
          <xdr:rowOff>342900</xdr:rowOff>
        </xdr:to>
        <xdr:sp macro="" textlink="">
          <xdr:nvSpPr>
            <xdr:cNvPr id="3456" name="Check Box 384" hidden="1">
              <a:extLst>
                <a:ext uri="{63B3BB69-23CF-44E3-9099-C40C66FF867C}">
                  <a14:compatExt spid="_x0000_s3456"/>
                </a:ext>
                <a:ext uri="{FF2B5EF4-FFF2-40B4-BE49-F238E27FC236}">
                  <a16:creationId xmlns:a16="http://schemas.microsoft.com/office/drawing/2014/main" id="{00000000-0008-0000-0200-00008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164</xdr:row>
          <xdr:rowOff>266700</xdr:rowOff>
        </xdr:from>
        <xdr:to>
          <xdr:col>11</xdr:col>
          <xdr:colOff>1866900</xdr:colOff>
          <xdr:row>165</xdr:row>
          <xdr:rowOff>190500</xdr:rowOff>
        </xdr:to>
        <xdr:sp macro="" textlink="">
          <xdr:nvSpPr>
            <xdr:cNvPr id="3457" name="Check Box 385" hidden="1">
              <a:extLst>
                <a:ext uri="{63B3BB69-23CF-44E3-9099-C40C66FF867C}">
                  <a14:compatExt spid="_x0000_s3457"/>
                </a:ext>
                <a:ext uri="{FF2B5EF4-FFF2-40B4-BE49-F238E27FC236}">
                  <a16:creationId xmlns:a16="http://schemas.microsoft.com/office/drawing/2014/main" id="{00000000-0008-0000-0200-00008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165</xdr:row>
          <xdr:rowOff>144780</xdr:rowOff>
        </xdr:from>
        <xdr:to>
          <xdr:col>11</xdr:col>
          <xdr:colOff>1866900</xdr:colOff>
          <xdr:row>166</xdr:row>
          <xdr:rowOff>15240</xdr:rowOff>
        </xdr:to>
        <xdr:sp macro="" textlink="">
          <xdr:nvSpPr>
            <xdr:cNvPr id="3458" name="Check Box 386" hidden="1">
              <a:extLst>
                <a:ext uri="{63B3BB69-23CF-44E3-9099-C40C66FF867C}">
                  <a14:compatExt spid="_x0000_s3458"/>
                </a:ext>
                <a:ext uri="{FF2B5EF4-FFF2-40B4-BE49-F238E27FC236}">
                  <a16:creationId xmlns:a16="http://schemas.microsoft.com/office/drawing/2014/main" id="{00000000-0008-0000-0200-00008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164</xdr:row>
          <xdr:rowOff>30480</xdr:rowOff>
        </xdr:from>
        <xdr:to>
          <xdr:col>11</xdr:col>
          <xdr:colOff>1866900</xdr:colOff>
          <xdr:row>164</xdr:row>
          <xdr:rowOff>283845</xdr:rowOff>
        </xdr:to>
        <xdr:sp macro="" textlink="">
          <xdr:nvSpPr>
            <xdr:cNvPr id="3459" name="Check Box 387" hidden="1">
              <a:extLst>
                <a:ext uri="{63B3BB69-23CF-44E3-9099-C40C66FF867C}">
                  <a14:compatExt spid="_x0000_s3459"/>
                </a:ext>
                <a:ext uri="{FF2B5EF4-FFF2-40B4-BE49-F238E27FC236}">
                  <a16:creationId xmlns:a16="http://schemas.microsoft.com/office/drawing/2014/main" id="{00000000-0008-0000-0200-00008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168</xdr:row>
          <xdr:rowOff>266700</xdr:rowOff>
        </xdr:from>
        <xdr:to>
          <xdr:col>11</xdr:col>
          <xdr:colOff>1866900</xdr:colOff>
          <xdr:row>169</xdr:row>
          <xdr:rowOff>207645</xdr:rowOff>
        </xdr:to>
        <xdr:sp macro="" textlink="">
          <xdr:nvSpPr>
            <xdr:cNvPr id="3465" name="Check Box 393" hidden="1">
              <a:extLst>
                <a:ext uri="{63B3BB69-23CF-44E3-9099-C40C66FF867C}">
                  <a14:compatExt spid="_x0000_s3465"/>
                </a:ext>
                <a:ext uri="{FF2B5EF4-FFF2-40B4-BE49-F238E27FC236}">
                  <a16:creationId xmlns:a16="http://schemas.microsoft.com/office/drawing/2014/main" id="{00000000-0008-0000-0200-000089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169</xdr:row>
          <xdr:rowOff>144780</xdr:rowOff>
        </xdr:from>
        <xdr:to>
          <xdr:col>11</xdr:col>
          <xdr:colOff>1866900</xdr:colOff>
          <xdr:row>170</xdr:row>
          <xdr:rowOff>15240</xdr:rowOff>
        </xdr:to>
        <xdr:sp macro="" textlink="">
          <xdr:nvSpPr>
            <xdr:cNvPr id="3466" name="Check Box 394" hidden="1">
              <a:extLst>
                <a:ext uri="{63B3BB69-23CF-44E3-9099-C40C66FF867C}">
                  <a14:compatExt spid="_x0000_s3466"/>
                </a:ext>
                <a:ext uri="{FF2B5EF4-FFF2-40B4-BE49-F238E27FC236}">
                  <a16:creationId xmlns:a16="http://schemas.microsoft.com/office/drawing/2014/main" id="{00000000-0008-0000-0200-00008A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168</xdr:row>
          <xdr:rowOff>30480</xdr:rowOff>
        </xdr:from>
        <xdr:to>
          <xdr:col>11</xdr:col>
          <xdr:colOff>1866900</xdr:colOff>
          <xdr:row>168</xdr:row>
          <xdr:rowOff>283845</xdr:rowOff>
        </xdr:to>
        <xdr:sp macro="" textlink="">
          <xdr:nvSpPr>
            <xdr:cNvPr id="3467" name="Check Box 395" hidden="1">
              <a:extLst>
                <a:ext uri="{63B3BB69-23CF-44E3-9099-C40C66FF867C}">
                  <a14:compatExt spid="_x0000_s3467"/>
                </a:ext>
                <a:ext uri="{FF2B5EF4-FFF2-40B4-BE49-F238E27FC236}">
                  <a16:creationId xmlns:a16="http://schemas.microsoft.com/office/drawing/2014/main" id="{00000000-0008-0000-0200-00008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170</xdr:row>
          <xdr:rowOff>266700</xdr:rowOff>
        </xdr:from>
        <xdr:to>
          <xdr:col>11</xdr:col>
          <xdr:colOff>1866900</xdr:colOff>
          <xdr:row>171</xdr:row>
          <xdr:rowOff>207645</xdr:rowOff>
        </xdr:to>
        <xdr:sp macro="" textlink="">
          <xdr:nvSpPr>
            <xdr:cNvPr id="3468" name="Check Box 396" hidden="1">
              <a:extLst>
                <a:ext uri="{63B3BB69-23CF-44E3-9099-C40C66FF867C}">
                  <a14:compatExt spid="_x0000_s3468"/>
                </a:ext>
                <a:ext uri="{FF2B5EF4-FFF2-40B4-BE49-F238E27FC236}">
                  <a16:creationId xmlns:a16="http://schemas.microsoft.com/office/drawing/2014/main" id="{00000000-0008-0000-0200-00008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171</xdr:row>
          <xdr:rowOff>144780</xdr:rowOff>
        </xdr:from>
        <xdr:to>
          <xdr:col>11</xdr:col>
          <xdr:colOff>1866900</xdr:colOff>
          <xdr:row>172</xdr:row>
          <xdr:rowOff>15240</xdr:rowOff>
        </xdr:to>
        <xdr:sp macro="" textlink="">
          <xdr:nvSpPr>
            <xdr:cNvPr id="3469" name="Check Box 397" hidden="1">
              <a:extLst>
                <a:ext uri="{63B3BB69-23CF-44E3-9099-C40C66FF867C}">
                  <a14:compatExt spid="_x0000_s3469"/>
                </a:ext>
                <a:ext uri="{FF2B5EF4-FFF2-40B4-BE49-F238E27FC236}">
                  <a16:creationId xmlns:a16="http://schemas.microsoft.com/office/drawing/2014/main" id="{00000000-0008-0000-0200-00008D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170</xdr:row>
          <xdr:rowOff>30480</xdr:rowOff>
        </xdr:from>
        <xdr:to>
          <xdr:col>11</xdr:col>
          <xdr:colOff>1866900</xdr:colOff>
          <xdr:row>170</xdr:row>
          <xdr:rowOff>283845</xdr:rowOff>
        </xdr:to>
        <xdr:sp macro="" textlink="">
          <xdr:nvSpPr>
            <xdr:cNvPr id="3470" name="Check Box 398" hidden="1">
              <a:extLst>
                <a:ext uri="{63B3BB69-23CF-44E3-9099-C40C66FF867C}">
                  <a14:compatExt spid="_x0000_s3470"/>
                </a:ext>
                <a:ext uri="{FF2B5EF4-FFF2-40B4-BE49-F238E27FC236}">
                  <a16:creationId xmlns:a16="http://schemas.microsoft.com/office/drawing/2014/main" id="{00000000-0008-0000-0200-00008E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172</xdr:row>
          <xdr:rowOff>266700</xdr:rowOff>
        </xdr:from>
        <xdr:to>
          <xdr:col>11</xdr:col>
          <xdr:colOff>1866900</xdr:colOff>
          <xdr:row>173</xdr:row>
          <xdr:rowOff>207645</xdr:rowOff>
        </xdr:to>
        <xdr:sp macro="" textlink="">
          <xdr:nvSpPr>
            <xdr:cNvPr id="3471" name="Check Box 399" hidden="1">
              <a:extLst>
                <a:ext uri="{63B3BB69-23CF-44E3-9099-C40C66FF867C}">
                  <a14:compatExt spid="_x0000_s3471"/>
                </a:ext>
                <a:ext uri="{FF2B5EF4-FFF2-40B4-BE49-F238E27FC236}">
                  <a16:creationId xmlns:a16="http://schemas.microsoft.com/office/drawing/2014/main" id="{00000000-0008-0000-0200-00008F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173</xdr:row>
          <xdr:rowOff>144780</xdr:rowOff>
        </xdr:from>
        <xdr:to>
          <xdr:col>11</xdr:col>
          <xdr:colOff>1866900</xdr:colOff>
          <xdr:row>174</xdr:row>
          <xdr:rowOff>15240</xdr:rowOff>
        </xdr:to>
        <xdr:sp macro="" textlink="">
          <xdr:nvSpPr>
            <xdr:cNvPr id="3472" name="Check Box 400" hidden="1">
              <a:extLst>
                <a:ext uri="{63B3BB69-23CF-44E3-9099-C40C66FF867C}">
                  <a14:compatExt spid="_x0000_s3472"/>
                </a:ext>
                <a:ext uri="{FF2B5EF4-FFF2-40B4-BE49-F238E27FC236}">
                  <a16:creationId xmlns:a16="http://schemas.microsoft.com/office/drawing/2014/main" id="{00000000-0008-0000-0200-000090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172</xdr:row>
          <xdr:rowOff>30480</xdr:rowOff>
        </xdr:from>
        <xdr:to>
          <xdr:col>11</xdr:col>
          <xdr:colOff>1866900</xdr:colOff>
          <xdr:row>172</xdr:row>
          <xdr:rowOff>283845</xdr:rowOff>
        </xdr:to>
        <xdr:sp macro="" textlink="">
          <xdr:nvSpPr>
            <xdr:cNvPr id="3473" name="Check Box 401" hidden="1">
              <a:extLst>
                <a:ext uri="{63B3BB69-23CF-44E3-9099-C40C66FF867C}">
                  <a14:compatExt spid="_x0000_s3473"/>
                </a:ext>
                <a:ext uri="{FF2B5EF4-FFF2-40B4-BE49-F238E27FC236}">
                  <a16:creationId xmlns:a16="http://schemas.microsoft.com/office/drawing/2014/main" id="{00000000-0008-0000-0200-000091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174</xdr:row>
          <xdr:rowOff>266700</xdr:rowOff>
        </xdr:from>
        <xdr:to>
          <xdr:col>11</xdr:col>
          <xdr:colOff>1866900</xdr:colOff>
          <xdr:row>175</xdr:row>
          <xdr:rowOff>207645</xdr:rowOff>
        </xdr:to>
        <xdr:sp macro="" textlink="">
          <xdr:nvSpPr>
            <xdr:cNvPr id="3474" name="Check Box 402" hidden="1">
              <a:extLst>
                <a:ext uri="{63B3BB69-23CF-44E3-9099-C40C66FF867C}">
                  <a14:compatExt spid="_x0000_s3474"/>
                </a:ext>
                <a:ext uri="{FF2B5EF4-FFF2-40B4-BE49-F238E27FC236}">
                  <a16:creationId xmlns:a16="http://schemas.microsoft.com/office/drawing/2014/main" id="{00000000-0008-0000-0200-00009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175</xdr:row>
          <xdr:rowOff>144780</xdr:rowOff>
        </xdr:from>
        <xdr:to>
          <xdr:col>11</xdr:col>
          <xdr:colOff>1866900</xdr:colOff>
          <xdr:row>176</xdr:row>
          <xdr:rowOff>15240</xdr:rowOff>
        </xdr:to>
        <xdr:sp macro="" textlink="">
          <xdr:nvSpPr>
            <xdr:cNvPr id="3475" name="Check Box 403" hidden="1">
              <a:extLst>
                <a:ext uri="{63B3BB69-23CF-44E3-9099-C40C66FF867C}">
                  <a14:compatExt spid="_x0000_s3475"/>
                </a:ext>
                <a:ext uri="{FF2B5EF4-FFF2-40B4-BE49-F238E27FC236}">
                  <a16:creationId xmlns:a16="http://schemas.microsoft.com/office/drawing/2014/main" id="{00000000-0008-0000-0200-00009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174</xdr:row>
          <xdr:rowOff>30480</xdr:rowOff>
        </xdr:from>
        <xdr:to>
          <xdr:col>11</xdr:col>
          <xdr:colOff>1866900</xdr:colOff>
          <xdr:row>174</xdr:row>
          <xdr:rowOff>283845</xdr:rowOff>
        </xdr:to>
        <xdr:sp macro="" textlink="">
          <xdr:nvSpPr>
            <xdr:cNvPr id="3476" name="Check Box 404" hidden="1">
              <a:extLst>
                <a:ext uri="{63B3BB69-23CF-44E3-9099-C40C66FF867C}">
                  <a14:compatExt spid="_x0000_s3476"/>
                </a:ext>
                <a:ext uri="{FF2B5EF4-FFF2-40B4-BE49-F238E27FC236}">
                  <a16:creationId xmlns:a16="http://schemas.microsoft.com/office/drawing/2014/main" id="{00000000-0008-0000-0200-000094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266700</xdr:rowOff>
        </xdr:from>
        <xdr:to>
          <xdr:col>11</xdr:col>
          <xdr:colOff>1866900</xdr:colOff>
          <xdr:row>137</xdr:row>
          <xdr:rowOff>190500</xdr:rowOff>
        </xdr:to>
        <xdr:sp macro="" textlink="">
          <xdr:nvSpPr>
            <xdr:cNvPr id="3506" name="Check Box 434" hidden="1">
              <a:extLst>
                <a:ext uri="{63B3BB69-23CF-44E3-9099-C40C66FF867C}">
                  <a14:compatExt spid="_x0000_s3506"/>
                </a:ext>
                <a:ext uri="{FF2B5EF4-FFF2-40B4-BE49-F238E27FC236}">
                  <a16:creationId xmlns:a16="http://schemas.microsoft.com/office/drawing/2014/main" id="{00000000-0008-0000-0200-0000B2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137</xdr:row>
          <xdr:rowOff>144780</xdr:rowOff>
        </xdr:from>
        <xdr:to>
          <xdr:col>11</xdr:col>
          <xdr:colOff>1866900</xdr:colOff>
          <xdr:row>138</xdr:row>
          <xdr:rowOff>17145</xdr:rowOff>
        </xdr:to>
        <xdr:sp macro="" textlink="">
          <xdr:nvSpPr>
            <xdr:cNvPr id="3507" name="Check Box 435" hidden="1">
              <a:extLst>
                <a:ext uri="{63B3BB69-23CF-44E3-9099-C40C66FF867C}">
                  <a14:compatExt spid="_x0000_s3507"/>
                </a:ext>
                <a:ext uri="{FF2B5EF4-FFF2-40B4-BE49-F238E27FC236}">
                  <a16:creationId xmlns:a16="http://schemas.microsoft.com/office/drawing/2014/main" id="{00000000-0008-0000-0200-0000B3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30480</xdr:rowOff>
        </xdr:from>
        <xdr:to>
          <xdr:col>11</xdr:col>
          <xdr:colOff>1866900</xdr:colOff>
          <xdr:row>136</xdr:row>
          <xdr:rowOff>283845</xdr:rowOff>
        </xdr:to>
        <xdr:sp macro="" textlink="">
          <xdr:nvSpPr>
            <xdr:cNvPr id="3508" name="Check Box 436" hidden="1">
              <a:extLst>
                <a:ext uri="{63B3BB69-23CF-44E3-9099-C40C66FF867C}">
                  <a14:compatExt spid="_x0000_s3508"/>
                </a:ext>
                <a:ext uri="{FF2B5EF4-FFF2-40B4-BE49-F238E27FC236}">
                  <a16:creationId xmlns:a16="http://schemas.microsoft.com/office/drawing/2014/main" id="{00000000-0008-0000-0200-0000B4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266700</xdr:rowOff>
        </xdr:from>
        <xdr:to>
          <xdr:col>11</xdr:col>
          <xdr:colOff>1866900</xdr:colOff>
          <xdr:row>139</xdr:row>
          <xdr:rowOff>190500</xdr:rowOff>
        </xdr:to>
        <xdr:sp macro="" textlink="">
          <xdr:nvSpPr>
            <xdr:cNvPr id="3531" name="Check Box 459" hidden="1">
              <a:extLst>
                <a:ext uri="{63B3BB69-23CF-44E3-9099-C40C66FF867C}">
                  <a14:compatExt spid="_x0000_s3531"/>
                </a:ext>
                <a:ext uri="{FF2B5EF4-FFF2-40B4-BE49-F238E27FC236}">
                  <a16:creationId xmlns:a16="http://schemas.microsoft.com/office/drawing/2014/main" id="{00000000-0008-0000-0200-0000CB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139</xdr:row>
          <xdr:rowOff>144780</xdr:rowOff>
        </xdr:from>
        <xdr:to>
          <xdr:col>11</xdr:col>
          <xdr:colOff>1866900</xdr:colOff>
          <xdr:row>140</xdr:row>
          <xdr:rowOff>17145</xdr:rowOff>
        </xdr:to>
        <xdr:sp macro="" textlink="">
          <xdr:nvSpPr>
            <xdr:cNvPr id="3532" name="Check Box 460" hidden="1">
              <a:extLst>
                <a:ext uri="{63B3BB69-23CF-44E3-9099-C40C66FF867C}">
                  <a14:compatExt spid="_x0000_s3532"/>
                </a:ext>
                <a:ext uri="{FF2B5EF4-FFF2-40B4-BE49-F238E27FC236}">
                  <a16:creationId xmlns:a16="http://schemas.microsoft.com/office/drawing/2014/main" id="{00000000-0008-0000-0200-0000CC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30480</xdr:rowOff>
        </xdr:from>
        <xdr:to>
          <xdr:col>11</xdr:col>
          <xdr:colOff>1866900</xdr:colOff>
          <xdr:row>138</xdr:row>
          <xdr:rowOff>283845</xdr:rowOff>
        </xdr:to>
        <xdr:sp macro="" textlink="">
          <xdr:nvSpPr>
            <xdr:cNvPr id="3533" name="Check Box 461" hidden="1">
              <a:extLst>
                <a:ext uri="{63B3BB69-23CF-44E3-9099-C40C66FF867C}">
                  <a14:compatExt spid="_x0000_s3533"/>
                </a:ext>
                <a:ext uri="{FF2B5EF4-FFF2-40B4-BE49-F238E27FC236}">
                  <a16:creationId xmlns:a16="http://schemas.microsoft.com/office/drawing/2014/main" id="{00000000-0008-0000-0200-0000CD0D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7</xdr:col>
      <xdr:colOff>491912</xdr:colOff>
      <xdr:row>10</xdr:row>
      <xdr:rowOff>40822</xdr:rowOff>
    </xdr:from>
    <xdr:to>
      <xdr:col>8</xdr:col>
      <xdr:colOff>2222499</xdr:colOff>
      <xdr:row>25</xdr:row>
      <xdr:rowOff>190500</xdr:rowOff>
    </xdr:to>
    <xdr:graphicFrame macro="">
      <xdr:nvGraphicFramePr>
        <xdr:cNvPr id="4" name="Gráfico 4">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16697</xdr:colOff>
      <xdr:row>10</xdr:row>
      <xdr:rowOff>52523</xdr:rowOff>
    </xdr:from>
    <xdr:to>
      <xdr:col>7</xdr:col>
      <xdr:colOff>427728</xdr:colOff>
      <xdr:row>25</xdr:row>
      <xdr:rowOff>202202</xdr:rowOff>
    </xdr:to>
    <xdr:graphicFrame macro="">
      <xdr:nvGraphicFramePr>
        <xdr:cNvPr id="2" name="Gráfico 5">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63500</xdr:colOff>
      <xdr:row>207</xdr:row>
      <xdr:rowOff>63500</xdr:rowOff>
    </xdr:from>
    <xdr:to>
      <xdr:col>5</xdr:col>
      <xdr:colOff>1638300</xdr:colOff>
      <xdr:row>227</xdr:row>
      <xdr:rowOff>139157</xdr:rowOff>
    </xdr:to>
    <xdr:graphicFrame macro="">
      <xdr:nvGraphicFramePr>
        <xdr:cNvPr id="5" name="Gráfico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295548</xdr:colOff>
      <xdr:row>10</xdr:row>
      <xdr:rowOff>46537</xdr:rowOff>
    </xdr:from>
    <xdr:to>
      <xdr:col>8</xdr:col>
      <xdr:colOff>1030061</xdr:colOff>
      <xdr:row>25</xdr:row>
      <xdr:rowOff>149679</xdr:rowOff>
    </xdr:to>
    <xdr:graphicFrame macro="">
      <xdr:nvGraphicFramePr>
        <xdr:cNvPr id="28" name="Gráfico 5">
          <a:extLst>
            <a:ext uri="{FF2B5EF4-FFF2-40B4-BE49-F238E27FC236}">
              <a16:creationId xmlns:a16="http://schemas.microsoft.com/office/drawing/2014/main"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1079591</xdr:colOff>
      <xdr:row>10</xdr:row>
      <xdr:rowOff>35071</xdr:rowOff>
    </xdr:from>
    <xdr:to>
      <xdr:col>11</xdr:col>
      <xdr:colOff>2070191</xdr:colOff>
      <xdr:row>25</xdr:row>
      <xdr:rowOff>149679</xdr:rowOff>
    </xdr:to>
    <xdr:graphicFrame macro="">
      <xdr:nvGraphicFramePr>
        <xdr:cNvPr id="29" name="Gráfico 1">
          <a:extLst>
            <a:ext uri="{FF2B5EF4-FFF2-40B4-BE49-F238E27FC236}">
              <a16:creationId xmlns:a16="http://schemas.microsoft.com/office/drawing/2014/main" id="{00000000-0008-0000-0300-00001D000000}"/>
            </a:ext>
            <a:ext uri="{147F2762-F138-4A5C-976F-8EAC2B608ADB}">
              <a16:predDERef xmlns:a16="http://schemas.microsoft.com/office/drawing/2014/main" pred="{FE921EB7-D820-49F0-9430-A509932B4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54</xdr:row>
          <xdr:rowOff>266700</xdr:rowOff>
        </xdr:from>
        <xdr:to>
          <xdr:col>11</xdr:col>
          <xdr:colOff>1821180</xdr:colOff>
          <xdr:row>55</xdr:row>
          <xdr:rowOff>198120</xdr:rowOff>
        </xdr:to>
        <xdr:sp macro="" textlink="">
          <xdr:nvSpPr>
            <xdr:cNvPr id="8305" name="Check Box 113" hidden="1">
              <a:extLst>
                <a:ext uri="{63B3BB69-23CF-44E3-9099-C40C66FF867C}">
                  <a14:compatExt spid="_x0000_s8305"/>
                </a:ext>
                <a:ext uri="{FF2B5EF4-FFF2-40B4-BE49-F238E27FC236}">
                  <a16:creationId xmlns:a16="http://schemas.microsoft.com/office/drawing/2014/main" id="{00000000-0008-0000-0300-00007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144780</xdr:rowOff>
        </xdr:from>
        <xdr:to>
          <xdr:col>11</xdr:col>
          <xdr:colOff>1821180</xdr:colOff>
          <xdr:row>55</xdr:row>
          <xdr:rowOff>342900</xdr:rowOff>
        </xdr:to>
        <xdr:sp macro="" textlink="">
          <xdr:nvSpPr>
            <xdr:cNvPr id="8306" name="Check Box 114" hidden="1">
              <a:extLst>
                <a:ext uri="{63B3BB69-23CF-44E3-9099-C40C66FF867C}">
                  <a14:compatExt spid="_x0000_s8306"/>
                </a:ext>
                <a:ext uri="{FF2B5EF4-FFF2-40B4-BE49-F238E27FC236}">
                  <a16:creationId xmlns:a16="http://schemas.microsoft.com/office/drawing/2014/main" id="{00000000-0008-0000-0300-00007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30480</xdr:rowOff>
        </xdr:from>
        <xdr:to>
          <xdr:col>11</xdr:col>
          <xdr:colOff>1821180</xdr:colOff>
          <xdr:row>54</xdr:row>
          <xdr:rowOff>259080</xdr:rowOff>
        </xdr:to>
        <xdr:sp macro="" textlink="">
          <xdr:nvSpPr>
            <xdr:cNvPr id="8307" name="Check Box 115" hidden="1">
              <a:extLst>
                <a:ext uri="{63B3BB69-23CF-44E3-9099-C40C66FF867C}">
                  <a14:compatExt spid="_x0000_s8307"/>
                </a:ext>
                <a:ext uri="{FF2B5EF4-FFF2-40B4-BE49-F238E27FC236}">
                  <a16:creationId xmlns:a16="http://schemas.microsoft.com/office/drawing/2014/main" id="{00000000-0008-0000-0300-00007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266700</xdr:rowOff>
        </xdr:from>
        <xdr:to>
          <xdr:col>11</xdr:col>
          <xdr:colOff>1821180</xdr:colOff>
          <xdr:row>57</xdr:row>
          <xdr:rowOff>167640</xdr:rowOff>
        </xdr:to>
        <xdr:sp macro="" textlink="">
          <xdr:nvSpPr>
            <xdr:cNvPr id="8308" name="Check Box 116" hidden="1">
              <a:extLst>
                <a:ext uri="{63B3BB69-23CF-44E3-9099-C40C66FF867C}">
                  <a14:compatExt spid="_x0000_s8308"/>
                </a:ext>
                <a:ext uri="{FF2B5EF4-FFF2-40B4-BE49-F238E27FC236}">
                  <a16:creationId xmlns:a16="http://schemas.microsoft.com/office/drawing/2014/main" id="{00000000-0008-0000-0300-00007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144780</xdr:rowOff>
        </xdr:from>
        <xdr:to>
          <xdr:col>11</xdr:col>
          <xdr:colOff>1821180</xdr:colOff>
          <xdr:row>57</xdr:row>
          <xdr:rowOff>342900</xdr:rowOff>
        </xdr:to>
        <xdr:sp macro="" textlink="">
          <xdr:nvSpPr>
            <xdr:cNvPr id="8309" name="Check Box 117" hidden="1">
              <a:extLst>
                <a:ext uri="{63B3BB69-23CF-44E3-9099-C40C66FF867C}">
                  <a14:compatExt spid="_x0000_s8309"/>
                </a:ext>
                <a:ext uri="{FF2B5EF4-FFF2-40B4-BE49-F238E27FC236}">
                  <a16:creationId xmlns:a16="http://schemas.microsoft.com/office/drawing/2014/main" id="{00000000-0008-0000-0300-00007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11</xdr:col>
          <xdr:colOff>1821180</xdr:colOff>
          <xdr:row>56</xdr:row>
          <xdr:rowOff>259080</xdr:rowOff>
        </xdr:to>
        <xdr:sp macro="" textlink="">
          <xdr:nvSpPr>
            <xdr:cNvPr id="8310" name="Check Box 118" hidden="1">
              <a:extLst>
                <a:ext uri="{63B3BB69-23CF-44E3-9099-C40C66FF867C}">
                  <a14:compatExt spid="_x0000_s8310"/>
                </a:ext>
                <a:ext uri="{FF2B5EF4-FFF2-40B4-BE49-F238E27FC236}">
                  <a16:creationId xmlns:a16="http://schemas.microsoft.com/office/drawing/2014/main" id="{00000000-0008-0000-0300-00007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266700</xdr:rowOff>
        </xdr:from>
        <xdr:to>
          <xdr:col>11</xdr:col>
          <xdr:colOff>1821180</xdr:colOff>
          <xdr:row>59</xdr:row>
          <xdr:rowOff>198120</xdr:rowOff>
        </xdr:to>
        <xdr:sp macro="" textlink="">
          <xdr:nvSpPr>
            <xdr:cNvPr id="8311" name="Check Box 119" hidden="1">
              <a:extLst>
                <a:ext uri="{63B3BB69-23CF-44E3-9099-C40C66FF867C}">
                  <a14:compatExt spid="_x0000_s8311"/>
                </a:ext>
                <a:ext uri="{FF2B5EF4-FFF2-40B4-BE49-F238E27FC236}">
                  <a16:creationId xmlns:a16="http://schemas.microsoft.com/office/drawing/2014/main" id="{00000000-0008-0000-0300-00007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144780</xdr:rowOff>
        </xdr:from>
        <xdr:to>
          <xdr:col>11</xdr:col>
          <xdr:colOff>1821180</xdr:colOff>
          <xdr:row>59</xdr:row>
          <xdr:rowOff>342900</xdr:rowOff>
        </xdr:to>
        <xdr:sp macro="" textlink="">
          <xdr:nvSpPr>
            <xdr:cNvPr id="8312" name="Check Box 120" hidden="1">
              <a:extLst>
                <a:ext uri="{63B3BB69-23CF-44E3-9099-C40C66FF867C}">
                  <a14:compatExt spid="_x0000_s8312"/>
                </a:ext>
                <a:ext uri="{FF2B5EF4-FFF2-40B4-BE49-F238E27FC236}">
                  <a16:creationId xmlns:a16="http://schemas.microsoft.com/office/drawing/2014/main" id="{00000000-0008-0000-0300-00007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11</xdr:col>
          <xdr:colOff>1821180</xdr:colOff>
          <xdr:row>58</xdr:row>
          <xdr:rowOff>228600</xdr:rowOff>
        </xdr:to>
        <xdr:sp macro="" textlink="">
          <xdr:nvSpPr>
            <xdr:cNvPr id="8313" name="Check Box 121" hidden="1">
              <a:extLst>
                <a:ext uri="{63B3BB69-23CF-44E3-9099-C40C66FF867C}">
                  <a14:compatExt spid="_x0000_s8313"/>
                </a:ext>
                <a:ext uri="{FF2B5EF4-FFF2-40B4-BE49-F238E27FC236}">
                  <a16:creationId xmlns:a16="http://schemas.microsoft.com/office/drawing/2014/main" id="{00000000-0008-0000-0300-00007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266700</xdr:rowOff>
        </xdr:from>
        <xdr:to>
          <xdr:col>11</xdr:col>
          <xdr:colOff>1821180</xdr:colOff>
          <xdr:row>61</xdr:row>
          <xdr:rowOff>190500</xdr:rowOff>
        </xdr:to>
        <xdr:sp macro="" textlink="">
          <xdr:nvSpPr>
            <xdr:cNvPr id="8314" name="Check Box 122" hidden="1">
              <a:extLst>
                <a:ext uri="{63B3BB69-23CF-44E3-9099-C40C66FF867C}">
                  <a14:compatExt spid="_x0000_s8314"/>
                </a:ext>
                <a:ext uri="{FF2B5EF4-FFF2-40B4-BE49-F238E27FC236}">
                  <a16:creationId xmlns:a16="http://schemas.microsoft.com/office/drawing/2014/main" id="{00000000-0008-0000-0300-00007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144780</xdr:rowOff>
        </xdr:from>
        <xdr:to>
          <xdr:col>11</xdr:col>
          <xdr:colOff>1821180</xdr:colOff>
          <xdr:row>61</xdr:row>
          <xdr:rowOff>342900</xdr:rowOff>
        </xdr:to>
        <xdr:sp macro="" textlink="">
          <xdr:nvSpPr>
            <xdr:cNvPr id="8315" name="Check Box 123" hidden="1">
              <a:extLst>
                <a:ext uri="{63B3BB69-23CF-44E3-9099-C40C66FF867C}">
                  <a14:compatExt spid="_x0000_s8315"/>
                </a:ext>
                <a:ext uri="{FF2B5EF4-FFF2-40B4-BE49-F238E27FC236}">
                  <a16:creationId xmlns:a16="http://schemas.microsoft.com/office/drawing/2014/main" id="{00000000-0008-0000-0300-00007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30480</xdr:rowOff>
        </xdr:from>
        <xdr:to>
          <xdr:col>11</xdr:col>
          <xdr:colOff>1821180</xdr:colOff>
          <xdr:row>60</xdr:row>
          <xdr:rowOff>228600</xdr:rowOff>
        </xdr:to>
        <xdr:sp macro="" textlink="">
          <xdr:nvSpPr>
            <xdr:cNvPr id="8316" name="Check Box 124" hidden="1">
              <a:extLst>
                <a:ext uri="{63B3BB69-23CF-44E3-9099-C40C66FF867C}">
                  <a14:compatExt spid="_x0000_s8316"/>
                </a:ext>
                <a:ext uri="{FF2B5EF4-FFF2-40B4-BE49-F238E27FC236}">
                  <a16:creationId xmlns:a16="http://schemas.microsoft.com/office/drawing/2014/main" id="{00000000-0008-0000-0300-00007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266700</xdr:rowOff>
        </xdr:from>
        <xdr:to>
          <xdr:col>11</xdr:col>
          <xdr:colOff>1821180</xdr:colOff>
          <xdr:row>63</xdr:row>
          <xdr:rowOff>198120</xdr:rowOff>
        </xdr:to>
        <xdr:sp macro="" textlink="">
          <xdr:nvSpPr>
            <xdr:cNvPr id="8317" name="Check Box 125" hidden="1">
              <a:extLst>
                <a:ext uri="{63B3BB69-23CF-44E3-9099-C40C66FF867C}">
                  <a14:compatExt spid="_x0000_s8317"/>
                </a:ext>
                <a:ext uri="{FF2B5EF4-FFF2-40B4-BE49-F238E27FC236}">
                  <a16:creationId xmlns:a16="http://schemas.microsoft.com/office/drawing/2014/main" id="{00000000-0008-0000-0300-00007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144780</xdr:rowOff>
        </xdr:from>
        <xdr:to>
          <xdr:col>11</xdr:col>
          <xdr:colOff>1821180</xdr:colOff>
          <xdr:row>63</xdr:row>
          <xdr:rowOff>342900</xdr:rowOff>
        </xdr:to>
        <xdr:sp macro="" textlink="">
          <xdr:nvSpPr>
            <xdr:cNvPr id="8318" name="Check Box 126" hidden="1">
              <a:extLst>
                <a:ext uri="{63B3BB69-23CF-44E3-9099-C40C66FF867C}">
                  <a14:compatExt spid="_x0000_s8318"/>
                </a:ext>
                <a:ext uri="{FF2B5EF4-FFF2-40B4-BE49-F238E27FC236}">
                  <a16:creationId xmlns:a16="http://schemas.microsoft.com/office/drawing/2014/main" id="{00000000-0008-0000-0300-00007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11</xdr:col>
          <xdr:colOff>1821180</xdr:colOff>
          <xdr:row>62</xdr:row>
          <xdr:rowOff>228600</xdr:rowOff>
        </xdr:to>
        <xdr:sp macro="" textlink="">
          <xdr:nvSpPr>
            <xdr:cNvPr id="8319" name="Check Box 127" hidden="1">
              <a:extLst>
                <a:ext uri="{63B3BB69-23CF-44E3-9099-C40C66FF867C}">
                  <a14:compatExt spid="_x0000_s8319"/>
                </a:ext>
                <a:ext uri="{FF2B5EF4-FFF2-40B4-BE49-F238E27FC236}">
                  <a16:creationId xmlns:a16="http://schemas.microsoft.com/office/drawing/2014/main" id="{00000000-0008-0000-0300-00007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266700</xdr:rowOff>
        </xdr:from>
        <xdr:to>
          <xdr:col>11</xdr:col>
          <xdr:colOff>1821180</xdr:colOff>
          <xdr:row>65</xdr:row>
          <xdr:rowOff>198120</xdr:rowOff>
        </xdr:to>
        <xdr:sp macro="" textlink="">
          <xdr:nvSpPr>
            <xdr:cNvPr id="8320" name="Check Box 128" hidden="1">
              <a:extLst>
                <a:ext uri="{63B3BB69-23CF-44E3-9099-C40C66FF867C}">
                  <a14:compatExt spid="_x0000_s8320"/>
                </a:ext>
                <a:ext uri="{FF2B5EF4-FFF2-40B4-BE49-F238E27FC236}">
                  <a16:creationId xmlns:a16="http://schemas.microsoft.com/office/drawing/2014/main" id="{00000000-0008-0000-0300-00008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144780</xdr:rowOff>
        </xdr:from>
        <xdr:to>
          <xdr:col>11</xdr:col>
          <xdr:colOff>1821180</xdr:colOff>
          <xdr:row>65</xdr:row>
          <xdr:rowOff>342900</xdr:rowOff>
        </xdr:to>
        <xdr:sp macro="" textlink="">
          <xdr:nvSpPr>
            <xdr:cNvPr id="8321" name="Check Box 129" hidden="1">
              <a:extLst>
                <a:ext uri="{63B3BB69-23CF-44E3-9099-C40C66FF867C}">
                  <a14:compatExt spid="_x0000_s8321"/>
                </a:ext>
                <a:ext uri="{FF2B5EF4-FFF2-40B4-BE49-F238E27FC236}">
                  <a16:creationId xmlns:a16="http://schemas.microsoft.com/office/drawing/2014/main" id="{00000000-0008-0000-0300-00008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11</xdr:col>
          <xdr:colOff>1821180</xdr:colOff>
          <xdr:row>64</xdr:row>
          <xdr:rowOff>228600</xdr:rowOff>
        </xdr:to>
        <xdr:sp macro="" textlink="">
          <xdr:nvSpPr>
            <xdr:cNvPr id="8322" name="Check Box 130" hidden="1">
              <a:extLst>
                <a:ext uri="{63B3BB69-23CF-44E3-9099-C40C66FF867C}">
                  <a14:compatExt spid="_x0000_s8322"/>
                </a:ext>
                <a:ext uri="{FF2B5EF4-FFF2-40B4-BE49-F238E27FC236}">
                  <a16:creationId xmlns:a16="http://schemas.microsoft.com/office/drawing/2014/main" id="{00000000-0008-0000-0300-00008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266700</xdr:rowOff>
        </xdr:from>
        <xdr:to>
          <xdr:col>11</xdr:col>
          <xdr:colOff>1821180</xdr:colOff>
          <xdr:row>67</xdr:row>
          <xdr:rowOff>228600</xdr:rowOff>
        </xdr:to>
        <xdr:sp macro="" textlink="">
          <xdr:nvSpPr>
            <xdr:cNvPr id="8323" name="Check Box 131" hidden="1">
              <a:extLst>
                <a:ext uri="{63B3BB69-23CF-44E3-9099-C40C66FF867C}">
                  <a14:compatExt spid="_x0000_s8323"/>
                </a:ext>
                <a:ext uri="{FF2B5EF4-FFF2-40B4-BE49-F238E27FC236}">
                  <a16:creationId xmlns:a16="http://schemas.microsoft.com/office/drawing/2014/main" id="{00000000-0008-0000-0300-00008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144780</xdr:rowOff>
        </xdr:from>
        <xdr:to>
          <xdr:col>11</xdr:col>
          <xdr:colOff>1821180</xdr:colOff>
          <xdr:row>68</xdr:row>
          <xdr:rowOff>0</xdr:rowOff>
        </xdr:to>
        <xdr:sp macro="" textlink="">
          <xdr:nvSpPr>
            <xdr:cNvPr id="8324" name="Check Box 132" hidden="1">
              <a:extLst>
                <a:ext uri="{63B3BB69-23CF-44E3-9099-C40C66FF867C}">
                  <a14:compatExt spid="_x0000_s8324"/>
                </a:ext>
                <a:ext uri="{FF2B5EF4-FFF2-40B4-BE49-F238E27FC236}">
                  <a16:creationId xmlns:a16="http://schemas.microsoft.com/office/drawing/2014/main" id="{00000000-0008-0000-0300-00008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11</xdr:col>
          <xdr:colOff>1821180</xdr:colOff>
          <xdr:row>66</xdr:row>
          <xdr:rowOff>259080</xdr:rowOff>
        </xdr:to>
        <xdr:sp macro="" textlink="">
          <xdr:nvSpPr>
            <xdr:cNvPr id="8325" name="Check Box 133" hidden="1">
              <a:extLst>
                <a:ext uri="{63B3BB69-23CF-44E3-9099-C40C66FF867C}">
                  <a14:compatExt spid="_x0000_s8325"/>
                </a:ext>
                <a:ext uri="{FF2B5EF4-FFF2-40B4-BE49-F238E27FC236}">
                  <a16:creationId xmlns:a16="http://schemas.microsoft.com/office/drawing/2014/main" id="{00000000-0008-0000-0300-00008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266700</xdr:rowOff>
        </xdr:from>
        <xdr:to>
          <xdr:col>11</xdr:col>
          <xdr:colOff>1821180</xdr:colOff>
          <xdr:row>69</xdr:row>
          <xdr:rowOff>198120</xdr:rowOff>
        </xdr:to>
        <xdr:sp macro="" textlink="">
          <xdr:nvSpPr>
            <xdr:cNvPr id="8326" name="Check Box 134" hidden="1">
              <a:extLst>
                <a:ext uri="{63B3BB69-23CF-44E3-9099-C40C66FF867C}">
                  <a14:compatExt spid="_x0000_s8326"/>
                </a:ext>
                <a:ext uri="{FF2B5EF4-FFF2-40B4-BE49-F238E27FC236}">
                  <a16:creationId xmlns:a16="http://schemas.microsoft.com/office/drawing/2014/main" id="{00000000-0008-0000-0300-00008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266700</xdr:rowOff>
        </xdr:from>
        <xdr:to>
          <xdr:col>11</xdr:col>
          <xdr:colOff>1821180</xdr:colOff>
          <xdr:row>71</xdr:row>
          <xdr:rowOff>198120</xdr:rowOff>
        </xdr:to>
        <xdr:sp macro="" textlink="">
          <xdr:nvSpPr>
            <xdr:cNvPr id="8329" name="Check Box 137" hidden="1">
              <a:extLst>
                <a:ext uri="{63B3BB69-23CF-44E3-9099-C40C66FF867C}">
                  <a14:compatExt spid="_x0000_s8329"/>
                </a:ext>
                <a:ext uri="{FF2B5EF4-FFF2-40B4-BE49-F238E27FC236}">
                  <a16:creationId xmlns:a16="http://schemas.microsoft.com/office/drawing/2014/main" id="{00000000-0008-0000-0300-00008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144780</xdr:rowOff>
        </xdr:from>
        <xdr:to>
          <xdr:col>11</xdr:col>
          <xdr:colOff>1821180</xdr:colOff>
          <xdr:row>72</xdr:row>
          <xdr:rowOff>0</xdr:rowOff>
        </xdr:to>
        <xdr:sp macro="" textlink="">
          <xdr:nvSpPr>
            <xdr:cNvPr id="8330" name="Check Box 138" hidden="1">
              <a:extLst>
                <a:ext uri="{63B3BB69-23CF-44E3-9099-C40C66FF867C}">
                  <a14:compatExt spid="_x0000_s8330"/>
                </a:ext>
                <a:ext uri="{FF2B5EF4-FFF2-40B4-BE49-F238E27FC236}">
                  <a16:creationId xmlns:a16="http://schemas.microsoft.com/office/drawing/2014/main" id="{00000000-0008-0000-0300-00008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266700</xdr:rowOff>
        </xdr:from>
        <xdr:to>
          <xdr:col>11</xdr:col>
          <xdr:colOff>1821180</xdr:colOff>
          <xdr:row>73</xdr:row>
          <xdr:rowOff>198120</xdr:rowOff>
        </xdr:to>
        <xdr:sp macro="" textlink="">
          <xdr:nvSpPr>
            <xdr:cNvPr id="8332" name="Check Box 140" hidden="1">
              <a:extLst>
                <a:ext uri="{63B3BB69-23CF-44E3-9099-C40C66FF867C}">
                  <a14:compatExt spid="_x0000_s8332"/>
                </a:ext>
                <a:ext uri="{FF2B5EF4-FFF2-40B4-BE49-F238E27FC236}">
                  <a16:creationId xmlns:a16="http://schemas.microsoft.com/office/drawing/2014/main" id="{00000000-0008-0000-0300-00008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144780</xdr:rowOff>
        </xdr:from>
        <xdr:to>
          <xdr:col>11</xdr:col>
          <xdr:colOff>1821180</xdr:colOff>
          <xdr:row>74</xdr:row>
          <xdr:rowOff>0</xdr:rowOff>
        </xdr:to>
        <xdr:sp macro="" textlink="">
          <xdr:nvSpPr>
            <xdr:cNvPr id="8333" name="Check Box 141" hidden="1">
              <a:extLst>
                <a:ext uri="{63B3BB69-23CF-44E3-9099-C40C66FF867C}">
                  <a14:compatExt spid="_x0000_s8333"/>
                </a:ext>
                <a:ext uri="{FF2B5EF4-FFF2-40B4-BE49-F238E27FC236}">
                  <a16:creationId xmlns:a16="http://schemas.microsoft.com/office/drawing/2014/main" id="{00000000-0008-0000-0300-00008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11</xdr:col>
          <xdr:colOff>1821180</xdr:colOff>
          <xdr:row>72</xdr:row>
          <xdr:rowOff>259080</xdr:rowOff>
        </xdr:to>
        <xdr:sp macro="" textlink="">
          <xdr:nvSpPr>
            <xdr:cNvPr id="8334" name="Check Box 142" hidden="1">
              <a:extLst>
                <a:ext uri="{63B3BB69-23CF-44E3-9099-C40C66FF867C}">
                  <a14:compatExt spid="_x0000_s8334"/>
                </a:ext>
                <a:ext uri="{FF2B5EF4-FFF2-40B4-BE49-F238E27FC236}">
                  <a16:creationId xmlns:a16="http://schemas.microsoft.com/office/drawing/2014/main" id="{00000000-0008-0000-0300-00008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266700</xdr:rowOff>
        </xdr:from>
        <xdr:to>
          <xdr:col>11</xdr:col>
          <xdr:colOff>1821180</xdr:colOff>
          <xdr:row>75</xdr:row>
          <xdr:rowOff>198120</xdr:rowOff>
        </xdr:to>
        <xdr:sp macro="" textlink="">
          <xdr:nvSpPr>
            <xdr:cNvPr id="8335" name="Check Box 143" hidden="1">
              <a:extLst>
                <a:ext uri="{63B3BB69-23CF-44E3-9099-C40C66FF867C}">
                  <a14:compatExt spid="_x0000_s8335"/>
                </a:ext>
                <a:ext uri="{FF2B5EF4-FFF2-40B4-BE49-F238E27FC236}">
                  <a16:creationId xmlns:a16="http://schemas.microsoft.com/office/drawing/2014/main" id="{00000000-0008-0000-0300-00008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75</xdr:row>
          <xdr:rowOff>144780</xdr:rowOff>
        </xdr:from>
        <xdr:to>
          <xdr:col>11</xdr:col>
          <xdr:colOff>1821180</xdr:colOff>
          <xdr:row>76</xdr:row>
          <xdr:rowOff>0</xdr:rowOff>
        </xdr:to>
        <xdr:sp macro="" textlink="">
          <xdr:nvSpPr>
            <xdr:cNvPr id="8336" name="Check Box 144" hidden="1">
              <a:extLst>
                <a:ext uri="{63B3BB69-23CF-44E3-9099-C40C66FF867C}">
                  <a14:compatExt spid="_x0000_s8336"/>
                </a:ext>
                <a:ext uri="{FF2B5EF4-FFF2-40B4-BE49-F238E27FC236}">
                  <a16:creationId xmlns:a16="http://schemas.microsoft.com/office/drawing/2014/main" id="{00000000-0008-0000-0300-00009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30480</xdr:rowOff>
        </xdr:from>
        <xdr:to>
          <xdr:col>11</xdr:col>
          <xdr:colOff>1821180</xdr:colOff>
          <xdr:row>74</xdr:row>
          <xdr:rowOff>259080</xdr:rowOff>
        </xdr:to>
        <xdr:sp macro="" textlink="">
          <xdr:nvSpPr>
            <xdr:cNvPr id="8337" name="Check Box 145" hidden="1">
              <a:extLst>
                <a:ext uri="{63B3BB69-23CF-44E3-9099-C40C66FF867C}">
                  <a14:compatExt spid="_x0000_s8337"/>
                </a:ext>
                <a:ext uri="{FF2B5EF4-FFF2-40B4-BE49-F238E27FC236}">
                  <a16:creationId xmlns:a16="http://schemas.microsoft.com/office/drawing/2014/main" id="{00000000-0008-0000-0300-00009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266700</xdr:rowOff>
        </xdr:from>
        <xdr:to>
          <xdr:col>11</xdr:col>
          <xdr:colOff>1821180</xdr:colOff>
          <xdr:row>77</xdr:row>
          <xdr:rowOff>198120</xdr:rowOff>
        </xdr:to>
        <xdr:sp macro="" textlink="">
          <xdr:nvSpPr>
            <xdr:cNvPr id="8338" name="Check Box 146" hidden="1">
              <a:extLst>
                <a:ext uri="{63B3BB69-23CF-44E3-9099-C40C66FF867C}">
                  <a14:compatExt spid="_x0000_s8338"/>
                </a:ext>
                <a:ext uri="{FF2B5EF4-FFF2-40B4-BE49-F238E27FC236}">
                  <a16:creationId xmlns:a16="http://schemas.microsoft.com/office/drawing/2014/main" id="{00000000-0008-0000-0300-00009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77</xdr:row>
          <xdr:rowOff>144780</xdr:rowOff>
        </xdr:from>
        <xdr:to>
          <xdr:col>11</xdr:col>
          <xdr:colOff>1821180</xdr:colOff>
          <xdr:row>78</xdr:row>
          <xdr:rowOff>0</xdr:rowOff>
        </xdr:to>
        <xdr:sp macro="" textlink="">
          <xdr:nvSpPr>
            <xdr:cNvPr id="8339" name="Check Box 147" hidden="1">
              <a:extLst>
                <a:ext uri="{63B3BB69-23CF-44E3-9099-C40C66FF867C}">
                  <a14:compatExt spid="_x0000_s8339"/>
                </a:ext>
                <a:ext uri="{FF2B5EF4-FFF2-40B4-BE49-F238E27FC236}">
                  <a16:creationId xmlns:a16="http://schemas.microsoft.com/office/drawing/2014/main" id="{00000000-0008-0000-0300-00009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30480</xdr:rowOff>
        </xdr:from>
        <xdr:to>
          <xdr:col>11</xdr:col>
          <xdr:colOff>1821180</xdr:colOff>
          <xdr:row>76</xdr:row>
          <xdr:rowOff>259080</xdr:rowOff>
        </xdr:to>
        <xdr:sp macro="" textlink="">
          <xdr:nvSpPr>
            <xdr:cNvPr id="8340" name="Check Box 148" hidden="1">
              <a:extLst>
                <a:ext uri="{63B3BB69-23CF-44E3-9099-C40C66FF867C}">
                  <a14:compatExt spid="_x0000_s8340"/>
                </a:ext>
                <a:ext uri="{FF2B5EF4-FFF2-40B4-BE49-F238E27FC236}">
                  <a16:creationId xmlns:a16="http://schemas.microsoft.com/office/drawing/2014/main" id="{00000000-0008-0000-0300-00009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266700</xdr:rowOff>
        </xdr:from>
        <xdr:to>
          <xdr:col>11</xdr:col>
          <xdr:colOff>1821180</xdr:colOff>
          <xdr:row>79</xdr:row>
          <xdr:rowOff>198120</xdr:rowOff>
        </xdr:to>
        <xdr:sp macro="" textlink="">
          <xdr:nvSpPr>
            <xdr:cNvPr id="8341" name="Check Box 149" hidden="1">
              <a:extLst>
                <a:ext uri="{63B3BB69-23CF-44E3-9099-C40C66FF867C}">
                  <a14:compatExt spid="_x0000_s8341"/>
                </a:ext>
                <a:ext uri="{FF2B5EF4-FFF2-40B4-BE49-F238E27FC236}">
                  <a16:creationId xmlns:a16="http://schemas.microsoft.com/office/drawing/2014/main" id="{00000000-0008-0000-0300-00009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144780</xdr:rowOff>
        </xdr:from>
        <xdr:to>
          <xdr:col>11</xdr:col>
          <xdr:colOff>1821180</xdr:colOff>
          <xdr:row>80</xdr:row>
          <xdr:rowOff>0</xdr:rowOff>
        </xdr:to>
        <xdr:sp macro="" textlink="">
          <xdr:nvSpPr>
            <xdr:cNvPr id="8342" name="Check Box 150" hidden="1">
              <a:extLst>
                <a:ext uri="{63B3BB69-23CF-44E3-9099-C40C66FF867C}">
                  <a14:compatExt spid="_x0000_s8342"/>
                </a:ext>
                <a:ext uri="{FF2B5EF4-FFF2-40B4-BE49-F238E27FC236}">
                  <a16:creationId xmlns:a16="http://schemas.microsoft.com/office/drawing/2014/main" id="{00000000-0008-0000-0300-00009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11</xdr:col>
          <xdr:colOff>1821180</xdr:colOff>
          <xdr:row>78</xdr:row>
          <xdr:rowOff>251460</xdr:rowOff>
        </xdr:to>
        <xdr:sp macro="" textlink="">
          <xdr:nvSpPr>
            <xdr:cNvPr id="8343" name="Check Box 151" hidden="1">
              <a:extLst>
                <a:ext uri="{63B3BB69-23CF-44E3-9099-C40C66FF867C}">
                  <a14:compatExt spid="_x0000_s8343"/>
                </a:ext>
                <a:ext uri="{FF2B5EF4-FFF2-40B4-BE49-F238E27FC236}">
                  <a16:creationId xmlns:a16="http://schemas.microsoft.com/office/drawing/2014/main" id="{00000000-0008-0000-0300-00009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266700</xdr:rowOff>
        </xdr:from>
        <xdr:to>
          <xdr:col>11</xdr:col>
          <xdr:colOff>1821180</xdr:colOff>
          <xdr:row>81</xdr:row>
          <xdr:rowOff>198120</xdr:rowOff>
        </xdr:to>
        <xdr:sp macro="" textlink="">
          <xdr:nvSpPr>
            <xdr:cNvPr id="8344" name="Check Box 152" hidden="1">
              <a:extLst>
                <a:ext uri="{63B3BB69-23CF-44E3-9099-C40C66FF867C}">
                  <a14:compatExt spid="_x0000_s8344"/>
                </a:ext>
                <a:ext uri="{FF2B5EF4-FFF2-40B4-BE49-F238E27FC236}">
                  <a16:creationId xmlns:a16="http://schemas.microsoft.com/office/drawing/2014/main" id="{00000000-0008-0000-0300-00009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144780</xdr:rowOff>
        </xdr:from>
        <xdr:to>
          <xdr:col>11</xdr:col>
          <xdr:colOff>1821180</xdr:colOff>
          <xdr:row>82</xdr:row>
          <xdr:rowOff>0</xdr:rowOff>
        </xdr:to>
        <xdr:sp macro="" textlink="">
          <xdr:nvSpPr>
            <xdr:cNvPr id="8345" name="Check Box 153" hidden="1">
              <a:extLst>
                <a:ext uri="{63B3BB69-23CF-44E3-9099-C40C66FF867C}">
                  <a14:compatExt spid="_x0000_s8345"/>
                </a:ext>
                <a:ext uri="{FF2B5EF4-FFF2-40B4-BE49-F238E27FC236}">
                  <a16:creationId xmlns:a16="http://schemas.microsoft.com/office/drawing/2014/main" id="{00000000-0008-0000-0300-00009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11</xdr:col>
          <xdr:colOff>1821180</xdr:colOff>
          <xdr:row>80</xdr:row>
          <xdr:rowOff>251460</xdr:rowOff>
        </xdr:to>
        <xdr:sp macro="" textlink="">
          <xdr:nvSpPr>
            <xdr:cNvPr id="8346" name="Check Box 154" hidden="1">
              <a:extLst>
                <a:ext uri="{63B3BB69-23CF-44E3-9099-C40C66FF867C}">
                  <a14:compatExt spid="_x0000_s8346"/>
                </a:ext>
                <a:ext uri="{FF2B5EF4-FFF2-40B4-BE49-F238E27FC236}">
                  <a16:creationId xmlns:a16="http://schemas.microsoft.com/office/drawing/2014/main" id="{00000000-0008-0000-0300-00009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266700</xdr:rowOff>
        </xdr:from>
        <xdr:to>
          <xdr:col>11</xdr:col>
          <xdr:colOff>1821180</xdr:colOff>
          <xdr:row>83</xdr:row>
          <xdr:rowOff>198120</xdr:rowOff>
        </xdr:to>
        <xdr:sp macro="" textlink="">
          <xdr:nvSpPr>
            <xdr:cNvPr id="8347" name="Check Box 155" hidden="1">
              <a:extLst>
                <a:ext uri="{63B3BB69-23CF-44E3-9099-C40C66FF867C}">
                  <a14:compatExt spid="_x0000_s8347"/>
                </a:ext>
                <a:ext uri="{FF2B5EF4-FFF2-40B4-BE49-F238E27FC236}">
                  <a16:creationId xmlns:a16="http://schemas.microsoft.com/office/drawing/2014/main" id="{00000000-0008-0000-0300-00009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144780</xdr:rowOff>
        </xdr:from>
        <xdr:to>
          <xdr:col>11</xdr:col>
          <xdr:colOff>1821180</xdr:colOff>
          <xdr:row>84</xdr:row>
          <xdr:rowOff>0</xdr:rowOff>
        </xdr:to>
        <xdr:sp macro="" textlink="">
          <xdr:nvSpPr>
            <xdr:cNvPr id="8348" name="Check Box 156" hidden="1">
              <a:extLst>
                <a:ext uri="{63B3BB69-23CF-44E3-9099-C40C66FF867C}">
                  <a14:compatExt spid="_x0000_s8348"/>
                </a:ext>
                <a:ext uri="{FF2B5EF4-FFF2-40B4-BE49-F238E27FC236}">
                  <a16:creationId xmlns:a16="http://schemas.microsoft.com/office/drawing/2014/main" id="{00000000-0008-0000-0300-00009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30480</xdr:rowOff>
        </xdr:from>
        <xdr:to>
          <xdr:col>11</xdr:col>
          <xdr:colOff>1821180</xdr:colOff>
          <xdr:row>82</xdr:row>
          <xdr:rowOff>251460</xdr:rowOff>
        </xdr:to>
        <xdr:sp macro="" textlink="">
          <xdr:nvSpPr>
            <xdr:cNvPr id="8349" name="Check Box 157" hidden="1">
              <a:extLst>
                <a:ext uri="{63B3BB69-23CF-44E3-9099-C40C66FF867C}">
                  <a14:compatExt spid="_x0000_s8349"/>
                </a:ext>
                <a:ext uri="{FF2B5EF4-FFF2-40B4-BE49-F238E27FC236}">
                  <a16:creationId xmlns:a16="http://schemas.microsoft.com/office/drawing/2014/main" id="{00000000-0008-0000-0300-00009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0</xdr:rowOff>
        </xdr:from>
        <xdr:to>
          <xdr:col>11</xdr:col>
          <xdr:colOff>1821180</xdr:colOff>
          <xdr:row>84</xdr:row>
          <xdr:rowOff>327660</xdr:rowOff>
        </xdr:to>
        <xdr:sp macro="" textlink="">
          <xdr:nvSpPr>
            <xdr:cNvPr id="8350" name="Check Box 158" hidden="1">
              <a:extLst>
                <a:ext uri="{63B3BB69-23CF-44E3-9099-C40C66FF867C}">
                  <a14:compatExt spid="_x0000_s8350"/>
                </a:ext>
                <a:ext uri="{FF2B5EF4-FFF2-40B4-BE49-F238E27FC236}">
                  <a16:creationId xmlns:a16="http://schemas.microsoft.com/office/drawing/2014/main" id="{00000000-0008-0000-0300-00009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266700</xdr:rowOff>
        </xdr:from>
        <xdr:to>
          <xdr:col>11</xdr:col>
          <xdr:colOff>1821180</xdr:colOff>
          <xdr:row>85</xdr:row>
          <xdr:rowOff>198120</xdr:rowOff>
        </xdr:to>
        <xdr:sp macro="" textlink="">
          <xdr:nvSpPr>
            <xdr:cNvPr id="8359" name="Check Box 167" hidden="1">
              <a:extLst>
                <a:ext uri="{63B3BB69-23CF-44E3-9099-C40C66FF867C}">
                  <a14:compatExt spid="_x0000_s8359"/>
                </a:ext>
                <a:ext uri="{FF2B5EF4-FFF2-40B4-BE49-F238E27FC236}">
                  <a16:creationId xmlns:a16="http://schemas.microsoft.com/office/drawing/2014/main" id="{00000000-0008-0000-0300-0000A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144780</xdr:rowOff>
        </xdr:from>
        <xdr:to>
          <xdr:col>11</xdr:col>
          <xdr:colOff>1821180</xdr:colOff>
          <xdr:row>86</xdr:row>
          <xdr:rowOff>0</xdr:rowOff>
        </xdr:to>
        <xdr:sp macro="" textlink="">
          <xdr:nvSpPr>
            <xdr:cNvPr id="8360" name="Check Box 168" hidden="1">
              <a:extLst>
                <a:ext uri="{63B3BB69-23CF-44E3-9099-C40C66FF867C}">
                  <a14:compatExt spid="_x0000_s8360"/>
                </a:ext>
                <a:ext uri="{FF2B5EF4-FFF2-40B4-BE49-F238E27FC236}">
                  <a16:creationId xmlns:a16="http://schemas.microsoft.com/office/drawing/2014/main" id="{00000000-0008-0000-0300-0000A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266700</xdr:rowOff>
        </xdr:from>
        <xdr:to>
          <xdr:col>11</xdr:col>
          <xdr:colOff>1821180</xdr:colOff>
          <xdr:row>87</xdr:row>
          <xdr:rowOff>228600</xdr:rowOff>
        </xdr:to>
        <xdr:sp macro="" textlink="">
          <xdr:nvSpPr>
            <xdr:cNvPr id="8362" name="Check Box 170" hidden="1">
              <a:extLst>
                <a:ext uri="{63B3BB69-23CF-44E3-9099-C40C66FF867C}">
                  <a14:compatExt spid="_x0000_s8362"/>
                </a:ext>
                <a:ext uri="{FF2B5EF4-FFF2-40B4-BE49-F238E27FC236}">
                  <a16:creationId xmlns:a16="http://schemas.microsoft.com/office/drawing/2014/main" id="{00000000-0008-0000-0300-0000A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144780</xdr:rowOff>
        </xdr:from>
        <xdr:to>
          <xdr:col>11</xdr:col>
          <xdr:colOff>1821180</xdr:colOff>
          <xdr:row>88</xdr:row>
          <xdr:rowOff>0</xdr:rowOff>
        </xdr:to>
        <xdr:sp macro="" textlink="">
          <xdr:nvSpPr>
            <xdr:cNvPr id="8363" name="Check Box 171" hidden="1">
              <a:extLst>
                <a:ext uri="{63B3BB69-23CF-44E3-9099-C40C66FF867C}">
                  <a14:compatExt spid="_x0000_s8363"/>
                </a:ext>
                <a:ext uri="{FF2B5EF4-FFF2-40B4-BE49-F238E27FC236}">
                  <a16:creationId xmlns:a16="http://schemas.microsoft.com/office/drawing/2014/main" id="{00000000-0008-0000-0300-0000A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30480</xdr:rowOff>
        </xdr:from>
        <xdr:to>
          <xdr:col>11</xdr:col>
          <xdr:colOff>1821180</xdr:colOff>
          <xdr:row>86</xdr:row>
          <xdr:rowOff>289560</xdr:rowOff>
        </xdr:to>
        <xdr:sp macro="" textlink="">
          <xdr:nvSpPr>
            <xdr:cNvPr id="8364" name="Check Box 172" hidden="1">
              <a:extLst>
                <a:ext uri="{63B3BB69-23CF-44E3-9099-C40C66FF867C}">
                  <a14:compatExt spid="_x0000_s8364"/>
                </a:ext>
                <a:ext uri="{FF2B5EF4-FFF2-40B4-BE49-F238E27FC236}">
                  <a16:creationId xmlns:a16="http://schemas.microsoft.com/office/drawing/2014/main" id="{00000000-0008-0000-0300-0000A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266700</xdr:rowOff>
        </xdr:from>
        <xdr:to>
          <xdr:col>11</xdr:col>
          <xdr:colOff>1821180</xdr:colOff>
          <xdr:row>89</xdr:row>
          <xdr:rowOff>228600</xdr:rowOff>
        </xdr:to>
        <xdr:sp macro="" textlink="">
          <xdr:nvSpPr>
            <xdr:cNvPr id="8365" name="Check Box 173" hidden="1">
              <a:extLst>
                <a:ext uri="{63B3BB69-23CF-44E3-9099-C40C66FF867C}">
                  <a14:compatExt spid="_x0000_s8365"/>
                </a:ext>
                <a:ext uri="{FF2B5EF4-FFF2-40B4-BE49-F238E27FC236}">
                  <a16:creationId xmlns:a16="http://schemas.microsoft.com/office/drawing/2014/main" id="{00000000-0008-0000-0300-0000A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266700</xdr:rowOff>
        </xdr:from>
        <xdr:to>
          <xdr:col>11</xdr:col>
          <xdr:colOff>1821180</xdr:colOff>
          <xdr:row>93</xdr:row>
          <xdr:rowOff>228600</xdr:rowOff>
        </xdr:to>
        <xdr:sp macro="" textlink="">
          <xdr:nvSpPr>
            <xdr:cNvPr id="8371" name="Check Box 179" hidden="1">
              <a:extLst>
                <a:ext uri="{63B3BB69-23CF-44E3-9099-C40C66FF867C}">
                  <a14:compatExt spid="_x0000_s8371"/>
                </a:ext>
                <a:ext uri="{FF2B5EF4-FFF2-40B4-BE49-F238E27FC236}">
                  <a16:creationId xmlns:a16="http://schemas.microsoft.com/office/drawing/2014/main" id="{00000000-0008-0000-0300-0000B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144780</xdr:rowOff>
        </xdr:from>
        <xdr:to>
          <xdr:col>11</xdr:col>
          <xdr:colOff>1821180</xdr:colOff>
          <xdr:row>94</xdr:row>
          <xdr:rowOff>0</xdr:rowOff>
        </xdr:to>
        <xdr:sp macro="" textlink="">
          <xdr:nvSpPr>
            <xdr:cNvPr id="8372" name="Check Box 180" hidden="1">
              <a:extLst>
                <a:ext uri="{63B3BB69-23CF-44E3-9099-C40C66FF867C}">
                  <a14:compatExt spid="_x0000_s8372"/>
                </a:ext>
                <a:ext uri="{FF2B5EF4-FFF2-40B4-BE49-F238E27FC236}">
                  <a16:creationId xmlns:a16="http://schemas.microsoft.com/office/drawing/2014/main" id="{00000000-0008-0000-0300-0000B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266700</xdr:rowOff>
        </xdr:from>
        <xdr:to>
          <xdr:col>11</xdr:col>
          <xdr:colOff>1821180</xdr:colOff>
          <xdr:row>95</xdr:row>
          <xdr:rowOff>251460</xdr:rowOff>
        </xdr:to>
        <xdr:sp macro="" textlink="">
          <xdr:nvSpPr>
            <xdr:cNvPr id="8374" name="Check Box 182" hidden="1">
              <a:extLst>
                <a:ext uri="{63B3BB69-23CF-44E3-9099-C40C66FF867C}">
                  <a14:compatExt spid="_x0000_s8374"/>
                </a:ext>
                <a:ext uri="{FF2B5EF4-FFF2-40B4-BE49-F238E27FC236}">
                  <a16:creationId xmlns:a16="http://schemas.microsoft.com/office/drawing/2014/main" id="{00000000-0008-0000-0300-0000B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144780</xdr:rowOff>
        </xdr:from>
        <xdr:to>
          <xdr:col>11</xdr:col>
          <xdr:colOff>1821180</xdr:colOff>
          <xdr:row>96</xdr:row>
          <xdr:rowOff>0</xdr:rowOff>
        </xdr:to>
        <xdr:sp macro="" textlink="">
          <xdr:nvSpPr>
            <xdr:cNvPr id="8375" name="Check Box 183" hidden="1">
              <a:extLst>
                <a:ext uri="{63B3BB69-23CF-44E3-9099-C40C66FF867C}">
                  <a14:compatExt spid="_x0000_s8375"/>
                </a:ext>
                <a:ext uri="{FF2B5EF4-FFF2-40B4-BE49-F238E27FC236}">
                  <a16:creationId xmlns:a16="http://schemas.microsoft.com/office/drawing/2014/main" id="{00000000-0008-0000-0300-0000B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11</xdr:col>
          <xdr:colOff>1821180</xdr:colOff>
          <xdr:row>94</xdr:row>
          <xdr:rowOff>327660</xdr:rowOff>
        </xdr:to>
        <xdr:sp macro="" textlink="">
          <xdr:nvSpPr>
            <xdr:cNvPr id="8376" name="Check Box 184" hidden="1">
              <a:extLst>
                <a:ext uri="{63B3BB69-23CF-44E3-9099-C40C66FF867C}">
                  <a14:compatExt spid="_x0000_s8376"/>
                </a:ext>
                <a:ext uri="{FF2B5EF4-FFF2-40B4-BE49-F238E27FC236}">
                  <a16:creationId xmlns:a16="http://schemas.microsoft.com/office/drawing/2014/main" id="{00000000-0008-0000-0300-0000B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266700</xdr:rowOff>
        </xdr:from>
        <xdr:to>
          <xdr:col>11</xdr:col>
          <xdr:colOff>1821180</xdr:colOff>
          <xdr:row>141</xdr:row>
          <xdr:rowOff>167640</xdr:rowOff>
        </xdr:to>
        <xdr:sp macro="" textlink="">
          <xdr:nvSpPr>
            <xdr:cNvPr id="8377" name="Check Box 185" hidden="1">
              <a:extLst>
                <a:ext uri="{63B3BB69-23CF-44E3-9099-C40C66FF867C}">
                  <a14:compatExt spid="_x0000_s8377"/>
                </a:ext>
                <a:ext uri="{FF2B5EF4-FFF2-40B4-BE49-F238E27FC236}">
                  <a16:creationId xmlns:a16="http://schemas.microsoft.com/office/drawing/2014/main" id="{00000000-0008-0000-0300-0000B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141</xdr:row>
          <xdr:rowOff>144780</xdr:rowOff>
        </xdr:from>
        <xdr:to>
          <xdr:col>11</xdr:col>
          <xdr:colOff>1821180</xdr:colOff>
          <xdr:row>142</xdr:row>
          <xdr:rowOff>68580</xdr:rowOff>
        </xdr:to>
        <xdr:sp macro="" textlink="">
          <xdr:nvSpPr>
            <xdr:cNvPr id="8378" name="Check Box 186" hidden="1">
              <a:extLst>
                <a:ext uri="{63B3BB69-23CF-44E3-9099-C40C66FF867C}">
                  <a14:compatExt spid="_x0000_s8378"/>
                </a:ext>
                <a:ext uri="{FF2B5EF4-FFF2-40B4-BE49-F238E27FC236}">
                  <a16:creationId xmlns:a16="http://schemas.microsoft.com/office/drawing/2014/main" id="{00000000-0008-0000-0300-0000B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30480</xdr:rowOff>
        </xdr:from>
        <xdr:to>
          <xdr:col>11</xdr:col>
          <xdr:colOff>1821180</xdr:colOff>
          <xdr:row>140</xdr:row>
          <xdr:rowOff>297180</xdr:rowOff>
        </xdr:to>
        <xdr:sp macro="" textlink="">
          <xdr:nvSpPr>
            <xdr:cNvPr id="8379" name="Check Box 187" hidden="1">
              <a:extLst>
                <a:ext uri="{63B3BB69-23CF-44E3-9099-C40C66FF867C}">
                  <a14:compatExt spid="_x0000_s8379"/>
                </a:ext>
                <a:ext uri="{FF2B5EF4-FFF2-40B4-BE49-F238E27FC236}">
                  <a16:creationId xmlns:a16="http://schemas.microsoft.com/office/drawing/2014/main" id="{00000000-0008-0000-0300-0000B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266700</xdr:rowOff>
        </xdr:from>
        <xdr:to>
          <xdr:col>11</xdr:col>
          <xdr:colOff>1821180</xdr:colOff>
          <xdr:row>143</xdr:row>
          <xdr:rowOff>167640</xdr:rowOff>
        </xdr:to>
        <xdr:sp macro="" textlink="">
          <xdr:nvSpPr>
            <xdr:cNvPr id="8380" name="Check Box 188" hidden="1">
              <a:extLst>
                <a:ext uri="{63B3BB69-23CF-44E3-9099-C40C66FF867C}">
                  <a14:compatExt spid="_x0000_s8380"/>
                </a:ext>
                <a:ext uri="{FF2B5EF4-FFF2-40B4-BE49-F238E27FC236}">
                  <a16:creationId xmlns:a16="http://schemas.microsoft.com/office/drawing/2014/main" id="{00000000-0008-0000-0300-0000B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143</xdr:row>
          <xdr:rowOff>144780</xdr:rowOff>
        </xdr:from>
        <xdr:to>
          <xdr:col>11</xdr:col>
          <xdr:colOff>1821180</xdr:colOff>
          <xdr:row>144</xdr:row>
          <xdr:rowOff>68580</xdr:rowOff>
        </xdr:to>
        <xdr:sp macro="" textlink="">
          <xdr:nvSpPr>
            <xdr:cNvPr id="8381" name="Check Box 189" hidden="1">
              <a:extLst>
                <a:ext uri="{63B3BB69-23CF-44E3-9099-C40C66FF867C}">
                  <a14:compatExt spid="_x0000_s8381"/>
                </a:ext>
                <a:ext uri="{FF2B5EF4-FFF2-40B4-BE49-F238E27FC236}">
                  <a16:creationId xmlns:a16="http://schemas.microsoft.com/office/drawing/2014/main" id="{00000000-0008-0000-0300-0000B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30480</xdr:rowOff>
        </xdr:from>
        <xdr:to>
          <xdr:col>11</xdr:col>
          <xdr:colOff>1821180</xdr:colOff>
          <xdr:row>142</xdr:row>
          <xdr:rowOff>297180</xdr:rowOff>
        </xdr:to>
        <xdr:sp macro="" textlink="">
          <xdr:nvSpPr>
            <xdr:cNvPr id="8382" name="Check Box 190" hidden="1">
              <a:extLst>
                <a:ext uri="{63B3BB69-23CF-44E3-9099-C40C66FF867C}">
                  <a14:compatExt spid="_x0000_s8382"/>
                </a:ext>
                <a:ext uri="{FF2B5EF4-FFF2-40B4-BE49-F238E27FC236}">
                  <a16:creationId xmlns:a16="http://schemas.microsoft.com/office/drawing/2014/main" id="{00000000-0008-0000-0300-0000B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0</xdr:col>
      <xdr:colOff>0</xdr:colOff>
      <xdr:row>15</xdr:row>
      <xdr:rowOff>40821</xdr:rowOff>
    </xdr:from>
    <xdr:to>
      <xdr:col>4</xdr:col>
      <xdr:colOff>1850571</xdr:colOff>
      <xdr:row>25</xdr:row>
      <xdr:rowOff>172122</xdr:rowOff>
    </xdr:to>
    <xdr:graphicFrame macro="">
      <xdr:nvGraphicFramePr>
        <xdr:cNvPr id="10" name="Gráfico 3">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96</xdr:row>
          <xdr:rowOff>266700</xdr:rowOff>
        </xdr:from>
        <xdr:to>
          <xdr:col>11</xdr:col>
          <xdr:colOff>1821180</xdr:colOff>
          <xdr:row>97</xdr:row>
          <xdr:rowOff>198120</xdr:rowOff>
        </xdr:to>
        <xdr:sp macro="" textlink="">
          <xdr:nvSpPr>
            <xdr:cNvPr id="8408" name="Check Box 216" hidden="1">
              <a:extLst>
                <a:ext uri="{63B3BB69-23CF-44E3-9099-C40C66FF867C}">
                  <a14:compatExt spid="_x0000_s8408"/>
                </a:ext>
                <a:ext uri="{FF2B5EF4-FFF2-40B4-BE49-F238E27FC236}">
                  <a16:creationId xmlns:a16="http://schemas.microsoft.com/office/drawing/2014/main" id="{00000000-0008-0000-0300-0000D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144780</xdr:rowOff>
        </xdr:from>
        <xdr:to>
          <xdr:col>11</xdr:col>
          <xdr:colOff>1821180</xdr:colOff>
          <xdr:row>98</xdr:row>
          <xdr:rowOff>0</xdr:rowOff>
        </xdr:to>
        <xdr:sp macro="" textlink="">
          <xdr:nvSpPr>
            <xdr:cNvPr id="8409" name="Check Box 217" hidden="1">
              <a:extLst>
                <a:ext uri="{63B3BB69-23CF-44E3-9099-C40C66FF867C}">
                  <a14:compatExt spid="_x0000_s8409"/>
                </a:ext>
                <a:ext uri="{FF2B5EF4-FFF2-40B4-BE49-F238E27FC236}">
                  <a16:creationId xmlns:a16="http://schemas.microsoft.com/office/drawing/2014/main" id="{00000000-0008-0000-0300-0000D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11</xdr:col>
          <xdr:colOff>1821180</xdr:colOff>
          <xdr:row>96</xdr:row>
          <xdr:rowOff>251460</xdr:rowOff>
        </xdr:to>
        <xdr:sp macro="" textlink="">
          <xdr:nvSpPr>
            <xdr:cNvPr id="8410" name="Check Box 218" hidden="1">
              <a:extLst>
                <a:ext uri="{63B3BB69-23CF-44E3-9099-C40C66FF867C}">
                  <a14:compatExt spid="_x0000_s8410"/>
                </a:ext>
                <a:ext uri="{FF2B5EF4-FFF2-40B4-BE49-F238E27FC236}">
                  <a16:creationId xmlns:a16="http://schemas.microsoft.com/office/drawing/2014/main" id="{00000000-0008-0000-0300-0000D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266700</xdr:rowOff>
        </xdr:from>
        <xdr:to>
          <xdr:col>11</xdr:col>
          <xdr:colOff>1821180</xdr:colOff>
          <xdr:row>99</xdr:row>
          <xdr:rowOff>228600</xdr:rowOff>
        </xdr:to>
        <xdr:sp macro="" textlink="">
          <xdr:nvSpPr>
            <xdr:cNvPr id="8411" name="Check Box 219" hidden="1">
              <a:extLst>
                <a:ext uri="{63B3BB69-23CF-44E3-9099-C40C66FF867C}">
                  <a14:compatExt spid="_x0000_s8411"/>
                </a:ext>
                <a:ext uri="{FF2B5EF4-FFF2-40B4-BE49-F238E27FC236}">
                  <a16:creationId xmlns:a16="http://schemas.microsoft.com/office/drawing/2014/main" id="{00000000-0008-0000-0300-0000D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266700</xdr:rowOff>
        </xdr:from>
        <xdr:to>
          <xdr:col>11</xdr:col>
          <xdr:colOff>1821180</xdr:colOff>
          <xdr:row>101</xdr:row>
          <xdr:rowOff>167640</xdr:rowOff>
        </xdr:to>
        <xdr:sp macro="" textlink="">
          <xdr:nvSpPr>
            <xdr:cNvPr id="8414" name="Check Box 222" hidden="1">
              <a:extLst>
                <a:ext uri="{63B3BB69-23CF-44E3-9099-C40C66FF867C}">
                  <a14:compatExt spid="_x0000_s8414"/>
                </a:ext>
                <a:ext uri="{FF2B5EF4-FFF2-40B4-BE49-F238E27FC236}">
                  <a16:creationId xmlns:a16="http://schemas.microsoft.com/office/drawing/2014/main" id="{00000000-0008-0000-0300-0000D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144780</xdr:rowOff>
        </xdr:from>
        <xdr:to>
          <xdr:col>11</xdr:col>
          <xdr:colOff>1821180</xdr:colOff>
          <xdr:row>102</xdr:row>
          <xdr:rowOff>106680</xdr:rowOff>
        </xdr:to>
        <xdr:sp macro="" textlink="">
          <xdr:nvSpPr>
            <xdr:cNvPr id="8415" name="Check Box 223" hidden="1">
              <a:extLst>
                <a:ext uri="{63B3BB69-23CF-44E3-9099-C40C66FF867C}">
                  <a14:compatExt spid="_x0000_s8415"/>
                </a:ext>
                <a:ext uri="{FF2B5EF4-FFF2-40B4-BE49-F238E27FC236}">
                  <a16:creationId xmlns:a16="http://schemas.microsoft.com/office/drawing/2014/main" id="{00000000-0008-0000-0300-0000D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266700</xdr:rowOff>
        </xdr:from>
        <xdr:to>
          <xdr:col>11</xdr:col>
          <xdr:colOff>1821180</xdr:colOff>
          <xdr:row>103</xdr:row>
          <xdr:rowOff>167640</xdr:rowOff>
        </xdr:to>
        <xdr:sp macro="" textlink="">
          <xdr:nvSpPr>
            <xdr:cNvPr id="8417" name="Check Box 225" hidden="1">
              <a:extLst>
                <a:ext uri="{63B3BB69-23CF-44E3-9099-C40C66FF867C}">
                  <a14:compatExt spid="_x0000_s8417"/>
                </a:ext>
                <a:ext uri="{FF2B5EF4-FFF2-40B4-BE49-F238E27FC236}">
                  <a16:creationId xmlns:a16="http://schemas.microsoft.com/office/drawing/2014/main" id="{00000000-0008-0000-0300-0000E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144780</xdr:rowOff>
        </xdr:from>
        <xdr:to>
          <xdr:col>11</xdr:col>
          <xdr:colOff>1821180</xdr:colOff>
          <xdr:row>104</xdr:row>
          <xdr:rowOff>106680</xdr:rowOff>
        </xdr:to>
        <xdr:sp macro="" textlink="">
          <xdr:nvSpPr>
            <xdr:cNvPr id="8418" name="Check Box 226" hidden="1">
              <a:extLst>
                <a:ext uri="{63B3BB69-23CF-44E3-9099-C40C66FF867C}">
                  <a14:compatExt spid="_x0000_s8418"/>
                </a:ext>
                <a:ext uri="{FF2B5EF4-FFF2-40B4-BE49-F238E27FC236}">
                  <a16:creationId xmlns:a16="http://schemas.microsoft.com/office/drawing/2014/main" id="{00000000-0008-0000-0300-0000E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30480</xdr:rowOff>
        </xdr:from>
        <xdr:to>
          <xdr:col>11</xdr:col>
          <xdr:colOff>1821180</xdr:colOff>
          <xdr:row>102</xdr:row>
          <xdr:rowOff>289560</xdr:rowOff>
        </xdr:to>
        <xdr:sp macro="" textlink="">
          <xdr:nvSpPr>
            <xdr:cNvPr id="8419" name="Check Box 227" hidden="1">
              <a:extLst>
                <a:ext uri="{63B3BB69-23CF-44E3-9099-C40C66FF867C}">
                  <a14:compatExt spid="_x0000_s8419"/>
                </a:ext>
                <a:ext uri="{FF2B5EF4-FFF2-40B4-BE49-F238E27FC236}">
                  <a16:creationId xmlns:a16="http://schemas.microsoft.com/office/drawing/2014/main" id="{00000000-0008-0000-0300-0000E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266700</xdr:rowOff>
        </xdr:from>
        <xdr:to>
          <xdr:col>11</xdr:col>
          <xdr:colOff>1821180</xdr:colOff>
          <xdr:row>105</xdr:row>
          <xdr:rowOff>167640</xdr:rowOff>
        </xdr:to>
        <xdr:sp macro="" textlink="">
          <xdr:nvSpPr>
            <xdr:cNvPr id="8420" name="Check Box 228" hidden="1">
              <a:extLst>
                <a:ext uri="{63B3BB69-23CF-44E3-9099-C40C66FF867C}">
                  <a14:compatExt spid="_x0000_s8420"/>
                </a:ext>
                <a:ext uri="{FF2B5EF4-FFF2-40B4-BE49-F238E27FC236}">
                  <a16:creationId xmlns:a16="http://schemas.microsoft.com/office/drawing/2014/main" id="{00000000-0008-0000-0300-0000E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144780</xdr:rowOff>
        </xdr:from>
        <xdr:to>
          <xdr:col>11</xdr:col>
          <xdr:colOff>1821180</xdr:colOff>
          <xdr:row>106</xdr:row>
          <xdr:rowOff>106680</xdr:rowOff>
        </xdr:to>
        <xdr:sp macro="" textlink="">
          <xdr:nvSpPr>
            <xdr:cNvPr id="8421" name="Check Box 229" hidden="1">
              <a:extLst>
                <a:ext uri="{63B3BB69-23CF-44E3-9099-C40C66FF867C}">
                  <a14:compatExt spid="_x0000_s8421"/>
                </a:ext>
                <a:ext uri="{FF2B5EF4-FFF2-40B4-BE49-F238E27FC236}">
                  <a16:creationId xmlns:a16="http://schemas.microsoft.com/office/drawing/2014/main" id="{00000000-0008-0000-0300-0000E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30480</xdr:rowOff>
        </xdr:from>
        <xdr:to>
          <xdr:col>11</xdr:col>
          <xdr:colOff>1821180</xdr:colOff>
          <xdr:row>104</xdr:row>
          <xdr:rowOff>289560</xdr:rowOff>
        </xdr:to>
        <xdr:sp macro="" textlink="">
          <xdr:nvSpPr>
            <xdr:cNvPr id="8422" name="Check Box 230" hidden="1">
              <a:extLst>
                <a:ext uri="{63B3BB69-23CF-44E3-9099-C40C66FF867C}">
                  <a14:compatExt spid="_x0000_s8422"/>
                </a:ext>
                <a:ext uri="{FF2B5EF4-FFF2-40B4-BE49-F238E27FC236}">
                  <a16:creationId xmlns:a16="http://schemas.microsoft.com/office/drawing/2014/main" id="{00000000-0008-0000-0300-0000E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0</xdr:rowOff>
        </xdr:from>
        <xdr:to>
          <xdr:col>11</xdr:col>
          <xdr:colOff>1821180</xdr:colOff>
          <xdr:row>106</xdr:row>
          <xdr:rowOff>259080</xdr:rowOff>
        </xdr:to>
        <xdr:sp macro="" textlink="">
          <xdr:nvSpPr>
            <xdr:cNvPr id="8423" name="Check Box 231" hidden="1">
              <a:extLst>
                <a:ext uri="{63B3BB69-23CF-44E3-9099-C40C66FF867C}">
                  <a14:compatExt spid="_x0000_s8423"/>
                </a:ext>
                <a:ext uri="{FF2B5EF4-FFF2-40B4-BE49-F238E27FC236}">
                  <a16:creationId xmlns:a16="http://schemas.microsoft.com/office/drawing/2014/main" id="{00000000-0008-0000-0300-0000E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266700</xdr:rowOff>
        </xdr:from>
        <xdr:to>
          <xdr:col>11</xdr:col>
          <xdr:colOff>1821180</xdr:colOff>
          <xdr:row>107</xdr:row>
          <xdr:rowOff>167640</xdr:rowOff>
        </xdr:to>
        <xdr:sp macro="" textlink="">
          <xdr:nvSpPr>
            <xdr:cNvPr id="8426" name="Check Box 234" hidden="1">
              <a:extLst>
                <a:ext uri="{63B3BB69-23CF-44E3-9099-C40C66FF867C}">
                  <a14:compatExt spid="_x0000_s8426"/>
                </a:ext>
                <a:ext uri="{FF2B5EF4-FFF2-40B4-BE49-F238E27FC236}">
                  <a16:creationId xmlns:a16="http://schemas.microsoft.com/office/drawing/2014/main" id="{00000000-0008-0000-0300-0000E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107</xdr:row>
          <xdr:rowOff>144780</xdr:rowOff>
        </xdr:from>
        <xdr:to>
          <xdr:col>11</xdr:col>
          <xdr:colOff>1821180</xdr:colOff>
          <xdr:row>108</xdr:row>
          <xdr:rowOff>38100</xdr:rowOff>
        </xdr:to>
        <xdr:sp macro="" textlink="">
          <xdr:nvSpPr>
            <xdr:cNvPr id="8427" name="Check Box 235" hidden="1">
              <a:extLst>
                <a:ext uri="{63B3BB69-23CF-44E3-9099-C40C66FF867C}">
                  <a14:compatExt spid="_x0000_s8427"/>
                </a:ext>
                <a:ext uri="{FF2B5EF4-FFF2-40B4-BE49-F238E27FC236}">
                  <a16:creationId xmlns:a16="http://schemas.microsoft.com/office/drawing/2014/main" id="{00000000-0008-0000-0300-0000E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266700</xdr:rowOff>
        </xdr:from>
        <xdr:to>
          <xdr:col>11</xdr:col>
          <xdr:colOff>1821180</xdr:colOff>
          <xdr:row>109</xdr:row>
          <xdr:rowOff>167640</xdr:rowOff>
        </xdr:to>
        <xdr:sp macro="" textlink="">
          <xdr:nvSpPr>
            <xdr:cNvPr id="8429" name="Check Box 237" hidden="1">
              <a:extLst>
                <a:ext uri="{63B3BB69-23CF-44E3-9099-C40C66FF867C}">
                  <a14:compatExt spid="_x0000_s8429"/>
                </a:ext>
                <a:ext uri="{FF2B5EF4-FFF2-40B4-BE49-F238E27FC236}">
                  <a16:creationId xmlns:a16="http://schemas.microsoft.com/office/drawing/2014/main" id="{00000000-0008-0000-0300-0000E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109</xdr:row>
          <xdr:rowOff>144780</xdr:rowOff>
        </xdr:from>
        <xdr:to>
          <xdr:col>11</xdr:col>
          <xdr:colOff>1821180</xdr:colOff>
          <xdr:row>110</xdr:row>
          <xdr:rowOff>38100</xdr:rowOff>
        </xdr:to>
        <xdr:sp macro="" textlink="">
          <xdr:nvSpPr>
            <xdr:cNvPr id="8430" name="Check Box 238" hidden="1">
              <a:extLst>
                <a:ext uri="{63B3BB69-23CF-44E3-9099-C40C66FF867C}">
                  <a14:compatExt spid="_x0000_s8430"/>
                </a:ext>
                <a:ext uri="{FF2B5EF4-FFF2-40B4-BE49-F238E27FC236}">
                  <a16:creationId xmlns:a16="http://schemas.microsoft.com/office/drawing/2014/main" id="{00000000-0008-0000-0300-0000E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30480</xdr:rowOff>
        </xdr:from>
        <xdr:to>
          <xdr:col>11</xdr:col>
          <xdr:colOff>1821180</xdr:colOff>
          <xdr:row>108</xdr:row>
          <xdr:rowOff>327660</xdr:rowOff>
        </xdr:to>
        <xdr:sp macro="" textlink="">
          <xdr:nvSpPr>
            <xdr:cNvPr id="8431" name="Check Box 239" hidden="1">
              <a:extLst>
                <a:ext uri="{63B3BB69-23CF-44E3-9099-C40C66FF867C}">
                  <a14:compatExt spid="_x0000_s8431"/>
                </a:ext>
                <a:ext uri="{FF2B5EF4-FFF2-40B4-BE49-F238E27FC236}">
                  <a16:creationId xmlns:a16="http://schemas.microsoft.com/office/drawing/2014/main" id="{00000000-0008-0000-0300-0000E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266700</xdr:rowOff>
        </xdr:from>
        <xdr:to>
          <xdr:col>11</xdr:col>
          <xdr:colOff>1821180</xdr:colOff>
          <xdr:row>111</xdr:row>
          <xdr:rowOff>167640</xdr:rowOff>
        </xdr:to>
        <xdr:sp macro="" textlink="">
          <xdr:nvSpPr>
            <xdr:cNvPr id="8432" name="Check Box 240" hidden="1">
              <a:extLst>
                <a:ext uri="{63B3BB69-23CF-44E3-9099-C40C66FF867C}">
                  <a14:compatExt spid="_x0000_s8432"/>
                </a:ext>
                <a:ext uri="{FF2B5EF4-FFF2-40B4-BE49-F238E27FC236}">
                  <a16:creationId xmlns:a16="http://schemas.microsoft.com/office/drawing/2014/main" id="{00000000-0008-0000-0300-0000F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111</xdr:row>
          <xdr:rowOff>144780</xdr:rowOff>
        </xdr:from>
        <xdr:to>
          <xdr:col>11</xdr:col>
          <xdr:colOff>1821180</xdr:colOff>
          <xdr:row>112</xdr:row>
          <xdr:rowOff>38100</xdr:rowOff>
        </xdr:to>
        <xdr:sp macro="" textlink="">
          <xdr:nvSpPr>
            <xdr:cNvPr id="8433" name="Check Box 241" hidden="1">
              <a:extLst>
                <a:ext uri="{63B3BB69-23CF-44E3-9099-C40C66FF867C}">
                  <a14:compatExt spid="_x0000_s8433"/>
                </a:ext>
                <a:ext uri="{FF2B5EF4-FFF2-40B4-BE49-F238E27FC236}">
                  <a16:creationId xmlns:a16="http://schemas.microsoft.com/office/drawing/2014/main" id="{00000000-0008-0000-0300-0000F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30480</xdr:rowOff>
        </xdr:from>
        <xdr:to>
          <xdr:col>11</xdr:col>
          <xdr:colOff>1821180</xdr:colOff>
          <xdr:row>110</xdr:row>
          <xdr:rowOff>327660</xdr:rowOff>
        </xdr:to>
        <xdr:sp macro="" textlink="">
          <xdr:nvSpPr>
            <xdr:cNvPr id="8434" name="Check Box 242" hidden="1">
              <a:extLst>
                <a:ext uri="{63B3BB69-23CF-44E3-9099-C40C66FF867C}">
                  <a14:compatExt spid="_x0000_s8434"/>
                </a:ext>
                <a:ext uri="{FF2B5EF4-FFF2-40B4-BE49-F238E27FC236}">
                  <a16:creationId xmlns:a16="http://schemas.microsoft.com/office/drawing/2014/main" id="{00000000-0008-0000-0300-0000F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266700</xdr:rowOff>
        </xdr:from>
        <xdr:to>
          <xdr:col>11</xdr:col>
          <xdr:colOff>1821180</xdr:colOff>
          <xdr:row>113</xdr:row>
          <xdr:rowOff>167640</xdr:rowOff>
        </xdr:to>
        <xdr:sp macro="" textlink="">
          <xdr:nvSpPr>
            <xdr:cNvPr id="8435" name="Check Box 243" hidden="1">
              <a:extLst>
                <a:ext uri="{63B3BB69-23CF-44E3-9099-C40C66FF867C}">
                  <a14:compatExt spid="_x0000_s8435"/>
                </a:ext>
                <a:ext uri="{FF2B5EF4-FFF2-40B4-BE49-F238E27FC236}">
                  <a16:creationId xmlns:a16="http://schemas.microsoft.com/office/drawing/2014/main" id="{00000000-0008-0000-0300-0000F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113</xdr:row>
          <xdr:rowOff>144780</xdr:rowOff>
        </xdr:from>
        <xdr:to>
          <xdr:col>11</xdr:col>
          <xdr:colOff>1821180</xdr:colOff>
          <xdr:row>114</xdr:row>
          <xdr:rowOff>38100</xdr:rowOff>
        </xdr:to>
        <xdr:sp macro="" textlink="">
          <xdr:nvSpPr>
            <xdr:cNvPr id="8436" name="Check Box 244" hidden="1">
              <a:extLst>
                <a:ext uri="{63B3BB69-23CF-44E3-9099-C40C66FF867C}">
                  <a14:compatExt spid="_x0000_s8436"/>
                </a:ext>
                <a:ext uri="{FF2B5EF4-FFF2-40B4-BE49-F238E27FC236}">
                  <a16:creationId xmlns:a16="http://schemas.microsoft.com/office/drawing/2014/main" id="{00000000-0008-0000-0300-0000F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30480</xdr:rowOff>
        </xdr:from>
        <xdr:to>
          <xdr:col>11</xdr:col>
          <xdr:colOff>1821180</xdr:colOff>
          <xdr:row>112</xdr:row>
          <xdr:rowOff>289560</xdr:rowOff>
        </xdr:to>
        <xdr:sp macro="" textlink="">
          <xdr:nvSpPr>
            <xdr:cNvPr id="8437" name="Check Box 245" hidden="1">
              <a:extLst>
                <a:ext uri="{63B3BB69-23CF-44E3-9099-C40C66FF867C}">
                  <a14:compatExt spid="_x0000_s8437"/>
                </a:ext>
                <a:ext uri="{FF2B5EF4-FFF2-40B4-BE49-F238E27FC236}">
                  <a16:creationId xmlns:a16="http://schemas.microsoft.com/office/drawing/2014/main" id="{00000000-0008-0000-0300-0000F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266700</xdr:rowOff>
        </xdr:from>
        <xdr:to>
          <xdr:col>11</xdr:col>
          <xdr:colOff>1821180</xdr:colOff>
          <xdr:row>115</xdr:row>
          <xdr:rowOff>167640</xdr:rowOff>
        </xdr:to>
        <xdr:sp macro="" textlink="">
          <xdr:nvSpPr>
            <xdr:cNvPr id="8438" name="Check Box 246" hidden="1">
              <a:extLst>
                <a:ext uri="{63B3BB69-23CF-44E3-9099-C40C66FF867C}">
                  <a14:compatExt spid="_x0000_s8438"/>
                </a:ext>
                <a:ext uri="{FF2B5EF4-FFF2-40B4-BE49-F238E27FC236}">
                  <a16:creationId xmlns:a16="http://schemas.microsoft.com/office/drawing/2014/main" id="{00000000-0008-0000-0300-0000F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115</xdr:row>
          <xdr:rowOff>144780</xdr:rowOff>
        </xdr:from>
        <xdr:to>
          <xdr:col>11</xdr:col>
          <xdr:colOff>1821180</xdr:colOff>
          <xdr:row>116</xdr:row>
          <xdr:rowOff>38100</xdr:rowOff>
        </xdr:to>
        <xdr:sp macro="" textlink="">
          <xdr:nvSpPr>
            <xdr:cNvPr id="8439" name="Check Box 247" hidden="1">
              <a:extLst>
                <a:ext uri="{63B3BB69-23CF-44E3-9099-C40C66FF867C}">
                  <a14:compatExt spid="_x0000_s8439"/>
                </a:ext>
                <a:ext uri="{FF2B5EF4-FFF2-40B4-BE49-F238E27FC236}">
                  <a16:creationId xmlns:a16="http://schemas.microsoft.com/office/drawing/2014/main" id="{00000000-0008-0000-0300-0000F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30480</xdr:rowOff>
        </xdr:from>
        <xdr:to>
          <xdr:col>11</xdr:col>
          <xdr:colOff>1821180</xdr:colOff>
          <xdr:row>114</xdr:row>
          <xdr:rowOff>289560</xdr:rowOff>
        </xdr:to>
        <xdr:sp macro="" textlink="">
          <xdr:nvSpPr>
            <xdr:cNvPr id="8440" name="Check Box 248" hidden="1">
              <a:extLst>
                <a:ext uri="{63B3BB69-23CF-44E3-9099-C40C66FF867C}">
                  <a14:compatExt spid="_x0000_s8440"/>
                </a:ext>
                <a:ext uri="{FF2B5EF4-FFF2-40B4-BE49-F238E27FC236}">
                  <a16:creationId xmlns:a16="http://schemas.microsoft.com/office/drawing/2014/main" id="{00000000-0008-0000-0300-0000F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266700</xdr:rowOff>
        </xdr:from>
        <xdr:to>
          <xdr:col>11</xdr:col>
          <xdr:colOff>1821180</xdr:colOff>
          <xdr:row>117</xdr:row>
          <xdr:rowOff>167640</xdr:rowOff>
        </xdr:to>
        <xdr:sp macro="" textlink="">
          <xdr:nvSpPr>
            <xdr:cNvPr id="8441" name="Check Box 249" hidden="1">
              <a:extLst>
                <a:ext uri="{63B3BB69-23CF-44E3-9099-C40C66FF867C}">
                  <a14:compatExt spid="_x0000_s8441"/>
                </a:ext>
                <a:ext uri="{FF2B5EF4-FFF2-40B4-BE49-F238E27FC236}">
                  <a16:creationId xmlns:a16="http://schemas.microsoft.com/office/drawing/2014/main" id="{00000000-0008-0000-0300-0000F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117</xdr:row>
          <xdr:rowOff>144780</xdr:rowOff>
        </xdr:from>
        <xdr:to>
          <xdr:col>11</xdr:col>
          <xdr:colOff>1821180</xdr:colOff>
          <xdr:row>118</xdr:row>
          <xdr:rowOff>45720</xdr:rowOff>
        </xdr:to>
        <xdr:sp macro="" textlink="">
          <xdr:nvSpPr>
            <xdr:cNvPr id="8442" name="Check Box 250" hidden="1">
              <a:extLst>
                <a:ext uri="{63B3BB69-23CF-44E3-9099-C40C66FF867C}">
                  <a14:compatExt spid="_x0000_s8442"/>
                </a:ext>
                <a:ext uri="{FF2B5EF4-FFF2-40B4-BE49-F238E27FC236}">
                  <a16:creationId xmlns:a16="http://schemas.microsoft.com/office/drawing/2014/main" id="{00000000-0008-0000-0300-0000F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30480</xdr:rowOff>
        </xdr:from>
        <xdr:to>
          <xdr:col>11</xdr:col>
          <xdr:colOff>1821180</xdr:colOff>
          <xdr:row>116</xdr:row>
          <xdr:rowOff>289560</xdr:rowOff>
        </xdr:to>
        <xdr:sp macro="" textlink="">
          <xdr:nvSpPr>
            <xdr:cNvPr id="8443" name="Check Box 251" hidden="1">
              <a:extLst>
                <a:ext uri="{63B3BB69-23CF-44E3-9099-C40C66FF867C}">
                  <a14:compatExt spid="_x0000_s8443"/>
                </a:ext>
                <a:ext uri="{FF2B5EF4-FFF2-40B4-BE49-F238E27FC236}">
                  <a16:creationId xmlns:a16="http://schemas.microsoft.com/office/drawing/2014/main" id="{00000000-0008-0000-0300-0000F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266700</xdr:rowOff>
        </xdr:from>
        <xdr:to>
          <xdr:col>11</xdr:col>
          <xdr:colOff>1821180</xdr:colOff>
          <xdr:row>119</xdr:row>
          <xdr:rowOff>167640</xdr:rowOff>
        </xdr:to>
        <xdr:sp macro="" textlink="">
          <xdr:nvSpPr>
            <xdr:cNvPr id="8444" name="Check Box 252" hidden="1">
              <a:extLst>
                <a:ext uri="{63B3BB69-23CF-44E3-9099-C40C66FF867C}">
                  <a14:compatExt spid="_x0000_s8444"/>
                </a:ext>
                <a:ext uri="{FF2B5EF4-FFF2-40B4-BE49-F238E27FC236}">
                  <a16:creationId xmlns:a16="http://schemas.microsoft.com/office/drawing/2014/main" id="{00000000-0008-0000-0300-0000F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119</xdr:row>
          <xdr:rowOff>144780</xdr:rowOff>
        </xdr:from>
        <xdr:to>
          <xdr:col>11</xdr:col>
          <xdr:colOff>1821180</xdr:colOff>
          <xdr:row>120</xdr:row>
          <xdr:rowOff>45720</xdr:rowOff>
        </xdr:to>
        <xdr:sp macro="" textlink="">
          <xdr:nvSpPr>
            <xdr:cNvPr id="8445" name="Check Box 253" hidden="1">
              <a:extLst>
                <a:ext uri="{63B3BB69-23CF-44E3-9099-C40C66FF867C}">
                  <a14:compatExt spid="_x0000_s8445"/>
                </a:ext>
                <a:ext uri="{FF2B5EF4-FFF2-40B4-BE49-F238E27FC236}">
                  <a16:creationId xmlns:a16="http://schemas.microsoft.com/office/drawing/2014/main" id="{00000000-0008-0000-0300-0000F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30480</xdr:rowOff>
        </xdr:from>
        <xdr:to>
          <xdr:col>11</xdr:col>
          <xdr:colOff>1821180</xdr:colOff>
          <xdr:row>118</xdr:row>
          <xdr:rowOff>327660</xdr:rowOff>
        </xdr:to>
        <xdr:sp macro="" textlink="">
          <xdr:nvSpPr>
            <xdr:cNvPr id="8446" name="Check Box 254" hidden="1">
              <a:extLst>
                <a:ext uri="{63B3BB69-23CF-44E3-9099-C40C66FF867C}">
                  <a14:compatExt spid="_x0000_s8446"/>
                </a:ext>
                <a:ext uri="{FF2B5EF4-FFF2-40B4-BE49-F238E27FC236}">
                  <a16:creationId xmlns:a16="http://schemas.microsoft.com/office/drawing/2014/main" id="{00000000-0008-0000-0300-0000F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266700</xdr:rowOff>
        </xdr:from>
        <xdr:to>
          <xdr:col>11</xdr:col>
          <xdr:colOff>1821180</xdr:colOff>
          <xdr:row>123</xdr:row>
          <xdr:rowOff>167640</xdr:rowOff>
        </xdr:to>
        <xdr:sp macro="" textlink="">
          <xdr:nvSpPr>
            <xdr:cNvPr id="8453" name="Check Box 261" hidden="1">
              <a:extLst>
                <a:ext uri="{63B3BB69-23CF-44E3-9099-C40C66FF867C}">
                  <a14:compatExt spid="_x0000_s8453"/>
                </a:ext>
                <a:ext uri="{FF2B5EF4-FFF2-40B4-BE49-F238E27FC236}">
                  <a16:creationId xmlns:a16="http://schemas.microsoft.com/office/drawing/2014/main" id="{00000000-0008-0000-0300-000005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123</xdr:row>
          <xdr:rowOff>144780</xdr:rowOff>
        </xdr:from>
        <xdr:to>
          <xdr:col>11</xdr:col>
          <xdr:colOff>1821180</xdr:colOff>
          <xdr:row>124</xdr:row>
          <xdr:rowOff>68580</xdr:rowOff>
        </xdr:to>
        <xdr:sp macro="" textlink="">
          <xdr:nvSpPr>
            <xdr:cNvPr id="8454" name="Check Box 262" hidden="1">
              <a:extLst>
                <a:ext uri="{63B3BB69-23CF-44E3-9099-C40C66FF867C}">
                  <a14:compatExt spid="_x0000_s8454"/>
                </a:ext>
                <a:ext uri="{FF2B5EF4-FFF2-40B4-BE49-F238E27FC236}">
                  <a16:creationId xmlns:a16="http://schemas.microsoft.com/office/drawing/2014/main" id="{00000000-0008-0000-0300-000006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30480</xdr:rowOff>
        </xdr:from>
        <xdr:to>
          <xdr:col>11</xdr:col>
          <xdr:colOff>1821180</xdr:colOff>
          <xdr:row>122</xdr:row>
          <xdr:rowOff>297180</xdr:rowOff>
        </xdr:to>
        <xdr:sp macro="" textlink="">
          <xdr:nvSpPr>
            <xdr:cNvPr id="8455" name="Check Box 263" hidden="1">
              <a:extLst>
                <a:ext uri="{63B3BB69-23CF-44E3-9099-C40C66FF867C}">
                  <a14:compatExt spid="_x0000_s8455"/>
                </a:ext>
                <a:ext uri="{FF2B5EF4-FFF2-40B4-BE49-F238E27FC236}">
                  <a16:creationId xmlns:a16="http://schemas.microsoft.com/office/drawing/2014/main" id="{00000000-0008-0000-0300-000007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120</xdr:row>
          <xdr:rowOff>259080</xdr:rowOff>
        </xdr:from>
        <xdr:to>
          <xdr:col>11</xdr:col>
          <xdr:colOff>1821180</xdr:colOff>
          <xdr:row>121</xdr:row>
          <xdr:rowOff>167640</xdr:rowOff>
        </xdr:to>
        <xdr:sp macro="" textlink="">
          <xdr:nvSpPr>
            <xdr:cNvPr id="8535" name="Check Box 343" hidden="1">
              <a:extLst>
                <a:ext uri="{63B3BB69-23CF-44E3-9099-C40C66FF867C}">
                  <a14:compatExt spid="_x0000_s8535"/>
                </a:ext>
                <a:ext uri="{FF2B5EF4-FFF2-40B4-BE49-F238E27FC236}">
                  <a16:creationId xmlns:a16="http://schemas.microsoft.com/office/drawing/2014/main" id="{00000000-0008-0000-0300-000057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xdr:twoCellAnchor>
    <xdr:from>
      <xdr:col>5</xdr:col>
      <xdr:colOff>35105</xdr:colOff>
      <xdr:row>10</xdr:row>
      <xdr:rowOff>19003</xdr:rowOff>
    </xdr:from>
    <xdr:to>
      <xdr:col>7</xdr:col>
      <xdr:colOff>254726</xdr:colOff>
      <xdr:row>25</xdr:row>
      <xdr:rowOff>149679</xdr:rowOff>
    </xdr:to>
    <xdr:graphicFrame macro="">
      <xdr:nvGraphicFramePr>
        <xdr:cNvPr id="27" name="Gráfico 4">
          <a:extLst>
            <a:ext uri="{FF2B5EF4-FFF2-40B4-BE49-F238E27FC236}">
              <a16:creationId xmlns:a16="http://schemas.microsoft.com/office/drawing/2014/main" id="{00000000-0008-0000-03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175</xdr:row>
      <xdr:rowOff>0</xdr:rowOff>
    </xdr:from>
    <xdr:to>
      <xdr:col>5</xdr:col>
      <xdr:colOff>1208463</xdr:colOff>
      <xdr:row>193</xdr:row>
      <xdr:rowOff>235324</xdr:rowOff>
    </xdr:to>
    <xdr:graphicFrame macro="">
      <xdr:nvGraphicFramePr>
        <xdr:cNvPr id="2" name="Gráfico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124</xdr:row>
          <xdr:rowOff>266700</xdr:rowOff>
        </xdr:from>
        <xdr:to>
          <xdr:col>11</xdr:col>
          <xdr:colOff>1821180</xdr:colOff>
          <xdr:row>125</xdr:row>
          <xdr:rowOff>167640</xdr:rowOff>
        </xdr:to>
        <xdr:sp macro="" textlink="">
          <xdr:nvSpPr>
            <xdr:cNvPr id="8566" name="Check Box 374" hidden="1">
              <a:extLst>
                <a:ext uri="{63B3BB69-23CF-44E3-9099-C40C66FF867C}">
                  <a14:compatExt spid="_x0000_s8566"/>
                </a:ext>
                <a:ext uri="{FF2B5EF4-FFF2-40B4-BE49-F238E27FC236}">
                  <a16:creationId xmlns:a16="http://schemas.microsoft.com/office/drawing/2014/main" id="{00000000-0008-0000-0300-000076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125</xdr:row>
          <xdr:rowOff>144780</xdr:rowOff>
        </xdr:from>
        <xdr:to>
          <xdr:col>11</xdr:col>
          <xdr:colOff>1821180</xdr:colOff>
          <xdr:row>126</xdr:row>
          <xdr:rowOff>68580</xdr:rowOff>
        </xdr:to>
        <xdr:sp macro="" textlink="">
          <xdr:nvSpPr>
            <xdr:cNvPr id="8567" name="Check Box 375" hidden="1">
              <a:extLst>
                <a:ext uri="{63B3BB69-23CF-44E3-9099-C40C66FF867C}">
                  <a14:compatExt spid="_x0000_s8567"/>
                </a:ext>
                <a:ext uri="{FF2B5EF4-FFF2-40B4-BE49-F238E27FC236}">
                  <a16:creationId xmlns:a16="http://schemas.microsoft.com/office/drawing/2014/main" id="{00000000-0008-0000-0300-000077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30480</xdr:rowOff>
        </xdr:from>
        <xdr:to>
          <xdr:col>11</xdr:col>
          <xdr:colOff>1821180</xdr:colOff>
          <xdr:row>124</xdr:row>
          <xdr:rowOff>289560</xdr:rowOff>
        </xdr:to>
        <xdr:sp macro="" textlink="">
          <xdr:nvSpPr>
            <xdr:cNvPr id="8568" name="Check Box 376" hidden="1">
              <a:extLst>
                <a:ext uri="{63B3BB69-23CF-44E3-9099-C40C66FF867C}">
                  <a14:compatExt spid="_x0000_s8568"/>
                </a:ext>
                <a:ext uri="{FF2B5EF4-FFF2-40B4-BE49-F238E27FC236}">
                  <a16:creationId xmlns:a16="http://schemas.microsoft.com/office/drawing/2014/main" id="{00000000-0008-0000-0300-000078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266700</xdr:rowOff>
        </xdr:from>
        <xdr:to>
          <xdr:col>11</xdr:col>
          <xdr:colOff>1821180</xdr:colOff>
          <xdr:row>127</xdr:row>
          <xdr:rowOff>167640</xdr:rowOff>
        </xdr:to>
        <xdr:sp macro="" textlink="">
          <xdr:nvSpPr>
            <xdr:cNvPr id="8569" name="Check Box 377" hidden="1">
              <a:extLst>
                <a:ext uri="{63B3BB69-23CF-44E3-9099-C40C66FF867C}">
                  <a14:compatExt spid="_x0000_s8569"/>
                </a:ext>
                <a:ext uri="{FF2B5EF4-FFF2-40B4-BE49-F238E27FC236}">
                  <a16:creationId xmlns:a16="http://schemas.microsoft.com/office/drawing/2014/main" id="{00000000-0008-0000-0300-000079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127</xdr:row>
          <xdr:rowOff>144780</xdr:rowOff>
        </xdr:from>
        <xdr:to>
          <xdr:col>11</xdr:col>
          <xdr:colOff>1821180</xdr:colOff>
          <xdr:row>128</xdr:row>
          <xdr:rowOff>68580</xdr:rowOff>
        </xdr:to>
        <xdr:sp macro="" textlink="">
          <xdr:nvSpPr>
            <xdr:cNvPr id="8570" name="Check Box 378" hidden="1">
              <a:extLst>
                <a:ext uri="{63B3BB69-23CF-44E3-9099-C40C66FF867C}">
                  <a14:compatExt spid="_x0000_s8570"/>
                </a:ext>
                <a:ext uri="{FF2B5EF4-FFF2-40B4-BE49-F238E27FC236}">
                  <a16:creationId xmlns:a16="http://schemas.microsoft.com/office/drawing/2014/main" id="{00000000-0008-0000-0300-00007A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30480</xdr:rowOff>
        </xdr:from>
        <xdr:to>
          <xdr:col>11</xdr:col>
          <xdr:colOff>1821180</xdr:colOff>
          <xdr:row>126</xdr:row>
          <xdr:rowOff>289560</xdr:rowOff>
        </xdr:to>
        <xdr:sp macro="" textlink="">
          <xdr:nvSpPr>
            <xdr:cNvPr id="8571" name="Check Box 379" hidden="1">
              <a:extLst>
                <a:ext uri="{63B3BB69-23CF-44E3-9099-C40C66FF867C}">
                  <a14:compatExt spid="_x0000_s8571"/>
                </a:ext>
                <a:ext uri="{FF2B5EF4-FFF2-40B4-BE49-F238E27FC236}">
                  <a16:creationId xmlns:a16="http://schemas.microsoft.com/office/drawing/2014/main" id="{00000000-0008-0000-0300-00007B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266700</xdr:rowOff>
        </xdr:from>
        <xdr:to>
          <xdr:col>11</xdr:col>
          <xdr:colOff>1821180</xdr:colOff>
          <xdr:row>137</xdr:row>
          <xdr:rowOff>167640</xdr:rowOff>
        </xdr:to>
        <xdr:sp macro="" textlink="">
          <xdr:nvSpPr>
            <xdr:cNvPr id="8573" name="Check Box 381" hidden="1">
              <a:extLst>
                <a:ext uri="{63B3BB69-23CF-44E3-9099-C40C66FF867C}">
                  <a14:compatExt spid="_x0000_s8573"/>
                </a:ext>
                <a:ext uri="{FF2B5EF4-FFF2-40B4-BE49-F238E27FC236}">
                  <a16:creationId xmlns:a16="http://schemas.microsoft.com/office/drawing/2014/main" id="{00000000-0008-0000-0300-00007D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137</xdr:row>
          <xdr:rowOff>144780</xdr:rowOff>
        </xdr:from>
        <xdr:to>
          <xdr:col>11</xdr:col>
          <xdr:colOff>1821180</xdr:colOff>
          <xdr:row>138</xdr:row>
          <xdr:rowOff>68580</xdr:rowOff>
        </xdr:to>
        <xdr:sp macro="" textlink="">
          <xdr:nvSpPr>
            <xdr:cNvPr id="8574" name="Check Box 382" hidden="1">
              <a:extLst>
                <a:ext uri="{63B3BB69-23CF-44E3-9099-C40C66FF867C}">
                  <a14:compatExt spid="_x0000_s8574"/>
                </a:ext>
                <a:ext uri="{FF2B5EF4-FFF2-40B4-BE49-F238E27FC236}">
                  <a16:creationId xmlns:a16="http://schemas.microsoft.com/office/drawing/2014/main" id="{00000000-0008-0000-0300-00007E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30480</xdr:rowOff>
        </xdr:from>
        <xdr:to>
          <xdr:col>11</xdr:col>
          <xdr:colOff>1821180</xdr:colOff>
          <xdr:row>136</xdr:row>
          <xdr:rowOff>297180</xdr:rowOff>
        </xdr:to>
        <xdr:sp macro="" textlink="">
          <xdr:nvSpPr>
            <xdr:cNvPr id="8575" name="Check Box 383" hidden="1">
              <a:extLst>
                <a:ext uri="{63B3BB69-23CF-44E3-9099-C40C66FF867C}">
                  <a14:compatExt spid="_x0000_s8575"/>
                </a:ext>
                <a:ext uri="{FF2B5EF4-FFF2-40B4-BE49-F238E27FC236}">
                  <a16:creationId xmlns:a16="http://schemas.microsoft.com/office/drawing/2014/main" id="{00000000-0008-0000-0300-00007F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266700</xdr:rowOff>
        </xdr:from>
        <xdr:to>
          <xdr:col>11</xdr:col>
          <xdr:colOff>1821180</xdr:colOff>
          <xdr:row>139</xdr:row>
          <xdr:rowOff>167640</xdr:rowOff>
        </xdr:to>
        <xdr:sp macro="" textlink="">
          <xdr:nvSpPr>
            <xdr:cNvPr id="8576" name="Check Box 384" hidden="1">
              <a:extLst>
                <a:ext uri="{63B3BB69-23CF-44E3-9099-C40C66FF867C}">
                  <a14:compatExt spid="_x0000_s8576"/>
                </a:ext>
                <a:ext uri="{FF2B5EF4-FFF2-40B4-BE49-F238E27FC236}">
                  <a16:creationId xmlns:a16="http://schemas.microsoft.com/office/drawing/2014/main" id="{00000000-0008-0000-0300-000080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139</xdr:row>
          <xdr:rowOff>144780</xdr:rowOff>
        </xdr:from>
        <xdr:to>
          <xdr:col>11</xdr:col>
          <xdr:colOff>1821180</xdr:colOff>
          <xdr:row>140</xdr:row>
          <xdr:rowOff>68580</xdr:rowOff>
        </xdr:to>
        <xdr:sp macro="" textlink="">
          <xdr:nvSpPr>
            <xdr:cNvPr id="8577" name="Check Box 385" hidden="1">
              <a:extLst>
                <a:ext uri="{63B3BB69-23CF-44E3-9099-C40C66FF867C}">
                  <a14:compatExt spid="_x0000_s8577"/>
                </a:ext>
                <a:ext uri="{FF2B5EF4-FFF2-40B4-BE49-F238E27FC236}">
                  <a16:creationId xmlns:a16="http://schemas.microsoft.com/office/drawing/2014/main" id="{00000000-0008-0000-0300-000081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30480</xdr:rowOff>
        </xdr:from>
        <xdr:to>
          <xdr:col>11</xdr:col>
          <xdr:colOff>1821180</xdr:colOff>
          <xdr:row>138</xdr:row>
          <xdr:rowOff>297180</xdr:rowOff>
        </xdr:to>
        <xdr:sp macro="" textlink="">
          <xdr:nvSpPr>
            <xdr:cNvPr id="8578" name="Check Box 386" hidden="1">
              <a:extLst>
                <a:ext uri="{63B3BB69-23CF-44E3-9099-C40C66FF867C}">
                  <a14:compatExt spid="_x0000_s8578"/>
                </a:ext>
                <a:ext uri="{FF2B5EF4-FFF2-40B4-BE49-F238E27FC236}">
                  <a16:creationId xmlns:a16="http://schemas.microsoft.com/office/drawing/2014/main" id="{00000000-0008-0000-0300-000082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266700</xdr:rowOff>
        </xdr:from>
        <xdr:to>
          <xdr:col>11</xdr:col>
          <xdr:colOff>1821180</xdr:colOff>
          <xdr:row>133</xdr:row>
          <xdr:rowOff>167640</xdr:rowOff>
        </xdr:to>
        <xdr:sp macro="" textlink="">
          <xdr:nvSpPr>
            <xdr:cNvPr id="8579" name="Check Box 387" hidden="1">
              <a:extLst>
                <a:ext uri="{63B3BB69-23CF-44E3-9099-C40C66FF867C}">
                  <a14:compatExt spid="_x0000_s8579"/>
                </a:ext>
                <a:ext uri="{FF2B5EF4-FFF2-40B4-BE49-F238E27FC236}">
                  <a16:creationId xmlns:a16="http://schemas.microsoft.com/office/drawing/2014/main" id="{00000000-0008-0000-0300-000083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133</xdr:row>
          <xdr:rowOff>144780</xdr:rowOff>
        </xdr:from>
        <xdr:to>
          <xdr:col>11</xdr:col>
          <xdr:colOff>1821180</xdr:colOff>
          <xdr:row>134</xdr:row>
          <xdr:rowOff>68580</xdr:rowOff>
        </xdr:to>
        <xdr:sp macro="" textlink="">
          <xdr:nvSpPr>
            <xdr:cNvPr id="8580" name="Check Box 388" hidden="1">
              <a:extLst>
                <a:ext uri="{63B3BB69-23CF-44E3-9099-C40C66FF867C}">
                  <a14:compatExt spid="_x0000_s8580"/>
                </a:ext>
                <a:ext uri="{FF2B5EF4-FFF2-40B4-BE49-F238E27FC236}">
                  <a16:creationId xmlns:a16="http://schemas.microsoft.com/office/drawing/2014/main" id="{00000000-0008-0000-0300-000084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30480</xdr:rowOff>
        </xdr:from>
        <xdr:to>
          <xdr:col>11</xdr:col>
          <xdr:colOff>1821180</xdr:colOff>
          <xdr:row>132</xdr:row>
          <xdr:rowOff>297180</xdr:rowOff>
        </xdr:to>
        <xdr:sp macro="" textlink="">
          <xdr:nvSpPr>
            <xdr:cNvPr id="8581" name="Check Box 389" hidden="1">
              <a:extLst>
                <a:ext uri="{63B3BB69-23CF-44E3-9099-C40C66FF867C}">
                  <a14:compatExt spid="_x0000_s8581"/>
                </a:ext>
                <a:ext uri="{FF2B5EF4-FFF2-40B4-BE49-F238E27FC236}">
                  <a16:creationId xmlns:a16="http://schemas.microsoft.com/office/drawing/2014/main" id="{00000000-0008-0000-0300-000085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266700</xdr:rowOff>
        </xdr:from>
        <xdr:to>
          <xdr:col>11</xdr:col>
          <xdr:colOff>1821180</xdr:colOff>
          <xdr:row>135</xdr:row>
          <xdr:rowOff>167640</xdr:rowOff>
        </xdr:to>
        <xdr:sp macro="" textlink="">
          <xdr:nvSpPr>
            <xdr:cNvPr id="8582" name="Check Box 390" hidden="1">
              <a:extLst>
                <a:ext uri="{63B3BB69-23CF-44E3-9099-C40C66FF867C}">
                  <a14:compatExt spid="_x0000_s8582"/>
                </a:ext>
                <a:ext uri="{FF2B5EF4-FFF2-40B4-BE49-F238E27FC236}">
                  <a16:creationId xmlns:a16="http://schemas.microsoft.com/office/drawing/2014/main" id="{00000000-0008-0000-0300-000086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135</xdr:row>
          <xdr:rowOff>144780</xdr:rowOff>
        </xdr:from>
        <xdr:to>
          <xdr:col>11</xdr:col>
          <xdr:colOff>1821180</xdr:colOff>
          <xdr:row>136</xdr:row>
          <xdr:rowOff>68580</xdr:rowOff>
        </xdr:to>
        <xdr:sp macro="" textlink="">
          <xdr:nvSpPr>
            <xdr:cNvPr id="8583" name="Check Box 391" hidden="1">
              <a:extLst>
                <a:ext uri="{63B3BB69-23CF-44E3-9099-C40C66FF867C}">
                  <a14:compatExt spid="_x0000_s8583"/>
                </a:ext>
                <a:ext uri="{FF2B5EF4-FFF2-40B4-BE49-F238E27FC236}">
                  <a16:creationId xmlns:a16="http://schemas.microsoft.com/office/drawing/2014/main" id="{00000000-0008-0000-0300-000087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30480</xdr:rowOff>
        </xdr:from>
        <xdr:to>
          <xdr:col>11</xdr:col>
          <xdr:colOff>1821180</xdr:colOff>
          <xdr:row>134</xdr:row>
          <xdr:rowOff>297180</xdr:rowOff>
        </xdr:to>
        <xdr:sp macro="" textlink="">
          <xdr:nvSpPr>
            <xdr:cNvPr id="8584" name="Check Box 392" hidden="1">
              <a:extLst>
                <a:ext uri="{63B3BB69-23CF-44E3-9099-C40C66FF867C}">
                  <a14:compatExt spid="_x0000_s8584"/>
                </a:ext>
                <a:ext uri="{FF2B5EF4-FFF2-40B4-BE49-F238E27FC236}">
                  <a16:creationId xmlns:a16="http://schemas.microsoft.com/office/drawing/2014/main" id="{00000000-0008-0000-0300-000088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266700</xdr:rowOff>
        </xdr:from>
        <xdr:to>
          <xdr:col>11</xdr:col>
          <xdr:colOff>1821180</xdr:colOff>
          <xdr:row>129</xdr:row>
          <xdr:rowOff>167640</xdr:rowOff>
        </xdr:to>
        <xdr:sp macro="" textlink="">
          <xdr:nvSpPr>
            <xdr:cNvPr id="8585" name="Check Box 393" hidden="1">
              <a:extLst>
                <a:ext uri="{63B3BB69-23CF-44E3-9099-C40C66FF867C}">
                  <a14:compatExt spid="_x0000_s8585"/>
                </a:ext>
                <a:ext uri="{FF2B5EF4-FFF2-40B4-BE49-F238E27FC236}">
                  <a16:creationId xmlns:a16="http://schemas.microsoft.com/office/drawing/2014/main" id="{00000000-0008-0000-0300-000089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129</xdr:row>
          <xdr:rowOff>144780</xdr:rowOff>
        </xdr:from>
        <xdr:to>
          <xdr:col>11</xdr:col>
          <xdr:colOff>1821180</xdr:colOff>
          <xdr:row>130</xdr:row>
          <xdr:rowOff>68580</xdr:rowOff>
        </xdr:to>
        <xdr:sp macro="" textlink="">
          <xdr:nvSpPr>
            <xdr:cNvPr id="8586" name="Check Box 394" hidden="1">
              <a:extLst>
                <a:ext uri="{63B3BB69-23CF-44E3-9099-C40C66FF867C}">
                  <a14:compatExt spid="_x0000_s8586"/>
                </a:ext>
                <a:ext uri="{FF2B5EF4-FFF2-40B4-BE49-F238E27FC236}">
                  <a16:creationId xmlns:a16="http://schemas.microsoft.com/office/drawing/2014/main" id="{00000000-0008-0000-0300-00008A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30480</xdr:rowOff>
        </xdr:from>
        <xdr:to>
          <xdr:col>11</xdr:col>
          <xdr:colOff>1821180</xdr:colOff>
          <xdr:row>128</xdr:row>
          <xdr:rowOff>297180</xdr:rowOff>
        </xdr:to>
        <xdr:sp macro="" textlink="">
          <xdr:nvSpPr>
            <xdr:cNvPr id="8587" name="Check Box 395" hidden="1">
              <a:extLst>
                <a:ext uri="{63B3BB69-23CF-44E3-9099-C40C66FF867C}">
                  <a14:compatExt spid="_x0000_s8587"/>
                </a:ext>
                <a:ext uri="{FF2B5EF4-FFF2-40B4-BE49-F238E27FC236}">
                  <a16:creationId xmlns:a16="http://schemas.microsoft.com/office/drawing/2014/main" id="{00000000-0008-0000-0300-00008B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266700</xdr:rowOff>
        </xdr:from>
        <xdr:to>
          <xdr:col>11</xdr:col>
          <xdr:colOff>1821180</xdr:colOff>
          <xdr:row>131</xdr:row>
          <xdr:rowOff>167640</xdr:rowOff>
        </xdr:to>
        <xdr:sp macro="" textlink="">
          <xdr:nvSpPr>
            <xdr:cNvPr id="8588" name="Check Box 396" hidden="1">
              <a:extLst>
                <a:ext uri="{63B3BB69-23CF-44E3-9099-C40C66FF867C}">
                  <a14:compatExt spid="_x0000_s8588"/>
                </a:ext>
                <a:ext uri="{FF2B5EF4-FFF2-40B4-BE49-F238E27FC236}">
                  <a16:creationId xmlns:a16="http://schemas.microsoft.com/office/drawing/2014/main" id="{00000000-0008-0000-0300-00008C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131</xdr:row>
          <xdr:rowOff>144780</xdr:rowOff>
        </xdr:from>
        <xdr:to>
          <xdr:col>11</xdr:col>
          <xdr:colOff>1821180</xdr:colOff>
          <xdr:row>132</xdr:row>
          <xdr:rowOff>68580</xdr:rowOff>
        </xdr:to>
        <xdr:sp macro="" textlink="">
          <xdr:nvSpPr>
            <xdr:cNvPr id="8589" name="Check Box 397" hidden="1">
              <a:extLst>
                <a:ext uri="{63B3BB69-23CF-44E3-9099-C40C66FF867C}">
                  <a14:compatExt spid="_x0000_s8589"/>
                </a:ext>
                <a:ext uri="{FF2B5EF4-FFF2-40B4-BE49-F238E27FC236}">
                  <a16:creationId xmlns:a16="http://schemas.microsoft.com/office/drawing/2014/main" id="{00000000-0008-0000-0300-00008D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30480</xdr:rowOff>
        </xdr:from>
        <xdr:to>
          <xdr:col>11</xdr:col>
          <xdr:colOff>1821180</xdr:colOff>
          <xdr:row>130</xdr:row>
          <xdr:rowOff>297180</xdr:rowOff>
        </xdr:to>
        <xdr:sp macro="" textlink="">
          <xdr:nvSpPr>
            <xdr:cNvPr id="8590" name="Check Box 398" hidden="1">
              <a:extLst>
                <a:ext uri="{63B3BB69-23CF-44E3-9099-C40C66FF867C}">
                  <a14:compatExt spid="_x0000_s8590"/>
                </a:ext>
                <a:ext uri="{FF2B5EF4-FFF2-40B4-BE49-F238E27FC236}">
                  <a16:creationId xmlns:a16="http://schemas.microsoft.com/office/drawing/2014/main" id="{00000000-0008-0000-0300-00008E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30480</xdr:rowOff>
        </xdr:from>
        <xdr:to>
          <xdr:col>11</xdr:col>
          <xdr:colOff>1821180</xdr:colOff>
          <xdr:row>92</xdr:row>
          <xdr:rowOff>327660</xdr:rowOff>
        </xdr:to>
        <xdr:sp macro="" textlink="">
          <xdr:nvSpPr>
            <xdr:cNvPr id="8592" name="Check Box 400" hidden="1">
              <a:extLst>
                <a:ext uri="{63B3BB69-23CF-44E3-9099-C40C66FF867C}">
                  <a14:compatExt spid="_x0000_s8592"/>
                </a:ext>
                <a:ext uri="{FF2B5EF4-FFF2-40B4-BE49-F238E27FC236}">
                  <a16:creationId xmlns:a16="http://schemas.microsoft.com/office/drawing/2014/main" id="{00000000-0008-0000-0300-000090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266700</xdr:rowOff>
        </xdr:from>
        <xdr:to>
          <xdr:col>11</xdr:col>
          <xdr:colOff>1821180</xdr:colOff>
          <xdr:row>91</xdr:row>
          <xdr:rowOff>228600</xdr:rowOff>
        </xdr:to>
        <xdr:sp macro="" textlink="">
          <xdr:nvSpPr>
            <xdr:cNvPr id="8593" name="Check Box 401" hidden="1">
              <a:extLst>
                <a:ext uri="{63B3BB69-23CF-44E3-9099-C40C66FF867C}">
                  <a14:compatExt spid="_x0000_s8593"/>
                </a:ext>
                <a:ext uri="{FF2B5EF4-FFF2-40B4-BE49-F238E27FC236}">
                  <a16:creationId xmlns:a16="http://schemas.microsoft.com/office/drawing/2014/main" id="{00000000-0008-0000-0300-000091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144780</xdr:rowOff>
        </xdr:from>
        <xdr:to>
          <xdr:col>11</xdr:col>
          <xdr:colOff>1821180</xdr:colOff>
          <xdr:row>92</xdr:row>
          <xdr:rowOff>0</xdr:rowOff>
        </xdr:to>
        <xdr:sp macro="" textlink="">
          <xdr:nvSpPr>
            <xdr:cNvPr id="8594" name="Check Box 402" hidden="1">
              <a:extLst>
                <a:ext uri="{63B3BB69-23CF-44E3-9099-C40C66FF867C}">
                  <a14:compatExt spid="_x0000_s8594"/>
                </a:ext>
                <a:ext uri="{FF2B5EF4-FFF2-40B4-BE49-F238E27FC236}">
                  <a16:creationId xmlns:a16="http://schemas.microsoft.com/office/drawing/2014/main" id="{00000000-0008-0000-0300-000092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30480</xdr:rowOff>
        </xdr:from>
        <xdr:to>
          <xdr:col>11</xdr:col>
          <xdr:colOff>1821180</xdr:colOff>
          <xdr:row>90</xdr:row>
          <xdr:rowOff>327660</xdr:rowOff>
        </xdr:to>
        <xdr:sp macro="" textlink="">
          <xdr:nvSpPr>
            <xdr:cNvPr id="8595" name="Check Box 403" hidden="1">
              <a:extLst>
                <a:ext uri="{63B3BB69-23CF-44E3-9099-C40C66FF867C}">
                  <a14:compatExt spid="_x0000_s8595"/>
                </a:ext>
                <a:ext uri="{FF2B5EF4-FFF2-40B4-BE49-F238E27FC236}">
                  <a16:creationId xmlns:a16="http://schemas.microsoft.com/office/drawing/2014/main" id="{00000000-0008-0000-0300-000093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266700</xdr:rowOff>
        </xdr:from>
        <xdr:to>
          <xdr:col>11</xdr:col>
          <xdr:colOff>1821180</xdr:colOff>
          <xdr:row>89</xdr:row>
          <xdr:rowOff>228600</xdr:rowOff>
        </xdr:to>
        <xdr:sp macro="" textlink="">
          <xdr:nvSpPr>
            <xdr:cNvPr id="8596" name="Check Box 404" hidden="1">
              <a:extLst>
                <a:ext uri="{63B3BB69-23CF-44E3-9099-C40C66FF867C}">
                  <a14:compatExt spid="_x0000_s8596"/>
                </a:ext>
                <a:ext uri="{FF2B5EF4-FFF2-40B4-BE49-F238E27FC236}">
                  <a16:creationId xmlns:a16="http://schemas.microsoft.com/office/drawing/2014/main" id="{00000000-0008-0000-0300-000094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89</xdr:row>
          <xdr:rowOff>144780</xdr:rowOff>
        </xdr:from>
        <xdr:to>
          <xdr:col>11</xdr:col>
          <xdr:colOff>1821180</xdr:colOff>
          <xdr:row>90</xdr:row>
          <xdr:rowOff>0</xdr:rowOff>
        </xdr:to>
        <xdr:sp macro="" textlink="">
          <xdr:nvSpPr>
            <xdr:cNvPr id="8597" name="Check Box 405" hidden="1">
              <a:extLst>
                <a:ext uri="{63B3BB69-23CF-44E3-9099-C40C66FF867C}">
                  <a14:compatExt spid="_x0000_s8597"/>
                </a:ext>
                <a:ext uri="{FF2B5EF4-FFF2-40B4-BE49-F238E27FC236}">
                  <a16:creationId xmlns:a16="http://schemas.microsoft.com/office/drawing/2014/main" id="{00000000-0008-0000-0300-000095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30480</xdr:rowOff>
        </xdr:from>
        <xdr:to>
          <xdr:col>11</xdr:col>
          <xdr:colOff>1821180</xdr:colOff>
          <xdr:row>88</xdr:row>
          <xdr:rowOff>327660</xdr:rowOff>
        </xdr:to>
        <xdr:sp macro="" textlink="">
          <xdr:nvSpPr>
            <xdr:cNvPr id="8598" name="Check Box 406" hidden="1">
              <a:extLst>
                <a:ext uri="{63B3BB69-23CF-44E3-9099-C40C66FF867C}">
                  <a14:compatExt spid="_x0000_s8598"/>
                </a:ext>
                <a:ext uri="{FF2B5EF4-FFF2-40B4-BE49-F238E27FC236}">
                  <a16:creationId xmlns:a16="http://schemas.microsoft.com/office/drawing/2014/main" id="{00000000-0008-0000-0300-000096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1287780</xdr:colOff>
          <xdr:row>98</xdr:row>
          <xdr:rowOff>106680</xdr:rowOff>
        </xdr:from>
        <xdr:to>
          <xdr:col>11</xdr:col>
          <xdr:colOff>1821180</xdr:colOff>
          <xdr:row>98</xdr:row>
          <xdr:rowOff>297180</xdr:rowOff>
        </xdr:to>
        <xdr:sp macro="" textlink="">
          <xdr:nvSpPr>
            <xdr:cNvPr id="8607" name="Check Box 415" hidden="1">
              <a:extLst>
                <a:ext uri="{63B3BB69-23CF-44E3-9099-C40C66FF867C}">
                  <a14:compatExt spid="_x0000_s8607"/>
                </a:ext>
                <a:ext uri="{FF2B5EF4-FFF2-40B4-BE49-F238E27FC236}">
                  <a16:creationId xmlns:a16="http://schemas.microsoft.com/office/drawing/2014/main" id="{00000000-0008-0000-0300-00009F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1287780</xdr:colOff>
          <xdr:row>100</xdr:row>
          <xdr:rowOff>68580</xdr:rowOff>
        </xdr:from>
        <xdr:to>
          <xdr:col>11</xdr:col>
          <xdr:colOff>1821180</xdr:colOff>
          <xdr:row>100</xdr:row>
          <xdr:rowOff>297180</xdr:rowOff>
        </xdr:to>
        <xdr:sp macro="" textlink="">
          <xdr:nvSpPr>
            <xdr:cNvPr id="8608" name="Check Box 416" hidden="1">
              <a:extLst>
                <a:ext uri="{63B3BB69-23CF-44E3-9099-C40C66FF867C}">
                  <a14:compatExt spid="_x0000_s8608"/>
                </a:ext>
                <a:ext uri="{FF2B5EF4-FFF2-40B4-BE49-F238E27FC236}">
                  <a16:creationId xmlns:a16="http://schemas.microsoft.com/office/drawing/2014/main" id="{00000000-0008-0000-0300-0000A0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144780</xdr:rowOff>
        </xdr:from>
        <xdr:to>
          <xdr:col>11</xdr:col>
          <xdr:colOff>1821180</xdr:colOff>
          <xdr:row>99</xdr:row>
          <xdr:rowOff>335280</xdr:rowOff>
        </xdr:to>
        <xdr:sp macro="" textlink="">
          <xdr:nvSpPr>
            <xdr:cNvPr id="8609" name="Check Box 417" hidden="1">
              <a:extLst>
                <a:ext uri="{63B3BB69-23CF-44E3-9099-C40C66FF867C}">
                  <a14:compatExt spid="_x0000_s8609"/>
                </a:ext>
                <a:ext uri="{FF2B5EF4-FFF2-40B4-BE49-F238E27FC236}">
                  <a16:creationId xmlns:a16="http://schemas.microsoft.com/office/drawing/2014/main" id="{00000000-0008-0000-0300-0000A1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1287780</xdr:colOff>
          <xdr:row>104</xdr:row>
          <xdr:rowOff>68580</xdr:rowOff>
        </xdr:from>
        <xdr:to>
          <xdr:col>11</xdr:col>
          <xdr:colOff>1798320</xdr:colOff>
          <xdr:row>104</xdr:row>
          <xdr:rowOff>297180</xdr:rowOff>
        </xdr:to>
        <xdr:sp macro="" textlink="">
          <xdr:nvSpPr>
            <xdr:cNvPr id="8626" name="Check Box 434" hidden="1">
              <a:extLst>
                <a:ext uri="{63B3BB69-23CF-44E3-9099-C40C66FF867C}">
                  <a14:compatExt spid="_x0000_s8626"/>
                </a:ext>
                <a:ext uri="{FF2B5EF4-FFF2-40B4-BE49-F238E27FC236}">
                  <a16:creationId xmlns:a16="http://schemas.microsoft.com/office/drawing/2014/main" id="{00000000-0008-0000-0300-0000B2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1287780</xdr:colOff>
          <xdr:row>108</xdr:row>
          <xdr:rowOff>68580</xdr:rowOff>
        </xdr:from>
        <xdr:to>
          <xdr:col>11</xdr:col>
          <xdr:colOff>1798320</xdr:colOff>
          <xdr:row>108</xdr:row>
          <xdr:rowOff>297180</xdr:rowOff>
        </xdr:to>
        <xdr:sp macro="" textlink="">
          <xdr:nvSpPr>
            <xdr:cNvPr id="8627" name="Check Box 435" hidden="1">
              <a:extLst>
                <a:ext uri="{63B3BB69-23CF-44E3-9099-C40C66FF867C}">
                  <a14:compatExt spid="_x0000_s8627"/>
                </a:ext>
                <a:ext uri="{FF2B5EF4-FFF2-40B4-BE49-F238E27FC236}">
                  <a16:creationId xmlns:a16="http://schemas.microsoft.com/office/drawing/2014/main" id="{00000000-0008-0000-0300-0000B3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83820</xdr:rowOff>
        </xdr:from>
        <xdr:to>
          <xdr:col>11</xdr:col>
          <xdr:colOff>1813560</xdr:colOff>
          <xdr:row>70</xdr:row>
          <xdr:rowOff>304800</xdr:rowOff>
        </xdr:to>
        <xdr:sp macro="" textlink="">
          <xdr:nvSpPr>
            <xdr:cNvPr id="8648" name="Check Box 456" hidden="1">
              <a:extLst>
                <a:ext uri="{63B3BB69-23CF-44E3-9099-C40C66FF867C}">
                  <a14:compatExt spid="_x0000_s8648"/>
                </a:ext>
                <a:ext uri="{FF2B5EF4-FFF2-40B4-BE49-F238E27FC236}">
                  <a16:creationId xmlns:a16="http://schemas.microsoft.com/office/drawing/2014/main" id="{00000000-0008-0000-0300-0000C82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8</xdr:col>
      <xdr:colOff>2149373</xdr:colOff>
      <xdr:row>10</xdr:row>
      <xdr:rowOff>56862</xdr:rowOff>
    </xdr:from>
    <xdr:to>
      <xdr:col>12</xdr:col>
      <xdr:colOff>27214</xdr:colOff>
      <xdr:row>25</xdr:row>
      <xdr:rowOff>149678</xdr:rowOff>
    </xdr:to>
    <xdr:graphicFrame macro="">
      <xdr:nvGraphicFramePr>
        <xdr:cNvPr id="19" name="Gráfico 5">
          <a:extLst>
            <a:ext uri="{FF2B5EF4-FFF2-40B4-BE49-F238E27FC236}">
              <a16:creationId xmlns:a16="http://schemas.microsoft.com/office/drawing/2014/main" id="{00000000-0008-0000-0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1284855</xdr:colOff>
      <xdr:row>10</xdr:row>
      <xdr:rowOff>51226</xdr:rowOff>
    </xdr:from>
    <xdr:to>
      <xdr:col>8</xdr:col>
      <xdr:colOff>2123342</xdr:colOff>
      <xdr:row>25</xdr:row>
      <xdr:rowOff>136070</xdr:rowOff>
    </xdr:to>
    <xdr:graphicFrame macro="">
      <xdr:nvGraphicFramePr>
        <xdr:cNvPr id="14" name="Gráfico 8">
          <a:extLst>
            <a:ext uri="{FF2B5EF4-FFF2-40B4-BE49-F238E27FC236}">
              <a16:creationId xmlns:a16="http://schemas.microsoft.com/office/drawing/2014/main" id="{00000000-0008-0000-04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54</xdr:row>
          <xdr:rowOff>259080</xdr:rowOff>
        </xdr:from>
        <xdr:to>
          <xdr:col>11</xdr:col>
          <xdr:colOff>1773555</xdr:colOff>
          <xdr:row>55</xdr:row>
          <xdr:rowOff>97155</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400-00003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106680</xdr:rowOff>
        </xdr:from>
        <xdr:to>
          <xdr:col>11</xdr:col>
          <xdr:colOff>1773555</xdr:colOff>
          <xdr:row>55</xdr:row>
          <xdr:rowOff>342900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400-00003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259080</xdr:rowOff>
        </xdr:from>
        <xdr:to>
          <xdr:col>11</xdr:col>
          <xdr:colOff>1773555</xdr:colOff>
          <xdr:row>57</xdr:row>
          <xdr:rowOff>91440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4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106680</xdr:rowOff>
        </xdr:from>
        <xdr:to>
          <xdr:col>11</xdr:col>
          <xdr:colOff>1773555</xdr:colOff>
          <xdr:row>57</xdr:row>
          <xdr:rowOff>323850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4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259080</xdr:rowOff>
        </xdr:from>
        <xdr:to>
          <xdr:col>11</xdr:col>
          <xdr:colOff>1773555</xdr:colOff>
          <xdr:row>59</xdr:row>
          <xdr:rowOff>91440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4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106680</xdr:rowOff>
        </xdr:from>
        <xdr:to>
          <xdr:col>11</xdr:col>
          <xdr:colOff>1773555</xdr:colOff>
          <xdr:row>59</xdr:row>
          <xdr:rowOff>323850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4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259080</xdr:rowOff>
        </xdr:from>
        <xdr:to>
          <xdr:col>11</xdr:col>
          <xdr:colOff>1773555</xdr:colOff>
          <xdr:row>61</xdr:row>
          <xdr:rowOff>97155</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4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106680</xdr:rowOff>
        </xdr:from>
        <xdr:to>
          <xdr:col>11</xdr:col>
          <xdr:colOff>1773555</xdr:colOff>
          <xdr:row>61</xdr:row>
          <xdr:rowOff>342900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4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259080</xdr:rowOff>
        </xdr:from>
        <xdr:to>
          <xdr:col>11</xdr:col>
          <xdr:colOff>1773555</xdr:colOff>
          <xdr:row>63</xdr:row>
          <xdr:rowOff>152400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4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106680</xdr:rowOff>
        </xdr:from>
        <xdr:to>
          <xdr:col>11</xdr:col>
          <xdr:colOff>1773555</xdr:colOff>
          <xdr:row>63</xdr:row>
          <xdr:rowOff>323850</xdr:rowOff>
        </xdr:to>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400-00004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259080</xdr:rowOff>
        </xdr:from>
        <xdr:to>
          <xdr:col>11</xdr:col>
          <xdr:colOff>1773555</xdr:colOff>
          <xdr:row>65</xdr:row>
          <xdr:rowOff>91440</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400-00004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106680</xdr:rowOff>
        </xdr:from>
        <xdr:to>
          <xdr:col>11</xdr:col>
          <xdr:colOff>1773555</xdr:colOff>
          <xdr:row>65</xdr:row>
          <xdr:rowOff>323850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400-00004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259080</xdr:rowOff>
        </xdr:from>
        <xdr:to>
          <xdr:col>11</xdr:col>
          <xdr:colOff>1773555</xdr:colOff>
          <xdr:row>67</xdr:row>
          <xdr:rowOff>97155</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400-00004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106680</xdr:rowOff>
        </xdr:from>
        <xdr:to>
          <xdr:col>11</xdr:col>
          <xdr:colOff>1773555</xdr:colOff>
          <xdr:row>67</xdr:row>
          <xdr:rowOff>323850</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400-00004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0</xdr:rowOff>
        </xdr:from>
        <xdr:to>
          <xdr:col>11</xdr:col>
          <xdr:colOff>1773555</xdr:colOff>
          <xdr:row>68</xdr:row>
          <xdr:rowOff>228600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400-00005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259080</xdr:rowOff>
        </xdr:from>
        <xdr:to>
          <xdr:col>11</xdr:col>
          <xdr:colOff>1773555</xdr:colOff>
          <xdr:row>69</xdr:row>
          <xdr:rowOff>91440</xdr:rowOff>
        </xdr:to>
        <xdr:sp macro="" textlink="">
          <xdr:nvSpPr>
            <xdr:cNvPr id="4178" name="Check Box 82" hidden="1">
              <a:extLst>
                <a:ext uri="{63B3BB69-23CF-44E3-9099-C40C66FF867C}">
                  <a14:compatExt spid="_x0000_s4178"/>
                </a:ext>
                <a:ext uri="{FF2B5EF4-FFF2-40B4-BE49-F238E27FC236}">
                  <a16:creationId xmlns:a16="http://schemas.microsoft.com/office/drawing/2014/main" id="{00000000-0008-0000-0400-00005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69</xdr:row>
          <xdr:rowOff>106680</xdr:rowOff>
        </xdr:from>
        <xdr:to>
          <xdr:col>11</xdr:col>
          <xdr:colOff>1773555</xdr:colOff>
          <xdr:row>69</xdr:row>
          <xdr:rowOff>342900</xdr:rowOff>
        </xdr:to>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400-00005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259080</xdr:rowOff>
        </xdr:from>
        <xdr:to>
          <xdr:col>11</xdr:col>
          <xdr:colOff>1773555</xdr:colOff>
          <xdr:row>71</xdr:row>
          <xdr:rowOff>91440</xdr:rowOff>
        </xdr:to>
        <xdr:sp macro="" textlink="">
          <xdr:nvSpPr>
            <xdr:cNvPr id="4181" name="Check Box 85" hidden="1">
              <a:extLst>
                <a:ext uri="{63B3BB69-23CF-44E3-9099-C40C66FF867C}">
                  <a14:compatExt spid="_x0000_s4181"/>
                </a:ext>
                <a:ext uri="{FF2B5EF4-FFF2-40B4-BE49-F238E27FC236}">
                  <a16:creationId xmlns:a16="http://schemas.microsoft.com/office/drawing/2014/main" id="{00000000-0008-0000-0400-00005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106680</xdr:rowOff>
        </xdr:from>
        <xdr:to>
          <xdr:col>11</xdr:col>
          <xdr:colOff>1773555</xdr:colOff>
          <xdr:row>71</xdr:row>
          <xdr:rowOff>323850</xdr:rowOff>
        </xdr:to>
        <xdr:sp macro="" textlink="">
          <xdr:nvSpPr>
            <xdr:cNvPr id="4182" name="Check Box 86" hidden="1">
              <a:extLst>
                <a:ext uri="{63B3BB69-23CF-44E3-9099-C40C66FF867C}">
                  <a14:compatExt spid="_x0000_s4182"/>
                </a:ext>
                <a:ext uri="{FF2B5EF4-FFF2-40B4-BE49-F238E27FC236}">
                  <a16:creationId xmlns:a16="http://schemas.microsoft.com/office/drawing/2014/main" id="{00000000-0008-0000-0400-00005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259080</xdr:rowOff>
        </xdr:from>
        <xdr:to>
          <xdr:col>11</xdr:col>
          <xdr:colOff>1773555</xdr:colOff>
          <xdr:row>73</xdr:row>
          <xdr:rowOff>152400</xdr:rowOff>
        </xdr:to>
        <xdr:sp macro="" textlink="">
          <xdr:nvSpPr>
            <xdr:cNvPr id="4187" name="Check Box 91" hidden="1">
              <a:extLst>
                <a:ext uri="{63B3BB69-23CF-44E3-9099-C40C66FF867C}">
                  <a14:compatExt spid="_x0000_s4187"/>
                </a:ext>
                <a:ext uri="{FF2B5EF4-FFF2-40B4-BE49-F238E27FC236}">
                  <a16:creationId xmlns:a16="http://schemas.microsoft.com/office/drawing/2014/main" id="{00000000-0008-0000-0400-00005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106680</xdr:rowOff>
        </xdr:from>
        <xdr:to>
          <xdr:col>11</xdr:col>
          <xdr:colOff>1773555</xdr:colOff>
          <xdr:row>73</xdr:row>
          <xdr:rowOff>323850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4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259080</xdr:rowOff>
        </xdr:from>
        <xdr:to>
          <xdr:col>11</xdr:col>
          <xdr:colOff>1773555</xdr:colOff>
          <xdr:row>75</xdr:row>
          <xdr:rowOff>152400</xdr:rowOff>
        </xdr:to>
        <xdr:sp macro="" textlink="">
          <xdr:nvSpPr>
            <xdr:cNvPr id="4190" name="Check Box 94" hidden="1">
              <a:extLst>
                <a:ext uri="{63B3BB69-23CF-44E3-9099-C40C66FF867C}">
                  <a14:compatExt spid="_x0000_s4190"/>
                </a:ext>
                <a:ext uri="{FF2B5EF4-FFF2-40B4-BE49-F238E27FC236}">
                  <a16:creationId xmlns:a16="http://schemas.microsoft.com/office/drawing/2014/main" id="{00000000-0008-0000-0400-00005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75</xdr:row>
          <xdr:rowOff>106680</xdr:rowOff>
        </xdr:from>
        <xdr:to>
          <xdr:col>11</xdr:col>
          <xdr:colOff>1773555</xdr:colOff>
          <xdr:row>75</xdr:row>
          <xdr:rowOff>323850</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400-00005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259080</xdr:rowOff>
        </xdr:from>
        <xdr:to>
          <xdr:col>11</xdr:col>
          <xdr:colOff>1773555</xdr:colOff>
          <xdr:row>77</xdr:row>
          <xdr:rowOff>91440</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400-00006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77</xdr:row>
          <xdr:rowOff>106680</xdr:rowOff>
        </xdr:from>
        <xdr:to>
          <xdr:col>11</xdr:col>
          <xdr:colOff>1773555</xdr:colOff>
          <xdr:row>77</xdr:row>
          <xdr:rowOff>323850</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400-00006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259080</xdr:rowOff>
        </xdr:from>
        <xdr:to>
          <xdr:col>11</xdr:col>
          <xdr:colOff>1773555</xdr:colOff>
          <xdr:row>79</xdr:row>
          <xdr:rowOff>97155</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400-00006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106680</xdr:rowOff>
        </xdr:from>
        <xdr:to>
          <xdr:col>11</xdr:col>
          <xdr:colOff>1773555</xdr:colOff>
          <xdr:row>79</xdr:row>
          <xdr:rowOff>342900</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400-00006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259080</xdr:rowOff>
        </xdr:from>
        <xdr:to>
          <xdr:col>11</xdr:col>
          <xdr:colOff>1773555</xdr:colOff>
          <xdr:row>81</xdr:row>
          <xdr:rowOff>152400</xdr:rowOff>
        </xdr:to>
        <xdr:sp macro="" textlink="">
          <xdr:nvSpPr>
            <xdr:cNvPr id="4199" name="Check Box 103" hidden="1">
              <a:extLst>
                <a:ext uri="{63B3BB69-23CF-44E3-9099-C40C66FF867C}">
                  <a14:compatExt spid="_x0000_s4199"/>
                </a:ext>
                <a:ext uri="{FF2B5EF4-FFF2-40B4-BE49-F238E27FC236}">
                  <a16:creationId xmlns:a16="http://schemas.microsoft.com/office/drawing/2014/main" id="{00000000-0008-0000-0400-00006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106680</xdr:rowOff>
        </xdr:from>
        <xdr:to>
          <xdr:col>11</xdr:col>
          <xdr:colOff>1773555</xdr:colOff>
          <xdr:row>81</xdr:row>
          <xdr:rowOff>323850</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400-00006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259080</xdr:rowOff>
        </xdr:from>
        <xdr:to>
          <xdr:col>11</xdr:col>
          <xdr:colOff>1773555</xdr:colOff>
          <xdr:row>83</xdr:row>
          <xdr:rowOff>91440</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400-00006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106680</xdr:rowOff>
        </xdr:from>
        <xdr:to>
          <xdr:col>11</xdr:col>
          <xdr:colOff>1773555</xdr:colOff>
          <xdr:row>83</xdr:row>
          <xdr:rowOff>323850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4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0</xdr:rowOff>
        </xdr:from>
        <xdr:to>
          <xdr:col>11</xdr:col>
          <xdr:colOff>1773555</xdr:colOff>
          <xdr:row>84</xdr:row>
          <xdr:rowOff>211455</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4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0</xdr:rowOff>
        </xdr:from>
        <xdr:to>
          <xdr:col>11</xdr:col>
          <xdr:colOff>1773555</xdr:colOff>
          <xdr:row>84</xdr:row>
          <xdr:rowOff>211455</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400-00007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0</xdr:rowOff>
        </xdr:from>
        <xdr:to>
          <xdr:col>11</xdr:col>
          <xdr:colOff>1773555</xdr:colOff>
          <xdr:row>84</xdr:row>
          <xdr:rowOff>211455</xdr:rowOff>
        </xdr:to>
        <xdr:sp macro="" textlink="">
          <xdr:nvSpPr>
            <xdr:cNvPr id="4209" name="Check Box 113" hidden="1">
              <a:extLst>
                <a:ext uri="{63B3BB69-23CF-44E3-9099-C40C66FF867C}">
                  <a14:compatExt spid="_x0000_s4209"/>
                </a:ext>
                <a:ext uri="{FF2B5EF4-FFF2-40B4-BE49-F238E27FC236}">
                  <a16:creationId xmlns:a16="http://schemas.microsoft.com/office/drawing/2014/main" id="{00000000-0008-0000-0400-00007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259080</xdr:rowOff>
        </xdr:from>
        <xdr:to>
          <xdr:col>11</xdr:col>
          <xdr:colOff>1773555</xdr:colOff>
          <xdr:row>85</xdr:row>
          <xdr:rowOff>152400</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400-00007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106680</xdr:rowOff>
        </xdr:from>
        <xdr:to>
          <xdr:col>11</xdr:col>
          <xdr:colOff>1773555</xdr:colOff>
          <xdr:row>85</xdr:row>
          <xdr:rowOff>323850</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400-00007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0</xdr:rowOff>
        </xdr:from>
        <xdr:to>
          <xdr:col>11</xdr:col>
          <xdr:colOff>1773555</xdr:colOff>
          <xdr:row>86</xdr:row>
          <xdr:rowOff>211455</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400-00007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259080</xdr:rowOff>
        </xdr:from>
        <xdr:to>
          <xdr:col>11</xdr:col>
          <xdr:colOff>1773555</xdr:colOff>
          <xdr:row>87</xdr:row>
          <xdr:rowOff>152400</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400-00007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106680</xdr:rowOff>
        </xdr:from>
        <xdr:to>
          <xdr:col>11</xdr:col>
          <xdr:colOff>1773555</xdr:colOff>
          <xdr:row>87</xdr:row>
          <xdr:rowOff>323850</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400-00007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259080</xdr:rowOff>
        </xdr:from>
        <xdr:to>
          <xdr:col>11</xdr:col>
          <xdr:colOff>1773555</xdr:colOff>
          <xdr:row>89</xdr:row>
          <xdr:rowOff>152400</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400-00007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89</xdr:row>
          <xdr:rowOff>106680</xdr:rowOff>
        </xdr:from>
        <xdr:to>
          <xdr:col>11</xdr:col>
          <xdr:colOff>1773555</xdr:colOff>
          <xdr:row>89</xdr:row>
          <xdr:rowOff>323850</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400-00007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30480</xdr:rowOff>
        </xdr:from>
        <xdr:to>
          <xdr:col>11</xdr:col>
          <xdr:colOff>1773555</xdr:colOff>
          <xdr:row>90</xdr:row>
          <xdr:rowOff>228600</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400-00007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259080</xdr:rowOff>
        </xdr:from>
        <xdr:to>
          <xdr:col>11</xdr:col>
          <xdr:colOff>1773555</xdr:colOff>
          <xdr:row>91</xdr:row>
          <xdr:rowOff>152400</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400-00007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106680</xdr:rowOff>
        </xdr:from>
        <xdr:to>
          <xdr:col>11</xdr:col>
          <xdr:colOff>1773555</xdr:colOff>
          <xdr:row>91</xdr:row>
          <xdr:rowOff>323850</xdr:rowOff>
        </xdr:to>
        <xdr:sp macro="" textlink="">
          <xdr:nvSpPr>
            <xdr:cNvPr id="4224" name="Check Box 128" hidden="1">
              <a:extLst>
                <a:ext uri="{63B3BB69-23CF-44E3-9099-C40C66FF867C}">
                  <a14:compatExt spid="_x0000_s4224"/>
                </a:ext>
                <a:ext uri="{FF2B5EF4-FFF2-40B4-BE49-F238E27FC236}">
                  <a16:creationId xmlns:a16="http://schemas.microsoft.com/office/drawing/2014/main" id="{00000000-0008-0000-0400-00008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259080</xdr:rowOff>
        </xdr:from>
        <xdr:to>
          <xdr:col>11</xdr:col>
          <xdr:colOff>1773555</xdr:colOff>
          <xdr:row>105</xdr:row>
          <xdr:rowOff>152400</xdr:rowOff>
        </xdr:to>
        <xdr:sp macro="" textlink="">
          <xdr:nvSpPr>
            <xdr:cNvPr id="4226" name="Check Box 130" hidden="1">
              <a:extLst>
                <a:ext uri="{63B3BB69-23CF-44E3-9099-C40C66FF867C}">
                  <a14:compatExt spid="_x0000_s4226"/>
                </a:ext>
                <a:ext uri="{FF2B5EF4-FFF2-40B4-BE49-F238E27FC236}">
                  <a16:creationId xmlns:a16="http://schemas.microsoft.com/office/drawing/2014/main" id="{00000000-0008-0000-0400-00008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106680</xdr:rowOff>
        </xdr:from>
        <xdr:to>
          <xdr:col>11</xdr:col>
          <xdr:colOff>1773555</xdr:colOff>
          <xdr:row>105</xdr:row>
          <xdr:rowOff>287655</xdr:rowOff>
        </xdr:to>
        <xdr:sp macro="" textlink="">
          <xdr:nvSpPr>
            <xdr:cNvPr id="4227" name="Check Box 131" hidden="1">
              <a:extLst>
                <a:ext uri="{63B3BB69-23CF-44E3-9099-C40C66FF867C}">
                  <a14:compatExt spid="_x0000_s4227"/>
                </a:ext>
                <a:ext uri="{FF2B5EF4-FFF2-40B4-BE49-F238E27FC236}">
                  <a16:creationId xmlns:a16="http://schemas.microsoft.com/office/drawing/2014/main" id="{00000000-0008-0000-0400-00008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259080</xdr:rowOff>
        </xdr:from>
        <xdr:to>
          <xdr:col>11</xdr:col>
          <xdr:colOff>1773555</xdr:colOff>
          <xdr:row>143</xdr:row>
          <xdr:rowOff>129540</xdr:rowOff>
        </xdr:to>
        <xdr:sp macro="" textlink="">
          <xdr:nvSpPr>
            <xdr:cNvPr id="4229" name="Check Box 133" hidden="1">
              <a:extLst>
                <a:ext uri="{63B3BB69-23CF-44E3-9099-C40C66FF867C}">
                  <a14:compatExt spid="_x0000_s4229"/>
                </a:ext>
                <a:ext uri="{FF2B5EF4-FFF2-40B4-BE49-F238E27FC236}">
                  <a16:creationId xmlns:a16="http://schemas.microsoft.com/office/drawing/2014/main" id="{00000000-0008-0000-0400-00008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143</xdr:row>
          <xdr:rowOff>106680</xdr:rowOff>
        </xdr:from>
        <xdr:to>
          <xdr:col>11</xdr:col>
          <xdr:colOff>1773555</xdr:colOff>
          <xdr:row>143</xdr:row>
          <xdr:rowOff>287655</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4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30480</xdr:rowOff>
        </xdr:from>
        <xdr:to>
          <xdr:col>11</xdr:col>
          <xdr:colOff>1773555</xdr:colOff>
          <xdr:row>54</xdr:row>
          <xdr:rowOff>249555</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4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11</xdr:col>
          <xdr:colOff>1773555</xdr:colOff>
          <xdr:row>56</xdr:row>
          <xdr:rowOff>249555</xdr:rowOff>
        </xdr:to>
        <xdr:sp macro="" textlink="">
          <xdr:nvSpPr>
            <xdr:cNvPr id="4233" name="Check Box 137" hidden="1">
              <a:extLst>
                <a:ext uri="{63B3BB69-23CF-44E3-9099-C40C66FF867C}">
                  <a14:compatExt spid="_x0000_s4233"/>
                </a:ext>
                <a:ext uri="{FF2B5EF4-FFF2-40B4-BE49-F238E27FC236}">
                  <a16:creationId xmlns:a16="http://schemas.microsoft.com/office/drawing/2014/main" id="{00000000-0008-0000-0400-00008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11</xdr:col>
          <xdr:colOff>1773555</xdr:colOff>
          <xdr:row>58</xdr:row>
          <xdr:rowOff>249555</xdr:rowOff>
        </xdr:to>
        <xdr:sp macro="" textlink="">
          <xdr:nvSpPr>
            <xdr:cNvPr id="4234" name="Check Box 138" hidden="1">
              <a:extLst>
                <a:ext uri="{63B3BB69-23CF-44E3-9099-C40C66FF867C}">
                  <a14:compatExt spid="_x0000_s4234"/>
                </a:ext>
                <a:ext uri="{FF2B5EF4-FFF2-40B4-BE49-F238E27FC236}">
                  <a16:creationId xmlns:a16="http://schemas.microsoft.com/office/drawing/2014/main" id="{00000000-0008-0000-0400-00008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30480</xdr:rowOff>
        </xdr:from>
        <xdr:to>
          <xdr:col>11</xdr:col>
          <xdr:colOff>1773555</xdr:colOff>
          <xdr:row>60</xdr:row>
          <xdr:rowOff>249555</xdr:rowOff>
        </xdr:to>
        <xdr:sp macro="" textlink="">
          <xdr:nvSpPr>
            <xdr:cNvPr id="4235" name="Check Box 139" hidden="1">
              <a:extLst>
                <a:ext uri="{63B3BB69-23CF-44E3-9099-C40C66FF867C}">
                  <a14:compatExt spid="_x0000_s4235"/>
                </a:ext>
                <a:ext uri="{FF2B5EF4-FFF2-40B4-BE49-F238E27FC236}">
                  <a16:creationId xmlns:a16="http://schemas.microsoft.com/office/drawing/2014/main" id="{00000000-0008-0000-0400-00008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11</xdr:col>
          <xdr:colOff>1773555</xdr:colOff>
          <xdr:row>62</xdr:row>
          <xdr:rowOff>249555</xdr:rowOff>
        </xdr:to>
        <xdr:sp macro="" textlink="">
          <xdr:nvSpPr>
            <xdr:cNvPr id="4236" name="Check Box 140" hidden="1">
              <a:extLst>
                <a:ext uri="{63B3BB69-23CF-44E3-9099-C40C66FF867C}">
                  <a14:compatExt spid="_x0000_s4236"/>
                </a:ext>
                <a:ext uri="{FF2B5EF4-FFF2-40B4-BE49-F238E27FC236}">
                  <a16:creationId xmlns:a16="http://schemas.microsoft.com/office/drawing/2014/main" id="{00000000-0008-0000-0400-00008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11</xdr:col>
          <xdr:colOff>1773555</xdr:colOff>
          <xdr:row>64</xdr:row>
          <xdr:rowOff>249555</xdr:rowOff>
        </xdr:to>
        <xdr:sp macro="" textlink="">
          <xdr:nvSpPr>
            <xdr:cNvPr id="4237" name="Check Box 141" hidden="1">
              <a:extLst>
                <a:ext uri="{63B3BB69-23CF-44E3-9099-C40C66FF867C}">
                  <a14:compatExt spid="_x0000_s4237"/>
                </a:ext>
                <a:ext uri="{FF2B5EF4-FFF2-40B4-BE49-F238E27FC236}">
                  <a16:creationId xmlns:a16="http://schemas.microsoft.com/office/drawing/2014/main" id="{00000000-0008-0000-0400-00008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11</xdr:col>
          <xdr:colOff>1773555</xdr:colOff>
          <xdr:row>66</xdr:row>
          <xdr:rowOff>249555</xdr:rowOff>
        </xdr:to>
        <xdr:sp macro="" textlink="">
          <xdr:nvSpPr>
            <xdr:cNvPr id="4238" name="Check Box 142" hidden="1">
              <a:extLst>
                <a:ext uri="{63B3BB69-23CF-44E3-9099-C40C66FF867C}">
                  <a14:compatExt spid="_x0000_s4238"/>
                </a:ext>
                <a:ext uri="{FF2B5EF4-FFF2-40B4-BE49-F238E27FC236}">
                  <a16:creationId xmlns:a16="http://schemas.microsoft.com/office/drawing/2014/main" id="{00000000-0008-0000-0400-00008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30480</xdr:rowOff>
        </xdr:from>
        <xdr:to>
          <xdr:col>11</xdr:col>
          <xdr:colOff>1773555</xdr:colOff>
          <xdr:row>70</xdr:row>
          <xdr:rowOff>249555</xdr:rowOff>
        </xdr:to>
        <xdr:sp macro="" textlink="">
          <xdr:nvSpPr>
            <xdr:cNvPr id="4242" name="Check Box 146" hidden="1">
              <a:extLst>
                <a:ext uri="{63B3BB69-23CF-44E3-9099-C40C66FF867C}">
                  <a14:compatExt spid="_x0000_s4242"/>
                </a:ext>
                <a:ext uri="{FF2B5EF4-FFF2-40B4-BE49-F238E27FC236}">
                  <a16:creationId xmlns:a16="http://schemas.microsoft.com/office/drawing/2014/main" id="{00000000-0008-0000-0400-00009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11</xdr:col>
          <xdr:colOff>1773555</xdr:colOff>
          <xdr:row>72</xdr:row>
          <xdr:rowOff>249555</xdr:rowOff>
        </xdr:to>
        <xdr:sp macro="" textlink="">
          <xdr:nvSpPr>
            <xdr:cNvPr id="4243" name="Check Box 147" hidden="1">
              <a:extLst>
                <a:ext uri="{63B3BB69-23CF-44E3-9099-C40C66FF867C}">
                  <a14:compatExt spid="_x0000_s4243"/>
                </a:ext>
                <a:ext uri="{FF2B5EF4-FFF2-40B4-BE49-F238E27FC236}">
                  <a16:creationId xmlns:a16="http://schemas.microsoft.com/office/drawing/2014/main" id="{00000000-0008-0000-0400-00009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30480</xdr:rowOff>
        </xdr:from>
        <xdr:to>
          <xdr:col>11</xdr:col>
          <xdr:colOff>1773555</xdr:colOff>
          <xdr:row>74</xdr:row>
          <xdr:rowOff>249555</xdr:rowOff>
        </xdr:to>
        <xdr:sp macro="" textlink="">
          <xdr:nvSpPr>
            <xdr:cNvPr id="4244" name="Check Box 148" hidden="1">
              <a:extLst>
                <a:ext uri="{63B3BB69-23CF-44E3-9099-C40C66FF867C}">
                  <a14:compatExt spid="_x0000_s4244"/>
                </a:ext>
                <a:ext uri="{FF2B5EF4-FFF2-40B4-BE49-F238E27FC236}">
                  <a16:creationId xmlns:a16="http://schemas.microsoft.com/office/drawing/2014/main" id="{00000000-0008-0000-0400-00009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30480</xdr:rowOff>
        </xdr:from>
        <xdr:to>
          <xdr:col>11</xdr:col>
          <xdr:colOff>1773555</xdr:colOff>
          <xdr:row>76</xdr:row>
          <xdr:rowOff>249555</xdr:rowOff>
        </xdr:to>
        <xdr:sp macro="" textlink="">
          <xdr:nvSpPr>
            <xdr:cNvPr id="4245" name="Check Box 149" hidden="1">
              <a:extLst>
                <a:ext uri="{63B3BB69-23CF-44E3-9099-C40C66FF867C}">
                  <a14:compatExt spid="_x0000_s4245"/>
                </a:ext>
                <a:ext uri="{FF2B5EF4-FFF2-40B4-BE49-F238E27FC236}">
                  <a16:creationId xmlns:a16="http://schemas.microsoft.com/office/drawing/2014/main" id="{00000000-0008-0000-0400-00009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11</xdr:col>
          <xdr:colOff>1773555</xdr:colOff>
          <xdr:row>78</xdr:row>
          <xdr:rowOff>249555</xdr:rowOff>
        </xdr:to>
        <xdr:sp macro="" textlink="">
          <xdr:nvSpPr>
            <xdr:cNvPr id="4246" name="Check Box 150" hidden="1">
              <a:extLst>
                <a:ext uri="{63B3BB69-23CF-44E3-9099-C40C66FF867C}">
                  <a14:compatExt spid="_x0000_s4246"/>
                </a:ext>
                <a:ext uri="{FF2B5EF4-FFF2-40B4-BE49-F238E27FC236}">
                  <a16:creationId xmlns:a16="http://schemas.microsoft.com/office/drawing/2014/main" id="{00000000-0008-0000-0400-00009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11</xdr:col>
          <xdr:colOff>1773555</xdr:colOff>
          <xdr:row>80</xdr:row>
          <xdr:rowOff>249555</xdr:rowOff>
        </xdr:to>
        <xdr:sp macro="" textlink="">
          <xdr:nvSpPr>
            <xdr:cNvPr id="4247" name="Check Box 151" hidden="1">
              <a:extLst>
                <a:ext uri="{63B3BB69-23CF-44E3-9099-C40C66FF867C}">
                  <a14:compatExt spid="_x0000_s4247"/>
                </a:ext>
                <a:ext uri="{FF2B5EF4-FFF2-40B4-BE49-F238E27FC236}">
                  <a16:creationId xmlns:a16="http://schemas.microsoft.com/office/drawing/2014/main" id="{00000000-0008-0000-0400-00009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30480</xdr:rowOff>
        </xdr:from>
        <xdr:to>
          <xdr:col>11</xdr:col>
          <xdr:colOff>1773555</xdr:colOff>
          <xdr:row>82</xdr:row>
          <xdr:rowOff>249555</xdr:rowOff>
        </xdr:to>
        <xdr:sp macro="" textlink="">
          <xdr:nvSpPr>
            <xdr:cNvPr id="4248" name="Check Box 152" hidden="1">
              <a:extLst>
                <a:ext uri="{63B3BB69-23CF-44E3-9099-C40C66FF867C}">
                  <a14:compatExt spid="_x0000_s4248"/>
                </a:ext>
                <a:ext uri="{FF2B5EF4-FFF2-40B4-BE49-F238E27FC236}">
                  <a16:creationId xmlns:a16="http://schemas.microsoft.com/office/drawing/2014/main" id="{00000000-0008-0000-0400-00009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30480</xdr:rowOff>
        </xdr:from>
        <xdr:to>
          <xdr:col>11</xdr:col>
          <xdr:colOff>1773555</xdr:colOff>
          <xdr:row>84</xdr:row>
          <xdr:rowOff>249555</xdr:rowOff>
        </xdr:to>
        <xdr:sp macro="" textlink="">
          <xdr:nvSpPr>
            <xdr:cNvPr id="4251" name="Check Box 155" hidden="1">
              <a:extLst>
                <a:ext uri="{63B3BB69-23CF-44E3-9099-C40C66FF867C}">
                  <a14:compatExt spid="_x0000_s4251"/>
                </a:ext>
                <a:ext uri="{FF2B5EF4-FFF2-40B4-BE49-F238E27FC236}">
                  <a16:creationId xmlns:a16="http://schemas.microsoft.com/office/drawing/2014/main" id="{00000000-0008-0000-0400-00009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30480</xdr:rowOff>
        </xdr:from>
        <xdr:to>
          <xdr:col>11</xdr:col>
          <xdr:colOff>1773555</xdr:colOff>
          <xdr:row>88</xdr:row>
          <xdr:rowOff>249555</xdr:rowOff>
        </xdr:to>
        <xdr:sp macro="" textlink="">
          <xdr:nvSpPr>
            <xdr:cNvPr id="4254" name="Check Box 158" hidden="1">
              <a:extLst>
                <a:ext uri="{63B3BB69-23CF-44E3-9099-C40C66FF867C}">
                  <a14:compatExt spid="_x0000_s4254"/>
                </a:ext>
                <a:ext uri="{FF2B5EF4-FFF2-40B4-BE49-F238E27FC236}">
                  <a16:creationId xmlns:a16="http://schemas.microsoft.com/office/drawing/2014/main" id="{00000000-0008-0000-0400-00009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30480</xdr:rowOff>
        </xdr:from>
        <xdr:to>
          <xdr:col>11</xdr:col>
          <xdr:colOff>1773555</xdr:colOff>
          <xdr:row>104</xdr:row>
          <xdr:rowOff>249555</xdr:rowOff>
        </xdr:to>
        <xdr:sp macro="" textlink="">
          <xdr:nvSpPr>
            <xdr:cNvPr id="4255" name="Check Box 159" hidden="1">
              <a:extLst>
                <a:ext uri="{63B3BB69-23CF-44E3-9099-C40C66FF867C}">
                  <a14:compatExt spid="_x0000_s4255"/>
                </a:ext>
                <a:ext uri="{FF2B5EF4-FFF2-40B4-BE49-F238E27FC236}">
                  <a16:creationId xmlns:a16="http://schemas.microsoft.com/office/drawing/2014/main" id="{00000000-0008-0000-0400-00009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30480</xdr:rowOff>
        </xdr:from>
        <xdr:to>
          <xdr:col>11</xdr:col>
          <xdr:colOff>1773555</xdr:colOff>
          <xdr:row>142</xdr:row>
          <xdr:rowOff>249555</xdr:rowOff>
        </xdr:to>
        <xdr:sp macro="" textlink="">
          <xdr:nvSpPr>
            <xdr:cNvPr id="4256" name="Check Box 160" hidden="1">
              <a:extLst>
                <a:ext uri="{63B3BB69-23CF-44E3-9099-C40C66FF867C}">
                  <a14:compatExt spid="_x0000_s4256"/>
                </a:ext>
                <a:ext uri="{FF2B5EF4-FFF2-40B4-BE49-F238E27FC236}">
                  <a16:creationId xmlns:a16="http://schemas.microsoft.com/office/drawing/2014/main" id="{00000000-0008-0000-0400-0000A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0</xdr:col>
      <xdr:colOff>40822</xdr:colOff>
      <xdr:row>15</xdr:row>
      <xdr:rowOff>83547</xdr:rowOff>
    </xdr:from>
    <xdr:to>
      <xdr:col>5</xdr:col>
      <xdr:colOff>0</xdr:colOff>
      <xdr:row>25</xdr:row>
      <xdr:rowOff>143962</xdr:rowOff>
    </xdr:to>
    <xdr:graphicFrame macro="">
      <xdr:nvGraphicFramePr>
        <xdr:cNvPr id="22" name="Gráfico 3">
          <a:extLst>
            <a:ext uri="{FF2B5EF4-FFF2-40B4-BE49-F238E27FC236}">
              <a16:creationId xmlns:a16="http://schemas.microsoft.com/office/drawing/2014/main" id="{00000000-0008-0000-04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92</xdr:row>
          <xdr:rowOff>259080</xdr:rowOff>
        </xdr:from>
        <xdr:to>
          <xdr:col>11</xdr:col>
          <xdr:colOff>1773555</xdr:colOff>
          <xdr:row>93</xdr:row>
          <xdr:rowOff>152400</xdr:rowOff>
        </xdr:to>
        <xdr:sp macro="" textlink="">
          <xdr:nvSpPr>
            <xdr:cNvPr id="4413" name="Check Box 317" hidden="1">
              <a:extLst>
                <a:ext uri="{63B3BB69-23CF-44E3-9099-C40C66FF867C}">
                  <a14:compatExt spid="_x0000_s4413"/>
                </a:ext>
                <a:ext uri="{FF2B5EF4-FFF2-40B4-BE49-F238E27FC236}">
                  <a16:creationId xmlns:a16="http://schemas.microsoft.com/office/drawing/2014/main" id="{00000000-0008-0000-0400-00003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106680</xdr:rowOff>
        </xdr:from>
        <xdr:to>
          <xdr:col>11</xdr:col>
          <xdr:colOff>1773555</xdr:colOff>
          <xdr:row>93</xdr:row>
          <xdr:rowOff>323850</xdr:rowOff>
        </xdr:to>
        <xdr:sp macro="" textlink="">
          <xdr:nvSpPr>
            <xdr:cNvPr id="4414" name="Check Box 318" hidden="1">
              <a:extLst>
                <a:ext uri="{63B3BB69-23CF-44E3-9099-C40C66FF867C}">
                  <a14:compatExt spid="_x0000_s4414"/>
                </a:ext>
                <a:ext uri="{FF2B5EF4-FFF2-40B4-BE49-F238E27FC236}">
                  <a16:creationId xmlns:a16="http://schemas.microsoft.com/office/drawing/2014/main" id="{00000000-0008-0000-0400-00003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30480</xdr:rowOff>
        </xdr:from>
        <xdr:to>
          <xdr:col>11</xdr:col>
          <xdr:colOff>1773555</xdr:colOff>
          <xdr:row>92</xdr:row>
          <xdr:rowOff>249555</xdr:rowOff>
        </xdr:to>
        <xdr:sp macro="" textlink="">
          <xdr:nvSpPr>
            <xdr:cNvPr id="4415" name="Check Box 319" hidden="1">
              <a:extLst>
                <a:ext uri="{63B3BB69-23CF-44E3-9099-C40C66FF867C}">
                  <a14:compatExt spid="_x0000_s4415"/>
                </a:ext>
                <a:ext uri="{FF2B5EF4-FFF2-40B4-BE49-F238E27FC236}">
                  <a16:creationId xmlns:a16="http://schemas.microsoft.com/office/drawing/2014/main" id="{00000000-0008-0000-0400-00003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259080</xdr:rowOff>
        </xdr:from>
        <xdr:to>
          <xdr:col>11</xdr:col>
          <xdr:colOff>1773555</xdr:colOff>
          <xdr:row>95</xdr:row>
          <xdr:rowOff>152400</xdr:rowOff>
        </xdr:to>
        <xdr:sp macro="" textlink="">
          <xdr:nvSpPr>
            <xdr:cNvPr id="4416" name="Check Box 320" hidden="1">
              <a:extLst>
                <a:ext uri="{63B3BB69-23CF-44E3-9099-C40C66FF867C}">
                  <a14:compatExt spid="_x0000_s4416"/>
                </a:ext>
                <a:ext uri="{FF2B5EF4-FFF2-40B4-BE49-F238E27FC236}">
                  <a16:creationId xmlns:a16="http://schemas.microsoft.com/office/drawing/2014/main" id="{00000000-0008-0000-0400-00004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106680</xdr:rowOff>
        </xdr:from>
        <xdr:to>
          <xdr:col>11</xdr:col>
          <xdr:colOff>1773555</xdr:colOff>
          <xdr:row>95</xdr:row>
          <xdr:rowOff>323850</xdr:rowOff>
        </xdr:to>
        <xdr:sp macro="" textlink="">
          <xdr:nvSpPr>
            <xdr:cNvPr id="4417" name="Check Box 321" hidden="1">
              <a:extLst>
                <a:ext uri="{63B3BB69-23CF-44E3-9099-C40C66FF867C}">
                  <a14:compatExt spid="_x0000_s4417"/>
                </a:ext>
                <a:ext uri="{FF2B5EF4-FFF2-40B4-BE49-F238E27FC236}">
                  <a16:creationId xmlns:a16="http://schemas.microsoft.com/office/drawing/2014/main" id="{00000000-0008-0000-0400-00004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11</xdr:col>
          <xdr:colOff>1773555</xdr:colOff>
          <xdr:row>94</xdr:row>
          <xdr:rowOff>249555</xdr:rowOff>
        </xdr:to>
        <xdr:sp macro="" textlink="">
          <xdr:nvSpPr>
            <xdr:cNvPr id="4418" name="Check Box 322" hidden="1">
              <a:extLst>
                <a:ext uri="{63B3BB69-23CF-44E3-9099-C40C66FF867C}">
                  <a14:compatExt spid="_x0000_s4418"/>
                </a:ext>
                <a:ext uri="{FF2B5EF4-FFF2-40B4-BE49-F238E27FC236}">
                  <a16:creationId xmlns:a16="http://schemas.microsoft.com/office/drawing/2014/main" id="{00000000-0008-0000-0400-00004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259080</xdr:rowOff>
        </xdr:from>
        <xdr:to>
          <xdr:col>11</xdr:col>
          <xdr:colOff>1773555</xdr:colOff>
          <xdr:row>97</xdr:row>
          <xdr:rowOff>129540</xdr:rowOff>
        </xdr:to>
        <xdr:sp macro="" textlink="">
          <xdr:nvSpPr>
            <xdr:cNvPr id="4419" name="Check Box 323" hidden="1">
              <a:extLst>
                <a:ext uri="{63B3BB69-23CF-44E3-9099-C40C66FF867C}">
                  <a14:compatExt spid="_x0000_s4419"/>
                </a:ext>
                <a:ext uri="{FF2B5EF4-FFF2-40B4-BE49-F238E27FC236}">
                  <a16:creationId xmlns:a16="http://schemas.microsoft.com/office/drawing/2014/main" id="{00000000-0008-0000-0400-00004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106680</xdr:rowOff>
        </xdr:from>
        <xdr:to>
          <xdr:col>11</xdr:col>
          <xdr:colOff>1773555</xdr:colOff>
          <xdr:row>97</xdr:row>
          <xdr:rowOff>287655</xdr:rowOff>
        </xdr:to>
        <xdr:sp macro="" textlink="">
          <xdr:nvSpPr>
            <xdr:cNvPr id="4420" name="Check Box 324" hidden="1">
              <a:extLst>
                <a:ext uri="{63B3BB69-23CF-44E3-9099-C40C66FF867C}">
                  <a14:compatExt spid="_x0000_s4420"/>
                </a:ext>
                <a:ext uri="{FF2B5EF4-FFF2-40B4-BE49-F238E27FC236}">
                  <a16:creationId xmlns:a16="http://schemas.microsoft.com/office/drawing/2014/main" id="{00000000-0008-0000-0400-00004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11</xdr:col>
          <xdr:colOff>1773555</xdr:colOff>
          <xdr:row>96</xdr:row>
          <xdr:rowOff>249555</xdr:rowOff>
        </xdr:to>
        <xdr:sp macro="" textlink="">
          <xdr:nvSpPr>
            <xdr:cNvPr id="4421" name="Check Box 325" hidden="1">
              <a:extLst>
                <a:ext uri="{63B3BB69-23CF-44E3-9099-C40C66FF867C}">
                  <a14:compatExt spid="_x0000_s4421"/>
                </a:ext>
                <a:ext uri="{FF2B5EF4-FFF2-40B4-BE49-F238E27FC236}">
                  <a16:creationId xmlns:a16="http://schemas.microsoft.com/office/drawing/2014/main" id="{00000000-0008-0000-0400-00004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259080</xdr:rowOff>
        </xdr:from>
        <xdr:to>
          <xdr:col>11</xdr:col>
          <xdr:colOff>1773555</xdr:colOff>
          <xdr:row>99</xdr:row>
          <xdr:rowOff>152400</xdr:rowOff>
        </xdr:to>
        <xdr:sp macro="" textlink="">
          <xdr:nvSpPr>
            <xdr:cNvPr id="4422" name="Check Box 326" hidden="1">
              <a:extLst>
                <a:ext uri="{63B3BB69-23CF-44E3-9099-C40C66FF867C}">
                  <a14:compatExt spid="_x0000_s4422"/>
                </a:ext>
                <a:ext uri="{FF2B5EF4-FFF2-40B4-BE49-F238E27FC236}">
                  <a16:creationId xmlns:a16="http://schemas.microsoft.com/office/drawing/2014/main" id="{00000000-0008-0000-0400-00004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106680</xdr:rowOff>
        </xdr:from>
        <xdr:to>
          <xdr:col>11</xdr:col>
          <xdr:colOff>1773555</xdr:colOff>
          <xdr:row>99</xdr:row>
          <xdr:rowOff>287655</xdr:rowOff>
        </xdr:to>
        <xdr:sp macro="" textlink="">
          <xdr:nvSpPr>
            <xdr:cNvPr id="4423" name="Check Box 327" hidden="1">
              <a:extLst>
                <a:ext uri="{63B3BB69-23CF-44E3-9099-C40C66FF867C}">
                  <a14:compatExt spid="_x0000_s4423"/>
                </a:ext>
                <a:ext uri="{FF2B5EF4-FFF2-40B4-BE49-F238E27FC236}">
                  <a16:creationId xmlns:a16="http://schemas.microsoft.com/office/drawing/2014/main" id="{00000000-0008-0000-0400-00004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30480</xdr:rowOff>
        </xdr:from>
        <xdr:to>
          <xdr:col>11</xdr:col>
          <xdr:colOff>1773555</xdr:colOff>
          <xdr:row>98</xdr:row>
          <xdr:rowOff>249555</xdr:rowOff>
        </xdr:to>
        <xdr:sp macro="" textlink="">
          <xdr:nvSpPr>
            <xdr:cNvPr id="4424" name="Check Box 328" hidden="1">
              <a:extLst>
                <a:ext uri="{63B3BB69-23CF-44E3-9099-C40C66FF867C}">
                  <a14:compatExt spid="_x0000_s4424"/>
                </a:ext>
                <a:ext uri="{FF2B5EF4-FFF2-40B4-BE49-F238E27FC236}">
                  <a16:creationId xmlns:a16="http://schemas.microsoft.com/office/drawing/2014/main" id="{00000000-0008-0000-0400-00004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259080</xdr:rowOff>
        </xdr:from>
        <xdr:to>
          <xdr:col>11</xdr:col>
          <xdr:colOff>1773555</xdr:colOff>
          <xdr:row>101</xdr:row>
          <xdr:rowOff>152400</xdr:rowOff>
        </xdr:to>
        <xdr:sp macro="" textlink="">
          <xdr:nvSpPr>
            <xdr:cNvPr id="4425" name="Check Box 329" hidden="1">
              <a:extLst>
                <a:ext uri="{63B3BB69-23CF-44E3-9099-C40C66FF867C}">
                  <a14:compatExt spid="_x0000_s4425"/>
                </a:ext>
                <a:ext uri="{FF2B5EF4-FFF2-40B4-BE49-F238E27FC236}">
                  <a16:creationId xmlns:a16="http://schemas.microsoft.com/office/drawing/2014/main" id="{00000000-0008-0000-0400-00004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106680</xdr:rowOff>
        </xdr:from>
        <xdr:to>
          <xdr:col>11</xdr:col>
          <xdr:colOff>1773555</xdr:colOff>
          <xdr:row>101</xdr:row>
          <xdr:rowOff>287655</xdr:rowOff>
        </xdr:to>
        <xdr:sp macro="" textlink="">
          <xdr:nvSpPr>
            <xdr:cNvPr id="4426" name="Check Box 330" hidden="1">
              <a:extLst>
                <a:ext uri="{63B3BB69-23CF-44E3-9099-C40C66FF867C}">
                  <a14:compatExt spid="_x0000_s4426"/>
                </a:ext>
                <a:ext uri="{FF2B5EF4-FFF2-40B4-BE49-F238E27FC236}">
                  <a16:creationId xmlns:a16="http://schemas.microsoft.com/office/drawing/2014/main" id="{00000000-0008-0000-0400-00004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30480</xdr:rowOff>
        </xdr:from>
        <xdr:to>
          <xdr:col>11</xdr:col>
          <xdr:colOff>1773555</xdr:colOff>
          <xdr:row>100</xdr:row>
          <xdr:rowOff>249555</xdr:rowOff>
        </xdr:to>
        <xdr:sp macro="" textlink="">
          <xdr:nvSpPr>
            <xdr:cNvPr id="4427" name="Check Box 331" hidden="1">
              <a:extLst>
                <a:ext uri="{63B3BB69-23CF-44E3-9099-C40C66FF867C}">
                  <a14:compatExt spid="_x0000_s4427"/>
                </a:ext>
                <a:ext uri="{FF2B5EF4-FFF2-40B4-BE49-F238E27FC236}">
                  <a16:creationId xmlns:a16="http://schemas.microsoft.com/office/drawing/2014/main" id="{00000000-0008-0000-0400-00004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259080</xdr:rowOff>
        </xdr:from>
        <xdr:to>
          <xdr:col>11</xdr:col>
          <xdr:colOff>1773555</xdr:colOff>
          <xdr:row>103</xdr:row>
          <xdr:rowOff>152400</xdr:rowOff>
        </xdr:to>
        <xdr:sp macro="" textlink="">
          <xdr:nvSpPr>
            <xdr:cNvPr id="4428" name="Check Box 332" hidden="1">
              <a:extLst>
                <a:ext uri="{63B3BB69-23CF-44E3-9099-C40C66FF867C}">
                  <a14:compatExt spid="_x0000_s4428"/>
                </a:ext>
                <a:ext uri="{FF2B5EF4-FFF2-40B4-BE49-F238E27FC236}">
                  <a16:creationId xmlns:a16="http://schemas.microsoft.com/office/drawing/2014/main" id="{00000000-0008-0000-0400-00004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106680</xdr:rowOff>
        </xdr:from>
        <xdr:to>
          <xdr:col>11</xdr:col>
          <xdr:colOff>1773555</xdr:colOff>
          <xdr:row>103</xdr:row>
          <xdr:rowOff>287655</xdr:rowOff>
        </xdr:to>
        <xdr:sp macro="" textlink="">
          <xdr:nvSpPr>
            <xdr:cNvPr id="4429" name="Check Box 333" hidden="1">
              <a:extLst>
                <a:ext uri="{63B3BB69-23CF-44E3-9099-C40C66FF867C}">
                  <a14:compatExt spid="_x0000_s4429"/>
                </a:ext>
                <a:ext uri="{FF2B5EF4-FFF2-40B4-BE49-F238E27FC236}">
                  <a16:creationId xmlns:a16="http://schemas.microsoft.com/office/drawing/2014/main" id="{00000000-0008-0000-0400-00004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30480</xdr:rowOff>
        </xdr:from>
        <xdr:to>
          <xdr:col>11</xdr:col>
          <xdr:colOff>1773555</xdr:colOff>
          <xdr:row>102</xdr:row>
          <xdr:rowOff>249555</xdr:rowOff>
        </xdr:to>
        <xdr:sp macro="" textlink="">
          <xdr:nvSpPr>
            <xdr:cNvPr id="4430" name="Check Box 334" hidden="1">
              <a:extLst>
                <a:ext uri="{63B3BB69-23CF-44E3-9099-C40C66FF867C}">
                  <a14:compatExt spid="_x0000_s4430"/>
                </a:ext>
                <a:ext uri="{FF2B5EF4-FFF2-40B4-BE49-F238E27FC236}">
                  <a16:creationId xmlns:a16="http://schemas.microsoft.com/office/drawing/2014/main" id="{00000000-0008-0000-0400-00004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5</xdr:col>
      <xdr:colOff>25311</xdr:colOff>
      <xdr:row>10</xdr:row>
      <xdr:rowOff>40823</xdr:rowOff>
    </xdr:from>
    <xdr:to>
      <xdr:col>7</xdr:col>
      <xdr:colOff>1251857</xdr:colOff>
      <xdr:row>25</xdr:row>
      <xdr:rowOff>132642</xdr:rowOff>
    </xdr:to>
    <xdr:graphicFrame macro="">
      <xdr:nvGraphicFramePr>
        <xdr:cNvPr id="12" name="Gráfico 6">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34635</xdr:colOff>
      <xdr:row>175</xdr:row>
      <xdr:rowOff>34637</xdr:rowOff>
    </xdr:from>
    <xdr:to>
      <xdr:col>6</xdr:col>
      <xdr:colOff>13607</xdr:colOff>
      <xdr:row>194</xdr:row>
      <xdr:rowOff>93484</xdr:rowOff>
    </xdr:to>
    <xdr:graphicFrame macro="">
      <xdr:nvGraphicFramePr>
        <xdr:cNvPr id="3" name="Gráfico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106</xdr:row>
          <xdr:rowOff>259080</xdr:rowOff>
        </xdr:from>
        <xdr:to>
          <xdr:col>11</xdr:col>
          <xdr:colOff>1767840</xdr:colOff>
          <xdr:row>107</xdr:row>
          <xdr:rowOff>152400</xdr:rowOff>
        </xdr:to>
        <xdr:sp macro="" textlink="">
          <xdr:nvSpPr>
            <xdr:cNvPr id="4468" name="Check Box 372" hidden="1">
              <a:extLst>
                <a:ext uri="{63B3BB69-23CF-44E3-9099-C40C66FF867C}">
                  <a14:compatExt spid="_x0000_s4468"/>
                </a:ext>
                <a:ext uri="{FF2B5EF4-FFF2-40B4-BE49-F238E27FC236}">
                  <a16:creationId xmlns:a16="http://schemas.microsoft.com/office/drawing/2014/main" id="{00000000-0008-0000-0400-00007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107</xdr:row>
          <xdr:rowOff>106680</xdr:rowOff>
        </xdr:from>
        <xdr:to>
          <xdr:col>11</xdr:col>
          <xdr:colOff>1767840</xdr:colOff>
          <xdr:row>107</xdr:row>
          <xdr:rowOff>287655</xdr:rowOff>
        </xdr:to>
        <xdr:sp macro="" textlink="">
          <xdr:nvSpPr>
            <xdr:cNvPr id="4469" name="Check Box 373" hidden="1">
              <a:extLst>
                <a:ext uri="{63B3BB69-23CF-44E3-9099-C40C66FF867C}">
                  <a14:compatExt spid="_x0000_s4469"/>
                </a:ext>
                <a:ext uri="{FF2B5EF4-FFF2-40B4-BE49-F238E27FC236}">
                  <a16:creationId xmlns:a16="http://schemas.microsoft.com/office/drawing/2014/main" id="{00000000-0008-0000-0400-00007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30480</xdr:rowOff>
        </xdr:from>
        <xdr:to>
          <xdr:col>11</xdr:col>
          <xdr:colOff>1767840</xdr:colOff>
          <xdr:row>106</xdr:row>
          <xdr:rowOff>243840</xdr:rowOff>
        </xdr:to>
        <xdr:sp macro="" textlink="">
          <xdr:nvSpPr>
            <xdr:cNvPr id="4470" name="Check Box 374" hidden="1">
              <a:extLst>
                <a:ext uri="{63B3BB69-23CF-44E3-9099-C40C66FF867C}">
                  <a14:compatExt spid="_x0000_s4470"/>
                </a:ext>
                <a:ext uri="{FF2B5EF4-FFF2-40B4-BE49-F238E27FC236}">
                  <a16:creationId xmlns:a16="http://schemas.microsoft.com/office/drawing/2014/main" id="{00000000-0008-0000-0400-00007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259080</xdr:rowOff>
        </xdr:from>
        <xdr:to>
          <xdr:col>11</xdr:col>
          <xdr:colOff>1767840</xdr:colOff>
          <xdr:row>109</xdr:row>
          <xdr:rowOff>152400</xdr:rowOff>
        </xdr:to>
        <xdr:sp macro="" textlink="">
          <xdr:nvSpPr>
            <xdr:cNvPr id="4471" name="Check Box 375" hidden="1">
              <a:extLst>
                <a:ext uri="{63B3BB69-23CF-44E3-9099-C40C66FF867C}">
                  <a14:compatExt spid="_x0000_s4471"/>
                </a:ext>
                <a:ext uri="{FF2B5EF4-FFF2-40B4-BE49-F238E27FC236}">
                  <a16:creationId xmlns:a16="http://schemas.microsoft.com/office/drawing/2014/main" id="{00000000-0008-0000-0400-00007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109</xdr:row>
          <xdr:rowOff>106680</xdr:rowOff>
        </xdr:from>
        <xdr:to>
          <xdr:col>11</xdr:col>
          <xdr:colOff>1767840</xdr:colOff>
          <xdr:row>109</xdr:row>
          <xdr:rowOff>287655</xdr:rowOff>
        </xdr:to>
        <xdr:sp macro="" textlink="">
          <xdr:nvSpPr>
            <xdr:cNvPr id="4472" name="Check Box 376" hidden="1">
              <a:extLst>
                <a:ext uri="{63B3BB69-23CF-44E3-9099-C40C66FF867C}">
                  <a14:compatExt spid="_x0000_s4472"/>
                </a:ext>
                <a:ext uri="{FF2B5EF4-FFF2-40B4-BE49-F238E27FC236}">
                  <a16:creationId xmlns:a16="http://schemas.microsoft.com/office/drawing/2014/main" id="{00000000-0008-0000-0400-00007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30480</xdr:rowOff>
        </xdr:from>
        <xdr:to>
          <xdr:col>11</xdr:col>
          <xdr:colOff>1767840</xdr:colOff>
          <xdr:row>108</xdr:row>
          <xdr:rowOff>243840</xdr:rowOff>
        </xdr:to>
        <xdr:sp macro="" textlink="">
          <xdr:nvSpPr>
            <xdr:cNvPr id="4473" name="Check Box 377" hidden="1">
              <a:extLst>
                <a:ext uri="{63B3BB69-23CF-44E3-9099-C40C66FF867C}">
                  <a14:compatExt spid="_x0000_s4473"/>
                </a:ext>
                <a:ext uri="{FF2B5EF4-FFF2-40B4-BE49-F238E27FC236}">
                  <a16:creationId xmlns:a16="http://schemas.microsoft.com/office/drawing/2014/main" id="{00000000-0008-0000-0400-00007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259080</xdr:rowOff>
        </xdr:from>
        <xdr:to>
          <xdr:col>11</xdr:col>
          <xdr:colOff>1767840</xdr:colOff>
          <xdr:row>111</xdr:row>
          <xdr:rowOff>152400</xdr:rowOff>
        </xdr:to>
        <xdr:sp macro="" textlink="">
          <xdr:nvSpPr>
            <xdr:cNvPr id="4474" name="Check Box 378" hidden="1">
              <a:extLst>
                <a:ext uri="{63B3BB69-23CF-44E3-9099-C40C66FF867C}">
                  <a14:compatExt spid="_x0000_s4474"/>
                </a:ext>
                <a:ext uri="{FF2B5EF4-FFF2-40B4-BE49-F238E27FC236}">
                  <a16:creationId xmlns:a16="http://schemas.microsoft.com/office/drawing/2014/main" id="{00000000-0008-0000-0400-00007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111</xdr:row>
          <xdr:rowOff>106680</xdr:rowOff>
        </xdr:from>
        <xdr:to>
          <xdr:col>11</xdr:col>
          <xdr:colOff>1767840</xdr:colOff>
          <xdr:row>111</xdr:row>
          <xdr:rowOff>287655</xdr:rowOff>
        </xdr:to>
        <xdr:sp macro="" textlink="">
          <xdr:nvSpPr>
            <xdr:cNvPr id="4475" name="Check Box 379" hidden="1">
              <a:extLst>
                <a:ext uri="{63B3BB69-23CF-44E3-9099-C40C66FF867C}">
                  <a14:compatExt spid="_x0000_s4475"/>
                </a:ext>
                <a:ext uri="{FF2B5EF4-FFF2-40B4-BE49-F238E27FC236}">
                  <a16:creationId xmlns:a16="http://schemas.microsoft.com/office/drawing/2014/main" id="{00000000-0008-0000-0400-00007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30480</xdr:rowOff>
        </xdr:from>
        <xdr:to>
          <xdr:col>11</xdr:col>
          <xdr:colOff>1767840</xdr:colOff>
          <xdr:row>110</xdr:row>
          <xdr:rowOff>243840</xdr:rowOff>
        </xdr:to>
        <xdr:sp macro="" textlink="">
          <xdr:nvSpPr>
            <xdr:cNvPr id="4476" name="Check Box 380" hidden="1">
              <a:extLst>
                <a:ext uri="{63B3BB69-23CF-44E3-9099-C40C66FF867C}">
                  <a14:compatExt spid="_x0000_s4476"/>
                </a:ext>
                <a:ext uri="{FF2B5EF4-FFF2-40B4-BE49-F238E27FC236}">
                  <a16:creationId xmlns:a16="http://schemas.microsoft.com/office/drawing/2014/main" id="{00000000-0008-0000-0400-00007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259080</xdr:rowOff>
        </xdr:from>
        <xdr:to>
          <xdr:col>11</xdr:col>
          <xdr:colOff>1767840</xdr:colOff>
          <xdr:row>113</xdr:row>
          <xdr:rowOff>152400</xdr:rowOff>
        </xdr:to>
        <xdr:sp macro="" textlink="">
          <xdr:nvSpPr>
            <xdr:cNvPr id="4477" name="Check Box 381" hidden="1">
              <a:extLst>
                <a:ext uri="{63B3BB69-23CF-44E3-9099-C40C66FF867C}">
                  <a14:compatExt spid="_x0000_s4477"/>
                </a:ext>
                <a:ext uri="{FF2B5EF4-FFF2-40B4-BE49-F238E27FC236}">
                  <a16:creationId xmlns:a16="http://schemas.microsoft.com/office/drawing/2014/main" id="{00000000-0008-0000-0400-00007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113</xdr:row>
          <xdr:rowOff>106680</xdr:rowOff>
        </xdr:from>
        <xdr:to>
          <xdr:col>11</xdr:col>
          <xdr:colOff>1767840</xdr:colOff>
          <xdr:row>113</xdr:row>
          <xdr:rowOff>287655</xdr:rowOff>
        </xdr:to>
        <xdr:sp macro="" textlink="">
          <xdr:nvSpPr>
            <xdr:cNvPr id="4478" name="Check Box 382" hidden="1">
              <a:extLst>
                <a:ext uri="{63B3BB69-23CF-44E3-9099-C40C66FF867C}">
                  <a14:compatExt spid="_x0000_s4478"/>
                </a:ext>
                <a:ext uri="{FF2B5EF4-FFF2-40B4-BE49-F238E27FC236}">
                  <a16:creationId xmlns:a16="http://schemas.microsoft.com/office/drawing/2014/main" id="{00000000-0008-0000-0400-00007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30480</xdr:rowOff>
        </xdr:from>
        <xdr:to>
          <xdr:col>11</xdr:col>
          <xdr:colOff>1767840</xdr:colOff>
          <xdr:row>112</xdr:row>
          <xdr:rowOff>243840</xdr:rowOff>
        </xdr:to>
        <xdr:sp macro="" textlink="">
          <xdr:nvSpPr>
            <xdr:cNvPr id="4479" name="Check Box 383" hidden="1">
              <a:extLst>
                <a:ext uri="{63B3BB69-23CF-44E3-9099-C40C66FF867C}">
                  <a14:compatExt spid="_x0000_s4479"/>
                </a:ext>
                <a:ext uri="{FF2B5EF4-FFF2-40B4-BE49-F238E27FC236}">
                  <a16:creationId xmlns:a16="http://schemas.microsoft.com/office/drawing/2014/main" id="{00000000-0008-0000-0400-00007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259080</xdr:rowOff>
        </xdr:from>
        <xdr:to>
          <xdr:col>11</xdr:col>
          <xdr:colOff>1767840</xdr:colOff>
          <xdr:row>115</xdr:row>
          <xdr:rowOff>129540</xdr:rowOff>
        </xdr:to>
        <xdr:sp macro="" textlink="">
          <xdr:nvSpPr>
            <xdr:cNvPr id="4480" name="Check Box 384" hidden="1">
              <a:extLst>
                <a:ext uri="{63B3BB69-23CF-44E3-9099-C40C66FF867C}">
                  <a14:compatExt spid="_x0000_s4480"/>
                </a:ext>
                <a:ext uri="{FF2B5EF4-FFF2-40B4-BE49-F238E27FC236}">
                  <a16:creationId xmlns:a16="http://schemas.microsoft.com/office/drawing/2014/main" id="{00000000-0008-0000-0400-00008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115</xdr:row>
          <xdr:rowOff>106680</xdr:rowOff>
        </xdr:from>
        <xdr:to>
          <xdr:col>11</xdr:col>
          <xdr:colOff>1767840</xdr:colOff>
          <xdr:row>115</xdr:row>
          <xdr:rowOff>287655</xdr:rowOff>
        </xdr:to>
        <xdr:sp macro="" textlink="">
          <xdr:nvSpPr>
            <xdr:cNvPr id="4481" name="Check Box 385" hidden="1">
              <a:extLst>
                <a:ext uri="{63B3BB69-23CF-44E3-9099-C40C66FF867C}">
                  <a14:compatExt spid="_x0000_s4481"/>
                </a:ext>
                <a:ext uri="{FF2B5EF4-FFF2-40B4-BE49-F238E27FC236}">
                  <a16:creationId xmlns:a16="http://schemas.microsoft.com/office/drawing/2014/main" id="{00000000-0008-0000-0400-00008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30480</xdr:rowOff>
        </xdr:from>
        <xdr:to>
          <xdr:col>11</xdr:col>
          <xdr:colOff>1767840</xdr:colOff>
          <xdr:row>114</xdr:row>
          <xdr:rowOff>211455</xdr:rowOff>
        </xdr:to>
        <xdr:sp macro="" textlink="">
          <xdr:nvSpPr>
            <xdr:cNvPr id="4482" name="Check Box 386" hidden="1">
              <a:extLst>
                <a:ext uri="{63B3BB69-23CF-44E3-9099-C40C66FF867C}">
                  <a14:compatExt spid="_x0000_s4482"/>
                </a:ext>
                <a:ext uri="{FF2B5EF4-FFF2-40B4-BE49-F238E27FC236}">
                  <a16:creationId xmlns:a16="http://schemas.microsoft.com/office/drawing/2014/main" id="{00000000-0008-0000-0400-00008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259080</xdr:rowOff>
        </xdr:from>
        <xdr:to>
          <xdr:col>11</xdr:col>
          <xdr:colOff>1767840</xdr:colOff>
          <xdr:row>117</xdr:row>
          <xdr:rowOff>129540</xdr:rowOff>
        </xdr:to>
        <xdr:sp macro="" textlink="">
          <xdr:nvSpPr>
            <xdr:cNvPr id="4483" name="Check Box 387" hidden="1">
              <a:extLst>
                <a:ext uri="{63B3BB69-23CF-44E3-9099-C40C66FF867C}">
                  <a14:compatExt spid="_x0000_s4483"/>
                </a:ext>
                <a:ext uri="{FF2B5EF4-FFF2-40B4-BE49-F238E27FC236}">
                  <a16:creationId xmlns:a16="http://schemas.microsoft.com/office/drawing/2014/main" id="{00000000-0008-0000-0400-00008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117</xdr:row>
          <xdr:rowOff>106680</xdr:rowOff>
        </xdr:from>
        <xdr:to>
          <xdr:col>11</xdr:col>
          <xdr:colOff>1767840</xdr:colOff>
          <xdr:row>117</xdr:row>
          <xdr:rowOff>287655</xdr:rowOff>
        </xdr:to>
        <xdr:sp macro="" textlink="">
          <xdr:nvSpPr>
            <xdr:cNvPr id="4484" name="Check Box 388" hidden="1">
              <a:extLst>
                <a:ext uri="{63B3BB69-23CF-44E3-9099-C40C66FF867C}">
                  <a14:compatExt spid="_x0000_s4484"/>
                </a:ext>
                <a:ext uri="{FF2B5EF4-FFF2-40B4-BE49-F238E27FC236}">
                  <a16:creationId xmlns:a16="http://schemas.microsoft.com/office/drawing/2014/main" id="{00000000-0008-0000-0400-00008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30480</xdr:rowOff>
        </xdr:from>
        <xdr:to>
          <xdr:col>11</xdr:col>
          <xdr:colOff>1767840</xdr:colOff>
          <xdr:row>116</xdr:row>
          <xdr:rowOff>211455</xdr:rowOff>
        </xdr:to>
        <xdr:sp macro="" textlink="">
          <xdr:nvSpPr>
            <xdr:cNvPr id="4485" name="Check Box 389" hidden="1">
              <a:extLst>
                <a:ext uri="{63B3BB69-23CF-44E3-9099-C40C66FF867C}">
                  <a14:compatExt spid="_x0000_s4485"/>
                </a:ext>
                <a:ext uri="{FF2B5EF4-FFF2-40B4-BE49-F238E27FC236}">
                  <a16:creationId xmlns:a16="http://schemas.microsoft.com/office/drawing/2014/main" id="{00000000-0008-0000-0400-00008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259080</xdr:rowOff>
        </xdr:from>
        <xdr:to>
          <xdr:col>11</xdr:col>
          <xdr:colOff>1767840</xdr:colOff>
          <xdr:row>119</xdr:row>
          <xdr:rowOff>129540</xdr:rowOff>
        </xdr:to>
        <xdr:sp macro="" textlink="">
          <xdr:nvSpPr>
            <xdr:cNvPr id="4486" name="Check Box 390" hidden="1">
              <a:extLst>
                <a:ext uri="{63B3BB69-23CF-44E3-9099-C40C66FF867C}">
                  <a14:compatExt spid="_x0000_s4486"/>
                </a:ext>
                <a:ext uri="{FF2B5EF4-FFF2-40B4-BE49-F238E27FC236}">
                  <a16:creationId xmlns:a16="http://schemas.microsoft.com/office/drawing/2014/main" id="{00000000-0008-0000-0400-00008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119</xdr:row>
          <xdr:rowOff>106680</xdr:rowOff>
        </xdr:from>
        <xdr:to>
          <xdr:col>11</xdr:col>
          <xdr:colOff>1767840</xdr:colOff>
          <xdr:row>119</xdr:row>
          <xdr:rowOff>287655</xdr:rowOff>
        </xdr:to>
        <xdr:sp macro="" textlink="">
          <xdr:nvSpPr>
            <xdr:cNvPr id="4487" name="Check Box 391" hidden="1">
              <a:extLst>
                <a:ext uri="{63B3BB69-23CF-44E3-9099-C40C66FF867C}">
                  <a14:compatExt spid="_x0000_s4487"/>
                </a:ext>
                <a:ext uri="{FF2B5EF4-FFF2-40B4-BE49-F238E27FC236}">
                  <a16:creationId xmlns:a16="http://schemas.microsoft.com/office/drawing/2014/main" id="{00000000-0008-0000-0400-00008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30480</xdr:rowOff>
        </xdr:from>
        <xdr:to>
          <xdr:col>11</xdr:col>
          <xdr:colOff>1767840</xdr:colOff>
          <xdr:row>118</xdr:row>
          <xdr:rowOff>211455</xdr:rowOff>
        </xdr:to>
        <xdr:sp macro="" textlink="">
          <xdr:nvSpPr>
            <xdr:cNvPr id="4488" name="Check Box 392" hidden="1">
              <a:extLst>
                <a:ext uri="{63B3BB69-23CF-44E3-9099-C40C66FF867C}">
                  <a14:compatExt spid="_x0000_s4488"/>
                </a:ext>
                <a:ext uri="{FF2B5EF4-FFF2-40B4-BE49-F238E27FC236}">
                  <a16:creationId xmlns:a16="http://schemas.microsoft.com/office/drawing/2014/main" id="{00000000-0008-0000-0400-00008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259080</xdr:rowOff>
        </xdr:from>
        <xdr:to>
          <xdr:col>11</xdr:col>
          <xdr:colOff>1767840</xdr:colOff>
          <xdr:row>121</xdr:row>
          <xdr:rowOff>129540</xdr:rowOff>
        </xdr:to>
        <xdr:sp macro="" textlink="">
          <xdr:nvSpPr>
            <xdr:cNvPr id="4489" name="Check Box 393" hidden="1">
              <a:extLst>
                <a:ext uri="{63B3BB69-23CF-44E3-9099-C40C66FF867C}">
                  <a14:compatExt spid="_x0000_s4489"/>
                </a:ext>
                <a:ext uri="{FF2B5EF4-FFF2-40B4-BE49-F238E27FC236}">
                  <a16:creationId xmlns:a16="http://schemas.microsoft.com/office/drawing/2014/main" id="{00000000-0008-0000-0400-00008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121</xdr:row>
          <xdr:rowOff>106680</xdr:rowOff>
        </xdr:from>
        <xdr:to>
          <xdr:col>11</xdr:col>
          <xdr:colOff>1767840</xdr:colOff>
          <xdr:row>121</xdr:row>
          <xdr:rowOff>287655</xdr:rowOff>
        </xdr:to>
        <xdr:sp macro="" textlink="">
          <xdr:nvSpPr>
            <xdr:cNvPr id="4490" name="Check Box 394" hidden="1">
              <a:extLst>
                <a:ext uri="{63B3BB69-23CF-44E3-9099-C40C66FF867C}">
                  <a14:compatExt spid="_x0000_s4490"/>
                </a:ext>
                <a:ext uri="{FF2B5EF4-FFF2-40B4-BE49-F238E27FC236}">
                  <a16:creationId xmlns:a16="http://schemas.microsoft.com/office/drawing/2014/main" id="{00000000-0008-0000-0400-00008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30480</xdr:rowOff>
        </xdr:from>
        <xdr:to>
          <xdr:col>11</xdr:col>
          <xdr:colOff>1767840</xdr:colOff>
          <xdr:row>120</xdr:row>
          <xdr:rowOff>211455</xdr:rowOff>
        </xdr:to>
        <xdr:sp macro="" textlink="">
          <xdr:nvSpPr>
            <xdr:cNvPr id="4491" name="Check Box 395" hidden="1">
              <a:extLst>
                <a:ext uri="{63B3BB69-23CF-44E3-9099-C40C66FF867C}">
                  <a14:compatExt spid="_x0000_s4491"/>
                </a:ext>
                <a:ext uri="{FF2B5EF4-FFF2-40B4-BE49-F238E27FC236}">
                  <a16:creationId xmlns:a16="http://schemas.microsoft.com/office/drawing/2014/main" id="{00000000-0008-0000-0400-00008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259080</xdr:rowOff>
        </xdr:from>
        <xdr:to>
          <xdr:col>11</xdr:col>
          <xdr:colOff>1767840</xdr:colOff>
          <xdr:row>123</xdr:row>
          <xdr:rowOff>129540</xdr:rowOff>
        </xdr:to>
        <xdr:sp macro="" textlink="">
          <xdr:nvSpPr>
            <xdr:cNvPr id="4492" name="Check Box 396" hidden="1">
              <a:extLst>
                <a:ext uri="{63B3BB69-23CF-44E3-9099-C40C66FF867C}">
                  <a14:compatExt spid="_x0000_s4492"/>
                </a:ext>
                <a:ext uri="{FF2B5EF4-FFF2-40B4-BE49-F238E27FC236}">
                  <a16:creationId xmlns:a16="http://schemas.microsoft.com/office/drawing/2014/main" id="{00000000-0008-0000-0400-00008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123</xdr:row>
          <xdr:rowOff>106680</xdr:rowOff>
        </xdr:from>
        <xdr:to>
          <xdr:col>11</xdr:col>
          <xdr:colOff>1767840</xdr:colOff>
          <xdr:row>123</xdr:row>
          <xdr:rowOff>287655</xdr:rowOff>
        </xdr:to>
        <xdr:sp macro="" textlink="">
          <xdr:nvSpPr>
            <xdr:cNvPr id="4493" name="Check Box 397" hidden="1">
              <a:extLst>
                <a:ext uri="{63B3BB69-23CF-44E3-9099-C40C66FF867C}">
                  <a14:compatExt spid="_x0000_s4493"/>
                </a:ext>
                <a:ext uri="{FF2B5EF4-FFF2-40B4-BE49-F238E27FC236}">
                  <a16:creationId xmlns:a16="http://schemas.microsoft.com/office/drawing/2014/main" id="{00000000-0008-0000-0400-00008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30480</xdr:rowOff>
        </xdr:from>
        <xdr:to>
          <xdr:col>11</xdr:col>
          <xdr:colOff>1767840</xdr:colOff>
          <xdr:row>122</xdr:row>
          <xdr:rowOff>211455</xdr:rowOff>
        </xdr:to>
        <xdr:sp macro="" textlink="">
          <xdr:nvSpPr>
            <xdr:cNvPr id="4494" name="Check Box 398" hidden="1">
              <a:extLst>
                <a:ext uri="{63B3BB69-23CF-44E3-9099-C40C66FF867C}">
                  <a14:compatExt spid="_x0000_s4494"/>
                </a:ext>
                <a:ext uri="{FF2B5EF4-FFF2-40B4-BE49-F238E27FC236}">
                  <a16:creationId xmlns:a16="http://schemas.microsoft.com/office/drawing/2014/main" id="{00000000-0008-0000-0400-00008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259080</xdr:rowOff>
        </xdr:from>
        <xdr:to>
          <xdr:col>11</xdr:col>
          <xdr:colOff>1767840</xdr:colOff>
          <xdr:row>125</xdr:row>
          <xdr:rowOff>129540</xdr:rowOff>
        </xdr:to>
        <xdr:sp macro="" textlink="">
          <xdr:nvSpPr>
            <xdr:cNvPr id="4495" name="Check Box 399" hidden="1">
              <a:extLst>
                <a:ext uri="{63B3BB69-23CF-44E3-9099-C40C66FF867C}">
                  <a14:compatExt spid="_x0000_s4495"/>
                </a:ext>
                <a:ext uri="{FF2B5EF4-FFF2-40B4-BE49-F238E27FC236}">
                  <a16:creationId xmlns:a16="http://schemas.microsoft.com/office/drawing/2014/main" id="{00000000-0008-0000-0400-00008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125</xdr:row>
          <xdr:rowOff>106680</xdr:rowOff>
        </xdr:from>
        <xdr:to>
          <xdr:col>11</xdr:col>
          <xdr:colOff>1767840</xdr:colOff>
          <xdr:row>125</xdr:row>
          <xdr:rowOff>287655</xdr:rowOff>
        </xdr:to>
        <xdr:sp macro="" textlink="">
          <xdr:nvSpPr>
            <xdr:cNvPr id="4496" name="Check Box 400" hidden="1">
              <a:extLst>
                <a:ext uri="{63B3BB69-23CF-44E3-9099-C40C66FF867C}">
                  <a14:compatExt spid="_x0000_s4496"/>
                </a:ext>
                <a:ext uri="{FF2B5EF4-FFF2-40B4-BE49-F238E27FC236}">
                  <a16:creationId xmlns:a16="http://schemas.microsoft.com/office/drawing/2014/main" id="{00000000-0008-0000-0400-00009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30480</xdr:rowOff>
        </xdr:from>
        <xdr:to>
          <xdr:col>11</xdr:col>
          <xdr:colOff>1767840</xdr:colOff>
          <xdr:row>124</xdr:row>
          <xdr:rowOff>211455</xdr:rowOff>
        </xdr:to>
        <xdr:sp macro="" textlink="">
          <xdr:nvSpPr>
            <xdr:cNvPr id="4497" name="Check Box 401" hidden="1">
              <a:extLst>
                <a:ext uri="{63B3BB69-23CF-44E3-9099-C40C66FF867C}">
                  <a14:compatExt spid="_x0000_s4497"/>
                </a:ext>
                <a:ext uri="{FF2B5EF4-FFF2-40B4-BE49-F238E27FC236}">
                  <a16:creationId xmlns:a16="http://schemas.microsoft.com/office/drawing/2014/main" id="{00000000-0008-0000-0400-00009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259080</xdr:rowOff>
        </xdr:from>
        <xdr:to>
          <xdr:col>11</xdr:col>
          <xdr:colOff>1767840</xdr:colOff>
          <xdr:row>127</xdr:row>
          <xdr:rowOff>129540</xdr:rowOff>
        </xdr:to>
        <xdr:sp macro="" textlink="">
          <xdr:nvSpPr>
            <xdr:cNvPr id="4498" name="Check Box 402" hidden="1">
              <a:extLst>
                <a:ext uri="{63B3BB69-23CF-44E3-9099-C40C66FF867C}">
                  <a14:compatExt spid="_x0000_s4498"/>
                </a:ext>
                <a:ext uri="{FF2B5EF4-FFF2-40B4-BE49-F238E27FC236}">
                  <a16:creationId xmlns:a16="http://schemas.microsoft.com/office/drawing/2014/main" id="{00000000-0008-0000-0400-00009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127</xdr:row>
          <xdr:rowOff>106680</xdr:rowOff>
        </xdr:from>
        <xdr:to>
          <xdr:col>11</xdr:col>
          <xdr:colOff>1767840</xdr:colOff>
          <xdr:row>127</xdr:row>
          <xdr:rowOff>287655</xdr:rowOff>
        </xdr:to>
        <xdr:sp macro="" textlink="">
          <xdr:nvSpPr>
            <xdr:cNvPr id="4499" name="Check Box 403" hidden="1">
              <a:extLst>
                <a:ext uri="{63B3BB69-23CF-44E3-9099-C40C66FF867C}">
                  <a14:compatExt spid="_x0000_s4499"/>
                </a:ext>
                <a:ext uri="{FF2B5EF4-FFF2-40B4-BE49-F238E27FC236}">
                  <a16:creationId xmlns:a16="http://schemas.microsoft.com/office/drawing/2014/main" id="{00000000-0008-0000-0400-00009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30480</xdr:rowOff>
        </xdr:from>
        <xdr:to>
          <xdr:col>11</xdr:col>
          <xdr:colOff>1767840</xdr:colOff>
          <xdr:row>126</xdr:row>
          <xdr:rowOff>211455</xdr:rowOff>
        </xdr:to>
        <xdr:sp macro="" textlink="">
          <xdr:nvSpPr>
            <xdr:cNvPr id="4500" name="Check Box 404" hidden="1">
              <a:extLst>
                <a:ext uri="{63B3BB69-23CF-44E3-9099-C40C66FF867C}">
                  <a14:compatExt spid="_x0000_s4500"/>
                </a:ext>
                <a:ext uri="{FF2B5EF4-FFF2-40B4-BE49-F238E27FC236}">
                  <a16:creationId xmlns:a16="http://schemas.microsoft.com/office/drawing/2014/main" id="{00000000-0008-0000-0400-00009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259080</xdr:rowOff>
        </xdr:from>
        <xdr:to>
          <xdr:col>11</xdr:col>
          <xdr:colOff>1767840</xdr:colOff>
          <xdr:row>129</xdr:row>
          <xdr:rowOff>129540</xdr:rowOff>
        </xdr:to>
        <xdr:sp macro="" textlink="">
          <xdr:nvSpPr>
            <xdr:cNvPr id="4501" name="Check Box 405" hidden="1">
              <a:extLst>
                <a:ext uri="{63B3BB69-23CF-44E3-9099-C40C66FF867C}">
                  <a14:compatExt spid="_x0000_s4501"/>
                </a:ext>
                <a:ext uri="{FF2B5EF4-FFF2-40B4-BE49-F238E27FC236}">
                  <a16:creationId xmlns:a16="http://schemas.microsoft.com/office/drawing/2014/main" id="{00000000-0008-0000-0400-00009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129</xdr:row>
          <xdr:rowOff>106680</xdr:rowOff>
        </xdr:from>
        <xdr:to>
          <xdr:col>11</xdr:col>
          <xdr:colOff>1767840</xdr:colOff>
          <xdr:row>129</xdr:row>
          <xdr:rowOff>287655</xdr:rowOff>
        </xdr:to>
        <xdr:sp macro="" textlink="">
          <xdr:nvSpPr>
            <xdr:cNvPr id="4502" name="Check Box 406" hidden="1">
              <a:extLst>
                <a:ext uri="{63B3BB69-23CF-44E3-9099-C40C66FF867C}">
                  <a14:compatExt spid="_x0000_s4502"/>
                </a:ext>
                <a:ext uri="{FF2B5EF4-FFF2-40B4-BE49-F238E27FC236}">
                  <a16:creationId xmlns:a16="http://schemas.microsoft.com/office/drawing/2014/main" id="{00000000-0008-0000-0400-00009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30480</xdr:rowOff>
        </xdr:from>
        <xdr:to>
          <xdr:col>11</xdr:col>
          <xdr:colOff>1767840</xdr:colOff>
          <xdr:row>128</xdr:row>
          <xdr:rowOff>211455</xdr:rowOff>
        </xdr:to>
        <xdr:sp macro="" textlink="">
          <xdr:nvSpPr>
            <xdr:cNvPr id="4503" name="Check Box 407" hidden="1">
              <a:extLst>
                <a:ext uri="{63B3BB69-23CF-44E3-9099-C40C66FF867C}">
                  <a14:compatExt spid="_x0000_s4503"/>
                </a:ext>
                <a:ext uri="{FF2B5EF4-FFF2-40B4-BE49-F238E27FC236}">
                  <a16:creationId xmlns:a16="http://schemas.microsoft.com/office/drawing/2014/main" id="{00000000-0008-0000-0400-00009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259080</xdr:rowOff>
        </xdr:from>
        <xdr:to>
          <xdr:col>11</xdr:col>
          <xdr:colOff>1767840</xdr:colOff>
          <xdr:row>131</xdr:row>
          <xdr:rowOff>129540</xdr:rowOff>
        </xdr:to>
        <xdr:sp macro="" textlink="">
          <xdr:nvSpPr>
            <xdr:cNvPr id="4504" name="Check Box 408" hidden="1">
              <a:extLst>
                <a:ext uri="{63B3BB69-23CF-44E3-9099-C40C66FF867C}">
                  <a14:compatExt spid="_x0000_s4504"/>
                </a:ext>
                <a:ext uri="{FF2B5EF4-FFF2-40B4-BE49-F238E27FC236}">
                  <a16:creationId xmlns:a16="http://schemas.microsoft.com/office/drawing/2014/main" id="{00000000-0008-0000-0400-00009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131</xdr:row>
          <xdr:rowOff>106680</xdr:rowOff>
        </xdr:from>
        <xdr:to>
          <xdr:col>11</xdr:col>
          <xdr:colOff>1767840</xdr:colOff>
          <xdr:row>131</xdr:row>
          <xdr:rowOff>287655</xdr:rowOff>
        </xdr:to>
        <xdr:sp macro="" textlink="">
          <xdr:nvSpPr>
            <xdr:cNvPr id="4505" name="Check Box 409" hidden="1">
              <a:extLst>
                <a:ext uri="{63B3BB69-23CF-44E3-9099-C40C66FF867C}">
                  <a14:compatExt spid="_x0000_s4505"/>
                </a:ext>
                <a:ext uri="{FF2B5EF4-FFF2-40B4-BE49-F238E27FC236}">
                  <a16:creationId xmlns:a16="http://schemas.microsoft.com/office/drawing/2014/main" id="{00000000-0008-0000-0400-00009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30480</xdr:rowOff>
        </xdr:from>
        <xdr:to>
          <xdr:col>11</xdr:col>
          <xdr:colOff>1767840</xdr:colOff>
          <xdr:row>130</xdr:row>
          <xdr:rowOff>211455</xdr:rowOff>
        </xdr:to>
        <xdr:sp macro="" textlink="">
          <xdr:nvSpPr>
            <xdr:cNvPr id="4506" name="Check Box 410" hidden="1">
              <a:extLst>
                <a:ext uri="{63B3BB69-23CF-44E3-9099-C40C66FF867C}">
                  <a14:compatExt spid="_x0000_s4506"/>
                </a:ext>
                <a:ext uri="{FF2B5EF4-FFF2-40B4-BE49-F238E27FC236}">
                  <a16:creationId xmlns:a16="http://schemas.microsoft.com/office/drawing/2014/main" id="{00000000-0008-0000-0400-00009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259080</xdr:rowOff>
        </xdr:from>
        <xdr:to>
          <xdr:col>11</xdr:col>
          <xdr:colOff>1767840</xdr:colOff>
          <xdr:row>133</xdr:row>
          <xdr:rowOff>129540</xdr:rowOff>
        </xdr:to>
        <xdr:sp macro="" textlink="">
          <xdr:nvSpPr>
            <xdr:cNvPr id="4507" name="Check Box 411" hidden="1">
              <a:extLst>
                <a:ext uri="{63B3BB69-23CF-44E3-9099-C40C66FF867C}">
                  <a14:compatExt spid="_x0000_s4507"/>
                </a:ext>
                <a:ext uri="{FF2B5EF4-FFF2-40B4-BE49-F238E27FC236}">
                  <a16:creationId xmlns:a16="http://schemas.microsoft.com/office/drawing/2014/main" id="{00000000-0008-0000-0400-00009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133</xdr:row>
          <xdr:rowOff>106680</xdr:rowOff>
        </xdr:from>
        <xdr:to>
          <xdr:col>11</xdr:col>
          <xdr:colOff>1767840</xdr:colOff>
          <xdr:row>133</xdr:row>
          <xdr:rowOff>287655</xdr:rowOff>
        </xdr:to>
        <xdr:sp macro="" textlink="">
          <xdr:nvSpPr>
            <xdr:cNvPr id="4508" name="Check Box 412" hidden="1">
              <a:extLst>
                <a:ext uri="{63B3BB69-23CF-44E3-9099-C40C66FF867C}">
                  <a14:compatExt spid="_x0000_s4508"/>
                </a:ext>
                <a:ext uri="{FF2B5EF4-FFF2-40B4-BE49-F238E27FC236}">
                  <a16:creationId xmlns:a16="http://schemas.microsoft.com/office/drawing/2014/main" id="{00000000-0008-0000-0400-00009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30480</xdr:rowOff>
        </xdr:from>
        <xdr:to>
          <xdr:col>11</xdr:col>
          <xdr:colOff>1767840</xdr:colOff>
          <xdr:row>132</xdr:row>
          <xdr:rowOff>211455</xdr:rowOff>
        </xdr:to>
        <xdr:sp macro="" textlink="">
          <xdr:nvSpPr>
            <xdr:cNvPr id="4509" name="Check Box 413" hidden="1">
              <a:extLst>
                <a:ext uri="{63B3BB69-23CF-44E3-9099-C40C66FF867C}">
                  <a14:compatExt spid="_x0000_s4509"/>
                </a:ext>
                <a:ext uri="{FF2B5EF4-FFF2-40B4-BE49-F238E27FC236}">
                  <a16:creationId xmlns:a16="http://schemas.microsoft.com/office/drawing/2014/main" id="{00000000-0008-0000-0400-00009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259080</xdr:rowOff>
        </xdr:from>
        <xdr:to>
          <xdr:col>11</xdr:col>
          <xdr:colOff>1767840</xdr:colOff>
          <xdr:row>135</xdr:row>
          <xdr:rowOff>129540</xdr:rowOff>
        </xdr:to>
        <xdr:sp macro="" textlink="">
          <xdr:nvSpPr>
            <xdr:cNvPr id="4510" name="Check Box 414" hidden="1">
              <a:extLst>
                <a:ext uri="{63B3BB69-23CF-44E3-9099-C40C66FF867C}">
                  <a14:compatExt spid="_x0000_s4510"/>
                </a:ext>
                <a:ext uri="{FF2B5EF4-FFF2-40B4-BE49-F238E27FC236}">
                  <a16:creationId xmlns:a16="http://schemas.microsoft.com/office/drawing/2014/main" id="{00000000-0008-0000-0400-00009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135</xdr:row>
          <xdr:rowOff>106680</xdr:rowOff>
        </xdr:from>
        <xdr:to>
          <xdr:col>11</xdr:col>
          <xdr:colOff>1767840</xdr:colOff>
          <xdr:row>135</xdr:row>
          <xdr:rowOff>287655</xdr:rowOff>
        </xdr:to>
        <xdr:sp macro="" textlink="">
          <xdr:nvSpPr>
            <xdr:cNvPr id="4511" name="Check Box 415" hidden="1">
              <a:extLst>
                <a:ext uri="{63B3BB69-23CF-44E3-9099-C40C66FF867C}">
                  <a14:compatExt spid="_x0000_s4511"/>
                </a:ext>
                <a:ext uri="{FF2B5EF4-FFF2-40B4-BE49-F238E27FC236}">
                  <a16:creationId xmlns:a16="http://schemas.microsoft.com/office/drawing/2014/main" id="{00000000-0008-0000-0400-00009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30480</xdr:rowOff>
        </xdr:from>
        <xdr:to>
          <xdr:col>11</xdr:col>
          <xdr:colOff>1767840</xdr:colOff>
          <xdr:row>134</xdr:row>
          <xdr:rowOff>211455</xdr:rowOff>
        </xdr:to>
        <xdr:sp macro="" textlink="">
          <xdr:nvSpPr>
            <xdr:cNvPr id="4512" name="Check Box 416" hidden="1">
              <a:extLst>
                <a:ext uri="{63B3BB69-23CF-44E3-9099-C40C66FF867C}">
                  <a14:compatExt spid="_x0000_s4512"/>
                </a:ext>
                <a:ext uri="{FF2B5EF4-FFF2-40B4-BE49-F238E27FC236}">
                  <a16:creationId xmlns:a16="http://schemas.microsoft.com/office/drawing/2014/main" id="{00000000-0008-0000-0400-0000A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259080</xdr:rowOff>
        </xdr:from>
        <xdr:to>
          <xdr:col>11</xdr:col>
          <xdr:colOff>1767840</xdr:colOff>
          <xdr:row>137</xdr:row>
          <xdr:rowOff>129540</xdr:rowOff>
        </xdr:to>
        <xdr:sp macro="" textlink="">
          <xdr:nvSpPr>
            <xdr:cNvPr id="4513" name="Check Box 417" hidden="1">
              <a:extLst>
                <a:ext uri="{63B3BB69-23CF-44E3-9099-C40C66FF867C}">
                  <a14:compatExt spid="_x0000_s4513"/>
                </a:ext>
                <a:ext uri="{FF2B5EF4-FFF2-40B4-BE49-F238E27FC236}">
                  <a16:creationId xmlns:a16="http://schemas.microsoft.com/office/drawing/2014/main" id="{00000000-0008-0000-0400-0000A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137</xdr:row>
          <xdr:rowOff>106680</xdr:rowOff>
        </xdr:from>
        <xdr:to>
          <xdr:col>11</xdr:col>
          <xdr:colOff>1767840</xdr:colOff>
          <xdr:row>137</xdr:row>
          <xdr:rowOff>287655</xdr:rowOff>
        </xdr:to>
        <xdr:sp macro="" textlink="">
          <xdr:nvSpPr>
            <xdr:cNvPr id="4514" name="Check Box 418" hidden="1">
              <a:extLst>
                <a:ext uri="{63B3BB69-23CF-44E3-9099-C40C66FF867C}">
                  <a14:compatExt spid="_x0000_s4514"/>
                </a:ext>
                <a:ext uri="{FF2B5EF4-FFF2-40B4-BE49-F238E27FC236}">
                  <a16:creationId xmlns:a16="http://schemas.microsoft.com/office/drawing/2014/main" id="{00000000-0008-0000-0400-0000A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30480</xdr:rowOff>
        </xdr:from>
        <xdr:to>
          <xdr:col>11</xdr:col>
          <xdr:colOff>1767840</xdr:colOff>
          <xdr:row>136</xdr:row>
          <xdr:rowOff>211455</xdr:rowOff>
        </xdr:to>
        <xdr:sp macro="" textlink="">
          <xdr:nvSpPr>
            <xdr:cNvPr id="4515" name="Check Box 419" hidden="1">
              <a:extLst>
                <a:ext uri="{63B3BB69-23CF-44E3-9099-C40C66FF867C}">
                  <a14:compatExt spid="_x0000_s4515"/>
                </a:ext>
                <a:ext uri="{FF2B5EF4-FFF2-40B4-BE49-F238E27FC236}">
                  <a16:creationId xmlns:a16="http://schemas.microsoft.com/office/drawing/2014/main" id="{00000000-0008-0000-0400-0000A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259080</xdr:rowOff>
        </xdr:from>
        <xdr:to>
          <xdr:col>11</xdr:col>
          <xdr:colOff>1767840</xdr:colOff>
          <xdr:row>139</xdr:row>
          <xdr:rowOff>129540</xdr:rowOff>
        </xdr:to>
        <xdr:sp macro="" textlink="">
          <xdr:nvSpPr>
            <xdr:cNvPr id="4516" name="Check Box 420" hidden="1">
              <a:extLst>
                <a:ext uri="{63B3BB69-23CF-44E3-9099-C40C66FF867C}">
                  <a14:compatExt spid="_x0000_s4516"/>
                </a:ext>
                <a:ext uri="{FF2B5EF4-FFF2-40B4-BE49-F238E27FC236}">
                  <a16:creationId xmlns:a16="http://schemas.microsoft.com/office/drawing/2014/main" id="{00000000-0008-0000-0400-0000A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139</xdr:row>
          <xdr:rowOff>106680</xdr:rowOff>
        </xdr:from>
        <xdr:to>
          <xdr:col>11</xdr:col>
          <xdr:colOff>1767840</xdr:colOff>
          <xdr:row>139</xdr:row>
          <xdr:rowOff>287655</xdr:rowOff>
        </xdr:to>
        <xdr:sp macro="" textlink="">
          <xdr:nvSpPr>
            <xdr:cNvPr id="4517" name="Check Box 421" hidden="1">
              <a:extLst>
                <a:ext uri="{63B3BB69-23CF-44E3-9099-C40C66FF867C}">
                  <a14:compatExt spid="_x0000_s4517"/>
                </a:ext>
                <a:ext uri="{FF2B5EF4-FFF2-40B4-BE49-F238E27FC236}">
                  <a16:creationId xmlns:a16="http://schemas.microsoft.com/office/drawing/2014/main" id="{00000000-0008-0000-0400-0000A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30480</xdr:rowOff>
        </xdr:from>
        <xdr:to>
          <xdr:col>11</xdr:col>
          <xdr:colOff>1767840</xdr:colOff>
          <xdr:row>138</xdr:row>
          <xdr:rowOff>211455</xdr:rowOff>
        </xdr:to>
        <xdr:sp macro="" textlink="">
          <xdr:nvSpPr>
            <xdr:cNvPr id="4518" name="Check Box 422" hidden="1">
              <a:extLst>
                <a:ext uri="{63B3BB69-23CF-44E3-9099-C40C66FF867C}">
                  <a14:compatExt spid="_x0000_s4518"/>
                </a:ext>
                <a:ext uri="{FF2B5EF4-FFF2-40B4-BE49-F238E27FC236}">
                  <a16:creationId xmlns:a16="http://schemas.microsoft.com/office/drawing/2014/main" id="{00000000-0008-0000-0400-0000A6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259080</xdr:rowOff>
        </xdr:from>
        <xdr:to>
          <xdr:col>11</xdr:col>
          <xdr:colOff>1767840</xdr:colOff>
          <xdr:row>141</xdr:row>
          <xdr:rowOff>129540</xdr:rowOff>
        </xdr:to>
        <xdr:sp macro="" textlink="">
          <xdr:nvSpPr>
            <xdr:cNvPr id="4519" name="Check Box 423" hidden="1">
              <a:extLst>
                <a:ext uri="{63B3BB69-23CF-44E3-9099-C40C66FF867C}">
                  <a14:compatExt spid="_x0000_s4519"/>
                </a:ext>
                <a:ext uri="{FF2B5EF4-FFF2-40B4-BE49-F238E27FC236}">
                  <a16:creationId xmlns:a16="http://schemas.microsoft.com/office/drawing/2014/main" id="{00000000-0008-0000-0400-0000A7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141</xdr:row>
          <xdr:rowOff>106680</xdr:rowOff>
        </xdr:from>
        <xdr:to>
          <xdr:col>11</xdr:col>
          <xdr:colOff>1767840</xdr:colOff>
          <xdr:row>141</xdr:row>
          <xdr:rowOff>287655</xdr:rowOff>
        </xdr:to>
        <xdr:sp macro="" textlink="">
          <xdr:nvSpPr>
            <xdr:cNvPr id="4520" name="Check Box 424" hidden="1">
              <a:extLst>
                <a:ext uri="{63B3BB69-23CF-44E3-9099-C40C66FF867C}">
                  <a14:compatExt spid="_x0000_s4520"/>
                </a:ext>
                <a:ext uri="{FF2B5EF4-FFF2-40B4-BE49-F238E27FC236}">
                  <a16:creationId xmlns:a16="http://schemas.microsoft.com/office/drawing/2014/main" id="{00000000-0008-0000-0400-0000A8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30480</xdr:rowOff>
        </xdr:from>
        <xdr:to>
          <xdr:col>11</xdr:col>
          <xdr:colOff>1767840</xdr:colOff>
          <xdr:row>140</xdr:row>
          <xdr:rowOff>211455</xdr:rowOff>
        </xdr:to>
        <xdr:sp macro="" textlink="">
          <xdr:nvSpPr>
            <xdr:cNvPr id="4521" name="Check Box 425" hidden="1">
              <a:extLst>
                <a:ext uri="{63B3BB69-23CF-44E3-9099-C40C66FF867C}">
                  <a14:compatExt spid="_x0000_s4521"/>
                </a:ext>
                <a:ext uri="{FF2B5EF4-FFF2-40B4-BE49-F238E27FC236}">
                  <a16:creationId xmlns:a16="http://schemas.microsoft.com/office/drawing/2014/main" id="{00000000-0008-0000-0400-0000A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14</xdr:col>
      <xdr:colOff>80123</xdr:colOff>
      <xdr:row>3</xdr:row>
      <xdr:rowOff>0</xdr:rowOff>
    </xdr:from>
    <xdr:to>
      <xdr:col>23</xdr:col>
      <xdr:colOff>838802</xdr:colOff>
      <xdr:row>11</xdr:row>
      <xdr:rowOff>206973</xdr:rowOff>
    </xdr:to>
    <xdr:graphicFrame macro="">
      <xdr:nvGraphicFramePr>
        <xdr:cNvPr id="2" name="Gráfico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14</xdr:col>
      <xdr:colOff>80123</xdr:colOff>
      <xdr:row>3</xdr:row>
      <xdr:rowOff>0</xdr:rowOff>
    </xdr:from>
    <xdr:to>
      <xdr:col>23</xdr:col>
      <xdr:colOff>838802</xdr:colOff>
      <xdr:row>12</xdr:row>
      <xdr:rowOff>206973</xdr:rowOff>
    </xdr:to>
    <xdr:graphicFrame macro="">
      <xdr:nvGraphicFramePr>
        <xdr:cNvPr id="4" name="Gráfico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80123</xdr:colOff>
      <xdr:row>3</xdr:row>
      <xdr:rowOff>0</xdr:rowOff>
    </xdr:from>
    <xdr:to>
      <xdr:col>23</xdr:col>
      <xdr:colOff>838802</xdr:colOff>
      <xdr:row>12</xdr:row>
      <xdr:rowOff>206973</xdr:rowOff>
    </xdr:to>
    <xdr:graphicFrame macro="">
      <xdr:nvGraphicFramePr>
        <xdr:cNvPr id="11" name="Gráfico 1">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13</xdr:row>
      <xdr:rowOff>88991</xdr:rowOff>
    </xdr:from>
    <xdr:to>
      <xdr:col>4</xdr:col>
      <xdr:colOff>1173752</xdr:colOff>
      <xdr:row>25</xdr:row>
      <xdr:rowOff>112123</xdr:rowOff>
    </xdr:to>
    <xdr:graphicFrame macro="">
      <xdr:nvGraphicFramePr>
        <xdr:cNvPr id="2" name="Gráfico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26000</xdr:colOff>
      <xdr:row>13</xdr:row>
      <xdr:rowOff>78443</xdr:rowOff>
    </xdr:from>
    <xdr:to>
      <xdr:col>7</xdr:col>
      <xdr:colOff>1226345</xdr:colOff>
      <xdr:row>25</xdr:row>
      <xdr:rowOff>112124</xdr:rowOff>
    </xdr:to>
    <xdr:graphicFrame macro="">
      <xdr:nvGraphicFramePr>
        <xdr:cNvPr id="3" name="Gráfico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1313498</xdr:colOff>
      <xdr:row>11</xdr:row>
      <xdr:rowOff>59056</xdr:rowOff>
    </xdr:from>
    <xdr:to>
      <xdr:col>10</xdr:col>
      <xdr:colOff>1595437</xdr:colOff>
      <xdr:row>25</xdr:row>
      <xdr:rowOff>112123</xdr:rowOff>
    </xdr:to>
    <xdr:graphicFrame macro="">
      <xdr:nvGraphicFramePr>
        <xdr:cNvPr id="4" name="Gráfico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0</xdr:colOff>
          <xdr:row>54</xdr:row>
          <xdr:rowOff>30480</xdr:rowOff>
        </xdr:from>
        <xdr:to>
          <xdr:col>9</xdr:col>
          <xdr:colOff>0</xdr:colOff>
          <xdr:row>54</xdr:row>
          <xdr:rowOff>220980</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A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54</xdr:row>
          <xdr:rowOff>259080</xdr:rowOff>
        </xdr:from>
        <xdr:to>
          <xdr:col>9</xdr:col>
          <xdr:colOff>0</xdr:colOff>
          <xdr:row>55</xdr:row>
          <xdr:rowOff>106680</xdr:rowOff>
        </xdr:to>
        <xdr:sp macro="" textlink="">
          <xdr:nvSpPr>
            <xdr:cNvPr id="17410" name="Check Box 2" hidden="1">
              <a:extLst>
                <a:ext uri="{63B3BB69-23CF-44E3-9099-C40C66FF867C}">
                  <a14:compatExt spid="_x0000_s17410"/>
                </a:ext>
                <a:ext uri="{FF2B5EF4-FFF2-40B4-BE49-F238E27FC236}">
                  <a16:creationId xmlns:a16="http://schemas.microsoft.com/office/drawing/2014/main" id="{00000000-0008-0000-0A00-00000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55</xdr:row>
          <xdr:rowOff>106680</xdr:rowOff>
        </xdr:from>
        <xdr:to>
          <xdr:col>9</xdr:col>
          <xdr:colOff>0</xdr:colOff>
          <xdr:row>55</xdr:row>
          <xdr:rowOff>297180</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A00-00000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56</xdr:row>
          <xdr:rowOff>30480</xdr:rowOff>
        </xdr:from>
        <xdr:to>
          <xdr:col>9</xdr:col>
          <xdr:colOff>0</xdr:colOff>
          <xdr:row>56</xdr:row>
          <xdr:rowOff>220980</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A00-00000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56</xdr:row>
          <xdr:rowOff>259080</xdr:rowOff>
        </xdr:from>
        <xdr:to>
          <xdr:col>9</xdr:col>
          <xdr:colOff>0</xdr:colOff>
          <xdr:row>57</xdr:row>
          <xdr:rowOff>106680</xdr:rowOff>
        </xdr:to>
        <xdr:sp macro="" textlink="">
          <xdr:nvSpPr>
            <xdr:cNvPr id="17413" name="Check Box 5" hidden="1">
              <a:extLst>
                <a:ext uri="{63B3BB69-23CF-44E3-9099-C40C66FF867C}">
                  <a14:compatExt spid="_x0000_s17413"/>
                </a:ext>
                <a:ext uri="{FF2B5EF4-FFF2-40B4-BE49-F238E27FC236}">
                  <a16:creationId xmlns:a16="http://schemas.microsoft.com/office/drawing/2014/main" id="{00000000-0008-0000-0A00-00000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57</xdr:row>
          <xdr:rowOff>106680</xdr:rowOff>
        </xdr:from>
        <xdr:to>
          <xdr:col>9</xdr:col>
          <xdr:colOff>0</xdr:colOff>
          <xdr:row>57</xdr:row>
          <xdr:rowOff>297180</xdr:rowOff>
        </xdr:to>
        <xdr:sp macro="" textlink="">
          <xdr:nvSpPr>
            <xdr:cNvPr id="17414" name="Check Box 6" hidden="1">
              <a:extLst>
                <a:ext uri="{63B3BB69-23CF-44E3-9099-C40C66FF867C}">
                  <a14:compatExt spid="_x0000_s17414"/>
                </a:ext>
                <a:ext uri="{FF2B5EF4-FFF2-40B4-BE49-F238E27FC236}">
                  <a16:creationId xmlns:a16="http://schemas.microsoft.com/office/drawing/2014/main" id="{00000000-0008-0000-0A00-00000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30480</xdr:rowOff>
        </xdr:from>
        <xdr:to>
          <xdr:col>9</xdr:col>
          <xdr:colOff>0</xdr:colOff>
          <xdr:row>58</xdr:row>
          <xdr:rowOff>220980</xdr:rowOff>
        </xdr:to>
        <xdr:sp macro="" textlink="">
          <xdr:nvSpPr>
            <xdr:cNvPr id="17415" name="Check Box 7" hidden="1">
              <a:extLst>
                <a:ext uri="{63B3BB69-23CF-44E3-9099-C40C66FF867C}">
                  <a14:compatExt spid="_x0000_s17415"/>
                </a:ext>
                <a:ext uri="{FF2B5EF4-FFF2-40B4-BE49-F238E27FC236}">
                  <a16:creationId xmlns:a16="http://schemas.microsoft.com/office/drawing/2014/main" id="{00000000-0008-0000-0A00-00000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259080</xdr:rowOff>
        </xdr:from>
        <xdr:to>
          <xdr:col>9</xdr:col>
          <xdr:colOff>0</xdr:colOff>
          <xdr:row>59</xdr:row>
          <xdr:rowOff>106680</xdr:rowOff>
        </xdr:to>
        <xdr:sp macro="" textlink="">
          <xdr:nvSpPr>
            <xdr:cNvPr id="17416" name="Check Box 8" hidden="1">
              <a:extLst>
                <a:ext uri="{63B3BB69-23CF-44E3-9099-C40C66FF867C}">
                  <a14:compatExt spid="_x0000_s17416"/>
                </a:ext>
                <a:ext uri="{FF2B5EF4-FFF2-40B4-BE49-F238E27FC236}">
                  <a16:creationId xmlns:a16="http://schemas.microsoft.com/office/drawing/2014/main" id="{00000000-0008-0000-0A00-00000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59</xdr:row>
          <xdr:rowOff>106680</xdr:rowOff>
        </xdr:from>
        <xdr:to>
          <xdr:col>9</xdr:col>
          <xdr:colOff>0</xdr:colOff>
          <xdr:row>59</xdr:row>
          <xdr:rowOff>297180</xdr:rowOff>
        </xdr:to>
        <xdr:sp macro="" textlink="">
          <xdr:nvSpPr>
            <xdr:cNvPr id="17417" name="Check Box 9" hidden="1">
              <a:extLst>
                <a:ext uri="{63B3BB69-23CF-44E3-9099-C40C66FF867C}">
                  <a14:compatExt spid="_x0000_s17417"/>
                </a:ext>
                <a:ext uri="{FF2B5EF4-FFF2-40B4-BE49-F238E27FC236}">
                  <a16:creationId xmlns:a16="http://schemas.microsoft.com/office/drawing/2014/main" id="{00000000-0008-0000-0A00-00000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259080</xdr:rowOff>
        </xdr:from>
        <xdr:to>
          <xdr:col>9</xdr:col>
          <xdr:colOff>0</xdr:colOff>
          <xdr:row>61</xdr:row>
          <xdr:rowOff>106680</xdr:rowOff>
        </xdr:to>
        <xdr:sp macro="" textlink="">
          <xdr:nvSpPr>
            <xdr:cNvPr id="17418" name="Check Box 10" hidden="1">
              <a:extLst>
                <a:ext uri="{63B3BB69-23CF-44E3-9099-C40C66FF867C}">
                  <a14:compatExt spid="_x0000_s17418"/>
                </a:ext>
                <a:ext uri="{FF2B5EF4-FFF2-40B4-BE49-F238E27FC236}">
                  <a16:creationId xmlns:a16="http://schemas.microsoft.com/office/drawing/2014/main" id="{00000000-0008-0000-0A00-00000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106680</xdr:rowOff>
        </xdr:from>
        <xdr:to>
          <xdr:col>9</xdr:col>
          <xdr:colOff>0</xdr:colOff>
          <xdr:row>61</xdr:row>
          <xdr:rowOff>297180</xdr:rowOff>
        </xdr:to>
        <xdr:sp macro="" textlink="">
          <xdr:nvSpPr>
            <xdr:cNvPr id="17419" name="Check Box 11" hidden="1">
              <a:extLst>
                <a:ext uri="{63B3BB69-23CF-44E3-9099-C40C66FF867C}">
                  <a14:compatExt spid="_x0000_s17419"/>
                </a:ext>
                <a:ext uri="{FF2B5EF4-FFF2-40B4-BE49-F238E27FC236}">
                  <a16:creationId xmlns:a16="http://schemas.microsoft.com/office/drawing/2014/main" id="{00000000-0008-0000-0A00-00000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62</xdr:row>
          <xdr:rowOff>259080</xdr:rowOff>
        </xdr:from>
        <xdr:to>
          <xdr:col>9</xdr:col>
          <xdr:colOff>0</xdr:colOff>
          <xdr:row>63</xdr:row>
          <xdr:rowOff>106680</xdr:rowOff>
        </xdr:to>
        <xdr:sp macro="" textlink="">
          <xdr:nvSpPr>
            <xdr:cNvPr id="17420" name="Check Box 12" hidden="1">
              <a:extLst>
                <a:ext uri="{63B3BB69-23CF-44E3-9099-C40C66FF867C}">
                  <a14:compatExt spid="_x0000_s17420"/>
                </a:ext>
                <a:ext uri="{FF2B5EF4-FFF2-40B4-BE49-F238E27FC236}">
                  <a16:creationId xmlns:a16="http://schemas.microsoft.com/office/drawing/2014/main" id="{00000000-0008-0000-0A00-00000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106680</xdr:rowOff>
        </xdr:from>
        <xdr:to>
          <xdr:col>9</xdr:col>
          <xdr:colOff>0</xdr:colOff>
          <xdr:row>63</xdr:row>
          <xdr:rowOff>297180</xdr:rowOff>
        </xdr:to>
        <xdr:sp macro="" textlink="">
          <xdr:nvSpPr>
            <xdr:cNvPr id="17421" name="Check Box 13" hidden="1">
              <a:extLst>
                <a:ext uri="{63B3BB69-23CF-44E3-9099-C40C66FF867C}">
                  <a14:compatExt spid="_x0000_s17421"/>
                </a:ext>
                <a:ext uri="{FF2B5EF4-FFF2-40B4-BE49-F238E27FC236}">
                  <a16:creationId xmlns:a16="http://schemas.microsoft.com/office/drawing/2014/main" id="{00000000-0008-0000-0A00-00000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64</xdr:row>
          <xdr:rowOff>259080</xdr:rowOff>
        </xdr:from>
        <xdr:to>
          <xdr:col>9</xdr:col>
          <xdr:colOff>0</xdr:colOff>
          <xdr:row>65</xdr:row>
          <xdr:rowOff>106680</xdr:rowOff>
        </xdr:to>
        <xdr:sp macro="" textlink="">
          <xdr:nvSpPr>
            <xdr:cNvPr id="17422" name="Check Box 14" hidden="1">
              <a:extLst>
                <a:ext uri="{63B3BB69-23CF-44E3-9099-C40C66FF867C}">
                  <a14:compatExt spid="_x0000_s17422"/>
                </a:ext>
                <a:ext uri="{FF2B5EF4-FFF2-40B4-BE49-F238E27FC236}">
                  <a16:creationId xmlns:a16="http://schemas.microsoft.com/office/drawing/2014/main" id="{00000000-0008-0000-0A00-00000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65</xdr:row>
          <xdr:rowOff>106680</xdr:rowOff>
        </xdr:from>
        <xdr:to>
          <xdr:col>9</xdr:col>
          <xdr:colOff>0</xdr:colOff>
          <xdr:row>65</xdr:row>
          <xdr:rowOff>297180</xdr:rowOff>
        </xdr:to>
        <xdr:sp macro="" textlink="">
          <xdr:nvSpPr>
            <xdr:cNvPr id="17423" name="Check Box 15" hidden="1">
              <a:extLst>
                <a:ext uri="{63B3BB69-23CF-44E3-9099-C40C66FF867C}">
                  <a14:compatExt spid="_x0000_s17423"/>
                </a:ext>
                <a:ext uri="{FF2B5EF4-FFF2-40B4-BE49-F238E27FC236}">
                  <a16:creationId xmlns:a16="http://schemas.microsoft.com/office/drawing/2014/main" id="{00000000-0008-0000-0A00-00000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66</xdr:row>
          <xdr:rowOff>259080</xdr:rowOff>
        </xdr:from>
        <xdr:to>
          <xdr:col>9</xdr:col>
          <xdr:colOff>0</xdr:colOff>
          <xdr:row>67</xdr:row>
          <xdr:rowOff>106680</xdr:rowOff>
        </xdr:to>
        <xdr:sp macro="" textlink="">
          <xdr:nvSpPr>
            <xdr:cNvPr id="17424" name="Check Box 16" hidden="1">
              <a:extLst>
                <a:ext uri="{63B3BB69-23CF-44E3-9099-C40C66FF867C}">
                  <a14:compatExt spid="_x0000_s17424"/>
                </a:ext>
                <a:ext uri="{FF2B5EF4-FFF2-40B4-BE49-F238E27FC236}">
                  <a16:creationId xmlns:a16="http://schemas.microsoft.com/office/drawing/2014/main" id="{00000000-0008-0000-0A00-00001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67</xdr:row>
          <xdr:rowOff>106680</xdr:rowOff>
        </xdr:from>
        <xdr:to>
          <xdr:col>9</xdr:col>
          <xdr:colOff>0</xdr:colOff>
          <xdr:row>67</xdr:row>
          <xdr:rowOff>297180</xdr:rowOff>
        </xdr:to>
        <xdr:sp macro="" textlink="">
          <xdr:nvSpPr>
            <xdr:cNvPr id="17425" name="Check Box 17" hidden="1">
              <a:extLst>
                <a:ext uri="{63B3BB69-23CF-44E3-9099-C40C66FF867C}">
                  <a14:compatExt spid="_x0000_s17425"/>
                </a:ext>
                <a:ext uri="{FF2B5EF4-FFF2-40B4-BE49-F238E27FC236}">
                  <a16:creationId xmlns:a16="http://schemas.microsoft.com/office/drawing/2014/main" id="{00000000-0008-0000-0A00-00001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68</xdr:row>
          <xdr:rowOff>259080</xdr:rowOff>
        </xdr:from>
        <xdr:to>
          <xdr:col>9</xdr:col>
          <xdr:colOff>0</xdr:colOff>
          <xdr:row>69</xdr:row>
          <xdr:rowOff>106680</xdr:rowOff>
        </xdr:to>
        <xdr:sp macro="" textlink="">
          <xdr:nvSpPr>
            <xdr:cNvPr id="17426" name="Check Box 18" hidden="1">
              <a:extLst>
                <a:ext uri="{63B3BB69-23CF-44E3-9099-C40C66FF867C}">
                  <a14:compatExt spid="_x0000_s17426"/>
                </a:ext>
                <a:ext uri="{FF2B5EF4-FFF2-40B4-BE49-F238E27FC236}">
                  <a16:creationId xmlns:a16="http://schemas.microsoft.com/office/drawing/2014/main" id="{00000000-0008-0000-0A00-00001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69</xdr:row>
          <xdr:rowOff>106680</xdr:rowOff>
        </xdr:from>
        <xdr:to>
          <xdr:col>9</xdr:col>
          <xdr:colOff>0</xdr:colOff>
          <xdr:row>69</xdr:row>
          <xdr:rowOff>297180</xdr:rowOff>
        </xdr:to>
        <xdr:sp macro="" textlink="">
          <xdr:nvSpPr>
            <xdr:cNvPr id="17427" name="Check Box 19" hidden="1">
              <a:extLst>
                <a:ext uri="{63B3BB69-23CF-44E3-9099-C40C66FF867C}">
                  <a14:compatExt spid="_x0000_s17427"/>
                </a:ext>
                <a:ext uri="{FF2B5EF4-FFF2-40B4-BE49-F238E27FC236}">
                  <a16:creationId xmlns:a16="http://schemas.microsoft.com/office/drawing/2014/main" id="{00000000-0008-0000-0A00-00001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70</xdr:row>
          <xdr:rowOff>259080</xdr:rowOff>
        </xdr:from>
        <xdr:to>
          <xdr:col>9</xdr:col>
          <xdr:colOff>0</xdr:colOff>
          <xdr:row>71</xdr:row>
          <xdr:rowOff>106680</xdr:rowOff>
        </xdr:to>
        <xdr:sp macro="" textlink="">
          <xdr:nvSpPr>
            <xdr:cNvPr id="17428" name="Check Box 20" hidden="1">
              <a:extLst>
                <a:ext uri="{63B3BB69-23CF-44E3-9099-C40C66FF867C}">
                  <a14:compatExt spid="_x0000_s17428"/>
                </a:ext>
                <a:ext uri="{FF2B5EF4-FFF2-40B4-BE49-F238E27FC236}">
                  <a16:creationId xmlns:a16="http://schemas.microsoft.com/office/drawing/2014/main" id="{00000000-0008-0000-0A00-00001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71</xdr:row>
          <xdr:rowOff>106680</xdr:rowOff>
        </xdr:from>
        <xdr:to>
          <xdr:col>9</xdr:col>
          <xdr:colOff>0</xdr:colOff>
          <xdr:row>71</xdr:row>
          <xdr:rowOff>297180</xdr:rowOff>
        </xdr:to>
        <xdr:sp macro="" textlink="">
          <xdr:nvSpPr>
            <xdr:cNvPr id="17429" name="Check Box 21" hidden="1">
              <a:extLst>
                <a:ext uri="{63B3BB69-23CF-44E3-9099-C40C66FF867C}">
                  <a14:compatExt spid="_x0000_s17429"/>
                </a:ext>
                <a:ext uri="{FF2B5EF4-FFF2-40B4-BE49-F238E27FC236}">
                  <a16:creationId xmlns:a16="http://schemas.microsoft.com/office/drawing/2014/main" id="{00000000-0008-0000-0A00-00001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72</xdr:row>
          <xdr:rowOff>259080</xdr:rowOff>
        </xdr:from>
        <xdr:to>
          <xdr:col>9</xdr:col>
          <xdr:colOff>0</xdr:colOff>
          <xdr:row>73</xdr:row>
          <xdr:rowOff>106680</xdr:rowOff>
        </xdr:to>
        <xdr:sp macro="" textlink="">
          <xdr:nvSpPr>
            <xdr:cNvPr id="17430" name="Check Box 22" hidden="1">
              <a:extLst>
                <a:ext uri="{63B3BB69-23CF-44E3-9099-C40C66FF867C}">
                  <a14:compatExt spid="_x0000_s17430"/>
                </a:ext>
                <a:ext uri="{FF2B5EF4-FFF2-40B4-BE49-F238E27FC236}">
                  <a16:creationId xmlns:a16="http://schemas.microsoft.com/office/drawing/2014/main" id="{00000000-0008-0000-0A00-00001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73</xdr:row>
          <xdr:rowOff>106680</xdr:rowOff>
        </xdr:from>
        <xdr:to>
          <xdr:col>9</xdr:col>
          <xdr:colOff>0</xdr:colOff>
          <xdr:row>73</xdr:row>
          <xdr:rowOff>297180</xdr:rowOff>
        </xdr:to>
        <xdr:sp macro="" textlink="">
          <xdr:nvSpPr>
            <xdr:cNvPr id="17431" name="Check Box 23" hidden="1">
              <a:extLst>
                <a:ext uri="{63B3BB69-23CF-44E3-9099-C40C66FF867C}">
                  <a14:compatExt spid="_x0000_s17431"/>
                </a:ext>
                <a:ext uri="{FF2B5EF4-FFF2-40B4-BE49-F238E27FC236}">
                  <a16:creationId xmlns:a16="http://schemas.microsoft.com/office/drawing/2014/main" id="{00000000-0008-0000-0A00-00001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74</xdr:row>
          <xdr:rowOff>259080</xdr:rowOff>
        </xdr:from>
        <xdr:to>
          <xdr:col>9</xdr:col>
          <xdr:colOff>0</xdr:colOff>
          <xdr:row>75</xdr:row>
          <xdr:rowOff>106680</xdr:rowOff>
        </xdr:to>
        <xdr:sp macro="" textlink="">
          <xdr:nvSpPr>
            <xdr:cNvPr id="17432" name="Check Box 24" hidden="1">
              <a:extLst>
                <a:ext uri="{63B3BB69-23CF-44E3-9099-C40C66FF867C}">
                  <a14:compatExt spid="_x0000_s17432"/>
                </a:ext>
                <a:ext uri="{FF2B5EF4-FFF2-40B4-BE49-F238E27FC236}">
                  <a16:creationId xmlns:a16="http://schemas.microsoft.com/office/drawing/2014/main" id="{00000000-0008-0000-0A00-00001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75</xdr:row>
          <xdr:rowOff>106680</xdr:rowOff>
        </xdr:from>
        <xdr:to>
          <xdr:col>9</xdr:col>
          <xdr:colOff>0</xdr:colOff>
          <xdr:row>75</xdr:row>
          <xdr:rowOff>297180</xdr:rowOff>
        </xdr:to>
        <xdr:sp macro="" textlink="">
          <xdr:nvSpPr>
            <xdr:cNvPr id="17433" name="Check Box 25" hidden="1">
              <a:extLst>
                <a:ext uri="{63B3BB69-23CF-44E3-9099-C40C66FF867C}">
                  <a14:compatExt spid="_x0000_s17433"/>
                </a:ext>
                <a:ext uri="{FF2B5EF4-FFF2-40B4-BE49-F238E27FC236}">
                  <a16:creationId xmlns:a16="http://schemas.microsoft.com/office/drawing/2014/main" id="{00000000-0008-0000-0A00-00001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76</xdr:row>
          <xdr:rowOff>259080</xdr:rowOff>
        </xdr:from>
        <xdr:to>
          <xdr:col>9</xdr:col>
          <xdr:colOff>0</xdr:colOff>
          <xdr:row>77</xdr:row>
          <xdr:rowOff>106680</xdr:rowOff>
        </xdr:to>
        <xdr:sp macro="" textlink="">
          <xdr:nvSpPr>
            <xdr:cNvPr id="17434" name="Check Box 26" hidden="1">
              <a:extLst>
                <a:ext uri="{63B3BB69-23CF-44E3-9099-C40C66FF867C}">
                  <a14:compatExt spid="_x0000_s17434"/>
                </a:ext>
                <a:ext uri="{FF2B5EF4-FFF2-40B4-BE49-F238E27FC236}">
                  <a16:creationId xmlns:a16="http://schemas.microsoft.com/office/drawing/2014/main" id="{00000000-0008-0000-0A00-00001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77</xdr:row>
          <xdr:rowOff>106680</xdr:rowOff>
        </xdr:from>
        <xdr:to>
          <xdr:col>9</xdr:col>
          <xdr:colOff>0</xdr:colOff>
          <xdr:row>77</xdr:row>
          <xdr:rowOff>297180</xdr:rowOff>
        </xdr:to>
        <xdr:sp macro="" textlink="">
          <xdr:nvSpPr>
            <xdr:cNvPr id="17435" name="Check Box 27" hidden="1">
              <a:extLst>
                <a:ext uri="{63B3BB69-23CF-44E3-9099-C40C66FF867C}">
                  <a14:compatExt spid="_x0000_s17435"/>
                </a:ext>
                <a:ext uri="{FF2B5EF4-FFF2-40B4-BE49-F238E27FC236}">
                  <a16:creationId xmlns:a16="http://schemas.microsoft.com/office/drawing/2014/main" id="{00000000-0008-0000-0A00-00001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78</xdr:row>
          <xdr:rowOff>30480</xdr:rowOff>
        </xdr:from>
        <xdr:to>
          <xdr:col>9</xdr:col>
          <xdr:colOff>0</xdr:colOff>
          <xdr:row>78</xdr:row>
          <xdr:rowOff>220980</xdr:rowOff>
        </xdr:to>
        <xdr:sp macro="" textlink="">
          <xdr:nvSpPr>
            <xdr:cNvPr id="17436" name="Check Box 28" hidden="1">
              <a:extLst>
                <a:ext uri="{63B3BB69-23CF-44E3-9099-C40C66FF867C}">
                  <a14:compatExt spid="_x0000_s17436"/>
                </a:ext>
                <a:ext uri="{FF2B5EF4-FFF2-40B4-BE49-F238E27FC236}">
                  <a16:creationId xmlns:a16="http://schemas.microsoft.com/office/drawing/2014/main" id="{00000000-0008-0000-0A00-00001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78</xdr:row>
          <xdr:rowOff>259080</xdr:rowOff>
        </xdr:from>
        <xdr:to>
          <xdr:col>9</xdr:col>
          <xdr:colOff>0</xdr:colOff>
          <xdr:row>79</xdr:row>
          <xdr:rowOff>106680</xdr:rowOff>
        </xdr:to>
        <xdr:sp macro="" textlink="">
          <xdr:nvSpPr>
            <xdr:cNvPr id="17437" name="Check Box 29" hidden="1">
              <a:extLst>
                <a:ext uri="{63B3BB69-23CF-44E3-9099-C40C66FF867C}">
                  <a14:compatExt spid="_x0000_s17437"/>
                </a:ext>
                <a:ext uri="{FF2B5EF4-FFF2-40B4-BE49-F238E27FC236}">
                  <a16:creationId xmlns:a16="http://schemas.microsoft.com/office/drawing/2014/main" id="{00000000-0008-0000-0A00-00001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79</xdr:row>
          <xdr:rowOff>106680</xdr:rowOff>
        </xdr:from>
        <xdr:to>
          <xdr:col>9</xdr:col>
          <xdr:colOff>0</xdr:colOff>
          <xdr:row>79</xdr:row>
          <xdr:rowOff>297180</xdr:rowOff>
        </xdr:to>
        <xdr:sp macro="" textlink="">
          <xdr:nvSpPr>
            <xdr:cNvPr id="17438" name="Check Box 30" hidden="1">
              <a:extLst>
                <a:ext uri="{63B3BB69-23CF-44E3-9099-C40C66FF867C}">
                  <a14:compatExt spid="_x0000_s17438"/>
                </a:ext>
                <a:ext uri="{FF2B5EF4-FFF2-40B4-BE49-F238E27FC236}">
                  <a16:creationId xmlns:a16="http://schemas.microsoft.com/office/drawing/2014/main" id="{00000000-0008-0000-0A00-00001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80</xdr:row>
          <xdr:rowOff>259080</xdr:rowOff>
        </xdr:from>
        <xdr:to>
          <xdr:col>9</xdr:col>
          <xdr:colOff>0</xdr:colOff>
          <xdr:row>81</xdr:row>
          <xdr:rowOff>106680</xdr:rowOff>
        </xdr:to>
        <xdr:sp macro="" textlink="">
          <xdr:nvSpPr>
            <xdr:cNvPr id="17439" name="Check Box 31" hidden="1">
              <a:extLst>
                <a:ext uri="{63B3BB69-23CF-44E3-9099-C40C66FF867C}">
                  <a14:compatExt spid="_x0000_s17439"/>
                </a:ext>
                <a:ext uri="{FF2B5EF4-FFF2-40B4-BE49-F238E27FC236}">
                  <a16:creationId xmlns:a16="http://schemas.microsoft.com/office/drawing/2014/main" id="{00000000-0008-0000-0A00-00001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81</xdr:row>
          <xdr:rowOff>106680</xdr:rowOff>
        </xdr:from>
        <xdr:to>
          <xdr:col>9</xdr:col>
          <xdr:colOff>0</xdr:colOff>
          <xdr:row>81</xdr:row>
          <xdr:rowOff>297180</xdr:rowOff>
        </xdr:to>
        <xdr:sp macro="" textlink="">
          <xdr:nvSpPr>
            <xdr:cNvPr id="17440" name="Check Box 32" hidden="1">
              <a:extLst>
                <a:ext uri="{63B3BB69-23CF-44E3-9099-C40C66FF867C}">
                  <a14:compatExt spid="_x0000_s17440"/>
                </a:ext>
                <a:ext uri="{FF2B5EF4-FFF2-40B4-BE49-F238E27FC236}">
                  <a16:creationId xmlns:a16="http://schemas.microsoft.com/office/drawing/2014/main" id="{00000000-0008-0000-0A00-00002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82</xdr:row>
          <xdr:rowOff>259080</xdr:rowOff>
        </xdr:from>
        <xdr:to>
          <xdr:col>9</xdr:col>
          <xdr:colOff>0</xdr:colOff>
          <xdr:row>83</xdr:row>
          <xdr:rowOff>106680</xdr:rowOff>
        </xdr:to>
        <xdr:sp macro="" textlink="">
          <xdr:nvSpPr>
            <xdr:cNvPr id="17441" name="Check Box 33" hidden="1">
              <a:extLst>
                <a:ext uri="{63B3BB69-23CF-44E3-9099-C40C66FF867C}">
                  <a14:compatExt spid="_x0000_s17441"/>
                </a:ext>
                <a:ext uri="{FF2B5EF4-FFF2-40B4-BE49-F238E27FC236}">
                  <a16:creationId xmlns:a16="http://schemas.microsoft.com/office/drawing/2014/main" id="{00000000-0008-0000-0A00-00002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83</xdr:row>
          <xdr:rowOff>106680</xdr:rowOff>
        </xdr:from>
        <xdr:to>
          <xdr:col>9</xdr:col>
          <xdr:colOff>0</xdr:colOff>
          <xdr:row>83</xdr:row>
          <xdr:rowOff>297180</xdr:rowOff>
        </xdr:to>
        <xdr:sp macro="" textlink="">
          <xdr:nvSpPr>
            <xdr:cNvPr id="17442" name="Check Box 34" hidden="1">
              <a:extLst>
                <a:ext uri="{63B3BB69-23CF-44E3-9099-C40C66FF867C}">
                  <a14:compatExt spid="_x0000_s17442"/>
                </a:ext>
                <a:ext uri="{FF2B5EF4-FFF2-40B4-BE49-F238E27FC236}">
                  <a16:creationId xmlns:a16="http://schemas.microsoft.com/office/drawing/2014/main" id="{00000000-0008-0000-0A00-00002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84</xdr:row>
          <xdr:rowOff>259080</xdr:rowOff>
        </xdr:from>
        <xdr:to>
          <xdr:col>9</xdr:col>
          <xdr:colOff>0</xdr:colOff>
          <xdr:row>85</xdr:row>
          <xdr:rowOff>68580</xdr:rowOff>
        </xdr:to>
        <xdr:sp macro="" textlink="">
          <xdr:nvSpPr>
            <xdr:cNvPr id="17443" name="Check Box 35" hidden="1">
              <a:extLst>
                <a:ext uri="{63B3BB69-23CF-44E3-9099-C40C66FF867C}">
                  <a14:compatExt spid="_x0000_s17443"/>
                </a:ext>
                <a:ext uri="{FF2B5EF4-FFF2-40B4-BE49-F238E27FC236}">
                  <a16:creationId xmlns:a16="http://schemas.microsoft.com/office/drawing/2014/main" id="{00000000-0008-0000-0A00-00002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85</xdr:row>
          <xdr:rowOff>106680</xdr:rowOff>
        </xdr:from>
        <xdr:to>
          <xdr:col>9</xdr:col>
          <xdr:colOff>0</xdr:colOff>
          <xdr:row>85</xdr:row>
          <xdr:rowOff>297180</xdr:rowOff>
        </xdr:to>
        <xdr:sp macro="" textlink="">
          <xdr:nvSpPr>
            <xdr:cNvPr id="17444" name="Check Box 36" hidden="1">
              <a:extLst>
                <a:ext uri="{63B3BB69-23CF-44E3-9099-C40C66FF867C}">
                  <a14:compatExt spid="_x0000_s17444"/>
                </a:ext>
                <a:ext uri="{FF2B5EF4-FFF2-40B4-BE49-F238E27FC236}">
                  <a16:creationId xmlns:a16="http://schemas.microsoft.com/office/drawing/2014/main" id="{00000000-0008-0000-0A00-00002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86</xdr:row>
          <xdr:rowOff>259080</xdr:rowOff>
        </xdr:from>
        <xdr:to>
          <xdr:col>9</xdr:col>
          <xdr:colOff>0</xdr:colOff>
          <xdr:row>87</xdr:row>
          <xdr:rowOff>106680</xdr:rowOff>
        </xdr:to>
        <xdr:sp macro="" textlink="">
          <xdr:nvSpPr>
            <xdr:cNvPr id="17445" name="Check Box 37" hidden="1">
              <a:extLst>
                <a:ext uri="{63B3BB69-23CF-44E3-9099-C40C66FF867C}">
                  <a14:compatExt spid="_x0000_s17445"/>
                </a:ext>
                <a:ext uri="{FF2B5EF4-FFF2-40B4-BE49-F238E27FC236}">
                  <a16:creationId xmlns:a16="http://schemas.microsoft.com/office/drawing/2014/main" id="{00000000-0008-0000-0A00-00002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87</xdr:row>
          <xdr:rowOff>106680</xdr:rowOff>
        </xdr:from>
        <xdr:to>
          <xdr:col>9</xdr:col>
          <xdr:colOff>0</xdr:colOff>
          <xdr:row>87</xdr:row>
          <xdr:rowOff>297180</xdr:rowOff>
        </xdr:to>
        <xdr:sp macro="" textlink="">
          <xdr:nvSpPr>
            <xdr:cNvPr id="17446" name="Check Box 38" hidden="1">
              <a:extLst>
                <a:ext uri="{63B3BB69-23CF-44E3-9099-C40C66FF867C}">
                  <a14:compatExt spid="_x0000_s17446"/>
                </a:ext>
                <a:ext uri="{FF2B5EF4-FFF2-40B4-BE49-F238E27FC236}">
                  <a16:creationId xmlns:a16="http://schemas.microsoft.com/office/drawing/2014/main" id="{00000000-0008-0000-0A00-00002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88</xdr:row>
          <xdr:rowOff>259080</xdr:rowOff>
        </xdr:from>
        <xdr:to>
          <xdr:col>9</xdr:col>
          <xdr:colOff>0</xdr:colOff>
          <xdr:row>89</xdr:row>
          <xdr:rowOff>106680</xdr:rowOff>
        </xdr:to>
        <xdr:sp macro="" textlink="">
          <xdr:nvSpPr>
            <xdr:cNvPr id="17447" name="Check Box 39" hidden="1">
              <a:extLst>
                <a:ext uri="{63B3BB69-23CF-44E3-9099-C40C66FF867C}">
                  <a14:compatExt spid="_x0000_s17447"/>
                </a:ext>
                <a:ext uri="{FF2B5EF4-FFF2-40B4-BE49-F238E27FC236}">
                  <a16:creationId xmlns:a16="http://schemas.microsoft.com/office/drawing/2014/main" id="{00000000-0008-0000-0A00-00002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89</xdr:row>
          <xdr:rowOff>106680</xdr:rowOff>
        </xdr:from>
        <xdr:to>
          <xdr:col>9</xdr:col>
          <xdr:colOff>0</xdr:colOff>
          <xdr:row>89</xdr:row>
          <xdr:rowOff>297180</xdr:rowOff>
        </xdr:to>
        <xdr:sp macro="" textlink="">
          <xdr:nvSpPr>
            <xdr:cNvPr id="17448" name="Check Box 40" hidden="1">
              <a:extLst>
                <a:ext uri="{63B3BB69-23CF-44E3-9099-C40C66FF867C}">
                  <a14:compatExt spid="_x0000_s17448"/>
                </a:ext>
                <a:ext uri="{FF2B5EF4-FFF2-40B4-BE49-F238E27FC236}">
                  <a16:creationId xmlns:a16="http://schemas.microsoft.com/office/drawing/2014/main" id="{00000000-0008-0000-0A00-00002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90</xdr:row>
          <xdr:rowOff>259080</xdr:rowOff>
        </xdr:from>
        <xdr:to>
          <xdr:col>9</xdr:col>
          <xdr:colOff>0</xdr:colOff>
          <xdr:row>91</xdr:row>
          <xdr:rowOff>106680</xdr:rowOff>
        </xdr:to>
        <xdr:sp macro="" textlink="">
          <xdr:nvSpPr>
            <xdr:cNvPr id="17449" name="Check Box 41" hidden="1">
              <a:extLst>
                <a:ext uri="{63B3BB69-23CF-44E3-9099-C40C66FF867C}">
                  <a14:compatExt spid="_x0000_s17449"/>
                </a:ext>
                <a:ext uri="{FF2B5EF4-FFF2-40B4-BE49-F238E27FC236}">
                  <a16:creationId xmlns:a16="http://schemas.microsoft.com/office/drawing/2014/main" id="{00000000-0008-0000-0A00-00002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91</xdr:row>
          <xdr:rowOff>106680</xdr:rowOff>
        </xdr:from>
        <xdr:to>
          <xdr:col>9</xdr:col>
          <xdr:colOff>0</xdr:colOff>
          <xdr:row>91</xdr:row>
          <xdr:rowOff>297180</xdr:rowOff>
        </xdr:to>
        <xdr:sp macro="" textlink="">
          <xdr:nvSpPr>
            <xdr:cNvPr id="17450" name="Check Box 42" hidden="1">
              <a:extLst>
                <a:ext uri="{63B3BB69-23CF-44E3-9099-C40C66FF867C}">
                  <a14:compatExt spid="_x0000_s17450"/>
                </a:ext>
                <a:ext uri="{FF2B5EF4-FFF2-40B4-BE49-F238E27FC236}">
                  <a16:creationId xmlns:a16="http://schemas.microsoft.com/office/drawing/2014/main" id="{00000000-0008-0000-0A00-00002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92</xdr:row>
          <xdr:rowOff>259080</xdr:rowOff>
        </xdr:from>
        <xdr:to>
          <xdr:col>9</xdr:col>
          <xdr:colOff>0</xdr:colOff>
          <xdr:row>93</xdr:row>
          <xdr:rowOff>106680</xdr:rowOff>
        </xdr:to>
        <xdr:sp macro="" textlink="">
          <xdr:nvSpPr>
            <xdr:cNvPr id="17451" name="Check Box 43" hidden="1">
              <a:extLst>
                <a:ext uri="{63B3BB69-23CF-44E3-9099-C40C66FF867C}">
                  <a14:compatExt spid="_x0000_s17451"/>
                </a:ext>
                <a:ext uri="{FF2B5EF4-FFF2-40B4-BE49-F238E27FC236}">
                  <a16:creationId xmlns:a16="http://schemas.microsoft.com/office/drawing/2014/main" id="{00000000-0008-0000-0A00-00002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93</xdr:row>
          <xdr:rowOff>106680</xdr:rowOff>
        </xdr:from>
        <xdr:to>
          <xdr:col>9</xdr:col>
          <xdr:colOff>0</xdr:colOff>
          <xdr:row>93</xdr:row>
          <xdr:rowOff>297180</xdr:rowOff>
        </xdr:to>
        <xdr:sp macro="" textlink="">
          <xdr:nvSpPr>
            <xdr:cNvPr id="17452" name="Check Box 44" hidden="1">
              <a:extLst>
                <a:ext uri="{63B3BB69-23CF-44E3-9099-C40C66FF867C}">
                  <a14:compatExt spid="_x0000_s17452"/>
                </a:ext>
                <a:ext uri="{FF2B5EF4-FFF2-40B4-BE49-F238E27FC236}">
                  <a16:creationId xmlns:a16="http://schemas.microsoft.com/office/drawing/2014/main" id="{00000000-0008-0000-0A00-00002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94</xdr:row>
          <xdr:rowOff>259080</xdr:rowOff>
        </xdr:from>
        <xdr:to>
          <xdr:col>9</xdr:col>
          <xdr:colOff>0</xdr:colOff>
          <xdr:row>95</xdr:row>
          <xdr:rowOff>106680</xdr:rowOff>
        </xdr:to>
        <xdr:sp macro="" textlink="">
          <xdr:nvSpPr>
            <xdr:cNvPr id="17453" name="Check Box 45" hidden="1">
              <a:extLst>
                <a:ext uri="{63B3BB69-23CF-44E3-9099-C40C66FF867C}">
                  <a14:compatExt spid="_x0000_s17453"/>
                </a:ext>
                <a:ext uri="{FF2B5EF4-FFF2-40B4-BE49-F238E27FC236}">
                  <a16:creationId xmlns:a16="http://schemas.microsoft.com/office/drawing/2014/main" id="{00000000-0008-0000-0A00-00002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95</xdr:row>
          <xdr:rowOff>106680</xdr:rowOff>
        </xdr:from>
        <xdr:to>
          <xdr:col>9</xdr:col>
          <xdr:colOff>0</xdr:colOff>
          <xdr:row>95</xdr:row>
          <xdr:rowOff>297180</xdr:rowOff>
        </xdr:to>
        <xdr:sp macro="" textlink="">
          <xdr:nvSpPr>
            <xdr:cNvPr id="17454" name="Check Box 46" hidden="1">
              <a:extLst>
                <a:ext uri="{63B3BB69-23CF-44E3-9099-C40C66FF867C}">
                  <a14:compatExt spid="_x0000_s17454"/>
                </a:ext>
                <a:ext uri="{FF2B5EF4-FFF2-40B4-BE49-F238E27FC236}">
                  <a16:creationId xmlns:a16="http://schemas.microsoft.com/office/drawing/2014/main" id="{00000000-0008-0000-0A00-00002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96</xdr:row>
          <xdr:rowOff>259080</xdr:rowOff>
        </xdr:from>
        <xdr:to>
          <xdr:col>9</xdr:col>
          <xdr:colOff>0</xdr:colOff>
          <xdr:row>97</xdr:row>
          <xdr:rowOff>106680</xdr:rowOff>
        </xdr:to>
        <xdr:sp macro="" textlink="">
          <xdr:nvSpPr>
            <xdr:cNvPr id="17455" name="Check Box 47" hidden="1">
              <a:extLst>
                <a:ext uri="{63B3BB69-23CF-44E3-9099-C40C66FF867C}">
                  <a14:compatExt spid="_x0000_s17455"/>
                </a:ext>
                <a:ext uri="{FF2B5EF4-FFF2-40B4-BE49-F238E27FC236}">
                  <a16:creationId xmlns:a16="http://schemas.microsoft.com/office/drawing/2014/main" id="{00000000-0008-0000-0A00-00002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97</xdr:row>
          <xdr:rowOff>106680</xdr:rowOff>
        </xdr:from>
        <xdr:to>
          <xdr:col>9</xdr:col>
          <xdr:colOff>0</xdr:colOff>
          <xdr:row>97</xdr:row>
          <xdr:rowOff>297180</xdr:rowOff>
        </xdr:to>
        <xdr:sp macro="" textlink="">
          <xdr:nvSpPr>
            <xdr:cNvPr id="17456" name="Check Box 48" hidden="1">
              <a:extLst>
                <a:ext uri="{63B3BB69-23CF-44E3-9099-C40C66FF867C}">
                  <a14:compatExt spid="_x0000_s17456"/>
                </a:ext>
                <a:ext uri="{FF2B5EF4-FFF2-40B4-BE49-F238E27FC236}">
                  <a16:creationId xmlns:a16="http://schemas.microsoft.com/office/drawing/2014/main" id="{00000000-0008-0000-0A00-00003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98</xdr:row>
          <xdr:rowOff>259080</xdr:rowOff>
        </xdr:from>
        <xdr:to>
          <xdr:col>9</xdr:col>
          <xdr:colOff>0</xdr:colOff>
          <xdr:row>99</xdr:row>
          <xdr:rowOff>106680</xdr:rowOff>
        </xdr:to>
        <xdr:sp macro="" textlink="">
          <xdr:nvSpPr>
            <xdr:cNvPr id="17457" name="Check Box 49" hidden="1">
              <a:extLst>
                <a:ext uri="{63B3BB69-23CF-44E3-9099-C40C66FF867C}">
                  <a14:compatExt spid="_x0000_s17457"/>
                </a:ext>
                <a:ext uri="{FF2B5EF4-FFF2-40B4-BE49-F238E27FC236}">
                  <a16:creationId xmlns:a16="http://schemas.microsoft.com/office/drawing/2014/main" id="{00000000-0008-0000-0A00-00003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99</xdr:row>
          <xdr:rowOff>106680</xdr:rowOff>
        </xdr:from>
        <xdr:to>
          <xdr:col>9</xdr:col>
          <xdr:colOff>0</xdr:colOff>
          <xdr:row>99</xdr:row>
          <xdr:rowOff>297180</xdr:rowOff>
        </xdr:to>
        <xdr:sp macro="" textlink="">
          <xdr:nvSpPr>
            <xdr:cNvPr id="17458" name="Check Box 50" hidden="1">
              <a:extLst>
                <a:ext uri="{63B3BB69-23CF-44E3-9099-C40C66FF867C}">
                  <a14:compatExt spid="_x0000_s17458"/>
                </a:ext>
                <a:ext uri="{FF2B5EF4-FFF2-40B4-BE49-F238E27FC236}">
                  <a16:creationId xmlns:a16="http://schemas.microsoft.com/office/drawing/2014/main" id="{00000000-0008-0000-0A00-00003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108</xdr:row>
          <xdr:rowOff>259080</xdr:rowOff>
        </xdr:from>
        <xdr:to>
          <xdr:col>9</xdr:col>
          <xdr:colOff>0</xdr:colOff>
          <xdr:row>109</xdr:row>
          <xdr:rowOff>106680</xdr:rowOff>
        </xdr:to>
        <xdr:sp macro="" textlink="">
          <xdr:nvSpPr>
            <xdr:cNvPr id="17459" name="Check Box 51" hidden="1">
              <a:extLst>
                <a:ext uri="{63B3BB69-23CF-44E3-9099-C40C66FF867C}">
                  <a14:compatExt spid="_x0000_s17459"/>
                </a:ext>
                <a:ext uri="{FF2B5EF4-FFF2-40B4-BE49-F238E27FC236}">
                  <a16:creationId xmlns:a16="http://schemas.microsoft.com/office/drawing/2014/main" id="{00000000-0008-0000-0A00-00003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109</xdr:row>
          <xdr:rowOff>106680</xdr:rowOff>
        </xdr:from>
        <xdr:to>
          <xdr:col>9</xdr:col>
          <xdr:colOff>0</xdr:colOff>
          <xdr:row>109</xdr:row>
          <xdr:rowOff>297180</xdr:rowOff>
        </xdr:to>
        <xdr:sp macro="" textlink="">
          <xdr:nvSpPr>
            <xdr:cNvPr id="17460" name="Check Box 52" hidden="1">
              <a:extLst>
                <a:ext uri="{63B3BB69-23CF-44E3-9099-C40C66FF867C}">
                  <a14:compatExt spid="_x0000_s17460"/>
                </a:ext>
                <a:ext uri="{FF2B5EF4-FFF2-40B4-BE49-F238E27FC236}">
                  <a16:creationId xmlns:a16="http://schemas.microsoft.com/office/drawing/2014/main" id="{00000000-0008-0000-0A00-00003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110</xdr:row>
          <xdr:rowOff>259080</xdr:rowOff>
        </xdr:from>
        <xdr:to>
          <xdr:col>9</xdr:col>
          <xdr:colOff>0</xdr:colOff>
          <xdr:row>111</xdr:row>
          <xdr:rowOff>106680</xdr:rowOff>
        </xdr:to>
        <xdr:sp macro="" textlink="">
          <xdr:nvSpPr>
            <xdr:cNvPr id="17461" name="Check Box 53" hidden="1">
              <a:extLst>
                <a:ext uri="{63B3BB69-23CF-44E3-9099-C40C66FF867C}">
                  <a14:compatExt spid="_x0000_s17461"/>
                </a:ext>
                <a:ext uri="{FF2B5EF4-FFF2-40B4-BE49-F238E27FC236}">
                  <a16:creationId xmlns:a16="http://schemas.microsoft.com/office/drawing/2014/main" id="{00000000-0008-0000-0A00-00003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111</xdr:row>
          <xdr:rowOff>106680</xdr:rowOff>
        </xdr:from>
        <xdr:to>
          <xdr:col>9</xdr:col>
          <xdr:colOff>0</xdr:colOff>
          <xdr:row>111</xdr:row>
          <xdr:rowOff>297180</xdr:rowOff>
        </xdr:to>
        <xdr:sp macro="" textlink="">
          <xdr:nvSpPr>
            <xdr:cNvPr id="17462" name="Check Box 54" hidden="1">
              <a:extLst>
                <a:ext uri="{63B3BB69-23CF-44E3-9099-C40C66FF867C}">
                  <a14:compatExt spid="_x0000_s17462"/>
                </a:ext>
                <a:ext uri="{FF2B5EF4-FFF2-40B4-BE49-F238E27FC236}">
                  <a16:creationId xmlns:a16="http://schemas.microsoft.com/office/drawing/2014/main" id="{00000000-0008-0000-0A00-00003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112</xdr:row>
          <xdr:rowOff>259080</xdr:rowOff>
        </xdr:from>
        <xdr:to>
          <xdr:col>9</xdr:col>
          <xdr:colOff>0</xdr:colOff>
          <xdr:row>113</xdr:row>
          <xdr:rowOff>106680</xdr:rowOff>
        </xdr:to>
        <xdr:sp macro="" textlink="">
          <xdr:nvSpPr>
            <xdr:cNvPr id="17463" name="Check Box 55" hidden="1">
              <a:extLst>
                <a:ext uri="{63B3BB69-23CF-44E3-9099-C40C66FF867C}">
                  <a14:compatExt spid="_x0000_s17463"/>
                </a:ext>
                <a:ext uri="{FF2B5EF4-FFF2-40B4-BE49-F238E27FC236}">
                  <a16:creationId xmlns:a16="http://schemas.microsoft.com/office/drawing/2014/main" id="{00000000-0008-0000-0A00-00003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113</xdr:row>
          <xdr:rowOff>106680</xdr:rowOff>
        </xdr:from>
        <xdr:to>
          <xdr:col>9</xdr:col>
          <xdr:colOff>0</xdr:colOff>
          <xdr:row>113</xdr:row>
          <xdr:rowOff>297180</xdr:rowOff>
        </xdr:to>
        <xdr:sp macro="" textlink="">
          <xdr:nvSpPr>
            <xdr:cNvPr id="17464" name="Check Box 56" hidden="1">
              <a:extLst>
                <a:ext uri="{63B3BB69-23CF-44E3-9099-C40C66FF867C}">
                  <a14:compatExt spid="_x0000_s17464"/>
                </a:ext>
                <a:ext uri="{FF2B5EF4-FFF2-40B4-BE49-F238E27FC236}">
                  <a16:creationId xmlns:a16="http://schemas.microsoft.com/office/drawing/2014/main" id="{00000000-0008-0000-0A00-00003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30480</xdr:rowOff>
        </xdr:from>
        <xdr:to>
          <xdr:col>9</xdr:col>
          <xdr:colOff>0</xdr:colOff>
          <xdr:row>60</xdr:row>
          <xdr:rowOff>220980</xdr:rowOff>
        </xdr:to>
        <xdr:sp macro="" textlink="">
          <xdr:nvSpPr>
            <xdr:cNvPr id="17465" name="Check Box 57" hidden="1">
              <a:extLst>
                <a:ext uri="{63B3BB69-23CF-44E3-9099-C40C66FF867C}">
                  <a14:compatExt spid="_x0000_s17465"/>
                </a:ext>
                <a:ext uri="{FF2B5EF4-FFF2-40B4-BE49-F238E27FC236}">
                  <a16:creationId xmlns:a16="http://schemas.microsoft.com/office/drawing/2014/main" id="{00000000-0008-0000-0A00-00003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62</xdr:row>
          <xdr:rowOff>30480</xdr:rowOff>
        </xdr:from>
        <xdr:to>
          <xdr:col>9</xdr:col>
          <xdr:colOff>0</xdr:colOff>
          <xdr:row>62</xdr:row>
          <xdr:rowOff>220980</xdr:rowOff>
        </xdr:to>
        <xdr:sp macro="" textlink="">
          <xdr:nvSpPr>
            <xdr:cNvPr id="17466" name="Check Box 58" hidden="1">
              <a:extLst>
                <a:ext uri="{63B3BB69-23CF-44E3-9099-C40C66FF867C}">
                  <a14:compatExt spid="_x0000_s17466"/>
                </a:ext>
                <a:ext uri="{FF2B5EF4-FFF2-40B4-BE49-F238E27FC236}">
                  <a16:creationId xmlns:a16="http://schemas.microsoft.com/office/drawing/2014/main" id="{00000000-0008-0000-0A00-00003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64</xdr:row>
          <xdr:rowOff>30480</xdr:rowOff>
        </xdr:from>
        <xdr:to>
          <xdr:col>9</xdr:col>
          <xdr:colOff>0</xdr:colOff>
          <xdr:row>64</xdr:row>
          <xdr:rowOff>220980</xdr:rowOff>
        </xdr:to>
        <xdr:sp macro="" textlink="">
          <xdr:nvSpPr>
            <xdr:cNvPr id="17467" name="Check Box 59" hidden="1">
              <a:extLst>
                <a:ext uri="{63B3BB69-23CF-44E3-9099-C40C66FF867C}">
                  <a14:compatExt spid="_x0000_s17467"/>
                </a:ext>
                <a:ext uri="{FF2B5EF4-FFF2-40B4-BE49-F238E27FC236}">
                  <a16:creationId xmlns:a16="http://schemas.microsoft.com/office/drawing/2014/main" id="{00000000-0008-0000-0A00-00003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66</xdr:row>
          <xdr:rowOff>30480</xdr:rowOff>
        </xdr:from>
        <xdr:to>
          <xdr:col>9</xdr:col>
          <xdr:colOff>0</xdr:colOff>
          <xdr:row>66</xdr:row>
          <xdr:rowOff>220980</xdr:rowOff>
        </xdr:to>
        <xdr:sp macro="" textlink="">
          <xdr:nvSpPr>
            <xdr:cNvPr id="17468" name="Check Box 60" hidden="1">
              <a:extLst>
                <a:ext uri="{63B3BB69-23CF-44E3-9099-C40C66FF867C}">
                  <a14:compatExt spid="_x0000_s17468"/>
                </a:ext>
                <a:ext uri="{FF2B5EF4-FFF2-40B4-BE49-F238E27FC236}">
                  <a16:creationId xmlns:a16="http://schemas.microsoft.com/office/drawing/2014/main" id="{00000000-0008-0000-0A00-00003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68</xdr:row>
          <xdr:rowOff>30480</xdr:rowOff>
        </xdr:from>
        <xdr:to>
          <xdr:col>9</xdr:col>
          <xdr:colOff>0</xdr:colOff>
          <xdr:row>68</xdr:row>
          <xdr:rowOff>220980</xdr:rowOff>
        </xdr:to>
        <xdr:sp macro="" textlink="">
          <xdr:nvSpPr>
            <xdr:cNvPr id="17469" name="Check Box 61" hidden="1">
              <a:extLst>
                <a:ext uri="{63B3BB69-23CF-44E3-9099-C40C66FF867C}">
                  <a14:compatExt spid="_x0000_s17469"/>
                </a:ext>
                <a:ext uri="{FF2B5EF4-FFF2-40B4-BE49-F238E27FC236}">
                  <a16:creationId xmlns:a16="http://schemas.microsoft.com/office/drawing/2014/main" id="{00000000-0008-0000-0A00-00003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70</xdr:row>
          <xdr:rowOff>30480</xdr:rowOff>
        </xdr:from>
        <xdr:to>
          <xdr:col>9</xdr:col>
          <xdr:colOff>0</xdr:colOff>
          <xdr:row>70</xdr:row>
          <xdr:rowOff>220980</xdr:rowOff>
        </xdr:to>
        <xdr:sp macro="" textlink="">
          <xdr:nvSpPr>
            <xdr:cNvPr id="17470" name="Check Box 62" hidden="1">
              <a:extLst>
                <a:ext uri="{63B3BB69-23CF-44E3-9099-C40C66FF867C}">
                  <a14:compatExt spid="_x0000_s17470"/>
                </a:ext>
                <a:ext uri="{FF2B5EF4-FFF2-40B4-BE49-F238E27FC236}">
                  <a16:creationId xmlns:a16="http://schemas.microsoft.com/office/drawing/2014/main" id="{00000000-0008-0000-0A00-00003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72</xdr:row>
          <xdr:rowOff>30480</xdr:rowOff>
        </xdr:from>
        <xdr:to>
          <xdr:col>9</xdr:col>
          <xdr:colOff>0</xdr:colOff>
          <xdr:row>72</xdr:row>
          <xdr:rowOff>220980</xdr:rowOff>
        </xdr:to>
        <xdr:sp macro="" textlink="">
          <xdr:nvSpPr>
            <xdr:cNvPr id="17471" name="Check Box 63" hidden="1">
              <a:extLst>
                <a:ext uri="{63B3BB69-23CF-44E3-9099-C40C66FF867C}">
                  <a14:compatExt spid="_x0000_s17471"/>
                </a:ext>
                <a:ext uri="{FF2B5EF4-FFF2-40B4-BE49-F238E27FC236}">
                  <a16:creationId xmlns:a16="http://schemas.microsoft.com/office/drawing/2014/main" id="{00000000-0008-0000-0A00-00003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74</xdr:row>
          <xdr:rowOff>30480</xdr:rowOff>
        </xdr:from>
        <xdr:to>
          <xdr:col>9</xdr:col>
          <xdr:colOff>0</xdr:colOff>
          <xdr:row>74</xdr:row>
          <xdr:rowOff>220980</xdr:rowOff>
        </xdr:to>
        <xdr:sp macro="" textlink="">
          <xdr:nvSpPr>
            <xdr:cNvPr id="17472" name="Check Box 64" hidden="1">
              <a:extLst>
                <a:ext uri="{63B3BB69-23CF-44E3-9099-C40C66FF867C}">
                  <a14:compatExt spid="_x0000_s17472"/>
                </a:ext>
                <a:ext uri="{FF2B5EF4-FFF2-40B4-BE49-F238E27FC236}">
                  <a16:creationId xmlns:a16="http://schemas.microsoft.com/office/drawing/2014/main" id="{00000000-0008-0000-0A00-00004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76</xdr:row>
          <xdr:rowOff>30480</xdr:rowOff>
        </xdr:from>
        <xdr:to>
          <xdr:col>9</xdr:col>
          <xdr:colOff>0</xdr:colOff>
          <xdr:row>76</xdr:row>
          <xdr:rowOff>220980</xdr:rowOff>
        </xdr:to>
        <xdr:sp macro="" textlink="">
          <xdr:nvSpPr>
            <xdr:cNvPr id="17473" name="Check Box 65" hidden="1">
              <a:extLst>
                <a:ext uri="{63B3BB69-23CF-44E3-9099-C40C66FF867C}">
                  <a14:compatExt spid="_x0000_s17473"/>
                </a:ext>
                <a:ext uri="{FF2B5EF4-FFF2-40B4-BE49-F238E27FC236}">
                  <a16:creationId xmlns:a16="http://schemas.microsoft.com/office/drawing/2014/main" id="{00000000-0008-0000-0A00-00004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80</xdr:row>
          <xdr:rowOff>30480</xdr:rowOff>
        </xdr:from>
        <xdr:to>
          <xdr:col>9</xdr:col>
          <xdr:colOff>0</xdr:colOff>
          <xdr:row>80</xdr:row>
          <xdr:rowOff>220980</xdr:rowOff>
        </xdr:to>
        <xdr:sp macro="" textlink="">
          <xdr:nvSpPr>
            <xdr:cNvPr id="17474" name="Check Box 66" hidden="1">
              <a:extLst>
                <a:ext uri="{63B3BB69-23CF-44E3-9099-C40C66FF867C}">
                  <a14:compatExt spid="_x0000_s17474"/>
                </a:ext>
                <a:ext uri="{FF2B5EF4-FFF2-40B4-BE49-F238E27FC236}">
                  <a16:creationId xmlns:a16="http://schemas.microsoft.com/office/drawing/2014/main" id="{00000000-0008-0000-0A00-00004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82</xdr:row>
          <xdr:rowOff>30480</xdr:rowOff>
        </xdr:from>
        <xdr:to>
          <xdr:col>9</xdr:col>
          <xdr:colOff>0</xdr:colOff>
          <xdr:row>82</xdr:row>
          <xdr:rowOff>220980</xdr:rowOff>
        </xdr:to>
        <xdr:sp macro="" textlink="">
          <xdr:nvSpPr>
            <xdr:cNvPr id="17475" name="Check Box 67" hidden="1">
              <a:extLst>
                <a:ext uri="{63B3BB69-23CF-44E3-9099-C40C66FF867C}">
                  <a14:compatExt spid="_x0000_s17475"/>
                </a:ext>
                <a:ext uri="{FF2B5EF4-FFF2-40B4-BE49-F238E27FC236}">
                  <a16:creationId xmlns:a16="http://schemas.microsoft.com/office/drawing/2014/main" id="{00000000-0008-0000-0A00-00004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84</xdr:row>
          <xdr:rowOff>30480</xdr:rowOff>
        </xdr:from>
        <xdr:to>
          <xdr:col>9</xdr:col>
          <xdr:colOff>0</xdr:colOff>
          <xdr:row>84</xdr:row>
          <xdr:rowOff>220980</xdr:rowOff>
        </xdr:to>
        <xdr:sp macro="" textlink="">
          <xdr:nvSpPr>
            <xdr:cNvPr id="17476" name="Check Box 68" hidden="1">
              <a:extLst>
                <a:ext uri="{63B3BB69-23CF-44E3-9099-C40C66FF867C}">
                  <a14:compatExt spid="_x0000_s17476"/>
                </a:ext>
                <a:ext uri="{FF2B5EF4-FFF2-40B4-BE49-F238E27FC236}">
                  <a16:creationId xmlns:a16="http://schemas.microsoft.com/office/drawing/2014/main" id="{00000000-0008-0000-0A00-00004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86</xdr:row>
          <xdr:rowOff>30480</xdr:rowOff>
        </xdr:from>
        <xdr:to>
          <xdr:col>9</xdr:col>
          <xdr:colOff>0</xdr:colOff>
          <xdr:row>86</xdr:row>
          <xdr:rowOff>220980</xdr:rowOff>
        </xdr:to>
        <xdr:sp macro="" textlink="">
          <xdr:nvSpPr>
            <xdr:cNvPr id="17477" name="Check Box 69" hidden="1">
              <a:extLst>
                <a:ext uri="{63B3BB69-23CF-44E3-9099-C40C66FF867C}">
                  <a14:compatExt spid="_x0000_s17477"/>
                </a:ext>
                <a:ext uri="{FF2B5EF4-FFF2-40B4-BE49-F238E27FC236}">
                  <a16:creationId xmlns:a16="http://schemas.microsoft.com/office/drawing/2014/main" id="{00000000-0008-0000-0A00-00004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88</xdr:row>
          <xdr:rowOff>30480</xdr:rowOff>
        </xdr:from>
        <xdr:to>
          <xdr:col>9</xdr:col>
          <xdr:colOff>0</xdr:colOff>
          <xdr:row>88</xdr:row>
          <xdr:rowOff>220980</xdr:rowOff>
        </xdr:to>
        <xdr:sp macro="" textlink="">
          <xdr:nvSpPr>
            <xdr:cNvPr id="17478" name="Check Box 70" hidden="1">
              <a:extLst>
                <a:ext uri="{63B3BB69-23CF-44E3-9099-C40C66FF867C}">
                  <a14:compatExt spid="_x0000_s17478"/>
                </a:ext>
                <a:ext uri="{FF2B5EF4-FFF2-40B4-BE49-F238E27FC236}">
                  <a16:creationId xmlns:a16="http://schemas.microsoft.com/office/drawing/2014/main" id="{00000000-0008-0000-0A00-00004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90</xdr:row>
          <xdr:rowOff>30480</xdr:rowOff>
        </xdr:from>
        <xdr:to>
          <xdr:col>9</xdr:col>
          <xdr:colOff>0</xdr:colOff>
          <xdr:row>90</xdr:row>
          <xdr:rowOff>220980</xdr:rowOff>
        </xdr:to>
        <xdr:sp macro="" textlink="">
          <xdr:nvSpPr>
            <xdr:cNvPr id="17479" name="Check Box 71" hidden="1">
              <a:extLst>
                <a:ext uri="{63B3BB69-23CF-44E3-9099-C40C66FF867C}">
                  <a14:compatExt spid="_x0000_s17479"/>
                </a:ext>
                <a:ext uri="{FF2B5EF4-FFF2-40B4-BE49-F238E27FC236}">
                  <a16:creationId xmlns:a16="http://schemas.microsoft.com/office/drawing/2014/main" id="{00000000-0008-0000-0A00-00004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92</xdr:row>
          <xdr:rowOff>30480</xdr:rowOff>
        </xdr:from>
        <xdr:to>
          <xdr:col>9</xdr:col>
          <xdr:colOff>0</xdr:colOff>
          <xdr:row>92</xdr:row>
          <xdr:rowOff>220980</xdr:rowOff>
        </xdr:to>
        <xdr:sp macro="" textlink="">
          <xdr:nvSpPr>
            <xdr:cNvPr id="17480" name="Check Box 72" hidden="1">
              <a:extLst>
                <a:ext uri="{63B3BB69-23CF-44E3-9099-C40C66FF867C}">
                  <a14:compatExt spid="_x0000_s17480"/>
                </a:ext>
                <a:ext uri="{FF2B5EF4-FFF2-40B4-BE49-F238E27FC236}">
                  <a16:creationId xmlns:a16="http://schemas.microsoft.com/office/drawing/2014/main" id="{00000000-0008-0000-0A00-00004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94</xdr:row>
          <xdr:rowOff>30480</xdr:rowOff>
        </xdr:from>
        <xdr:to>
          <xdr:col>9</xdr:col>
          <xdr:colOff>0</xdr:colOff>
          <xdr:row>94</xdr:row>
          <xdr:rowOff>220980</xdr:rowOff>
        </xdr:to>
        <xdr:sp macro="" textlink="">
          <xdr:nvSpPr>
            <xdr:cNvPr id="17481" name="Check Box 73" hidden="1">
              <a:extLst>
                <a:ext uri="{63B3BB69-23CF-44E3-9099-C40C66FF867C}">
                  <a14:compatExt spid="_x0000_s17481"/>
                </a:ext>
                <a:ext uri="{FF2B5EF4-FFF2-40B4-BE49-F238E27FC236}">
                  <a16:creationId xmlns:a16="http://schemas.microsoft.com/office/drawing/2014/main" id="{00000000-0008-0000-0A00-00004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96</xdr:row>
          <xdr:rowOff>30480</xdr:rowOff>
        </xdr:from>
        <xdr:to>
          <xdr:col>9</xdr:col>
          <xdr:colOff>0</xdr:colOff>
          <xdr:row>96</xdr:row>
          <xdr:rowOff>220980</xdr:rowOff>
        </xdr:to>
        <xdr:sp macro="" textlink="">
          <xdr:nvSpPr>
            <xdr:cNvPr id="17482" name="Check Box 74" hidden="1">
              <a:extLst>
                <a:ext uri="{63B3BB69-23CF-44E3-9099-C40C66FF867C}">
                  <a14:compatExt spid="_x0000_s17482"/>
                </a:ext>
                <a:ext uri="{FF2B5EF4-FFF2-40B4-BE49-F238E27FC236}">
                  <a16:creationId xmlns:a16="http://schemas.microsoft.com/office/drawing/2014/main" id="{00000000-0008-0000-0A00-00004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98</xdr:row>
          <xdr:rowOff>30480</xdr:rowOff>
        </xdr:from>
        <xdr:to>
          <xdr:col>9</xdr:col>
          <xdr:colOff>0</xdr:colOff>
          <xdr:row>98</xdr:row>
          <xdr:rowOff>220980</xdr:rowOff>
        </xdr:to>
        <xdr:sp macro="" textlink="">
          <xdr:nvSpPr>
            <xdr:cNvPr id="17483" name="Check Box 75" hidden="1">
              <a:extLst>
                <a:ext uri="{63B3BB69-23CF-44E3-9099-C40C66FF867C}">
                  <a14:compatExt spid="_x0000_s17483"/>
                </a:ext>
                <a:ext uri="{FF2B5EF4-FFF2-40B4-BE49-F238E27FC236}">
                  <a16:creationId xmlns:a16="http://schemas.microsoft.com/office/drawing/2014/main" id="{00000000-0008-0000-0A00-00004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108</xdr:row>
          <xdr:rowOff>30480</xdr:rowOff>
        </xdr:from>
        <xdr:to>
          <xdr:col>9</xdr:col>
          <xdr:colOff>0</xdr:colOff>
          <xdr:row>108</xdr:row>
          <xdr:rowOff>228600</xdr:rowOff>
        </xdr:to>
        <xdr:sp macro="" textlink="">
          <xdr:nvSpPr>
            <xdr:cNvPr id="17484" name="Check Box 76" hidden="1">
              <a:extLst>
                <a:ext uri="{63B3BB69-23CF-44E3-9099-C40C66FF867C}">
                  <a14:compatExt spid="_x0000_s17484"/>
                </a:ext>
                <a:ext uri="{FF2B5EF4-FFF2-40B4-BE49-F238E27FC236}">
                  <a16:creationId xmlns:a16="http://schemas.microsoft.com/office/drawing/2014/main" id="{00000000-0008-0000-0A00-00004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110</xdr:row>
          <xdr:rowOff>30480</xdr:rowOff>
        </xdr:from>
        <xdr:to>
          <xdr:col>9</xdr:col>
          <xdr:colOff>0</xdr:colOff>
          <xdr:row>110</xdr:row>
          <xdr:rowOff>228600</xdr:rowOff>
        </xdr:to>
        <xdr:sp macro="" textlink="">
          <xdr:nvSpPr>
            <xdr:cNvPr id="17485" name="Check Box 77" hidden="1">
              <a:extLst>
                <a:ext uri="{63B3BB69-23CF-44E3-9099-C40C66FF867C}">
                  <a14:compatExt spid="_x0000_s17485"/>
                </a:ext>
                <a:ext uri="{FF2B5EF4-FFF2-40B4-BE49-F238E27FC236}">
                  <a16:creationId xmlns:a16="http://schemas.microsoft.com/office/drawing/2014/main" id="{00000000-0008-0000-0A00-00004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112</xdr:row>
          <xdr:rowOff>30480</xdr:rowOff>
        </xdr:from>
        <xdr:to>
          <xdr:col>9</xdr:col>
          <xdr:colOff>0</xdr:colOff>
          <xdr:row>112</xdr:row>
          <xdr:rowOff>228600</xdr:rowOff>
        </xdr:to>
        <xdr:sp macro="" textlink="">
          <xdr:nvSpPr>
            <xdr:cNvPr id="17486" name="Check Box 78" hidden="1">
              <a:extLst>
                <a:ext uri="{63B3BB69-23CF-44E3-9099-C40C66FF867C}">
                  <a14:compatExt spid="_x0000_s17486"/>
                </a:ext>
                <a:ext uri="{FF2B5EF4-FFF2-40B4-BE49-F238E27FC236}">
                  <a16:creationId xmlns:a16="http://schemas.microsoft.com/office/drawing/2014/main" id="{00000000-0008-0000-0A00-00004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104</xdr:row>
          <xdr:rowOff>259080</xdr:rowOff>
        </xdr:from>
        <xdr:to>
          <xdr:col>9</xdr:col>
          <xdr:colOff>0</xdr:colOff>
          <xdr:row>105</xdr:row>
          <xdr:rowOff>106680</xdr:rowOff>
        </xdr:to>
        <xdr:sp macro="" textlink="">
          <xdr:nvSpPr>
            <xdr:cNvPr id="17487" name="Check Box 79" hidden="1">
              <a:extLst>
                <a:ext uri="{63B3BB69-23CF-44E3-9099-C40C66FF867C}">
                  <a14:compatExt spid="_x0000_s17487"/>
                </a:ext>
                <a:ext uri="{FF2B5EF4-FFF2-40B4-BE49-F238E27FC236}">
                  <a16:creationId xmlns:a16="http://schemas.microsoft.com/office/drawing/2014/main" id="{00000000-0008-0000-0A00-00004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105</xdr:row>
          <xdr:rowOff>106680</xdr:rowOff>
        </xdr:from>
        <xdr:to>
          <xdr:col>9</xdr:col>
          <xdr:colOff>0</xdr:colOff>
          <xdr:row>105</xdr:row>
          <xdr:rowOff>297180</xdr:rowOff>
        </xdr:to>
        <xdr:sp macro="" textlink="">
          <xdr:nvSpPr>
            <xdr:cNvPr id="17488" name="Check Box 80" hidden="1">
              <a:extLst>
                <a:ext uri="{63B3BB69-23CF-44E3-9099-C40C66FF867C}">
                  <a14:compatExt spid="_x0000_s17488"/>
                </a:ext>
                <a:ext uri="{FF2B5EF4-FFF2-40B4-BE49-F238E27FC236}">
                  <a16:creationId xmlns:a16="http://schemas.microsoft.com/office/drawing/2014/main" id="{00000000-0008-0000-0A00-00005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106</xdr:row>
          <xdr:rowOff>259080</xdr:rowOff>
        </xdr:from>
        <xdr:to>
          <xdr:col>9</xdr:col>
          <xdr:colOff>0</xdr:colOff>
          <xdr:row>107</xdr:row>
          <xdr:rowOff>106680</xdr:rowOff>
        </xdr:to>
        <xdr:sp macro="" textlink="">
          <xdr:nvSpPr>
            <xdr:cNvPr id="17489" name="Check Box 81" hidden="1">
              <a:extLst>
                <a:ext uri="{63B3BB69-23CF-44E3-9099-C40C66FF867C}">
                  <a14:compatExt spid="_x0000_s17489"/>
                </a:ext>
                <a:ext uri="{FF2B5EF4-FFF2-40B4-BE49-F238E27FC236}">
                  <a16:creationId xmlns:a16="http://schemas.microsoft.com/office/drawing/2014/main" id="{00000000-0008-0000-0A00-00005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107</xdr:row>
          <xdr:rowOff>106680</xdr:rowOff>
        </xdr:from>
        <xdr:to>
          <xdr:col>9</xdr:col>
          <xdr:colOff>0</xdr:colOff>
          <xdr:row>107</xdr:row>
          <xdr:rowOff>297180</xdr:rowOff>
        </xdr:to>
        <xdr:sp macro="" textlink="">
          <xdr:nvSpPr>
            <xdr:cNvPr id="17490" name="Check Box 82" hidden="1">
              <a:extLst>
                <a:ext uri="{63B3BB69-23CF-44E3-9099-C40C66FF867C}">
                  <a14:compatExt spid="_x0000_s17490"/>
                </a:ext>
                <a:ext uri="{FF2B5EF4-FFF2-40B4-BE49-F238E27FC236}">
                  <a16:creationId xmlns:a16="http://schemas.microsoft.com/office/drawing/2014/main" id="{00000000-0008-0000-0A00-00005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104</xdr:row>
          <xdr:rowOff>30480</xdr:rowOff>
        </xdr:from>
        <xdr:to>
          <xdr:col>9</xdr:col>
          <xdr:colOff>0</xdr:colOff>
          <xdr:row>104</xdr:row>
          <xdr:rowOff>228600</xdr:rowOff>
        </xdr:to>
        <xdr:sp macro="" textlink="">
          <xdr:nvSpPr>
            <xdr:cNvPr id="17491" name="Check Box 83" hidden="1">
              <a:extLst>
                <a:ext uri="{63B3BB69-23CF-44E3-9099-C40C66FF867C}">
                  <a14:compatExt spid="_x0000_s17491"/>
                </a:ext>
                <a:ext uri="{FF2B5EF4-FFF2-40B4-BE49-F238E27FC236}">
                  <a16:creationId xmlns:a16="http://schemas.microsoft.com/office/drawing/2014/main" id="{00000000-0008-0000-0A00-00005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106</xdr:row>
          <xdr:rowOff>30480</xdr:rowOff>
        </xdr:from>
        <xdr:to>
          <xdr:col>9</xdr:col>
          <xdr:colOff>0</xdr:colOff>
          <xdr:row>106</xdr:row>
          <xdr:rowOff>228600</xdr:rowOff>
        </xdr:to>
        <xdr:sp macro="" textlink="">
          <xdr:nvSpPr>
            <xdr:cNvPr id="17492" name="Check Box 84" hidden="1">
              <a:extLst>
                <a:ext uri="{63B3BB69-23CF-44E3-9099-C40C66FF867C}">
                  <a14:compatExt spid="_x0000_s17492"/>
                </a:ext>
                <a:ext uri="{FF2B5EF4-FFF2-40B4-BE49-F238E27FC236}">
                  <a16:creationId xmlns:a16="http://schemas.microsoft.com/office/drawing/2014/main" id="{00000000-0008-0000-0A00-00005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100</xdr:row>
          <xdr:rowOff>259080</xdr:rowOff>
        </xdr:from>
        <xdr:to>
          <xdr:col>9</xdr:col>
          <xdr:colOff>0</xdr:colOff>
          <xdr:row>101</xdr:row>
          <xdr:rowOff>106680</xdr:rowOff>
        </xdr:to>
        <xdr:sp macro="" textlink="">
          <xdr:nvSpPr>
            <xdr:cNvPr id="17493" name="Check Box 85" hidden="1">
              <a:extLst>
                <a:ext uri="{63B3BB69-23CF-44E3-9099-C40C66FF867C}">
                  <a14:compatExt spid="_x0000_s17493"/>
                </a:ext>
                <a:ext uri="{FF2B5EF4-FFF2-40B4-BE49-F238E27FC236}">
                  <a16:creationId xmlns:a16="http://schemas.microsoft.com/office/drawing/2014/main" id="{00000000-0008-0000-0A00-00005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101</xdr:row>
          <xdr:rowOff>106680</xdr:rowOff>
        </xdr:from>
        <xdr:to>
          <xdr:col>9</xdr:col>
          <xdr:colOff>0</xdr:colOff>
          <xdr:row>101</xdr:row>
          <xdr:rowOff>297180</xdr:rowOff>
        </xdr:to>
        <xdr:sp macro="" textlink="">
          <xdr:nvSpPr>
            <xdr:cNvPr id="17494" name="Check Box 86" hidden="1">
              <a:extLst>
                <a:ext uri="{63B3BB69-23CF-44E3-9099-C40C66FF867C}">
                  <a14:compatExt spid="_x0000_s17494"/>
                </a:ext>
                <a:ext uri="{FF2B5EF4-FFF2-40B4-BE49-F238E27FC236}">
                  <a16:creationId xmlns:a16="http://schemas.microsoft.com/office/drawing/2014/main" id="{00000000-0008-0000-0A00-00005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102</xdr:row>
          <xdr:rowOff>259080</xdr:rowOff>
        </xdr:from>
        <xdr:to>
          <xdr:col>9</xdr:col>
          <xdr:colOff>0</xdr:colOff>
          <xdr:row>103</xdr:row>
          <xdr:rowOff>106680</xdr:rowOff>
        </xdr:to>
        <xdr:sp macro="" textlink="">
          <xdr:nvSpPr>
            <xdr:cNvPr id="17495" name="Check Box 87" hidden="1">
              <a:extLst>
                <a:ext uri="{63B3BB69-23CF-44E3-9099-C40C66FF867C}">
                  <a14:compatExt spid="_x0000_s17495"/>
                </a:ext>
                <a:ext uri="{FF2B5EF4-FFF2-40B4-BE49-F238E27FC236}">
                  <a16:creationId xmlns:a16="http://schemas.microsoft.com/office/drawing/2014/main" id="{00000000-0008-0000-0A00-00005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103</xdr:row>
          <xdr:rowOff>106680</xdr:rowOff>
        </xdr:from>
        <xdr:to>
          <xdr:col>9</xdr:col>
          <xdr:colOff>0</xdr:colOff>
          <xdr:row>103</xdr:row>
          <xdr:rowOff>297180</xdr:rowOff>
        </xdr:to>
        <xdr:sp macro="" textlink="">
          <xdr:nvSpPr>
            <xdr:cNvPr id="17496" name="Check Box 88" hidden="1">
              <a:extLst>
                <a:ext uri="{63B3BB69-23CF-44E3-9099-C40C66FF867C}">
                  <a14:compatExt spid="_x0000_s17496"/>
                </a:ext>
                <a:ext uri="{FF2B5EF4-FFF2-40B4-BE49-F238E27FC236}">
                  <a16:creationId xmlns:a16="http://schemas.microsoft.com/office/drawing/2014/main" id="{00000000-0008-0000-0A00-00005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100</xdr:row>
          <xdr:rowOff>30480</xdr:rowOff>
        </xdr:from>
        <xdr:to>
          <xdr:col>9</xdr:col>
          <xdr:colOff>0</xdr:colOff>
          <xdr:row>100</xdr:row>
          <xdr:rowOff>228600</xdr:rowOff>
        </xdr:to>
        <xdr:sp macro="" textlink="">
          <xdr:nvSpPr>
            <xdr:cNvPr id="17497" name="Check Box 89" hidden="1">
              <a:extLst>
                <a:ext uri="{63B3BB69-23CF-44E3-9099-C40C66FF867C}">
                  <a14:compatExt spid="_x0000_s17497"/>
                </a:ext>
                <a:ext uri="{FF2B5EF4-FFF2-40B4-BE49-F238E27FC236}">
                  <a16:creationId xmlns:a16="http://schemas.microsoft.com/office/drawing/2014/main" id="{00000000-0008-0000-0A00-00005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102</xdr:row>
          <xdr:rowOff>30480</xdr:rowOff>
        </xdr:from>
        <xdr:to>
          <xdr:col>9</xdr:col>
          <xdr:colOff>0</xdr:colOff>
          <xdr:row>102</xdr:row>
          <xdr:rowOff>228600</xdr:rowOff>
        </xdr:to>
        <xdr:sp macro="" textlink="">
          <xdr:nvSpPr>
            <xdr:cNvPr id="17498" name="Check Box 90" hidden="1">
              <a:extLst>
                <a:ext uri="{63B3BB69-23CF-44E3-9099-C40C66FF867C}">
                  <a14:compatExt spid="_x0000_s17498"/>
                </a:ext>
                <a:ext uri="{FF2B5EF4-FFF2-40B4-BE49-F238E27FC236}">
                  <a16:creationId xmlns:a16="http://schemas.microsoft.com/office/drawing/2014/main" id="{00000000-0008-0000-0A00-00005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7</xdr:col>
      <xdr:colOff>1011539</xdr:colOff>
      <xdr:row>10</xdr:row>
      <xdr:rowOff>56957</xdr:rowOff>
    </xdr:from>
    <xdr:to>
      <xdr:col>9</xdr:col>
      <xdr:colOff>1905</xdr:colOff>
      <xdr:row>25</xdr:row>
      <xdr:rowOff>156882</xdr:rowOff>
    </xdr:to>
    <xdr:graphicFrame macro="">
      <xdr:nvGraphicFramePr>
        <xdr:cNvPr id="6" name="Gráfico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48385</xdr:rowOff>
    </xdr:from>
    <xdr:to>
      <xdr:col>5</xdr:col>
      <xdr:colOff>2707</xdr:colOff>
      <xdr:row>25</xdr:row>
      <xdr:rowOff>185722</xdr:rowOff>
    </xdr:to>
    <xdr:graphicFrame macro="">
      <xdr:nvGraphicFramePr>
        <xdr:cNvPr id="5" name="Gráfico 5">
          <a:extLst>
            <a:ext uri="{FF2B5EF4-FFF2-40B4-BE49-F238E27FC236}">
              <a16:creationId xmlns:a16="http://schemas.microsoft.com/office/drawing/2014/main" id="{00000000-0008-0000-0500-00001B000000}"/>
            </a:ext>
            <a:ext uri="{147F2762-F138-4A5C-976F-8EAC2B608ADB}">
              <a16:predDERef xmlns:a16="http://schemas.microsoft.com/office/drawing/2014/main" pre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39332</xdr:colOff>
      <xdr:row>10</xdr:row>
      <xdr:rowOff>59838</xdr:rowOff>
    </xdr:from>
    <xdr:to>
      <xdr:col>12</xdr:col>
      <xdr:colOff>9525</xdr:colOff>
      <xdr:row>25</xdr:row>
      <xdr:rowOff>143771</xdr:rowOff>
    </xdr:to>
    <xdr:graphicFrame macro="">
      <xdr:nvGraphicFramePr>
        <xdr:cNvPr id="2" name="Gráfico 1">
          <a:extLst>
            <a:ext uri="{FF2B5EF4-FFF2-40B4-BE49-F238E27FC236}">
              <a16:creationId xmlns:a16="http://schemas.microsoft.com/office/drawing/2014/main" id="{00000000-0008-0000-0500-000002000000}"/>
            </a:ext>
            <a:ext uri="{147F2762-F138-4A5C-976F-8EAC2B608ADB}">
              <a16:predDERef xmlns:a16="http://schemas.microsoft.com/office/drawing/2014/main" pred="{00000000-0008-0000-05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54</xdr:row>
          <xdr:rowOff>266700</xdr:rowOff>
        </xdr:from>
        <xdr:to>
          <xdr:col>11</xdr:col>
          <xdr:colOff>1821180</xdr:colOff>
          <xdr:row>55</xdr:row>
          <xdr:rowOff>0</xdr:rowOff>
        </xdr:to>
        <xdr:sp macro="" textlink="">
          <xdr:nvSpPr>
            <xdr:cNvPr id="5215" name="Check Box 95" hidden="1">
              <a:extLst>
                <a:ext uri="{63B3BB69-23CF-44E3-9099-C40C66FF867C}">
                  <a14:compatExt spid="_x0000_s5215"/>
                </a:ext>
                <a:ext uri="{FF2B5EF4-FFF2-40B4-BE49-F238E27FC236}">
                  <a16:creationId xmlns:a16="http://schemas.microsoft.com/office/drawing/2014/main" id="{00000000-0008-0000-0C00-00005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144780</xdr:rowOff>
        </xdr:from>
        <xdr:to>
          <xdr:col>11</xdr:col>
          <xdr:colOff>1821180</xdr:colOff>
          <xdr:row>55</xdr:row>
          <xdr:rowOff>342900</xdr:rowOff>
        </xdr:to>
        <xdr:sp macro="" textlink="">
          <xdr:nvSpPr>
            <xdr:cNvPr id="5216" name="Check Box 96" hidden="1">
              <a:extLst>
                <a:ext uri="{63B3BB69-23CF-44E3-9099-C40C66FF867C}">
                  <a14:compatExt spid="_x0000_s5216"/>
                </a:ext>
                <a:ext uri="{FF2B5EF4-FFF2-40B4-BE49-F238E27FC236}">
                  <a16:creationId xmlns:a16="http://schemas.microsoft.com/office/drawing/2014/main" id="{00000000-0008-0000-0C00-00006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30480</xdr:rowOff>
        </xdr:from>
        <xdr:to>
          <xdr:col>11</xdr:col>
          <xdr:colOff>1821180</xdr:colOff>
          <xdr:row>54</xdr:row>
          <xdr:rowOff>297180</xdr:rowOff>
        </xdr:to>
        <xdr:sp macro="" textlink="">
          <xdr:nvSpPr>
            <xdr:cNvPr id="5217" name="Check Box 97" hidden="1">
              <a:extLst>
                <a:ext uri="{63B3BB69-23CF-44E3-9099-C40C66FF867C}">
                  <a14:compatExt spid="_x0000_s5217"/>
                </a:ext>
                <a:ext uri="{FF2B5EF4-FFF2-40B4-BE49-F238E27FC236}">
                  <a16:creationId xmlns:a16="http://schemas.microsoft.com/office/drawing/2014/main" id="{00000000-0008-0000-0C00-00006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266700</xdr:rowOff>
        </xdr:from>
        <xdr:to>
          <xdr:col>11</xdr:col>
          <xdr:colOff>1821180</xdr:colOff>
          <xdr:row>57</xdr:row>
          <xdr:rowOff>152400</xdr:rowOff>
        </xdr:to>
        <xdr:sp macro="" textlink="">
          <xdr:nvSpPr>
            <xdr:cNvPr id="5218" name="Check Box 98" hidden="1">
              <a:extLst>
                <a:ext uri="{63B3BB69-23CF-44E3-9099-C40C66FF867C}">
                  <a14:compatExt spid="_x0000_s5218"/>
                </a:ext>
                <a:ext uri="{FF2B5EF4-FFF2-40B4-BE49-F238E27FC236}">
                  <a16:creationId xmlns:a16="http://schemas.microsoft.com/office/drawing/2014/main" id="{00000000-0008-0000-0C00-00006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144780</xdr:rowOff>
        </xdr:from>
        <xdr:to>
          <xdr:col>11</xdr:col>
          <xdr:colOff>1821180</xdr:colOff>
          <xdr:row>57</xdr:row>
          <xdr:rowOff>342900</xdr:rowOff>
        </xdr:to>
        <xdr:sp macro="" textlink="">
          <xdr:nvSpPr>
            <xdr:cNvPr id="5219" name="Check Box 99" hidden="1">
              <a:extLst>
                <a:ext uri="{63B3BB69-23CF-44E3-9099-C40C66FF867C}">
                  <a14:compatExt spid="_x0000_s5219"/>
                </a:ext>
                <a:ext uri="{FF2B5EF4-FFF2-40B4-BE49-F238E27FC236}">
                  <a16:creationId xmlns:a16="http://schemas.microsoft.com/office/drawing/2014/main" id="{00000000-0008-0000-0C00-00006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11</xdr:col>
          <xdr:colOff>1821180</xdr:colOff>
          <xdr:row>56</xdr:row>
          <xdr:rowOff>297180</xdr:rowOff>
        </xdr:to>
        <xdr:sp macro="" textlink="">
          <xdr:nvSpPr>
            <xdr:cNvPr id="5220" name="Check Box 100" hidden="1">
              <a:extLst>
                <a:ext uri="{63B3BB69-23CF-44E3-9099-C40C66FF867C}">
                  <a14:compatExt spid="_x0000_s5220"/>
                </a:ext>
                <a:ext uri="{FF2B5EF4-FFF2-40B4-BE49-F238E27FC236}">
                  <a16:creationId xmlns:a16="http://schemas.microsoft.com/office/drawing/2014/main" id="{00000000-0008-0000-0C00-00006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266700</xdr:rowOff>
        </xdr:from>
        <xdr:to>
          <xdr:col>11</xdr:col>
          <xdr:colOff>1821180</xdr:colOff>
          <xdr:row>58</xdr:row>
          <xdr:rowOff>533400</xdr:rowOff>
        </xdr:to>
        <xdr:sp macro="" textlink="">
          <xdr:nvSpPr>
            <xdr:cNvPr id="5221" name="Check Box 101" hidden="1">
              <a:extLst>
                <a:ext uri="{63B3BB69-23CF-44E3-9099-C40C66FF867C}">
                  <a14:compatExt spid="_x0000_s5221"/>
                </a:ext>
                <a:ext uri="{FF2B5EF4-FFF2-40B4-BE49-F238E27FC236}">
                  <a16:creationId xmlns:a16="http://schemas.microsoft.com/office/drawing/2014/main" id="{00000000-0008-0000-0C00-00006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144780</xdr:rowOff>
        </xdr:from>
        <xdr:to>
          <xdr:col>11</xdr:col>
          <xdr:colOff>1821180</xdr:colOff>
          <xdr:row>59</xdr:row>
          <xdr:rowOff>342900</xdr:rowOff>
        </xdr:to>
        <xdr:sp macro="" textlink="">
          <xdr:nvSpPr>
            <xdr:cNvPr id="5222" name="Check Box 102" hidden="1">
              <a:extLst>
                <a:ext uri="{63B3BB69-23CF-44E3-9099-C40C66FF867C}">
                  <a14:compatExt spid="_x0000_s5222"/>
                </a:ext>
                <a:ext uri="{FF2B5EF4-FFF2-40B4-BE49-F238E27FC236}">
                  <a16:creationId xmlns:a16="http://schemas.microsoft.com/office/drawing/2014/main" id="{00000000-0008-0000-0C00-00006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11</xdr:col>
          <xdr:colOff>1821180</xdr:colOff>
          <xdr:row>58</xdr:row>
          <xdr:rowOff>297180</xdr:rowOff>
        </xdr:to>
        <xdr:sp macro="" textlink="">
          <xdr:nvSpPr>
            <xdr:cNvPr id="5223" name="Check Box 103" hidden="1">
              <a:extLst>
                <a:ext uri="{63B3BB69-23CF-44E3-9099-C40C66FF867C}">
                  <a14:compatExt spid="_x0000_s5223"/>
                </a:ext>
                <a:ext uri="{FF2B5EF4-FFF2-40B4-BE49-F238E27FC236}">
                  <a16:creationId xmlns:a16="http://schemas.microsoft.com/office/drawing/2014/main" id="{00000000-0008-0000-0C00-00006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0</xdr:rowOff>
        </xdr:from>
        <xdr:to>
          <xdr:col>11</xdr:col>
          <xdr:colOff>1821180</xdr:colOff>
          <xdr:row>60</xdr:row>
          <xdr:rowOff>259080</xdr:rowOff>
        </xdr:to>
        <xdr:sp macro="" textlink="">
          <xdr:nvSpPr>
            <xdr:cNvPr id="5224" name="Check Box 104" hidden="1">
              <a:extLst>
                <a:ext uri="{63B3BB69-23CF-44E3-9099-C40C66FF867C}">
                  <a14:compatExt spid="_x0000_s5224"/>
                </a:ext>
                <a:ext uri="{FF2B5EF4-FFF2-40B4-BE49-F238E27FC236}">
                  <a16:creationId xmlns:a16="http://schemas.microsoft.com/office/drawing/2014/main" id="{00000000-0008-0000-0C00-00006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266700</xdr:rowOff>
        </xdr:from>
        <xdr:to>
          <xdr:col>11</xdr:col>
          <xdr:colOff>1821180</xdr:colOff>
          <xdr:row>61</xdr:row>
          <xdr:rowOff>152400</xdr:rowOff>
        </xdr:to>
        <xdr:sp macro="" textlink="">
          <xdr:nvSpPr>
            <xdr:cNvPr id="5236" name="Check Box 116" hidden="1">
              <a:extLst>
                <a:ext uri="{63B3BB69-23CF-44E3-9099-C40C66FF867C}">
                  <a14:compatExt spid="_x0000_s5236"/>
                </a:ext>
                <a:ext uri="{FF2B5EF4-FFF2-40B4-BE49-F238E27FC236}">
                  <a16:creationId xmlns:a16="http://schemas.microsoft.com/office/drawing/2014/main" id="{00000000-0008-0000-0C00-00007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144780</xdr:rowOff>
        </xdr:from>
        <xdr:to>
          <xdr:col>11</xdr:col>
          <xdr:colOff>1821180</xdr:colOff>
          <xdr:row>61</xdr:row>
          <xdr:rowOff>342900</xdr:rowOff>
        </xdr:to>
        <xdr:sp macro="" textlink="">
          <xdr:nvSpPr>
            <xdr:cNvPr id="5237" name="Check Box 117" hidden="1">
              <a:extLst>
                <a:ext uri="{63B3BB69-23CF-44E3-9099-C40C66FF867C}">
                  <a14:compatExt spid="_x0000_s5237"/>
                </a:ext>
                <a:ext uri="{FF2B5EF4-FFF2-40B4-BE49-F238E27FC236}">
                  <a16:creationId xmlns:a16="http://schemas.microsoft.com/office/drawing/2014/main" id="{00000000-0008-0000-0C00-00007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266700</xdr:rowOff>
        </xdr:from>
        <xdr:to>
          <xdr:col>11</xdr:col>
          <xdr:colOff>1821180</xdr:colOff>
          <xdr:row>63</xdr:row>
          <xdr:rowOff>0</xdr:rowOff>
        </xdr:to>
        <xdr:sp macro="" textlink="">
          <xdr:nvSpPr>
            <xdr:cNvPr id="5239" name="Check Box 119" hidden="1">
              <a:extLst>
                <a:ext uri="{63B3BB69-23CF-44E3-9099-C40C66FF867C}">
                  <a14:compatExt spid="_x0000_s5239"/>
                </a:ext>
                <a:ext uri="{FF2B5EF4-FFF2-40B4-BE49-F238E27FC236}">
                  <a16:creationId xmlns:a16="http://schemas.microsoft.com/office/drawing/2014/main" id="{00000000-0008-0000-0C00-00007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144780</xdr:rowOff>
        </xdr:from>
        <xdr:to>
          <xdr:col>11</xdr:col>
          <xdr:colOff>1821180</xdr:colOff>
          <xdr:row>63</xdr:row>
          <xdr:rowOff>342900</xdr:rowOff>
        </xdr:to>
        <xdr:sp macro="" textlink="">
          <xdr:nvSpPr>
            <xdr:cNvPr id="5240" name="Check Box 120" hidden="1">
              <a:extLst>
                <a:ext uri="{63B3BB69-23CF-44E3-9099-C40C66FF867C}">
                  <a14:compatExt spid="_x0000_s5240"/>
                </a:ext>
                <a:ext uri="{FF2B5EF4-FFF2-40B4-BE49-F238E27FC236}">
                  <a16:creationId xmlns:a16="http://schemas.microsoft.com/office/drawing/2014/main" id="{00000000-0008-0000-0C00-00007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11</xdr:col>
          <xdr:colOff>1821180</xdr:colOff>
          <xdr:row>62</xdr:row>
          <xdr:rowOff>297180</xdr:rowOff>
        </xdr:to>
        <xdr:sp macro="" textlink="">
          <xdr:nvSpPr>
            <xdr:cNvPr id="5241" name="Check Box 121" hidden="1">
              <a:extLst>
                <a:ext uri="{63B3BB69-23CF-44E3-9099-C40C66FF867C}">
                  <a14:compatExt spid="_x0000_s5241"/>
                </a:ext>
                <a:ext uri="{FF2B5EF4-FFF2-40B4-BE49-F238E27FC236}">
                  <a16:creationId xmlns:a16="http://schemas.microsoft.com/office/drawing/2014/main" id="{00000000-0008-0000-0C00-00007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266700</xdr:rowOff>
        </xdr:from>
        <xdr:to>
          <xdr:col>11</xdr:col>
          <xdr:colOff>1821180</xdr:colOff>
          <xdr:row>65</xdr:row>
          <xdr:rowOff>0</xdr:rowOff>
        </xdr:to>
        <xdr:sp macro="" textlink="">
          <xdr:nvSpPr>
            <xdr:cNvPr id="5242" name="Check Box 122" hidden="1">
              <a:extLst>
                <a:ext uri="{63B3BB69-23CF-44E3-9099-C40C66FF867C}">
                  <a14:compatExt spid="_x0000_s5242"/>
                </a:ext>
                <a:ext uri="{FF2B5EF4-FFF2-40B4-BE49-F238E27FC236}">
                  <a16:creationId xmlns:a16="http://schemas.microsoft.com/office/drawing/2014/main" id="{00000000-0008-0000-0C00-00007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144780</xdr:rowOff>
        </xdr:from>
        <xdr:to>
          <xdr:col>11</xdr:col>
          <xdr:colOff>1821180</xdr:colOff>
          <xdr:row>65</xdr:row>
          <xdr:rowOff>342900</xdr:rowOff>
        </xdr:to>
        <xdr:sp macro="" textlink="">
          <xdr:nvSpPr>
            <xdr:cNvPr id="5243" name="Check Box 123" hidden="1">
              <a:extLst>
                <a:ext uri="{63B3BB69-23CF-44E3-9099-C40C66FF867C}">
                  <a14:compatExt spid="_x0000_s5243"/>
                </a:ext>
                <a:ext uri="{FF2B5EF4-FFF2-40B4-BE49-F238E27FC236}">
                  <a16:creationId xmlns:a16="http://schemas.microsoft.com/office/drawing/2014/main" id="{00000000-0008-0000-0C00-00007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11</xdr:col>
          <xdr:colOff>1821180</xdr:colOff>
          <xdr:row>64</xdr:row>
          <xdr:rowOff>297180</xdr:rowOff>
        </xdr:to>
        <xdr:sp macro="" textlink="">
          <xdr:nvSpPr>
            <xdr:cNvPr id="5244" name="Check Box 124" hidden="1">
              <a:extLst>
                <a:ext uri="{63B3BB69-23CF-44E3-9099-C40C66FF867C}">
                  <a14:compatExt spid="_x0000_s5244"/>
                </a:ext>
                <a:ext uri="{FF2B5EF4-FFF2-40B4-BE49-F238E27FC236}">
                  <a16:creationId xmlns:a16="http://schemas.microsoft.com/office/drawing/2014/main" id="{00000000-0008-0000-0C00-00007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266700</xdr:rowOff>
        </xdr:from>
        <xdr:to>
          <xdr:col>11</xdr:col>
          <xdr:colOff>1821180</xdr:colOff>
          <xdr:row>67</xdr:row>
          <xdr:rowOff>30480</xdr:rowOff>
        </xdr:to>
        <xdr:sp macro="" textlink="">
          <xdr:nvSpPr>
            <xdr:cNvPr id="5245" name="Check Box 125" hidden="1">
              <a:extLst>
                <a:ext uri="{63B3BB69-23CF-44E3-9099-C40C66FF867C}">
                  <a14:compatExt spid="_x0000_s5245"/>
                </a:ext>
                <a:ext uri="{FF2B5EF4-FFF2-40B4-BE49-F238E27FC236}">
                  <a16:creationId xmlns:a16="http://schemas.microsoft.com/office/drawing/2014/main" id="{00000000-0008-0000-0C00-00007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144780</xdr:rowOff>
        </xdr:from>
        <xdr:to>
          <xdr:col>11</xdr:col>
          <xdr:colOff>1821180</xdr:colOff>
          <xdr:row>67</xdr:row>
          <xdr:rowOff>342900</xdr:rowOff>
        </xdr:to>
        <xdr:sp macro="" textlink="">
          <xdr:nvSpPr>
            <xdr:cNvPr id="5246" name="Check Box 126" hidden="1">
              <a:extLst>
                <a:ext uri="{63B3BB69-23CF-44E3-9099-C40C66FF867C}">
                  <a14:compatExt spid="_x0000_s5246"/>
                </a:ext>
                <a:ext uri="{FF2B5EF4-FFF2-40B4-BE49-F238E27FC236}">
                  <a16:creationId xmlns:a16="http://schemas.microsoft.com/office/drawing/2014/main" id="{00000000-0008-0000-0C00-00007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11</xdr:col>
          <xdr:colOff>1821180</xdr:colOff>
          <xdr:row>66</xdr:row>
          <xdr:rowOff>274320</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0C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266700</xdr:rowOff>
        </xdr:from>
        <xdr:to>
          <xdr:col>11</xdr:col>
          <xdr:colOff>1821180</xdr:colOff>
          <xdr:row>69</xdr:row>
          <xdr:rowOff>0</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0C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69</xdr:row>
          <xdr:rowOff>144780</xdr:rowOff>
        </xdr:from>
        <xdr:to>
          <xdr:col>11</xdr:col>
          <xdr:colOff>1821180</xdr:colOff>
          <xdr:row>69</xdr:row>
          <xdr:rowOff>342900</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0C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30480</xdr:rowOff>
        </xdr:from>
        <xdr:to>
          <xdr:col>11</xdr:col>
          <xdr:colOff>1821180</xdr:colOff>
          <xdr:row>68</xdr:row>
          <xdr:rowOff>274320</xdr:rowOff>
        </xdr:to>
        <xdr:sp macro="" textlink="">
          <xdr:nvSpPr>
            <xdr:cNvPr id="5250" name="Check Box 130" hidden="1">
              <a:extLst>
                <a:ext uri="{63B3BB69-23CF-44E3-9099-C40C66FF867C}">
                  <a14:compatExt spid="_x0000_s5250"/>
                </a:ext>
                <a:ext uri="{FF2B5EF4-FFF2-40B4-BE49-F238E27FC236}">
                  <a16:creationId xmlns:a16="http://schemas.microsoft.com/office/drawing/2014/main" id="{00000000-0008-0000-0C00-00008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0</xdr:rowOff>
        </xdr:from>
        <xdr:to>
          <xdr:col>11</xdr:col>
          <xdr:colOff>1821180</xdr:colOff>
          <xdr:row>70</xdr:row>
          <xdr:rowOff>274320</xdr:rowOff>
        </xdr:to>
        <xdr:sp macro="" textlink="">
          <xdr:nvSpPr>
            <xdr:cNvPr id="5251" name="Check Box 131" hidden="1">
              <a:extLst>
                <a:ext uri="{63B3BB69-23CF-44E3-9099-C40C66FF867C}">
                  <a14:compatExt spid="_x0000_s5251"/>
                </a:ext>
                <a:ext uri="{FF2B5EF4-FFF2-40B4-BE49-F238E27FC236}">
                  <a16:creationId xmlns:a16="http://schemas.microsoft.com/office/drawing/2014/main" id="{00000000-0008-0000-0C00-00008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266700</xdr:rowOff>
        </xdr:from>
        <xdr:to>
          <xdr:col>11</xdr:col>
          <xdr:colOff>1821180</xdr:colOff>
          <xdr:row>71</xdr:row>
          <xdr:rowOff>0</xdr:rowOff>
        </xdr:to>
        <xdr:sp macro="" textlink="">
          <xdr:nvSpPr>
            <xdr:cNvPr id="5254" name="Check Box 134" hidden="1">
              <a:extLst>
                <a:ext uri="{63B3BB69-23CF-44E3-9099-C40C66FF867C}">
                  <a14:compatExt spid="_x0000_s5254"/>
                </a:ext>
                <a:ext uri="{FF2B5EF4-FFF2-40B4-BE49-F238E27FC236}">
                  <a16:creationId xmlns:a16="http://schemas.microsoft.com/office/drawing/2014/main" id="{00000000-0008-0000-0C00-00008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144780</xdr:rowOff>
        </xdr:from>
        <xdr:to>
          <xdr:col>11</xdr:col>
          <xdr:colOff>1821180</xdr:colOff>
          <xdr:row>71</xdr:row>
          <xdr:rowOff>342900</xdr:rowOff>
        </xdr:to>
        <xdr:sp macro="" textlink="">
          <xdr:nvSpPr>
            <xdr:cNvPr id="5255" name="Check Box 135" hidden="1">
              <a:extLst>
                <a:ext uri="{63B3BB69-23CF-44E3-9099-C40C66FF867C}">
                  <a14:compatExt spid="_x0000_s5255"/>
                </a:ext>
                <a:ext uri="{FF2B5EF4-FFF2-40B4-BE49-F238E27FC236}">
                  <a16:creationId xmlns:a16="http://schemas.microsoft.com/office/drawing/2014/main" id="{00000000-0008-0000-0C00-00008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266700</xdr:rowOff>
        </xdr:from>
        <xdr:to>
          <xdr:col>11</xdr:col>
          <xdr:colOff>1821180</xdr:colOff>
          <xdr:row>73</xdr:row>
          <xdr:rowOff>152400</xdr:rowOff>
        </xdr:to>
        <xdr:sp macro="" textlink="">
          <xdr:nvSpPr>
            <xdr:cNvPr id="5257" name="Check Box 137" hidden="1">
              <a:extLst>
                <a:ext uri="{63B3BB69-23CF-44E3-9099-C40C66FF867C}">
                  <a14:compatExt spid="_x0000_s5257"/>
                </a:ext>
                <a:ext uri="{FF2B5EF4-FFF2-40B4-BE49-F238E27FC236}">
                  <a16:creationId xmlns:a16="http://schemas.microsoft.com/office/drawing/2014/main" id="{00000000-0008-0000-0C00-00008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144780</xdr:rowOff>
        </xdr:from>
        <xdr:to>
          <xdr:col>11</xdr:col>
          <xdr:colOff>1821180</xdr:colOff>
          <xdr:row>73</xdr:row>
          <xdr:rowOff>342900</xdr:rowOff>
        </xdr:to>
        <xdr:sp macro="" textlink="">
          <xdr:nvSpPr>
            <xdr:cNvPr id="5258" name="Check Box 138" hidden="1">
              <a:extLst>
                <a:ext uri="{63B3BB69-23CF-44E3-9099-C40C66FF867C}">
                  <a14:compatExt spid="_x0000_s5258"/>
                </a:ext>
                <a:ext uri="{FF2B5EF4-FFF2-40B4-BE49-F238E27FC236}">
                  <a16:creationId xmlns:a16="http://schemas.microsoft.com/office/drawing/2014/main" id="{00000000-0008-0000-0C00-00008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11</xdr:col>
          <xdr:colOff>1821180</xdr:colOff>
          <xdr:row>72</xdr:row>
          <xdr:rowOff>274320</xdr:rowOff>
        </xdr:to>
        <xdr:sp macro="" textlink="">
          <xdr:nvSpPr>
            <xdr:cNvPr id="5259" name="Check Box 139" hidden="1">
              <a:extLst>
                <a:ext uri="{63B3BB69-23CF-44E3-9099-C40C66FF867C}">
                  <a14:compatExt spid="_x0000_s5259"/>
                </a:ext>
                <a:ext uri="{FF2B5EF4-FFF2-40B4-BE49-F238E27FC236}">
                  <a16:creationId xmlns:a16="http://schemas.microsoft.com/office/drawing/2014/main" id="{00000000-0008-0000-0C00-00008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266700</xdr:rowOff>
        </xdr:from>
        <xdr:to>
          <xdr:col>11</xdr:col>
          <xdr:colOff>1821180</xdr:colOff>
          <xdr:row>75</xdr:row>
          <xdr:rowOff>0</xdr:rowOff>
        </xdr:to>
        <xdr:sp macro="" textlink="">
          <xdr:nvSpPr>
            <xdr:cNvPr id="5260" name="Check Box 140" hidden="1">
              <a:extLst>
                <a:ext uri="{63B3BB69-23CF-44E3-9099-C40C66FF867C}">
                  <a14:compatExt spid="_x0000_s5260"/>
                </a:ext>
                <a:ext uri="{FF2B5EF4-FFF2-40B4-BE49-F238E27FC236}">
                  <a16:creationId xmlns:a16="http://schemas.microsoft.com/office/drawing/2014/main" id="{00000000-0008-0000-0C00-00008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75</xdr:row>
          <xdr:rowOff>144780</xdr:rowOff>
        </xdr:from>
        <xdr:to>
          <xdr:col>11</xdr:col>
          <xdr:colOff>1821180</xdr:colOff>
          <xdr:row>75</xdr:row>
          <xdr:rowOff>342900</xdr:rowOff>
        </xdr:to>
        <xdr:sp macro="" textlink="">
          <xdr:nvSpPr>
            <xdr:cNvPr id="5261" name="Check Box 141" hidden="1">
              <a:extLst>
                <a:ext uri="{63B3BB69-23CF-44E3-9099-C40C66FF867C}">
                  <a14:compatExt spid="_x0000_s5261"/>
                </a:ext>
                <a:ext uri="{FF2B5EF4-FFF2-40B4-BE49-F238E27FC236}">
                  <a16:creationId xmlns:a16="http://schemas.microsoft.com/office/drawing/2014/main" id="{00000000-0008-0000-0C00-00008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30480</xdr:rowOff>
        </xdr:from>
        <xdr:to>
          <xdr:col>11</xdr:col>
          <xdr:colOff>1821180</xdr:colOff>
          <xdr:row>74</xdr:row>
          <xdr:rowOff>274320</xdr:rowOff>
        </xdr:to>
        <xdr:sp macro="" textlink="">
          <xdr:nvSpPr>
            <xdr:cNvPr id="5262" name="Check Box 142" hidden="1">
              <a:extLst>
                <a:ext uri="{63B3BB69-23CF-44E3-9099-C40C66FF867C}">
                  <a14:compatExt spid="_x0000_s5262"/>
                </a:ext>
                <a:ext uri="{FF2B5EF4-FFF2-40B4-BE49-F238E27FC236}">
                  <a16:creationId xmlns:a16="http://schemas.microsoft.com/office/drawing/2014/main" id="{00000000-0008-0000-0C00-00008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266700</xdr:rowOff>
        </xdr:from>
        <xdr:to>
          <xdr:col>11</xdr:col>
          <xdr:colOff>1821180</xdr:colOff>
          <xdr:row>77</xdr:row>
          <xdr:rowOff>30480</xdr:rowOff>
        </xdr:to>
        <xdr:sp macro="" textlink="">
          <xdr:nvSpPr>
            <xdr:cNvPr id="5263" name="Check Box 143" hidden="1">
              <a:extLst>
                <a:ext uri="{63B3BB69-23CF-44E3-9099-C40C66FF867C}">
                  <a14:compatExt spid="_x0000_s5263"/>
                </a:ext>
                <a:ext uri="{FF2B5EF4-FFF2-40B4-BE49-F238E27FC236}">
                  <a16:creationId xmlns:a16="http://schemas.microsoft.com/office/drawing/2014/main" id="{00000000-0008-0000-0C00-00008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77</xdr:row>
          <xdr:rowOff>144780</xdr:rowOff>
        </xdr:from>
        <xdr:to>
          <xdr:col>11</xdr:col>
          <xdr:colOff>1821180</xdr:colOff>
          <xdr:row>77</xdr:row>
          <xdr:rowOff>342900</xdr:rowOff>
        </xdr:to>
        <xdr:sp macro="" textlink="">
          <xdr:nvSpPr>
            <xdr:cNvPr id="5264" name="Check Box 144" hidden="1">
              <a:extLst>
                <a:ext uri="{63B3BB69-23CF-44E3-9099-C40C66FF867C}">
                  <a14:compatExt spid="_x0000_s5264"/>
                </a:ext>
                <a:ext uri="{FF2B5EF4-FFF2-40B4-BE49-F238E27FC236}">
                  <a16:creationId xmlns:a16="http://schemas.microsoft.com/office/drawing/2014/main" id="{00000000-0008-0000-0C00-00009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30480</xdr:rowOff>
        </xdr:from>
        <xdr:to>
          <xdr:col>11</xdr:col>
          <xdr:colOff>1821180</xdr:colOff>
          <xdr:row>76</xdr:row>
          <xdr:rowOff>274320</xdr:rowOff>
        </xdr:to>
        <xdr:sp macro="" textlink="">
          <xdr:nvSpPr>
            <xdr:cNvPr id="5265" name="Check Box 145" hidden="1">
              <a:extLst>
                <a:ext uri="{63B3BB69-23CF-44E3-9099-C40C66FF867C}">
                  <a14:compatExt spid="_x0000_s5265"/>
                </a:ext>
                <a:ext uri="{FF2B5EF4-FFF2-40B4-BE49-F238E27FC236}">
                  <a16:creationId xmlns:a16="http://schemas.microsoft.com/office/drawing/2014/main" id="{00000000-0008-0000-0C00-00009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266700</xdr:rowOff>
        </xdr:from>
        <xdr:to>
          <xdr:col>11</xdr:col>
          <xdr:colOff>1821180</xdr:colOff>
          <xdr:row>79</xdr:row>
          <xdr:rowOff>30480</xdr:rowOff>
        </xdr:to>
        <xdr:sp macro="" textlink="">
          <xdr:nvSpPr>
            <xdr:cNvPr id="5266" name="Check Box 146" hidden="1">
              <a:extLst>
                <a:ext uri="{63B3BB69-23CF-44E3-9099-C40C66FF867C}">
                  <a14:compatExt spid="_x0000_s5266"/>
                </a:ext>
                <a:ext uri="{FF2B5EF4-FFF2-40B4-BE49-F238E27FC236}">
                  <a16:creationId xmlns:a16="http://schemas.microsoft.com/office/drawing/2014/main" id="{00000000-0008-0000-0C00-00009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144780</xdr:rowOff>
        </xdr:from>
        <xdr:to>
          <xdr:col>11</xdr:col>
          <xdr:colOff>1821180</xdr:colOff>
          <xdr:row>79</xdr:row>
          <xdr:rowOff>342900</xdr:rowOff>
        </xdr:to>
        <xdr:sp macro="" textlink="">
          <xdr:nvSpPr>
            <xdr:cNvPr id="5267" name="Check Box 147" hidden="1">
              <a:extLst>
                <a:ext uri="{63B3BB69-23CF-44E3-9099-C40C66FF867C}">
                  <a14:compatExt spid="_x0000_s5267"/>
                </a:ext>
                <a:ext uri="{FF2B5EF4-FFF2-40B4-BE49-F238E27FC236}">
                  <a16:creationId xmlns:a16="http://schemas.microsoft.com/office/drawing/2014/main" id="{00000000-0008-0000-0C00-00009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11</xdr:col>
          <xdr:colOff>1821180</xdr:colOff>
          <xdr:row>78</xdr:row>
          <xdr:rowOff>274320</xdr:rowOff>
        </xdr:to>
        <xdr:sp macro="" textlink="">
          <xdr:nvSpPr>
            <xdr:cNvPr id="5268" name="Check Box 148" hidden="1">
              <a:extLst>
                <a:ext uri="{63B3BB69-23CF-44E3-9099-C40C66FF867C}">
                  <a14:compatExt spid="_x0000_s5268"/>
                </a:ext>
                <a:ext uri="{FF2B5EF4-FFF2-40B4-BE49-F238E27FC236}">
                  <a16:creationId xmlns:a16="http://schemas.microsoft.com/office/drawing/2014/main" id="{00000000-0008-0000-0C00-00009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266700</xdr:rowOff>
        </xdr:from>
        <xdr:to>
          <xdr:col>11</xdr:col>
          <xdr:colOff>1821180</xdr:colOff>
          <xdr:row>81</xdr:row>
          <xdr:rowOff>0</xdr:rowOff>
        </xdr:to>
        <xdr:sp macro="" textlink="">
          <xdr:nvSpPr>
            <xdr:cNvPr id="5269" name="Check Box 149" hidden="1">
              <a:extLst>
                <a:ext uri="{63B3BB69-23CF-44E3-9099-C40C66FF867C}">
                  <a14:compatExt spid="_x0000_s5269"/>
                </a:ext>
                <a:ext uri="{FF2B5EF4-FFF2-40B4-BE49-F238E27FC236}">
                  <a16:creationId xmlns:a16="http://schemas.microsoft.com/office/drawing/2014/main" id="{00000000-0008-0000-0C00-00009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144780</xdr:rowOff>
        </xdr:from>
        <xdr:to>
          <xdr:col>11</xdr:col>
          <xdr:colOff>1821180</xdr:colOff>
          <xdr:row>81</xdr:row>
          <xdr:rowOff>342900</xdr:rowOff>
        </xdr:to>
        <xdr:sp macro="" textlink="">
          <xdr:nvSpPr>
            <xdr:cNvPr id="5270" name="Check Box 150" hidden="1">
              <a:extLst>
                <a:ext uri="{63B3BB69-23CF-44E3-9099-C40C66FF867C}">
                  <a14:compatExt spid="_x0000_s5270"/>
                </a:ext>
                <a:ext uri="{FF2B5EF4-FFF2-40B4-BE49-F238E27FC236}">
                  <a16:creationId xmlns:a16="http://schemas.microsoft.com/office/drawing/2014/main" id="{00000000-0008-0000-0C00-00009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11</xdr:col>
          <xdr:colOff>1821180</xdr:colOff>
          <xdr:row>80</xdr:row>
          <xdr:rowOff>274320</xdr:rowOff>
        </xdr:to>
        <xdr:sp macro="" textlink="">
          <xdr:nvSpPr>
            <xdr:cNvPr id="5271" name="Check Box 151" hidden="1">
              <a:extLst>
                <a:ext uri="{63B3BB69-23CF-44E3-9099-C40C66FF867C}">
                  <a14:compatExt spid="_x0000_s5271"/>
                </a:ext>
                <a:ext uri="{FF2B5EF4-FFF2-40B4-BE49-F238E27FC236}">
                  <a16:creationId xmlns:a16="http://schemas.microsoft.com/office/drawing/2014/main" id="{00000000-0008-0000-0C00-00009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0</xdr:rowOff>
        </xdr:from>
        <xdr:to>
          <xdr:col>11</xdr:col>
          <xdr:colOff>1821180</xdr:colOff>
          <xdr:row>82</xdr:row>
          <xdr:rowOff>190500</xdr:rowOff>
        </xdr:to>
        <xdr:sp macro="" textlink="">
          <xdr:nvSpPr>
            <xdr:cNvPr id="5273" name="Check Box 153" hidden="1">
              <a:extLst>
                <a:ext uri="{63B3BB69-23CF-44E3-9099-C40C66FF867C}">
                  <a14:compatExt spid="_x0000_s5273"/>
                </a:ext>
                <a:ext uri="{FF2B5EF4-FFF2-40B4-BE49-F238E27FC236}">
                  <a16:creationId xmlns:a16="http://schemas.microsoft.com/office/drawing/2014/main" id="{00000000-0008-0000-0C00-00009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266700</xdr:rowOff>
        </xdr:from>
        <xdr:to>
          <xdr:col>11</xdr:col>
          <xdr:colOff>1821180</xdr:colOff>
          <xdr:row>82</xdr:row>
          <xdr:rowOff>533400</xdr:rowOff>
        </xdr:to>
        <xdr:sp macro="" textlink="">
          <xdr:nvSpPr>
            <xdr:cNvPr id="5275" name="Check Box 155" hidden="1">
              <a:extLst>
                <a:ext uri="{63B3BB69-23CF-44E3-9099-C40C66FF867C}">
                  <a14:compatExt spid="_x0000_s5275"/>
                </a:ext>
                <a:ext uri="{FF2B5EF4-FFF2-40B4-BE49-F238E27FC236}">
                  <a16:creationId xmlns:a16="http://schemas.microsoft.com/office/drawing/2014/main" id="{00000000-0008-0000-0C00-00009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144780</xdr:rowOff>
        </xdr:from>
        <xdr:to>
          <xdr:col>11</xdr:col>
          <xdr:colOff>1821180</xdr:colOff>
          <xdr:row>83</xdr:row>
          <xdr:rowOff>342900</xdr:rowOff>
        </xdr:to>
        <xdr:sp macro="" textlink="">
          <xdr:nvSpPr>
            <xdr:cNvPr id="5276" name="Check Box 156" hidden="1">
              <a:extLst>
                <a:ext uri="{63B3BB69-23CF-44E3-9099-C40C66FF867C}">
                  <a14:compatExt spid="_x0000_s5276"/>
                </a:ext>
                <a:ext uri="{FF2B5EF4-FFF2-40B4-BE49-F238E27FC236}">
                  <a16:creationId xmlns:a16="http://schemas.microsoft.com/office/drawing/2014/main" id="{00000000-0008-0000-0C00-00009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0</xdr:rowOff>
        </xdr:from>
        <xdr:to>
          <xdr:col>11</xdr:col>
          <xdr:colOff>1821180</xdr:colOff>
          <xdr:row>84</xdr:row>
          <xdr:rowOff>190500</xdr:rowOff>
        </xdr:to>
        <xdr:sp macro="" textlink="">
          <xdr:nvSpPr>
            <xdr:cNvPr id="5279" name="Check Box 159" hidden="1">
              <a:extLst>
                <a:ext uri="{63B3BB69-23CF-44E3-9099-C40C66FF867C}">
                  <a14:compatExt spid="_x0000_s5279"/>
                </a:ext>
                <a:ext uri="{FF2B5EF4-FFF2-40B4-BE49-F238E27FC236}">
                  <a16:creationId xmlns:a16="http://schemas.microsoft.com/office/drawing/2014/main" id="{00000000-0008-0000-0C00-00009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266700</xdr:rowOff>
        </xdr:from>
        <xdr:to>
          <xdr:col>11</xdr:col>
          <xdr:colOff>1821180</xdr:colOff>
          <xdr:row>97</xdr:row>
          <xdr:rowOff>0</xdr:rowOff>
        </xdr:to>
        <xdr:sp macro="" textlink="">
          <xdr:nvSpPr>
            <xdr:cNvPr id="5284" name="Check Box 164" hidden="1">
              <a:extLst>
                <a:ext uri="{63B3BB69-23CF-44E3-9099-C40C66FF867C}">
                  <a14:compatExt spid="_x0000_s5284"/>
                </a:ext>
                <a:ext uri="{FF2B5EF4-FFF2-40B4-BE49-F238E27FC236}">
                  <a16:creationId xmlns:a16="http://schemas.microsoft.com/office/drawing/2014/main" id="{00000000-0008-0000-0C00-0000A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144780</xdr:rowOff>
        </xdr:from>
        <xdr:to>
          <xdr:col>11</xdr:col>
          <xdr:colOff>1821180</xdr:colOff>
          <xdr:row>97</xdr:row>
          <xdr:rowOff>342900</xdr:rowOff>
        </xdr:to>
        <xdr:sp macro="" textlink="">
          <xdr:nvSpPr>
            <xdr:cNvPr id="5285" name="Check Box 165" hidden="1">
              <a:extLst>
                <a:ext uri="{63B3BB69-23CF-44E3-9099-C40C66FF867C}">
                  <a14:compatExt spid="_x0000_s5285"/>
                </a:ext>
                <a:ext uri="{FF2B5EF4-FFF2-40B4-BE49-F238E27FC236}">
                  <a16:creationId xmlns:a16="http://schemas.microsoft.com/office/drawing/2014/main" id="{00000000-0008-0000-0C00-0000A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11</xdr:col>
          <xdr:colOff>1821180</xdr:colOff>
          <xdr:row>96</xdr:row>
          <xdr:rowOff>274320</xdr:rowOff>
        </xdr:to>
        <xdr:sp macro="" textlink="">
          <xdr:nvSpPr>
            <xdr:cNvPr id="5286" name="Check Box 166" hidden="1">
              <a:extLst>
                <a:ext uri="{63B3BB69-23CF-44E3-9099-C40C66FF867C}">
                  <a14:compatExt spid="_x0000_s5286"/>
                </a:ext>
                <a:ext uri="{FF2B5EF4-FFF2-40B4-BE49-F238E27FC236}">
                  <a16:creationId xmlns:a16="http://schemas.microsoft.com/office/drawing/2014/main" id="{00000000-0008-0000-0C00-0000A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266700</xdr:rowOff>
        </xdr:from>
        <xdr:to>
          <xdr:col>11</xdr:col>
          <xdr:colOff>1821180</xdr:colOff>
          <xdr:row>99</xdr:row>
          <xdr:rowOff>0</xdr:rowOff>
        </xdr:to>
        <xdr:sp macro="" textlink="">
          <xdr:nvSpPr>
            <xdr:cNvPr id="5289" name="Check Box 169" hidden="1">
              <a:extLst>
                <a:ext uri="{63B3BB69-23CF-44E3-9099-C40C66FF867C}">
                  <a14:compatExt spid="_x0000_s5289"/>
                </a:ext>
                <a:ext uri="{FF2B5EF4-FFF2-40B4-BE49-F238E27FC236}">
                  <a16:creationId xmlns:a16="http://schemas.microsoft.com/office/drawing/2014/main" id="{00000000-0008-0000-0C00-0000A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144780</xdr:rowOff>
        </xdr:from>
        <xdr:to>
          <xdr:col>11</xdr:col>
          <xdr:colOff>1821180</xdr:colOff>
          <xdr:row>99</xdr:row>
          <xdr:rowOff>342900</xdr:rowOff>
        </xdr:to>
        <xdr:sp macro="" textlink="">
          <xdr:nvSpPr>
            <xdr:cNvPr id="5290" name="Check Box 170" hidden="1">
              <a:extLst>
                <a:ext uri="{63B3BB69-23CF-44E3-9099-C40C66FF867C}">
                  <a14:compatExt spid="_x0000_s5290"/>
                </a:ext>
                <a:ext uri="{FF2B5EF4-FFF2-40B4-BE49-F238E27FC236}">
                  <a16:creationId xmlns:a16="http://schemas.microsoft.com/office/drawing/2014/main" id="{00000000-0008-0000-0C00-0000A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30480</xdr:rowOff>
        </xdr:from>
        <xdr:to>
          <xdr:col>11</xdr:col>
          <xdr:colOff>1821180</xdr:colOff>
          <xdr:row>98</xdr:row>
          <xdr:rowOff>274320</xdr:rowOff>
        </xdr:to>
        <xdr:sp macro="" textlink="">
          <xdr:nvSpPr>
            <xdr:cNvPr id="5291" name="Check Box 171" hidden="1">
              <a:extLst>
                <a:ext uri="{63B3BB69-23CF-44E3-9099-C40C66FF867C}">
                  <a14:compatExt spid="_x0000_s5291"/>
                </a:ext>
                <a:ext uri="{FF2B5EF4-FFF2-40B4-BE49-F238E27FC236}">
                  <a16:creationId xmlns:a16="http://schemas.microsoft.com/office/drawing/2014/main" id="{00000000-0008-0000-0C00-0000A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266700</xdr:rowOff>
        </xdr:from>
        <xdr:to>
          <xdr:col>11</xdr:col>
          <xdr:colOff>1821180</xdr:colOff>
          <xdr:row>101</xdr:row>
          <xdr:rowOff>30480</xdr:rowOff>
        </xdr:to>
        <xdr:sp macro="" textlink="">
          <xdr:nvSpPr>
            <xdr:cNvPr id="5312" name="Check Box 192" hidden="1">
              <a:extLst>
                <a:ext uri="{63B3BB69-23CF-44E3-9099-C40C66FF867C}">
                  <a14:compatExt spid="_x0000_s5312"/>
                </a:ext>
                <a:ext uri="{FF2B5EF4-FFF2-40B4-BE49-F238E27FC236}">
                  <a16:creationId xmlns:a16="http://schemas.microsoft.com/office/drawing/2014/main" id="{00000000-0008-0000-0C00-0000C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144780</xdr:rowOff>
        </xdr:from>
        <xdr:to>
          <xdr:col>11</xdr:col>
          <xdr:colOff>1821180</xdr:colOff>
          <xdr:row>101</xdr:row>
          <xdr:rowOff>342900</xdr:rowOff>
        </xdr:to>
        <xdr:sp macro="" textlink="">
          <xdr:nvSpPr>
            <xdr:cNvPr id="5313" name="Check Box 193" hidden="1">
              <a:extLst>
                <a:ext uri="{63B3BB69-23CF-44E3-9099-C40C66FF867C}">
                  <a14:compatExt spid="_x0000_s5313"/>
                </a:ext>
                <a:ext uri="{FF2B5EF4-FFF2-40B4-BE49-F238E27FC236}">
                  <a16:creationId xmlns:a16="http://schemas.microsoft.com/office/drawing/2014/main" id="{00000000-0008-0000-0C00-0000C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30480</xdr:rowOff>
        </xdr:from>
        <xdr:to>
          <xdr:col>11</xdr:col>
          <xdr:colOff>1821180</xdr:colOff>
          <xdr:row>100</xdr:row>
          <xdr:rowOff>274320</xdr:rowOff>
        </xdr:to>
        <xdr:sp macro="" textlink="">
          <xdr:nvSpPr>
            <xdr:cNvPr id="5314" name="Check Box 194" hidden="1">
              <a:extLst>
                <a:ext uri="{63B3BB69-23CF-44E3-9099-C40C66FF867C}">
                  <a14:compatExt spid="_x0000_s5314"/>
                </a:ext>
                <a:ext uri="{FF2B5EF4-FFF2-40B4-BE49-F238E27FC236}">
                  <a16:creationId xmlns:a16="http://schemas.microsoft.com/office/drawing/2014/main" id="{00000000-0008-0000-0C00-0000C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266700</xdr:rowOff>
        </xdr:from>
        <xdr:to>
          <xdr:col>11</xdr:col>
          <xdr:colOff>1821180</xdr:colOff>
          <xdr:row>103</xdr:row>
          <xdr:rowOff>0</xdr:rowOff>
        </xdr:to>
        <xdr:sp macro="" textlink="">
          <xdr:nvSpPr>
            <xdr:cNvPr id="5315" name="Check Box 195" hidden="1">
              <a:extLst>
                <a:ext uri="{63B3BB69-23CF-44E3-9099-C40C66FF867C}">
                  <a14:compatExt spid="_x0000_s5315"/>
                </a:ext>
                <a:ext uri="{FF2B5EF4-FFF2-40B4-BE49-F238E27FC236}">
                  <a16:creationId xmlns:a16="http://schemas.microsoft.com/office/drawing/2014/main" id="{00000000-0008-0000-0C00-0000C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144780</xdr:rowOff>
        </xdr:from>
        <xdr:to>
          <xdr:col>11</xdr:col>
          <xdr:colOff>1821180</xdr:colOff>
          <xdr:row>103</xdr:row>
          <xdr:rowOff>342900</xdr:rowOff>
        </xdr:to>
        <xdr:sp macro="" textlink="">
          <xdr:nvSpPr>
            <xdr:cNvPr id="5316" name="Check Box 196" hidden="1">
              <a:extLst>
                <a:ext uri="{63B3BB69-23CF-44E3-9099-C40C66FF867C}">
                  <a14:compatExt spid="_x0000_s5316"/>
                </a:ext>
                <a:ext uri="{FF2B5EF4-FFF2-40B4-BE49-F238E27FC236}">
                  <a16:creationId xmlns:a16="http://schemas.microsoft.com/office/drawing/2014/main" id="{00000000-0008-0000-0C00-0000C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30480</xdr:rowOff>
        </xdr:from>
        <xdr:to>
          <xdr:col>11</xdr:col>
          <xdr:colOff>1821180</xdr:colOff>
          <xdr:row>102</xdr:row>
          <xdr:rowOff>274320</xdr:rowOff>
        </xdr:to>
        <xdr:sp macro="" textlink="">
          <xdr:nvSpPr>
            <xdr:cNvPr id="5317" name="Check Box 197" hidden="1">
              <a:extLst>
                <a:ext uri="{63B3BB69-23CF-44E3-9099-C40C66FF867C}">
                  <a14:compatExt spid="_x0000_s5317"/>
                </a:ext>
                <a:ext uri="{FF2B5EF4-FFF2-40B4-BE49-F238E27FC236}">
                  <a16:creationId xmlns:a16="http://schemas.microsoft.com/office/drawing/2014/main" id="{00000000-0008-0000-0C00-0000C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266700</xdr:rowOff>
        </xdr:from>
        <xdr:to>
          <xdr:col>11</xdr:col>
          <xdr:colOff>1821180</xdr:colOff>
          <xdr:row>105</xdr:row>
          <xdr:rowOff>0</xdr:rowOff>
        </xdr:to>
        <xdr:sp macro="" textlink="">
          <xdr:nvSpPr>
            <xdr:cNvPr id="5318" name="Check Box 198" hidden="1">
              <a:extLst>
                <a:ext uri="{63B3BB69-23CF-44E3-9099-C40C66FF867C}">
                  <a14:compatExt spid="_x0000_s5318"/>
                </a:ext>
                <a:ext uri="{FF2B5EF4-FFF2-40B4-BE49-F238E27FC236}">
                  <a16:creationId xmlns:a16="http://schemas.microsoft.com/office/drawing/2014/main" id="{00000000-0008-0000-0C00-0000C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144780</xdr:rowOff>
        </xdr:from>
        <xdr:to>
          <xdr:col>11</xdr:col>
          <xdr:colOff>1821180</xdr:colOff>
          <xdr:row>105</xdr:row>
          <xdr:rowOff>342900</xdr:rowOff>
        </xdr:to>
        <xdr:sp macro="" textlink="">
          <xdr:nvSpPr>
            <xdr:cNvPr id="5319" name="Check Box 199" hidden="1">
              <a:extLst>
                <a:ext uri="{63B3BB69-23CF-44E3-9099-C40C66FF867C}">
                  <a14:compatExt spid="_x0000_s5319"/>
                </a:ext>
                <a:ext uri="{FF2B5EF4-FFF2-40B4-BE49-F238E27FC236}">
                  <a16:creationId xmlns:a16="http://schemas.microsoft.com/office/drawing/2014/main" id="{00000000-0008-0000-0C00-0000C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30480</xdr:rowOff>
        </xdr:from>
        <xdr:to>
          <xdr:col>11</xdr:col>
          <xdr:colOff>1821180</xdr:colOff>
          <xdr:row>104</xdr:row>
          <xdr:rowOff>274320</xdr:rowOff>
        </xdr:to>
        <xdr:sp macro="" textlink="">
          <xdr:nvSpPr>
            <xdr:cNvPr id="5320" name="Check Box 200" hidden="1">
              <a:extLst>
                <a:ext uri="{63B3BB69-23CF-44E3-9099-C40C66FF867C}">
                  <a14:compatExt spid="_x0000_s5320"/>
                </a:ext>
                <a:ext uri="{FF2B5EF4-FFF2-40B4-BE49-F238E27FC236}">
                  <a16:creationId xmlns:a16="http://schemas.microsoft.com/office/drawing/2014/main" id="{00000000-0008-0000-0C00-0000C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335280</xdr:rowOff>
        </xdr:from>
        <xdr:to>
          <xdr:col>11</xdr:col>
          <xdr:colOff>1821180</xdr:colOff>
          <xdr:row>85</xdr:row>
          <xdr:rowOff>106680</xdr:rowOff>
        </xdr:to>
        <xdr:sp macro="" textlink="">
          <xdr:nvSpPr>
            <xdr:cNvPr id="5355" name="Check Box 235" hidden="1">
              <a:extLst>
                <a:ext uri="{63B3BB69-23CF-44E3-9099-C40C66FF867C}">
                  <a14:compatExt spid="_x0000_s5355"/>
                </a:ext>
                <a:ext uri="{FF2B5EF4-FFF2-40B4-BE49-F238E27FC236}">
                  <a16:creationId xmlns:a16="http://schemas.microsoft.com/office/drawing/2014/main" id="{00000000-0008-0000-0C00-0000E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144780</xdr:rowOff>
        </xdr:from>
        <xdr:to>
          <xdr:col>11</xdr:col>
          <xdr:colOff>1821180</xdr:colOff>
          <xdr:row>85</xdr:row>
          <xdr:rowOff>342900</xdr:rowOff>
        </xdr:to>
        <xdr:sp macro="" textlink="">
          <xdr:nvSpPr>
            <xdr:cNvPr id="5356" name="Check Box 236" hidden="1">
              <a:extLst>
                <a:ext uri="{63B3BB69-23CF-44E3-9099-C40C66FF867C}">
                  <a14:compatExt spid="_x0000_s5356"/>
                </a:ext>
                <a:ext uri="{FF2B5EF4-FFF2-40B4-BE49-F238E27FC236}">
                  <a16:creationId xmlns:a16="http://schemas.microsoft.com/office/drawing/2014/main" id="{00000000-0008-0000-0C00-0000E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0</xdr:rowOff>
        </xdr:from>
        <xdr:to>
          <xdr:col>11</xdr:col>
          <xdr:colOff>1821180</xdr:colOff>
          <xdr:row>86</xdr:row>
          <xdr:rowOff>297180</xdr:rowOff>
        </xdr:to>
        <xdr:sp macro="" textlink="">
          <xdr:nvSpPr>
            <xdr:cNvPr id="5358" name="Check Box 238" hidden="1">
              <a:extLst>
                <a:ext uri="{63B3BB69-23CF-44E3-9099-C40C66FF867C}">
                  <a14:compatExt spid="_x0000_s5358"/>
                </a:ext>
                <a:ext uri="{FF2B5EF4-FFF2-40B4-BE49-F238E27FC236}">
                  <a16:creationId xmlns:a16="http://schemas.microsoft.com/office/drawing/2014/main" id="{00000000-0008-0000-0C00-0000E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266700</xdr:rowOff>
        </xdr:from>
        <xdr:to>
          <xdr:col>11</xdr:col>
          <xdr:colOff>1821180</xdr:colOff>
          <xdr:row>87</xdr:row>
          <xdr:rowOff>0</xdr:rowOff>
        </xdr:to>
        <xdr:sp macro="" textlink="">
          <xdr:nvSpPr>
            <xdr:cNvPr id="5367" name="Check Box 247" hidden="1">
              <a:extLst>
                <a:ext uri="{63B3BB69-23CF-44E3-9099-C40C66FF867C}">
                  <a14:compatExt spid="_x0000_s5367"/>
                </a:ext>
                <a:ext uri="{FF2B5EF4-FFF2-40B4-BE49-F238E27FC236}">
                  <a16:creationId xmlns:a16="http://schemas.microsoft.com/office/drawing/2014/main" id="{00000000-0008-0000-0C00-0000F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144780</xdr:rowOff>
        </xdr:from>
        <xdr:to>
          <xdr:col>11</xdr:col>
          <xdr:colOff>1821180</xdr:colOff>
          <xdr:row>87</xdr:row>
          <xdr:rowOff>342900</xdr:rowOff>
        </xdr:to>
        <xdr:sp macro="" textlink="">
          <xdr:nvSpPr>
            <xdr:cNvPr id="5368" name="Check Box 248" hidden="1">
              <a:extLst>
                <a:ext uri="{63B3BB69-23CF-44E3-9099-C40C66FF867C}">
                  <a14:compatExt spid="_x0000_s5368"/>
                </a:ext>
                <a:ext uri="{FF2B5EF4-FFF2-40B4-BE49-F238E27FC236}">
                  <a16:creationId xmlns:a16="http://schemas.microsoft.com/office/drawing/2014/main" id="{00000000-0008-0000-0C00-0000F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266700</xdr:rowOff>
        </xdr:from>
        <xdr:to>
          <xdr:col>11</xdr:col>
          <xdr:colOff>1821180</xdr:colOff>
          <xdr:row>88</xdr:row>
          <xdr:rowOff>563880</xdr:rowOff>
        </xdr:to>
        <xdr:sp macro="" textlink="">
          <xdr:nvSpPr>
            <xdr:cNvPr id="5370" name="Check Box 250" hidden="1">
              <a:extLst>
                <a:ext uri="{63B3BB69-23CF-44E3-9099-C40C66FF867C}">
                  <a14:compatExt spid="_x0000_s5370"/>
                </a:ext>
                <a:ext uri="{FF2B5EF4-FFF2-40B4-BE49-F238E27FC236}">
                  <a16:creationId xmlns:a16="http://schemas.microsoft.com/office/drawing/2014/main" id="{00000000-0008-0000-0C00-0000F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89</xdr:row>
          <xdr:rowOff>144780</xdr:rowOff>
        </xdr:from>
        <xdr:to>
          <xdr:col>11</xdr:col>
          <xdr:colOff>1821180</xdr:colOff>
          <xdr:row>89</xdr:row>
          <xdr:rowOff>342900</xdr:rowOff>
        </xdr:to>
        <xdr:sp macro="" textlink="">
          <xdr:nvSpPr>
            <xdr:cNvPr id="5371" name="Check Box 251" hidden="1">
              <a:extLst>
                <a:ext uri="{63B3BB69-23CF-44E3-9099-C40C66FF867C}">
                  <a14:compatExt spid="_x0000_s5371"/>
                </a:ext>
                <a:ext uri="{FF2B5EF4-FFF2-40B4-BE49-F238E27FC236}">
                  <a16:creationId xmlns:a16="http://schemas.microsoft.com/office/drawing/2014/main" id="{00000000-0008-0000-0C00-0000F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30480</xdr:rowOff>
        </xdr:from>
        <xdr:to>
          <xdr:col>11</xdr:col>
          <xdr:colOff>1821180</xdr:colOff>
          <xdr:row>88</xdr:row>
          <xdr:rowOff>297180</xdr:rowOff>
        </xdr:to>
        <xdr:sp macro="" textlink="">
          <xdr:nvSpPr>
            <xdr:cNvPr id="5372" name="Check Box 252" hidden="1">
              <a:extLst>
                <a:ext uri="{63B3BB69-23CF-44E3-9099-C40C66FF867C}">
                  <a14:compatExt spid="_x0000_s5372"/>
                </a:ext>
                <a:ext uri="{FF2B5EF4-FFF2-40B4-BE49-F238E27FC236}">
                  <a16:creationId xmlns:a16="http://schemas.microsoft.com/office/drawing/2014/main" id="{00000000-0008-0000-0C00-0000F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266700</xdr:rowOff>
        </xdr:from>
        <xdr:to>
          <xdr:col>11</xdr:col>
          <xdr:colOff>1821180</xdr:colOff>
          <xdr:row>91</xdr:row>
          <xdr:rowOff>30480</xdr:rowOff>
        </xdr:to>
        <xdr:sp macro="" textlink="">
          <xdr:nvSpPr>
            <xdr:cNvPr id="5373" name="Check Box 253" hidden="1">
              <a:extLst>
                <a:ext uri="{63B3BB69-23CF-44E3-9099-C40C66FF867C}">
                  <a14:compatExt spid="_x0000_s5373"/>
                </a:ext>
                <a:ext uri="{FF2B5EF4-FFF2-40B4-BE49-F238E27FC236}">
                  <a16:creationId xmlns:a16="http://schemas.microsoft.com/office/drawing/2014/main" id="{00000000-0008-0000-0C00-0000F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144780</xdr:rowOff>
        </xdr:from>
        <xdr:to>
          <xdr:col>11</xdr:col>
          <xdr:colOff>1821180</xdr:colOff>
          <xdr:row>91</xdr:row>
          <xdr:rowOff>342900</xdr:rowOff>
        </xdr:to>
        <xdr:sp macro="" textlink="">
          <xdr:nvSpPr>
            <xdr:cNvPr id="5374" name="Check Box 254" hidden="1">
              <a:extLst>
                <a:ext uri="{63B3BB69-23CF-44E3-9099-C40C66FF867C}">
                  <a14:compatExt spid="_x0000_s5374"/>
                </a:ext>
                <a:ext uri="{FF2B5EF4-FFF2-40B4-BE49-F238E27FC236}">
                  <a16:creationId xmlns:a16="http://schemas.microsoft.com/office/drawing/2014/main" id="{00000000-0008-0000-0C00-0000F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30480</xdr:rowOff>
        </xdr:from>
        <xdr:to>
          <xdr:col>11</xdr:col>
          <xdr:colOff>1821180</xdr:colOff>
          <xdr:row>90</xdr:row>
          <xdr:rowOff>297180</xdr:rowOff>
        </xdr:to>
        <xdr:sp macro="" textlink="">
          <xdr:nvSpPr>
            <xdr:cNvPr id="5375" name="Check Box 255" hidden="1">
              <a:extLst>
                <a:ext uri="{63B3BB69-23CF-44E3-9099-C40C66FF867C}">
                  <a14:compatExt spid="_x0000_s5375"/>
                </a:ext>
                <a:ext uri="{FF2B5EF4-FFF2-40B4-BE49-F238E27FC236}">
                  <a16:creationId xmlns:a16="http://schemas.microsoft.com/office/drawing/2014/main" id="{00000000-0008-0000-0C00-0000F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266700</xdr:rowOff>
        </xdr:from>
        <xdr:to>
          <xdr:col>11</xdr:col>
          <xdr:colOff>1821180</xdr:colOff>
          <xdr:row>92</xdr:row>
          <xdr:rowOff>563880</xdr:rowOff>
        </xdr:to>
        <xdr:sp macro="" textlink="">
          <xdr:nvSpPr>
            <xdr:cNvPr id="5376" name="Check Box 256" hidden="1">
              <a:extLst>
                <a:ext uri="{63B3BB69-23CF-44E3-9099-C40C66FF867C}">
                  <a14:compatExt spid="_x0000_s5376"/>
                </a:ext>
                <a:ext uri="{FF2B5EF4-FFF2-40B4-BE49-F238E27FC236}">
                  <a16:creationId xmlns:a16="http://schemas.microsoft.com/office/drawing/2014/main" id="{00000000-0008-0000-0C00-000000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144780</xdr:rowOff>
        </xdr:from>
        <xdr:to>
          <xdr:col>11</xdr:col>
          <xdr:colOff>1821180</xdr:colOff>
          <xdr:row>93</xdr:row>
          <xdr:rowOff>342900</xdr:rowOff>
        </xdr:to>
        <xdr:sp macro="" textlink="">
          <xdr:nvSpPr>
            <xdr:cNvPr id="5377" name="Check Box 257" hidden="1">
              <a:extLst>
                <a:ext uri="{63B3BB69-23CF-44E3-9099-C40C66FF867C}">
                  <a14:compatExt spid="_x0000_s5377"/>
                </a:ext>
                <a:ext uri="{FF2B5EF4-FFF2-40B4-BE49-F238E27FC236}">
                  <a16:creationId xmlns:a16="http://schemas.microsoft.com/office/drawing/2014/main" id="{00000000-0008-0000-0C00-000001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30480</xdr:rowOff>
        </xdr:from>
        <xdr:to>
          <xdr:col>11</xdr:col>
          <xdr:colOff>1821180</xdr:colOff>
          <xdr:row>92</xdr:row>
          <xdr:rowOff>297180</xdr:rowOff>
        </xdr:to>
        <xdr:sp macro="" textlink="">
          <xdr:nvSpPr>
            <xdr:cNvPr id="5378" name="Check Box 258" hidden="1">
              <a:extLst>
                <a:ext uri="{63B3BB69-23CF-44E3-9099-C40C66FF867C}">
                  <a14:compatExt spid="_x0000_s5378"/>
                </a:ext>
                <a:ext uri="{FF2B5EF4-FFF2-40B4-BE49-F238E27FC236}">
                  <a16:creationId xmlns:a16="http://schemas.microsoft.com/office/drawing/2014/main" id="{00000000-0008-0000-0C00-000002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266700</xdr:rowOff>
        </xdr:from>
        <xdr:to>
          <xdr:col>11</xdr:col>
          <xdr:colOff>1821180</xdr:colOff>
          <xdr:row>95</xdr:row>
          <xdr:rowOff>0</xdr:rowOff>
        </xdr:to>
        <xdr:sp macro="" textlink="">
          <xdr:nvSpPr>
            <xdr:cNvPr id="5379" name="Check Box 259" hidden="1">
              <a:extLst>
                <a:ext uri="{63B3BB69-23CF-44E3-9099-C40C66FF867C}">
                  <a14:compatExt spid="_x0000_s5379"/>
                </a:ext>
                <a:ext uri="{FF2B5EF4-FFF2-40B4-BE49-F238E27FC236}">
                  <a16:creationId xmlns:a16="http://schemas.microsoft.com/office/drawing/2014/main" id="{00000000-0008-0000-0C00-000003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144780</xdr:rowOff>
        </xdr:from>
        <xdr:to>
          <xdr:col>11</xdr:col>
          <xdr:colOff>1821180</xdr:colOff>
          <xdr:row>95</xdr:row>
          <xdr:rowOff>342900</xdr:rowOff>
        </xdr:to>
        <xdr:sp macro="" textlink="">
          <xdr:nvSpPr>
            <xdr:cNvPr id="5380" name="Check Box 260" hidden="1">
              <a:extLst>
                <a:ext uri="{63B3BB69-23CF-44E3-9099-C40C66FF867C}">
                  <a14:compatExt spid="_x0000_s5380"/>
                </a:ext>
                <a:ext uri="{FF2B5EF4-FFF2-40B4-BE49-F238E27FC236}">
                  <a16:creationId xmlns:a16="http://schemas.microsoft.com/office/drawing/2014/main" id="{00000000-0008-0000-0C00-000004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11</xdr:col>
          <xdr:colOff>1821180</xdr:colOff>
          <xdr:row>94</xdr:row>
          <xdr:rowOff>297180</xdr:rowOff>
        </xdr:to>
        <xdr:sp macro="" textlink="">
          <xdr:nvSpPr>
            <xdr:cNvPr id="5381" name="Check Box 261" hidden="1">
              <a:extLst>
                <a:ext uri="{63B3BB69-23CF-44E3-9099-C40C66FF867C}">
                  <a14:compatExt spid="_x0000_s5381"/>
                </a:ext>
                <a:ext uri="{FF2B5EF4-FFF2-40B4-BE49-F238E27FC236}">
                  <a16:creationId xmlns:a16="http://schemas.microsoft.com/office/drawing/2014/main" id="{00000000-0008-0000-0C00-000005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5</xdr:col>
      <xdr:colOff>28031</xdr:colOff>
      <xdr:row>10</xdr:row>
      <xdr:rowOff>59839</xdr:rowOff>
    </xdr:from>
    <xdr:to>
      <xdr:col>7</xdr:col>
      <xdr:colOff>988024</xdr:colOff>
      <xdr:row>25</xdr:row>
      <xdr:rowOff>182112</xdr:rowOff>
    </xdr:to>
    <xdr:graphicFrame macro="">
      <xdr:nvGraphicFramePr>
        <xdr:cNvPr id="18" name="Gráfico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137</xdr:row>
      <xdr:rowOff>95249</xdr:rowOff>
    </xdr:from>
    <xdr:to>
      <xdr:col>5</xdr:col>
      <xdr:colOff>1173114</xdr:colOff>
      <xdr:row>157</xdr:row>
      <xdr:rowOff>4962</xdr:rowOff>
    </xdr:to>
    <xdr:graphicFrame macro="">
      <xdr:nvGraphicFramePr>
        <xdr:cNvPr id="3" name="Gráfico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68036</xdr:colOff>
      <xdr:row>12</xdr:row>
      <xdr:rowOff>69812</xdr:rowOff>
    </xdr:from>
    <xdr:to>
      <xdr:col>8</xdr:col>
      <xdr:colOff>970653</xdr:colOff>
      <xdr:row>25</xdr:row>
      <xdr:rowOff>125170</xdr:rowOff>
    </xdr:to>
    <xdr:graphicFrame macro="">
      <xdr:nvGraphicFramePr>
        <xdr:cNvPr id="3" name="Gráfico 3">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15</xdr:row>
      <xdr:rowOff>40821</xdr:rowOff>
    </xdr:from>
    <xdr:to>
      <xdr:col>4</xdr:col>
      <xdr:colOff>1248047</xdr:colOff>
      <xdr:row>25</xdr:row>
      <xdr:rowOff>97155</xdr:rowOff>
    </xdr:to>
    <xdr:graphicFrame macro="">
      <xdr:nvGraphicFramePr>
        <xdr:cNvPr id="5" name="Gráfico 6">
          <a:extLst>
            <a:ext uri="{FF2B5EF4-FFF2-40B4-BE49-F238E27FC236}">
              <a16:creationId xmlns:a16="http://schemas.microsoft.com/office/drawing/2014/main" id="{00000000-0008-0000-0D00-000005000000}"/>
            </a:ext>
            <a:ext uri="{147F2762-F138-4A5C-976F-8EAC2B608ADB}">
              <a16:predDERef xmlns:a16="http://schemas.microsoft.com/office/drawing/2014/main" pred="{1C643DEC-4480-4B06-8F96-E3047C3D1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1019175</xdr:colOff>
      <xdr:row>11</xdr:row>
      <xdr:rowOff>95250</xdr:rowOff>
    </xdr:from>
    <xdr:to>
      <xdr:col>13</xdr:col>
      <xdr:colOff>847725</xdr:colOff>
      <xdr:row>25</xdr:row>
      <xdr:rowOff>123825</xdr:rowOff>
    </xdr:to>
    <xdr:graphicFrame macro="">
      <xdr:nvGraphicFramePr>
        <xdr:cNvPr id="2" name="Gráfico 1">
          <a:extLst>
            <a:ext uri="{FF2B5EF4-FFF2-40B4-BE49-F238E27FC236}">
              <a16:creationId xmlns:a16="http://schemas.microsoft.com/office/drawing/2014/main" id="{00000000-0008-0000-0D00-000002000000}"/>
            </a:ext>
            <a:ext uri="{147F2762-F138-4A5C-976F-8EAC2B608ADB}">
              <a16:predDERef xmlns:a16="http://schemas.microsoft.com/office/drawing/2014/main" pred="{51C649E0-172A-4BDD-B688-D1C6D25C8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30480</xdr:colOff>
          <xdr:row>54</xdr:row>
          <xdr:rowOff>259080</xdr:rowOff>
        </xdr:from>
        <xdr:to>
          <xdr:col>11</xdr:col>
          <xdr:colOff>1819275</xdr:colOff>
          <xdr:row>55</xdr:row>
          <xdr:rowOff>104775</xdr:rowOff>
        </xdr:to>
        <xdr:sp macro="" textlink="">
          <xdr:nvSpPr>
            <xdr:cNvPr id="6188" name="Check Box 44" hidden="1">
              <a:extLst>
                <a:ext uri="{63B3BB69-23CF-44E3-9099-C40C66FF867C}">
                  <a14:compatExt spid="_x0000_s6188"/>
                </a:ext>
                <a:ext uri="{FF2B5EF4-FFF2-40B4-BE49-F238E27FC236}">
                  <a16:creationId xmlns:a16="http://schemas.microsoft.com/office/drawing/2014/main" id="{00000000-0008-0000-0D00-00002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266700</xdr:rowOff>
        </xdr:from>
        <xdr:to>
          <xdr:col>11</xdr:col>
          <xdr:colOff>1781175</xdr:colOff>
          <xdr:row>57</xdr:row>
          <xdr:rowOff>104775</xdr:rowOff>
        </xdr:to>
        <xdr:sp macro="" textlink="">
          <xdr:nvSpPr>
            <xdr:cNvPr id="6189" name="Check Box 45" hidden="1">
              <a:extLst>
                <a:ext uri="{63B3BB69-23CF-44E3-9099-C40C66FF867C}">
                  <a14:compatExt spid="_x0000_s6189"/>
                </a:ext>
                <a:ext uri="{FF2B5EF4-FFF2-40B4-BE49-F238E27FC236}">
                  <a16:creationId xmlns:a16="http://schemas.microsoft.com/office/drawing/2014/main" id="{00000000-0008-0000-0D00-00002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144780</xdr:rowOff>
        </xdr:from>
        <xdr:to>
          <xdr:col>11</xdr:col>
          <xdr:colOff>1781175</xdr:colOff>
          <xdr:row>57</xdr:row>
          <xdr:rowOff>342900</xdr:rowOff>
        </xdr:to>
        <xdr:sp macro="" textlink="">
          <xdr:nvSpPr>
            <xdr:cNvPr id="6190" name="Check Box 46" hidden="1">
              <a:extLst>
                <a:ext uri="{63B3BB69-23CF-44E3-9099-C40C66FF867C}">
                  <a14:compatExt spid="_x0000_s6190"/>
                </a:ext>
                <a:ext uri="{FF2B5EF4-FFF2-40B4-BE49-F238E27FC236}">
                  <a16:creationId xmlns:a16="http://schemas.microsoft.com/office/drawing/2014/main" id="{00000000-0008-0000-0D00-00002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11</xdr:col>
          <xdr:colOff>1781175</xdr:colOff>
          <xdr:row>56</xdr:row>
          <xdr:rowOff>257175</xdr:rowOff>
        </xdr:to>
        <xdr:sp macro="" textlink="">
          <xdr:nvSpPr>
            <xdr:cNvPr id="6191" name="Check Box 47" hidden="1">
              <a:extLst>
                <a:ext uri="{63B3BB69-23CF-44E3-9099-C40C66FF867C}">
                  <a14:compatExt spid="_x0000_s6191"/>
                </a:ext>
                <a:ext uri="{FF2B5EF4-FFF2-40B4-BE49-F238E27FC236}">
                  <a16:creationId xmlns:a16="http://schemas.microsoft.com/office/drawing/2014/main" id="{00000000-0008-0000-0D00-00002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266700</xdr:rowOff>
        </xdr:from>
        <xdr:to>
          <xdr:col>11</xdr:col>
          <xdr:colOff>1781175</xdr:colOff>
          <xdr:row>59</xdr:row>
          <xdr:rowOff>123825</xdr:rowOff>
        </xdr:to>
        <xdr:sp macro="" textlink="">
          <xdr:nvSpPr>
            <xdr:cNvPr id="6192" name="Check Box 48" hidden="1">
              <a:extLst>
                <a:ext uri="{63B3BB69-23CF-44E3-9099-C40C66FF867C}">
                  <a14:compatExt spid="_x0000_s6192"/>
                </a:ext>
                <a:ext uri="{FF2B5EF4-FFF2-40B4-BE49-F238E27FC236}">
                  <a16:creationId xmlns:a16="http://schemas.microsoft.com/office/drawing/2014/main" id="{00000000-0008-0000-0D00-00003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144780</xdr:rowOff>
        </xdr:from>
        <xdr:to>
          <xdr:col>11</xdr:col>
          <xdr:colOff>1781175</xdr:colOff>
          <xdr:row>59</xdr:row>
          <xdr:rowOff>352425</xdr:rowOff>
        </xdr:to>
        <xdr:sp macro="" textlink="">
          <xdr:nvSpPr>
            <xdr:cNvPr id="6193" name="Check Box 49" hidden="1">
              <a:extLst>
                <a:ext uri="{63B3BB69-23CF-44E3-9099-C40C66FF867C}">
                  <a14:compatExt spid="_x0000_s6193"/>
                </a:ext>
                <a:ext uri="{FF2B5EF4-FFF2-40B4-BE49-F238E27FC236}">
                  <a16:creationId xmlns:a16="http://schemas.microsoft.com/office/drawing/2014/main" id="{00000000-0008-0000-0D00-00003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11</xdr:col>
          <xdr:colOff>1781175</xdr:colOff>
          <xdr:row>58</xdr:row>
          <xdr:rowOff>257175</xdr:rowOff>
        </xdr:to>
        <xdr:sp macro="" textlink="">
          <xdr:nvSpPr>
            <xdr:cNvPr id="6194" name="Check Box 50" hidden="1">
              <a:extLst>
                <a:ext uri="{63B3BB69-23CF-44E3-9099-C40C66FF867C}">
                  <a14:compatExt spid="_x0000_s6194"/>
                </a:ext>
                <a:ext uri="{FF2B5EF4-FFF2-40B4-BE49-F238E27FC236}">
                  <a16:creationId xmlns:a16="http://schemas.microsoft.com/office/drawing/2014/main" id="{00000000-0008-0000-0D00-00003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266700</xdr:rowOff>
        </xdr:from>
        <xdr:to>
          <xdr:col>11</xdr:col>
          <xdr:colOff>1781175</xdr:colOff>
          <xdr:row>61</xdr:row>
          <xdr:rowOff>104775</xdr:rowOff>
        </xdr:to>
        <xdr:sp macro="" textlink="">
          <xdr:nvSpPr>
            <xdr:cNvPr id="6195" name="Check Box 51" hidden="1">
              <a:extLst>
                <a:ext uri="{63B3BB69-23CF-44E3-9099-C40C66FF867C}">
                  <a14:compatExt spid="_x0000_s6195"/>
                </a:ext>
                <a:ext uri="{FF2B5EF4-FFF2-40B4-BE49-F238E27FC236}">
                  <a16:creationId xmlns:a16="http://schemas.microsoft.com/office/drawing/2014/main" id="{00000000-0008-0000-0D00-00003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144780</xdr:rowOff>
        </xdr:from>
        <xdr:to>
          <xdr:col>11</xdr:col>
          <xdr:colOff>1781175</xdr:colOff>
          <xdr:row>61</xdr:row>
          <xdr:rowOff>342900</xdr:rowOff>
        </xdr:to>
        <xdr:sp macro="" textlink="">
          <xdr:nvSpPr>
            <xdr:cNvPr id="6196" name="Check Box 52" hidden="1">
              <a:extLst>
                <a:ext uri="{63B3BB69-23CF-44E3-9099-C40C66FF867C}">
                  <a14:compatExt spid="_x0000_s6196"/>
                </a:ext>
                <a:ext uri="{FF2B5EF4-FFF2-40B4-BE49-F238E27FC236}">
                  <a16:creationId xmlns:a16="http://schemas.microsoft.com/office/drawing/2014/main" id="{00000000-0008-0000-0D00-00003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30480</xdr:rowOff>
        </xdr:from>
        <xdr:to>
          <xdr:col>11</xdr:col>
          <xdr:colOff>1781175</xdr:colOff>
          <xdr:row>60</xdr:row>
          <xdr:rowOff>257175</xdr:rowOff>
        </xdr:to>
        <xdr:sp macro="" textlink="">
          <xdr:nvSpPr>
            <xdr:cNvPr id="6197" name="Check Box 53" hidden="1">
              <a:extLst>
                <a:ext uri="{63B3BB69-23CF-44E3-9099-C40C66FF867C}">
                  <a14:compatExt spid="_x0000_s6197"/>
                </a:ext>
                <a:ext uri="{FF2B5EF4-FFF2-40B4-BE49-F238E27FC236}">
                  <a16:creationId xmlns:a16="http://schemas.microsoft.com/office/drawing/2014/main" id="{00000000-0008-0000-0D00-00003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266700</xdr:rowOff>
        </xdr:from>
        <xdr:to>
          <xdr:col>11</xdr:col>
          <xdr:colOff>1781175</xdr:colOff>
          <xdr:row>63</xdr:row>
          <xdr:rowOff>104775</xdr:rowOff>
        </xdr:to>
        <xdr:sp macro="" textlink="">
          <xdr:nvSpPr>
            <xdr:cNvPr id="6202" name="Check Box 58" hidden="1">
              <a:extLst>
                <a:ext uri="{63B3BB69-23CF-44E3-9099-C40C66FF867C}">
                  <a14:compatExt spid="_x0000_s6202"/>
                </a:ext>
                <a:ext uri="{FF2B5EF4-FFF2-40B4-BE49-F238E27FC236}">
                  <a16:creationId xmlns:a16="http://schemas.microsoft.com/office/drawing/2014/main" id="{00000000-0008-0000-0D00-00003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144780</xdr:rowOff>
        </xdr:from>
        <xdr:to>
          <xdr:col>11</xdr:col>
          <xdr:colOff>1781175</xdr:colOff>
          <xdr:row>63</xdr:row>
          <xdr:rowOff>342900</xdr:rowOff>
        </xdr:to>
        <xdr:sp macro="" textlink="">
          <xdr:nvSpPr>
            <xdr:cNvPr id="6203" name="Check Box 59" hidden="1">
              <a:extLst>
                <a:ext uri="{63B3BB69-23CF-44E3-9099-C40C66FF867C}">
                  <a14:compatExt spid="_x0000_s6203"/>
                </a:ext>
                <a:ext uri="{FF2B5EF4-FFF2-40B4-BE49-F238E27FC236}">
                  <a16:creationId xmlns:a16="http://schemas.microsoft.com/office/drawing/2014/main" id="{00000000-0008-0000-0D00-00003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11</xdr:col>
          <xdr:colOff>1781175</xdr:colOff>
          <xdr:row>62</xdr:row>
          <xdr:rowOff>257175</xdr:rowOff>
        </xdr:to>
        <xdr:sp macro="" textlink="">
          <xdr:nvSpPr>
            <xdr:cNvPr id="6204" name="Check Box 60" hidden="1">
              <a:extLst>
                <a:ext uri="{63B3BB69-23CF-44E3-9099-C40C66FF867C}">
                  <a14:compatExt spid="_x0000_s6204"/>
                </a:ext>
                <a:ext uri="{FF2B5EF4-FFF2-40B4-BE49-F238E27FC236}">
                  <a16:creationId xmlns:a16="http://schemas.microsoft.com/office/drawing/2014/main" id="{00000000-0008-0000-0D00-00003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266700</xdr:rowOff>
        </xdr:from>
        <xdr:to>
          <xdr:col>11</xdr:col>
          <xdr:colOff>1781175</xdr:colOff>
          <xdr:row>65</xdr:row>
          <xdr:rowOff>104775</xdr:rowOff>
        </xdr:to>
        <xdr:sp macro="" textlink="">
          <xdr:nvSpPr>
            <xdr:cNvPr id="6205" name="Check Box 61" hidden="1">
              <a:extLst>
                <a:ext uri="{63B3BB69-23CF-44E3-9099-C40C66FF867C}">
                  <a14:compatExt spid="_x0000_s6205"/>
                </a:ext>
                <a:ext uri="{FF2B5EF4-FFF2-40B4-BE49-F238E27FC236}">
                  <a16:creationId xmlns:a16="http://schemas.microsoft.com/office/drawing/2014/main" id="{00000000-0008-0000-0D00-00003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144780</xdr:rowOff>
        </xdr:from>
        <xdr:to>
          <xdr:col>11</xdr:col>
          <xdr:colOff>1781175</xdr:colOff>
          <xdr:row>65</xdr:row>
          <xdr:rowOff>342900</xdr:rowOff>
        </xdr:to>
        <xdr:sp macro="" textlink="">
          <xdr:nvSpPr>
            <xdr:cNvPr id="6206" name="Check Box 62" hidden="1">
              <a:extLst>
                <a:ext uri="{63B3BB69-23CF-44E3-9099-C40C66FF867C}">
                  <a14:compatExt spid="_x0000_s6206"/>
                </a:ext>
                <a:ext uri="{FF2B5EF4-FFF2-40B4-BE49-F238E27FC236}">
                  <a16:creationId xmlns:a16="http://schemas.microsoft.com/office/drawing/2014/main" id="{00000000-0008-0000-0D00-00003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11</xdr:col>
          <xdr:colOff>1781175</xdr:colOff>
          <xdr:row>64</xdr:row>
          <xdr:rowOff>257175</xdr:rowOff>
        </xdr:to>
        <xdr:sp macro="" textlink="">
          <xdr:nvSpPr>
            <xdr:cNvPr id="6207" name="Check Box 63" hidden="1">
              <a:extLst>
                <a:ext uri="{63B3BB69-23CF-44E3-9099-C40C66FF867C}">
                  <a14:compatExt spid="_x0000_s6207"/>
                </a:ext>
                <a:ext uri="{FF2B5EF4-FFF2-40B4-BE49-F238E27FC236}">
                  <a16:creationId xmlns:a16="http://schemas.microsoft.com/office/drawing/2014/main" id="{00000000-0008-0000-0D00-00003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266700</xdr:rowOff>
        </xdr:from>
        <xdr:to>
          <xdr:col>11</xdr:col>
          <xdr:colOff>1781175</xdr:colOff>
          <xdr:row>67</xdr:row>
          <xdr:rowOff>104775</xdr:rowOff>
        </xdr:to>
        <xdr:sp macro="" textlink="">
          <xdr:nvSpPr>
            <xdr:cNvPr id="6208" name="Check Box 64" hidden="1">
              <a:extLst>
                <a:ext uri="{63B3BB69-23CF-44E3-9099-C40C66FF867C}">
                  <a14:compatExt spid="_x0000_s6208"/>
                </a:ext>
                <a:ext uri="{FF2B5EF4-FFF2-40B4-BE49-F238E27FC236}">
                  <a16:creationId xmlns:a16="http://schemas.microsoft.com/office/drawing/2014/main" id="{00000000-0008-0000-0D00-00004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144780</xdr:rowOff>
        </xdr:from>
        <xdr:to>
          <xdr:col>11</xdr:col>
          <xdr:colOff>1781175</xdr:colOff>
          <xdr:row>67</xdr:row>
          <xdr:rowOff>342900</xdr:rowOff>
        </xdr:to>
        <xdr:sp macro="" textlink="">
          <xdr:nvSpPr>
            <xdr:cNvPr id="6209" name="Check Box 65" hidden="1">
              <a:extLst>
                <a:ext uri="{63B3BB69-23CF-44E3-9099-C40C66FF867C}">
                  <a14:compatExt spid="_x0000_s6209"/>
                </a:ext>
                <a:ext uri="{FF2B5EF4-FFF2-40B4-BE49-F238E27FC236}">
                  <a16:creationId xmlns:a16="http://schemas.microsoft.com/office/drawing/2014/main" id="{00000000-0008-0000-0D00-00004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11</xdr:col>
          <xdr:colOff>1781175</xdr:colOff>
          <xdr:row>66</xdr:row>
          <xdr:rowOff>257175</xdr:rowOff>
        </xdr:to>
        <xdr:sp macro="" textlink="">
          <xdr:nvSpPr>
            <xdr:cNvPr id="6210" name="Check Box 66" hidden="1">
              <a:extLst>
                <a:ext uri="{63B3BB69-23CF-44E3-9099-C40C66FF867C}">
                  <a14:compatExt spid="_x0000_s6210"/>
                </a:ext>
                <a:ext uri="{FF2B5EF4-FFF2-40B4-BE49-F238E27FC236}">
                  <a16:creationId xmlns:a16="http://schemas.microsoft.com/office/drawing/2014/main" id="{00000000-0008-0000-0D00-00004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266700</xdr:rowOff>
        </xdr:from>
        <xdr:to>
          <xdr:col>11</xdr:col>
          <xdr:colOff>1781175</xdr:colOff>
          <xdr:row>68</xdr:row>
          <xdr:rowOff>485775</xdr:rowOff>
        </xdr:to>
        <xdr:sp macro="" textlink="">
          <xdr:nvSpPr>
            <xdr:cNvPr id="6211" name="Check Box 67" hidden="1">
              <a:extLst>
                <a:ext uri="{63B3BB69-23CF-44E3-9099-C40C66FF867C}">
                  <a14:compatExt spid="_x0000_s6211"/>
                </a:ext>
                <a:ext uri="{FF2B5EF4-FFF2-40B4-BE49-F238E27FC236}">
                  <a16:creationId xmlns:a16="http://schemas.microsoft.com/office/drawing/2014/main" id="{00000000-0008-0000-0D00-00004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69</xdr:row>
          <xdr:rowOff>144780</xdr:rowOff>
        </xdr:from>
        <xdr:to>
          <xdr:col>11</xdr:col>
          <xdr:colOff>1781175</xdr:colOff>
          <xdr:row>69</xdr:row>
          <xdr:rowOff>342900</xdr:rowOff>
        </xdr:to>
        <xdr:sp macro="" textlink="">
          <xdr:nvSpPr>
            <xdr:cNvPr id="6212" name="Check Box 68" hidden="1">
              <a:extLst>
                <a:ext uri="{63B3BB69-23CF-44E3-9099-C40C66FF867C}">
                  <a14:compatExt spid="_x0000_s6212"/>
                </a:ext>
                <a:ext uri="{FF2B5EF4-FFF2-40B4-BE49-F238E27FC236}">
                  <a16:creationId xmlns:a16="http://schemas.microsoft.com/office/drawing/2014/main" id="{00000000-0008-0000-0D00-00004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30480</xdr:rowOff>
        </xdr:from>
        <xdr:to>
          <xdr:col>11</xdr:col>
          <xdr:colOff>1781175</xdr:colOff>
          <xdr:row>68</xdr:row>
          <xdr:rowOff>257175</xdr:rowOff>
        </xdr:to>
        <xdr:sp macro="" textlink="">
          <xdr:nvSpPr>
            <xdr:cNvPr id="6213" name="Check Box 69" hidden="1">
              <a:extLst>
                <a:ext uri="{63B3BB69-23CF-44E3-9099-C40C66FF867C}">
                  <a14:compatExt spid="_x0000_s6213"/>
                </a:ext>
                <a:ext uri="{FF2B5EF4-FFF2-40B4-BE49-F238E27FC236}">
                  <a16:creationId xmlns:a16="http://schemas.microsoft.com/office/drawing/2014/main" id="{00000000-0008-0000-0D00-00004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266700</xdr:rowOff>
        </xdr:from>
        <xdr:to>
          <xdr:col>11</xdr:col>
          <xdr:colOff>1781175</xdr:colOff>
          <xdr:row>71</xdr:row>
          <xdr:rowOff>104775</xdr:rowOff>
        </xdr:to>
        <xdr:sp macro="" textlink="">
          <xdr:nvSpPr>
            <xdr:cNvPr id="6214" name="Check Box 70" hidden="1">
              <a:extLst>
                <a:ext uri="{63B3BB69-23CF-44E3-9099-C40C66FF867C}">
                  <a14:compatExt spid="_x0000_s6214"/>
                </a:ext>
                <a:ext uri="{FF2B5EF4-FFF2-40B4-BE49-F238E27FC236}">
                  <a16:creationId xmlns:a16="http://schemas.microsoft.com/office/drawing/2014/main" id="{00000000-0008-0000-0D00-00004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144780</xdr:rowOff>
        </xdr:from>
        <xdr:to>
          <xdr:col>11</xdr:col>
          <xdr:colOff>1781175</xdr:colOff>
          <xdr:row>71</xdr:row>
          <xdr:rowOff>342900</xdr:rowOff>
        </xdr:to>
        <xdr:sp macro="" textlink="">
          <xdr:nvSpPr>
            <xdr:cNvPr id="6215" name="Check Box 71" hidden="1">
              <a:extLst>
                <a:ext uri="{63B3BB69-23CF-44E3-9099-C40C66FF867C}">
                  <a14:compatExt spid="_x0000_s6215"/>
                </a:ext>
                <a:ext uri="{FF2B5EF4-FFF2-40B4-BE49-F238E27FC236}">
                  <a16:creationId xmlns:a16="http://schemas.microsoft.com/office/drawing/2014/main" id="{00000000-0008-0000-0D00-00004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30480</xdr:rowOff>
        </xdr:from>
        <xdr:to>
          <xdr:col>11</xdr:col>
          <xdr:colOff>1781175</xdr:colOff>
          <xdr:row>70</xdr:row>
          <xdr:rowOff>257175</xdr:rowOff>
        </xdr:to>
        <xdr:sp macro="" textlink="">
          <xdr:nvSpPr>
            <xdr:cNvPr id="6216" name="Check Box 72" hidden="1">
              <a:extLst>
                <a:ext uri="{63B3BB69-23CF-44E3-9099-C40C66FF867C}">
                  <a14:compatExt spid="_x0000_s6216"/>
                </a:ext>
                <a:ext uri="{FF2B5EF4-FFF2-40B4-BE49-F238E27FC236}">
                  <a16:creationId xmlns:a16="http://schemas.microsoft.com/office/drawing/2014/main" id="{00000000-0008-0000-0D00-00004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266700</xdr:rowOff>
        </xdr:from>
        <xdr:to>
          <xdr:col>11</xdr:col>
          <xdr:colOff>1781175</xdr:colOff>
          <xdr:row>73</xdr:row>
          <xdr:rowOff>104775</xdr:rowOff>
        </xdr:to>
        <xdr:sp macro="" textlink="">
          <xdr:nvSpPr>
            <xdr:cNvPr id="6217" name="Check Box 73" hidden="1">
              <a:extLst>
                <a:ext uri="{63B3BB69-23CF-44E3-9099-C40C66FF867C}">
                  <a14:compatExt spid="_x0000_s6217"/>
                </a:ext>
                <a:ext uri="{FF2B5EF4-FFF2-40B4-BE49-F238E27FC236}">
                  <a16:creationId xmlns:a16="http://schemas.microsoft.com/office/drawing/2014/main" id="{00000000-0008-0000-0D00-00004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144780</xdr:rowOff>
        </xdr:from>
        <xdr:to>
          <xdr:col>11</xdr:col>
          <xdr:colOff>1781175</xdr:colOff>
          <xdr:row>73</xdr:row>
          <xdr:rowOff>342900</xdr:rowOff>
        </xdr:to>
        <xdr:sp macro="" textlink="">
          <xdr:nvSpPr>
            <xdr:cNvPr id="6218" name="Check Box 74" hidden="1">
              <a:extLst>
                <a:ext uri="{63B3BB69-23CF-44E3-9099-C40C66FF867C}">
                  <a14:compatExt spid="_x0000_s6218"/>
                </a:ext>
                <a:ext uri="{FF2B5EF4-FFF2-40B4-BE49-F238E27FC236}">
                  <a16:creationId xmlns:a16="http://schemas.microsoft.com/office/drawing/2014/main" id="{00000000-0008-0000-0D00-00004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11</xdr:col>
          <xdr:colOff>1781175</xdr:colOff>
          <xdr:row>72</xdr:row>
          <xdr:rowOff>257175</xdr:rowOff>
        </xdr:to>
        <xdr:sp macro="" textlink="">
          <xdr:nvSpPr>
            <xdr:cNvPr id="6219" name="Check Box 75" hidden="1">
              <a:extLst>
                <a:ext uri="{63B3BB69-23CF-44E3-9099-C40C66FF867C}">
                  <a14:compatExt spid="_x0000_s6219"/>
                </a:ext>
                <a:ext uri="{FF2B5EF4-FFF2-40B4-BE49-F238E27FC236}">
                  <a16:creationId xmlns:a16="http://schemas.microsoft.com/office/drawing/2014/main" id="{00000000-0008-0000-0D00-00004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266700</xdr:rowOff>
        </xdr:from>
        <xdr:to>
          <xdr:col>11</xdr:col>
          <xdr:colOff>1781175</xdr:colOff>
          <xdr:row>77</xdr:row>
          <xdr:rowOff>104775</xdr:rowOff>
        </xdr:to>
        <xdr:sp macro="" textlink="">
          <xdr:nvSpPr>
            <xdr:cNvPr id="6224" name="Check Box 80" hidden="1">
              <a:extLst>
                <a:ext uri="{63B3BB69-23CF-44E3-9099-C40C66FF867C}">
                  <a14:compatExt spid="_x0000_s6224"/>
                </a:ext>
                <a:ext uri="{FF2B5EF4-FFF2-40B4-BE49-F238E27FC236}">
                  <a16:creationId xmlns:a16="http://schemas.microsoft.com/office/drawing/2014/main" id="{00000000-0008-0000-0D00-00005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266700</xdr:rowOff>
        </xdr:from>
        <xdr:to>
          <xdr:col>11</xdr:col>
          <xdr:colOff>1781175</xdr:colOff>
          <xdr:row>79</xdr:row>
          <xdr:rowOff>104775</xdr:rowOff>
        </xdr:to>
        <xdr:sp macro="" textlink="">
          <xdr:nvSpPr>
            <xdr:cNvPr id="6226" name="Check Box 82" hidden="1">
              <a:extLst>
                <a:ext uri="{63B3BB69-23CF-44E3-9099-C40C66FF867C}">
                  <a14:compatExt spid="_x0000_s6226"/>
                </a:ext>
                <a:ext uri="{FF2B5EF4-FFF2-40B4-BE49-F238E27FC236}">
                  <a16:creationId xmlns:a16="http://schemas.microsoft.com/office/drawing/2014/main" id="{00000000-0008-0000-0D00-00005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144780</xdr:rowOff>
        </xdr:from>
        <xdr:to>
          <xdr:col>11</xdr:col>
          <xdr:colOff>1781175</xdr:colOff>
          <xdr:row>79</xdr:row>
          <xdr:rowOff>342900</xdr:rowOff>
        </xdr:to>
        <xdr:sp macro="" textlink="">
          <xdr:nvSpPr>
            <xdr:cNvPr id="6227" name="Check Box 83" hidden="1">
              <a:extLst>
                <a:ext uri="{63B3BB69-23CF-44E3-9099-C40C66FF867C}">
                  <a14:compatExt spid="_x0000_s6227"/>
                </a:ext>
                <a:ext uri="{FF2B5EF4-FFF2-40B4-BE49-F238E27FC236}">
                  <a16:creationId xmlns:a16="http://schemas.microsoft.com/office/drawing/2014/main" id="{00000000-0008-0000-0D00-00005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11</xdr:col>
          <xdr:colOff>1781175</xdr:colOff>
          <xdr:row>78</xdr:row>
          <xdr:rowOff>257175</xdr:rowOff>
        </xdr:to>
        <xdr:sp macro="" textlink="">
          <xdr:nvSpPr>
            <xdr:cNvPr id="6228" name="Check Box 84" hidden="1">
              <a:extLst>
                <a:ext uri="{63B3BB69-23CF-44E3-9099-C40C66FF867C}">
                  <a14:compatExt spid="_x0000_s6228"/>
                </a:ext>
                <a:ext uri="{FF2B5EF4-FFF2-40B4-BE49-F238E27FC236}">
                  <a16:creationId xmlns:a16="http://schemas.microsoft.com/office/drawing/2014/main" id="{00000000-0008-0000-0D00-00005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266700</xdr:rowOff>
        </xdr:from>
        <xdr:to>
          <xdr:col>11</xdr:col>
          <xdr:colOff>1781175</xdr:colOff>
          <xdr:row>81</xdr:row>
          <xdr:rowOff>104775</xdr:rowOff>
        </xdr:to>
        <xdr:sp macro="" textlink="">
          <xdr:nvSpPr>
            <xdr:cNvPr id="6229" name="Check Box 85" hidden="1">
              <a:extLst>
                <a:ext uri="{63B3BB69-23CF-44E3-9099-C40C66FF867C}">
                  <a14:compatExt spid="_x0000_s6229"/>
                </a:ext>
                <a:ext uri="{FF2B5EF4-FFF2-40B4-BE49-F238E27FC236}">
                  <a16:creationId xmlns:a16="http://schemas.microsoft.com/office/drawing/2014/main" id="{00000000-0008-0000-0D00-00005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144780</xdr:rowOff>
        </xdr:from>
        <xdr:to>
          <xdr:col>11</xdr:col>
          <xdr:colOff>1781175</xdr:colOff>
          <xdr:row>81</xdr:row>
          <xdr:rowOff>342900</xdr:rowOff>
        </xdr:to>
        <xdr:sp macro="" textlink="">
          <xdr:nvSpPr>
            <xdr:cNvPr id="6230" name="Check Box 86" hidden="1">
              <a:extLst>
                <a:ext uri="{63B3BB69-23CF-44E3-9099-C40C66FF867C}">
                  <a14:compatExt spid="_x0000_s6230"/>
                </a:ext>
                <a:ext uri="{FF2B5EF4-FFF2-40B4-BE49-F238E27FC236}">
                  <a16:creationId xmlns:a16="http://schemas.microsoft.com/office/drawing/2014/main" id="{00000000-0008-0000-0D00-00005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11</xdr:col>
          <xdr:colOff>1781175</xdr:colOff>
          <xdr:row>80</xdr:row>
          <xdr:rowOff>276225</xdr:rowOff>
        </xdr:to>
        <xdr:sp macro="" textlink="">
          <xdr:nvSpPr>
            <xdr:cNvPr id="6231" name="Check Box 87" hidden="1">
              <a:extLst>
                <a:ext uri="{63B3BB69-23CF-44E3-9099-C40C66FF867C}">
                  <a14:compatExt spid="_x0000_s6231"/>
                </a:ext>
                <a:ext uri="{FF2B5EF4-FFF2-40B4-BE49-F238E27FC236}">
                  <a16:creationId xmlns:a16="http://schemas.microsoft.com/office/drawing/2014/main" id="{00000000-0008-0000-0D00-00005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266700</xdr:rowOff>
        </xdr:from>
        <xdr:to>
          <xdr:col>11</xdr:col>
          <xdr:colOff>1781175</xdr:colOff>
          <xdr:row>85</xdr:row>
          <xdr:rowOff>47625</xdr:rowOff>
        </xdr:to>
        <xdr:sp macro="" textlink="">
          <xdr:nvSpPr>
            <xdr:cNvPr id="6232" name="Check Box 88" hidden="1">
              <a:extLst>
                <a:ext uri="{63B3BB69-23CF-44E3-9099-C40C66FF867C}">
                  <a14:compatExt spid="_x0000_s6232"/>
                </a:ext>
                <a:ext uri="{FF2B5EF4-FFF2-40B4-BE49-F238E27FC236}">
                  <a16:creationId xmlns:a16="http://schemas.microsoft.com/office/drawing/2014/main" id="{00000000-0008-0000-0D00-00005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266700</xdr:rowOff>
        </xdr:from>
        <xdr:to>
          <xdr:col>11</xdr:col>
          <xdr:colOff>1781175</xdr:colOff>
          <xdr:row>85</xdr:row>
          <xdr:rowOff>104775</xdr:rowOff>
        </xdr:to>
        <xdr:sp macro="" textlink="">
          <xdr:nvSpPr>
            <xdr:cNvPr id="6235" name="Check Box 91" hidden="1">
              <a:extLst>
                <a:ext uri="{63B3BB69-23CF-44E3-9099-C40C66FF867C}">
                  <a14:compatExt spid="_x0000_s6235"/>
                </a:ext>
                <a:ext uri="{FF2B5EF4-FFF2-40B4-BE49-F238E27FC236}">
                  <a16:creationId xmlns:a16="http://schemas.microsoft.com/office/drawing/2014/main" id="{00000000-0008-0000-0D00-00005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144780</xdr:rowOff>
        </xdr:from>
        <xdr:to>
          <xdr:col>11</xdr:col>
          <xdr:colOff>1781175</xdr:colOff>
          <xdr:row>85</xdr:row>
          <xdr:rowOff>342900</xdr:rowOff>
        </xdr:to>
        <xdr:sp macro="" textlink="">
          <xdr:nvSpPr>
            <xdr:cNvPr id="6236" name="Check Box 92" hidden="1">
              <a:extLst>
                <a:ext uri="{63B3BB69-23CF-44E3-9099-C40C66FF867C}">
                  <a14:compatExt spid="_x0000_s6236"/>
                </a:ext>
                <a:ext uri="{FF2B5EF4-FFF2-40B4-BE49-F238E27FC236}">
                  <a16:creationId xmlns:a16="http://schemas.microsoft.com/office/drawing/2014/main" id="{00000000-0008-0000-0D00-00005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266700</xdr:rowOff>
        </xdr:from>
        <xdr:to>
          <xdr:col>11</xdr:col>
          <xdr:colOff>1781175</xdr:colOff>
          <xdr:row>87</xdr:row>
          <xdr:rowOff>104775</xdr:rowOff>
        </xdr:to>
        <xdr:sp macro="" textlink="">
          <xdr:nvSpPr>
            <xdr:cNvPr id="6238" name="Check Box 94" hidden="1">
              <a:extLst>
                <a:ext uri="{63B3BB69-23CF-44E3-9099-C40C66FF867C}">
                  <a14:compatExt spid="_x0000_s6238"/>
                </a:ext>
                <a:ext uri="{FF2B5EF4-FFF2-40B4-BE49-F238E27FC236}">
                  <a16:creationId xmlns:a16="http://schemas.microsoft.com/office/drawing/2014/main" id="{00000000-0008-0000-0D00-00005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144780</xdr:rowOff>
        </xdr:from>
        <xdr:to>
          <xdr:col>11</xdr:col>
          <xdr:colOff>1781175</xdr:colOff>
          <xdr:row>87</xdr:row>
          <xdr:rowOff>342900</xdr:rowOff>
        </xdr:to>
        <xdr:sp macro="" textlink="">
          <xdr:nvSpPr>
            <xdr:cNvPr id="6239" name="Check Box 95" hidden="1">
              <a:extLst>
                <a:ext uri="{63B3BB69-23CF-44E3-9099-C40C66FF867C}">
                  <a14:compatExt spid="_x0000_s6239"/>
                </a:ext>
                <a:ext uri="{FF2B5EF4-FFF2-40B4-BE49-F238E27FC236}">
                  <a16:creationId xmlns:a16="http://schemas.microsoft.com/office/drawing/2014/main" id="{00000000-0008-0000-0D00-00005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30480</xdr:rowOff>
        </xdr:from>
        <xdr:to>
          <xdr:col>11</xdr:col>
          <xdr:colOff>1781175</xdr:colOff>
          <xdr:row>86</xdr:row>
          <xdr:rowOff>276225</xdr:rowOff>
        </xdr:to>
        <xdr:sp macro="" textlink="">
          <xdr:nvSpPr>
            <xdr:cNvPr id="6240" name="Check Box 96" hidden="1">
              <a:extLst>
                <a:ext uri="{63B3BB69-23CF-44E3-9099-C40C66FF867C}">
                  <a14:compatExt spid="_x0000_s6240"/>
                </a:ext>
                <a:ext uri="{FF2B5EF4-FFF2-40B4-BE49-F238E27FC236}">
                  <a16:creationId xmlns:a16="http://schemas.microsoft.com/office/drawing/2014/main" id="{00000000-0008-0000-0D00-00006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266700</xdr:rowOff>
        </xdr:from>
        <xdr:to>
          <xdr:col>11</xdr:col>
          <xdr:colOff>1781175</xdr:colOff>
          <xdr:row>89</xdr:row>
          <xdr:rowOff>104775</xdr:rowOff>
        </xdr:to>
        <xdr:sp macro="" textlink="">
          <xdr:nvSpPr>
            <xdr:cNvPr id="6241" name="Check Box 97" hidden="1">
              <a:extLst>
                <a:ext uri="{63B3BB69-23CF-44E3-9099-C40C66FF867C}">
                  <a14:compatExt spid="_x0000_s6241"/>
                </a:ext>
                <a:ext uri="{FF2B5EF4-FFF2-40B4-BE49-F238E27FC236}">
                  <a16:creationId xmlns:a16="http://schemas.microsoft.com/office/drawing/2014/main" id="{00000000-0008-0000-0D00-00006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89</xdr:row>
          <xdr:rowOff>144780</xdr:rowOff>
        </xdr:from>
        <xdr:to>
          <xdr:col>11</xdr:col>
          <xdr:colOff>1781175</xdr:colOff>
          <xdr:row>89</xdr:row>
          <xdr:rowOff>342900</xdr:rowOff>
        </xdr:to>
        <xdr:sp macro="" textlink="">
          <xdr:nvSpPr>
            <xdr:cNvPr id="6242" name="Check Box 98" hidden="1">
              <a:extLst>
                <a:ext uri="{63B3BB69-23CF-44E3-9099-C40C66FF867C}">
                  <a14:compatExt spid="_x0000_s6242"/>
                </a:ext>
                <a:ext uri="{FF2B5EF4-FFF2-40B4-BE49-F238E27FC236}">
                  <a16:creationId xmlns:a16="http://schemas.microsoft.com/office/drawing/2014/main" id="{00000000-0008-0000-0D00-00006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30480</xdr:rowOff>
        </xdr:from>
        <xdr:to>
          <xdr:col>11</xdr:col>
          <xdr:colOff>1781175</xdr:colOff>
          <xdr:row>88</xdr:row>
          <xdr:rowOff>276225</xdr:rowOff>
        </xdr:to>
        <xdr:sp macro="" textlink="">
          <xdr:nvSpPr>
            <xdr:cNvPr id="6243" name="Check Box 99" hidden="1">
              <a:extLst>
                <a:ext uri="{63B3BB69-23CF-44E3-9099-C40C66FF867C}">
                  <a14:compatExt spid="_x0000_s6243"/>
                </a:ext>
                <a:ext uri="{FF2B5EF4-FFF2-40B4-BE49-F238E27FC236}">
                  <a16:creationId xmlns:a16="http://schemas.microsoft.com/office/drawing/2014/main" id="{00000000-0008-0000-0D00-00006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266700</xdr:rowOff>
        </xdr:from>
        <xdr:to>
          <xdr:col>11</xdr:col>
          <xdr:colOff>1781175</xdr:colOff>
          <xdr:row>91</xdr:row>
          <xdr:rowOff>104775</xdr:rowOff>
        </xdr:to>
        <xdr:sp macro="" textlink="">
          <xdr:nvSpPr>
            <xdr:cNvPr id="6244" name="Check Box 100" hidden="1">
              <a:extLst>
                <a:ext uri="{63B3BB69-23CF-44E3-9099-C40C66FF867C}">
                  <a14:compatExt spid="_x0000_s6244"/>
                </a:ext>
                <a:ext uri="{FF2B5EF4-FFF2-40B4-BE49-F238E27FC236}">
                  <a16:creationId xmlns:a16="http://schemas.microsoft.com/office/drawing/2014/main" id="{00000000-0008-0000-0D00-00006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144780</xdr:rowOff>
        </xdr:from>
        <xdr:to>
          <xdr:col>11</xdr:col>
          <xdr:colOff>1781175</xdr:colOff>
          <xdr:row>91</xdr:row>
          <xdr:rowOff>342900</xdr:rowOff>
        </xdr:to>
        <xdr:sp macro="" textlink="">
          <xdr:nvSpPr>
            <xdr:cNvPr id="6245" name="Check Box 101" hidden="1">
              <a:extLst>
                <a:ext uri="{63B3BB69-23CF-44E3-9099-C40C66FF867C}">
                  <a14:compatExt spid="_x0000_s6245"/>
                </a:ext>
                <a:ext uri="{FF2B5EF4-FFF2-40B4-BE49-F238E27FC236}">
                  <a16:creationId xmlns:a16="http://schemas.microsoft.com/office/drawing/2014/main" id="{00000000-0008-0000-0D00-00006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30480</xdr:rowOff>
        </xdr:from>
        <xdr:to>
          <xdr:col>11</xdr:col>
          <xdr:colOff>1781175</xdr:colOff>
          <xdr:row>90</xdr:row>
          <xdr:rowOff>276225</xdr:rowOff>
        </xdr:to>
        <xdr:sp macro="" textlink="">
          <xdr:nvSpPr>
            <xdr:cNvPr id="6246" name="Check Box 102" hidden="1">
              <a:extLst>
                <a:ext uri="{63B3BB69-23CF-44E3-9099-C40C66FF867C}">
                  <a14:compatExt spid="_x0000_s6246"/>
                </a:ext>
                <a:ext uri="{FF2B5EF4-FFF2-40B4-BE49-F238E27FC236}">
                  <a16:creationId xmlns:a16="http://schemas.microsoft.com/office/drawing/2014/main" id="{00000000-0008-0000-0D00-00006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266700</xdr:rowOff>
        </xdr:from>
        <xdr:to>
          <xdr:col>11</xdr:col>
          <xdr:colOff>1781175</xdr:colOff>
          <xdr:row>93</xdr:row>
          <xdr:rowOff>104775</xdr:rowOff>
        </xdr:to>
        <xdr:sp macro="" textlink="">
          <xdr:nvSpPr>
            <xdr:cNvPr id="6247" name="Check Box 103" hidden="1">
              <a:extLst>
                <a:ext uri="{63B3BB69-23CF-44E3-9099-C40C66FF867C}">
                  <a14:compatExt spid="_x0000_s6247"/>
                </a:ext>
                <a:ext uri="{FF2B5EF4-FFF2-40B4-BE49-F238E27FC236}">
                  <a16:creationId xmlns:a16="http://schemas.microsoft.com/office/drawing/2014/main" id="{00000000-0008-0000-0D00-00006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144780</xdr:rowOff>
        </xdr:from>
        <xdr:to>
          <xdr:col>11</xdr:col>
          <xdr:colOff>1781175</xdr:colOff>
          <xdr:row>93</xdr:row>
          <xdr:rowOff>342900</xdr:rowOff>
        </xdr:to>
        <xdr:sp macro="" textlink="">
          <xdr:nvSpPr>
            <xdr:cNvPr id="6248" name="Check Box 104" hidden="1">
              <a:extLst>
                <a:ext uri="{63B3BB69-23CF-44E3-9099-C40C66FF867C}">
                  <a14:compatExt spid="_x0000_s6248"/>
                </a:ext>
                <a:ext uri="{FF2B5EF4-FFF2-40B4-BE49-F238E27FC236}">
                  <a16:creationId xmlns:a16="http://schemas.microsoft.com/office/drawing/2014/main" id="{00000000-0008-0000-0D00-00006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30480</xdr:rowOff>
        </xdr:from>
        <xdr:to>
          <xdr:col>11</xdr:col>
          <xdr:colOff>1781175</xdr:colOff>
          <xdr:row>92</xdr:row>
          <xdr:rowOff>276225</xdr:rowOff>
        </xdr:to>
        <xdr:sp macro="" textlink="">
          <xdr:nvSpPr>
            <xdr:cNvPr id="6249" name="Check Box 105" hidden="1">
              <a:extLst>
                <a:ext uri="{63B3BB69-23CF-44E3-9099-C40C66FF867C}">
                  <a14:compatExt spid="_x0000_s6249"/>
                </a:ext>
                <a:ext uri="{FF2B5EF4-FFF2-40B4-BE49-F238E27FC236}">
                  <a16:creationId xmlns:a16="http://schemas.microsoft.com/office/drawing/2014/main" id="{00000000-0008-0000-0D00-00006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266700</xdr:rowOff>
        </xdr:from>
        <xdr:to>
          <xdr:col>11</xdr:col>
          <xdr:colOff>1781175</xdr:colOff>
          <xdr:row>95</xdr:row>
          <xdr:rowOff>104775</xdr:rowOff>
        </xdr:to>
        <xdr:sp macro="" textlink="">
          <xdr:nvSpPr>
            <xdr:cNvPr id="6250" name="Check Box 106" hidden="1">
              <a:extLst>
                <a:ext uri="{63B3BB69-23CF-44E3-9099-C40C66FF867C}">
                  <a14:compatExt spid="_x0000_s6250"/>
                </a:ext>
                <a:ext uri="{FF2B5EF4-FFF2-40B4-BE49-F238E27FC236}">
                  <a16:creationId xmlns:a16="http://schemas.microsoft.com/office/drawing/2014/main" id="{00000000-0008-0000-0D00-00006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144780</xdr:rowOff>
        </xdr:from>
        <xdr:to>
          <xdr:col>11</xdr:col>
          <xdr:colOff>1781175</xdr:colOff>
          <xdr:row>95</xdr:row>
          <xdr:rowOff>342900</xdr:rowOff>
        </xdr:to>
        <xdr:sp macro="" textlink="">
          <xdr:nvSpPr>
            <xdr:cNvPr id="6251" name="Check Box 107" hidden="1">
              <a:extLst>
                <a:ext uri="{63B3BB69-23CF-44E3-9099-C40C66FF867C}">
                  <a14:compatExt spid="_x0000_s6251"/>
                </a:ext>
                <a:ext uri="{FF2B5EF4-FFF2-40B4-BE49-F238E27FC236}">
                  <a16:creationId xmlns:a16="http://schemas.microsoft.com/office/drawing/2014/main" id="{00000000-0008-0000-0D00-00006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11</xdr:col>
          <xdr:colOff>1781175</xdr:colOff>
          <xdr:row>94</xdr:row>
          <xdr:rowOff>276225</xdr:rowOff>
        </xdr:to>
        <xdr:sp macro="" textlink="">
          <xdr:nvSpPr>
            <xdr:cNvPr id="6252" name="Check Box 108" hidden="1">
              <a:extLst>
                <a:ext uri="{63B3BB69-23CF-44E3-9099-C40C66FF867C}">
                  <a14:compatExt spid="_x0000_s6252"/>
                </a:ext>
                <a:ext uri="{FF2B5EF4-FFF2-40B4-BE49-F238E27FC236}">
                  <a16:creationId xmlns:a16="http://schemas.microsoft.com/office/drawing/2014/main" id="{00000000-0008-0000-0D00-00006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266700</xdr:rowOff>
        </xdr:from>
        <xdr:to>
          <xdr:col>11</xdr:col>
          <xdr:colOff>1781175</xdr:colOff>
          <xdr:row>97</xdr:row>
          <xdr:rowOff>104775</xdr:rowOff>
        </xdr:to>
        <xdr:sp macro="" textlink="">
          <xdr:nvSpPr>
            <xdr:cNvPr id="6253" name="Check Box 109" hidden="1">
              <a:extLst>
                <a:ext uri="{63B3BB69-23CF-44E3-9099-C40C66FF867C}">
                  <a14:compatExt spid="_x0000_s6253"/>
                </a:ext>
                <a:ext uri="{FF2B5EF4-FFF2-40B4-BE49-F238E27FC236}">
                  <a16:creationId xmlns:a16="http://schemas.microsoft.com/office/drawing/2014/main" id="{00000000-0008-0000-0D00-00006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144780</xdr:rowOff>
        </xdr:from>
        <xdr:to>
          <xdr:col>11</xdr:col>
          <xdr:colOff>1781175</xdr:colOff>
          <xdr:row>97</xdr:row>
          <xdr:rowOff>342900</xdr:rowOff>
        </xdr:to>
        <xdr:sp macro="" textlink="">
          <xdr:nvSpPr>
            <xdr:cNvPr id="6254" name="Check Box 110" hidden="1">
              <a:extLst>
                <a:ext uri="{63B3BB69-23CF-44E3-9099-C40C66FF867C}">
                  <a14:compatExt spid="_x0000_s6254"/>
                </a:ext>
                <a:ext uri="{FF2B5EF4-FFF2-40B4-BE49-F238E27FC236}">
                  <a16:creationId xmlns:a16="http://schemas.microsoft.com/office/drawing/2014/main" id="{00000000-0008-0000-0D00-00006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11</xdr:col>
          <xdr:colOff>1781175</xdr:colOff>
          <xdr:row>96</xdr:row>
          <xdr:rowOff>276225</xdr:rowOff>
        </xdr:to>
        <xdr:sp macro="" textlink="">
          <xdr:nvSpPr>
            <xdr:cNvPr id="6255" name="Check Box 111" hidden="1">
              <a:extLst>
                <a:ext uri="{63B3BB69-23CF-44E3-9099-C40C66FF867C}">
                  <a14:compatExt spid="_x0000_s6255"/>
                </a:ext>
                <a:ext uri="{FF2B5EF4-FFF2-40B4-BE49-F238E27FC236}">
                  <a16:creationId xmlns:a16="http://schemas.microsoft.com/office/drawing/2014/main" id="{00000000-0008-0000-0D00-00006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266700</xdr:rowOff>
        </xdr:from>
        <xdr:to>
          <xdr:col>11</xdr:col>
          <xdr:colOff>1781175</xdr:colOff>
          <xdr:row>99</xdr:row>
          <xdr:rowOff>104775</xdr:rowOff>
        </xdr:to>
        <xdr:sp macro="" textlink="">
          <xdr:nvSpPr>
            <xdr:cNvPr id="6256" name="Check Box 112" hidden="1">
              <a:extLst>
                <a:ext uri="{63B3BB69-23CF-44E3-9099-C40C66FF867C}">
                  <a14:compatExt spid="_x0000_s6256"/>
                </a:ext>
                <a:ext uri="{FF2B5EF4-FFF2-40B4-BE49-F238E27FC236}">
                  <a16:creationId xmlns:a16="http://schemas.microsoft.com/office/drawing/2014/main" id="{00000000-0008-0000-0D00-00007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144780</xdr:rowOff>
        </xdr:from>
        <xdr:to>
          <xdr:col>11</xdr:col>
          <xdr:colOff>1781175</xdr:colOff>
          <xdr:row>99</xdr:row>
          <xdr:rowOff>342900</xdr:rowOff>
        </xdr:to>
        <xdr:sp macro="" textlink="">
          <xdr:nvSpPr>
            <xdr:cNvPr id="6257" name="Check Box 113" hidden="1">
              <a:extLst>
                <a:ext uri="{63B3BB69-23CF-44E3-9099-C40C66FF867C}">
                  <a14:compatExt spid="_x0000_s6257"/>
                </a:ext>
                <a:ext uri="{FF2B5EF4-FFF2-40B4-BE49-F238E27FC236}">
                  <a16:creationId xmlns:a16="http://schemas.microsoft.com/office/drawing/2014/main" id="{00000000-0008-0000-0D00-00007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30480</xdr:rowOff>
        </xdr:from>
        <xdr:to>
          <xdr:col>11</xdr:col>
          <xdr:colOff>1781175</xdr:colOff>
          <xdr:row>98</xdr:row>
          <xdr:rowOff>276225</xdr:rowOff>
        </xdr:to>
        <xdr:sp macro="" textlink="">
          <xdr:nvSpPr>
            <xdr:cNvPr id="6258" name="Check Box 114" hidden="1">
              <a:extLst>
                <a:ext uri="{63B3BB69-23CF-44E3-9099-C40C66FF867C}">
                  <a14:compatExt spid="_x0000_s6258"/>
                </a:ext>
                <a:ext uri="{FF2B5EF4-FFF2-40B4-BE49-F238E27FC236}">
                  <a16:creationId xmlns:a16="http://schemas.microsoft.com/office/drawing/2014/main" id="{00000000-0008-0000-0D00-00007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266700</xdr:rowOff>
        </xdr:from>
        <xdr:to>
          <xdr:col>11</xdr:col>
          <xdr:colOff>1781175</xdr:colOff>
          <xdr:row>101</xdr:row>
          <xdr:rowOff>104775</xdr:rowOff>
        </xdr:to>
        <xdr:sp macro="" textlink="">
          <xdr:nvSpPr>
            <xdr:cNvPr id="6259" name="Check Box 115" hidden="1">
              <a:extLst>
                <a:ext uri="{63B3BB69-23CF-44E3-9099-C40C66FF867C}">
                  <a14:compatExt spid="_x0000_s6259"/>
                </a:ext>
                <a:ext uri="{FF2B5EF4-FFF2-40B4-BE49-F238E27FC236}">
                  <a16:creationId xmlns:a16="http://schemas.microsoft.com/office/drawing/2014/main" id="{00000000-0008-0000-0D00-00007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144780</xdr:rowOff>
        </xdr:from>
        <xdr:to>
          <xdr:col>11</xdr:col>
          <xdr:colOff>1781175</xdr:colOff>
          <xdr:row>101</xdr:row>
          <xdr:rowOff>342900</xdr:rowOff>
        </xdr:to>
        <xdr:sp macro="" textlink="">
          <xdr:nvSpPr>
            <xdr:cNvPr id="6260" name="Check Box 116" hidden="1">
              <a:extLst>
                <a:ext uri="{63B3BB69-23CF-44E3-9099-C40C66FF867C}">
                  <a14:compatExt spid="_x0000_s6260"/>
                </a:ext>
                <a:ext uri="{FF2B5EF4-FFF2-40B4-BE49-F238E27FC236}">
                  <a16:creationId xmlns:a16="http://schemas.microsoft.com/office/drawing/2014/main" id="{00000000-0008-0000-0D00-00007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30480</xdr:rowOff>
        </xdr:from>
        <xdr:to>
          <xdr:col>11</xdr:col>
          <xdr:colOff>1781175</xdr:colOff>
          <xdr:row>100</xdr:row>
          <xdr:rowOff>276225</xdr:rowOff>
        </xdr:to>
        <xdr:sp macro="" textlink="">
          <xdr:nvSpPr>
            <xdr:cNvPr id="6261" name="Check Box 117" hidden="1">
              <a:extLst>
                <a:ext uri="{63B3BB69-23CF-44E3-9099-C40C66FF867C}">
                  <a14:compatExt spid="_x0000_s6261"/>
                </a:ext>
                <a:ext uri="{FF2B5EF4-FFF2-40B4-BE49-F238E27FC236}">
                  <a16:creationId xmlns:a16="http://schemas.microsoft.com/office/drawing/2014/main" id="{00000000-0008-0000-0D00-00007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5</xdr:col>
      <xdr:colOff>22316</xdr:colOff>
      <xdr:row>12</xdr:row>
      <xdr:rowOff>81643</xdr:rowOff>
    </xdr:from>
    <xdr:to>
      <xdr:col>7</xdr:col>
      <xdr:colOff>15512</xdr:colOff>
      <xdr:row>25</xdr:row>
      <xdr:rowOff>130357</xdr:rowOff>
    </xdr:to>
    <xdr:graphicFrame macro="">
      <xdr:nvGraphicFramePr>
        <xdr:cNvPr id="18" name="Gráfico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17318</xdr:colOff>
      <xdr:row>133</xdr:row>
      <xdr:rowOff>86591</xdr:rowOff>
    </xdr:from>
    <xdr:to>
      <xdr:col>6</xdr:col>
      <xdr:colOff>19927</xdr:colOff>
      <xdr:row>153</xdr:row>
      <xdr:rowOff>8260</xdr:rowOff>
    </xdr:to>
    <xdr:graphicFrame macro="">
      <xdr:nvGraphicFramePr>
        <xdr:cNvPr id="19" name="Gráfico 1">
          <a:extLst>
            <a:ext uri="{FF2B5EF4-FFF2-40B4-BE49-F238E27FC236}">
              <a16:creationId xmlns:a16="http://schemas.microsoft.com/office/drawing/2014/main" id="{00000000-0008-0000-0D00-000004000000}"/>
            </a:ext>
            <a:ext uri="{147F2762-F138-4A5C-976F-8EAC2B608ADB}">
              <a16:predDERef xmlns:a16="http://schemas.microsoft.com/office/drawing/2014/main" pred="{00000000-0008-0000-0600-000075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37012</xdr:colOff>
      <xdr:row>14</xdr:row>
      <xdr:rowOff>52916</xdr:rowOff>
    </xdr:from>
    <xdr:to>
      <xdr:col>13</xdr:col>
      <xdr:colOff>17689</xdr:colOff>
      <xdr:row>27</xdr:row>
      <xdr:rowOff>97427</xdr:rowOff>
    </xdr:to>
    <xdr:graphicFrame macro="">
      <xdr:nvGraphicFramePr>
        <xdr:cNvPr id="4" name="Gráfico 2">
          <a:extLst>
            <a:ext uri="{FF2B5EF4-FFF2-40B4-BE49-F238E27FC236}">
              <a16:creationId xmlns:a16="http://schemas.microsoft.com/office/drawing/2014/main" id="{00000000-0008-0000-0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0</xdr:colOff>
          <xdr:row>30</xdr:row>
          <xdr:rowOff>266700</xdr:rowOff>
        </xdr:from>
        <xdr:to>
          <xdr:col>11</xdr:col>
          <xdr:colOff>1752600</xdr:colOff>
          <xdr:row>31</xdr:row>
          <xdr:rowOff>137160</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E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31</xdr:row>
          <xdr:rowOff>144780</xdr:rowOff>
        </xdr:from>
        <xdr:to>
          <xdr:col>12</xdr:col>
          <xdr:colOff>99060</xdr:colOff>
          <xdr:row>32</xdr:row>
          <xdr:rowOff>0</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E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30</xdr:row>
          <xdr:rowOff>30480</xdr:rowOff>
        </xdr:from>
        <xdr:to>
          <xdr:col>11</xdr:col>
          <xdr:colOff>1752600</xdr:colOff>
          <xdr:row>30</xdr:row>
          <xdr:rowOff>327660</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E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32</xdr:row>
          <xdr:rowOff>266700</xdr:rowOff>
        </xdr:from>
        <xdr:to>
          <xdr:col>11</xdr:col>
          <xdr:colOff>1752600</xdr:colOff>
          <xdr:row>33</xdr:row>
          <xdr:rowOff>182880</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E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33</xdr:row>
          <xdr:rowOff>144780</xdr:rowOff>
        </xdr:from>
        <xdr:to>
          <xdr:col>12</xdr:col>
          <xdr:colOff>99060</xdr:colOff>
          <xdr:row>34</xdr:row>
          <xdr:rowOff>7620</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E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32</xdr:row>
          <xdr:rowOff>30480</xdr:rowOff>
        </xdr:from>
        <xdr:to>
          <xdr:col>11</xdr:col>
          <xdr:colOff>1752600</xdr:colOff>
          <xdr:row>32</xdr:row>
          <xdr:rowOff>327660</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E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34</xdr:row>
          <xdr:rowOff>0</xdr:rowOff>
        </xdr:from>
        <xdr:to>
          <xdr:col>11</xdr:col>
          <xdr:colOff>1752600</xdr:colOff>
          <xdr:row>34</xdr:row>
          <xdr:rowOff>266700</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E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34</xdr:row>
          <xdr:rowOff>266700</xdr:rowOff>
        </xdr:from>
        <xdr:to>
          <xdr:col>11</xdr:col>
          <xdr:colOff>1752600</xdr:colOff>
          <xdr:row>35</xdr:row>
          <xdr:rowOff>137160</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E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35</xdr:row>
          <xdr:rowOff>144780</xdr:rowOff>
        </xdr:from>
        <xdr:to>
          <xdr:col>11</xdr:col>
          <xdr:colOff>1752600</xdr:colOff>
          <xdr:row>36</xdr:row>
          <xdr:rowOff>0</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E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36</xdr:row>
          <xdr:rowOff>266700</xdr:rowOff>
        </xdr:from>
        <xdr:to>
          <xdr:col>11</xdr:col>
          <xdr:colOff>1752600</xdr:colOff>
          <xdr:row>37</xdr:row>
          <xdr:rowOff>182880</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E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37</xdr:row>
          <xdr:rowOff>144780</xdr:rowOff>
        </xdr:from>
        <xdr:to>
          <xdr:col>12</xdr:col>
          <xdr:colOff>449580</xdr:colOff>
          <xdr:row>38</xdr:row>
          <xdr:rowOff>99060</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E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36</xdr:row>
          <xdr:rowOff>30480</xdr:rowOff>
        </xdr:from>
        <xdr:to>
          <xdr:col>11</xdr:col>
          <xdr:colOff>1752600</xdr:colOff>
          <xdr:row>36</xdr:row>
          <xdr:rowOff>327660</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E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38</xdr:row>
          <xdr:rowOff>266700</xdr:rowOff>
        </xdr:from>
        <xdr:to>
          <xdr:col>11</xdr:col>
          <xdr:colOff>1752600</xdr:colOff>
          <xdr:row>39</xdr:row>
          <xdr:rowOff>137160</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E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39</xdr:row>
          <xdr:rowOff>144780</xdr:rowOff>
        </xdr:from>
        <xdr:to>
          <xdr:col>11</xdr:col>
          <xdr:colOff>1752600</xdr:colOff>
          <xdr:row>40</xdr:row>
          <xdr:rowOff>0</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E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38</xdr:row>
          <xdr:rowOff>30480</xdr:rowOff>
        </xdr:from>
        <xdr:to>
          <xdr:col>11</xdr:col>
          <xdr:colOff>1752600</xdr:colOff>
          <xdr:row>38</xdr:row>
          <xdr:rowOff>350520</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E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40</xdr:row>
          <xdr:rowOff>266700</xdr:rowOff>
        </xdr:from>
        <xdr:to>
          <xdr:col>11</xdr:col>
          <xdr:colOff>1752600</xdr:colOff>
          <xdr:row>41</xdr:row>
          <xdr:rowOff>182880</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E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41</xdr:row>
          <xdr:rowOff>144780</xdr:rowOff>
        </xdr:from>
        <xdr:to>
          <xdr:col>11</xdr:col>
          <xdr:colOff>1752600</xdr:colOff>
          <xdr:row>42</xdr:row>
          <xdr:rowOff>99060</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E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40</xdr:row>
          <xdr:rowOff>30480</xdr:rowOff>
        </xdr:from>
        <xdr:to>
          <xdr:col>11</xdr:col>
          <xdr:colOff>1752600</xdr:colOff>
          <xdr:row>40</xdr:row>
          <xdr:rowOff>342900</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E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42</xdr:row>
          <xdr:rowOff>266700</xdr:rowOff>
        </xdr:from>
        <xdr:to>
          <xdr:col>12</xdr:col>
          <xdr:colOff>0</xdr:colOff>
          <xdr:row>43</xdr:row>
          <xdr:rowOff>137160</xdr:rowOff>
        </xdr:to>
        <xdr:sp macro="" textlink="">
          <xdr:nvSpPr>
            <xdr:cNvPr id="11298" name="Check Box 34" hidden="1">
              <a:extLst>
                <a:ext uri="{63B3BB69-23CF-44E3-9099-C40C66FF867C}">
                  <a14:compatExt spid="_x0000_s11298"/>
                </a:ext>
                <a:ext uri="{FF2B5EF4-FFF2-40B4-BE49-F238E27FC236}">
                  <a16:creationId xmlns:a16="http://schemas.microsoft.com/office/drawing/2014/main" id="{00000000-0008-0000-0E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43</xdr:row>
          <xdr:rowOff>144780</xdr:rowOff>
        </xdr:from>
        <xdr:to>
          <xdr:col>11</xdr:col>
          <xdr:colOff>1752600</xdr:colOff>
          <xdr:row>44</xdr:row>
          <xdr:rowOff>0</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E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42</xdr:row>
          <xdr:rowOff>30480</xdr:rowOff>
        </xdr:from>
        <xdr:to>
          <xdr:col>12</xdr:col>
          <xdr:colOff>0</xdr:colOff>
          <xdr:row>42</xdr:row>
          <xdr:rowOff>350520</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E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44</xdr:row>
          <xdr:rowOff>266700</xdr:rowOff>
        </xdr:from>
        <xdr:to>
          <xdr:col>11</xdr:col>
          <xdr:colOff>1752600</xdr:colOff>
          <xdr:row>45</xdr:row>
          <xdr:rowOff>137160</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E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45</xdr:row>
          <xdr:rowOff>144780</xdr:rowOff>
        </xdr:from>
        <xdr:to>
          <xdr:col>11</xdr:col>
          <xdr:colOff>1752600</xdr:colOff>
          <xdr:row>46</xdr:row>
          <xdr:rowOff>99060</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E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44</xdr:row>
          <xdr:rowOff>30480</xdr:rowOff>
        </xdr:from>
        <xdr:to>
          <xdr:col>11</xdr:col>
          <xdr:colOff>1752600</xdr:colOff>
          <xdr:row>44</xdr:row>
          <xdr:rowOff>350520</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E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46</xdr:row>
          <xdr:rowOff>266700</xdr:rowOff>
        </xdr:from>
        <xdr:to>
          <xdr:col>11</xdr:col>
          <xdr:colOff>1752600</xdr:colOff>
          <xdr:row>47</xdr:row>
          <xdr:rowOff>137160</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E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47</xdr:row>
          <xdr:rowOff>144780</xdr:rowOff>
        </xdr:from>
        <xdr:to>
          <xdr:col>11</xdr:col>
          <xdr:colOff>1752600</xdr:colOff>
          <xdr:row>48</xdr:row>
          <xdr:rowOff>0</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E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46</xdr:row>
          <xdr:rowOff>30480</xdr:rowOff>
        </xdr:from>
        <xdr:to>
          <xdr:col>11</xdr:col>
          <xdr:colOff>1752600</xdr:colOff>
          <xdr:row>46</xdr:row>
          <xdr:rowOff>350520</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E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48</xdr:row>
          <xdr:rowOff>266700</xdr:rowOff>
        </xdr:from>
        <xdr:to>
          <xdr:col>11</xdr:col>
          <xdr:colOff>1752600</xdr:colOff>
          <xdr:row>49</xdr:row>
          <xdr:rowOff>167640</xdr:rowOff>
        </xdr:to>
        <xdr:sp macro="" textlink="">
          <xdr:nvSpPr>
            <xdr:cNvPr id="11307" name="Check Box 43" hidden="1">
              <a:extLst>
                <a:ext uri="{63B3BB69-23CF-44E3-9099-C40C66FF867C}">
                  <a14:compatExt spid="_x0000_s11307"/>
                </a:ext>
                <a:ext uri="{FF2B5EF4-FFF2-40B4-BE49-F238E27FC236}">
                  <a16:creationId xmlns:a16="http://schemas.microsoft.com/office/drawing/2014/main" id="{00000000-0008-0000-0E00-00002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49</xdr:row>
          <xdr:rowOff>144780</xdr:rowOff>
        </xdr:from>
        <xdr:to>
          <xdr:col>11</xdr:col>
          <xdr:colOff>1752600</xdr:colOff>
          <xdr:row>50</xdr:row>
          <xdr:rowOff>99060</xdr:rowOff>
        </xdr:to>
        <xdr:sp macro="" textlink="">
          <xdr:nvSpPr>
            <xdr:cNvPr id="11308" name="Check Box 44" hidden="1">
              <a:extLst>
                <a:ext uri="{63B3BB69-23CF-44E3-9099-C40C66FF867C}">
                  <a14:compatExt spid="_x0000_s11308"/>
                </a:ext>
                <a:ext uri="{FF2B5EF4-FFF2-40B4-BE49-F238E27FC236}">
                  <a16:creationId xmlns:a16="http://schemas.microsoft.com/office/drawing/2014/main" id="{00000000-0008-0000-0E00-00002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48</xdr:row>
          <xdr:rowOff>30480</xdr:rowOff>
        </xdr:from>
        <xdr:to>
          <xdr:col>11</xdr:col>
          <xdr:colOff>1752600</xdr:colOff>
          <xdr:row>48</xdr:row>
          <xdr:rowOff>342900</xdr:rowOff>
        </xdr:to>
        <xdr:sp macro="" textlink="">
          <xdr:nvSpPr>
            <xdr:cNvPr id="11309" name="Check Box 45" hidden="1">
              <a:extLst>
                <a:ext uri="{63B3BB69-23CF-44E3-9099-C40C66FF867C}">
                  <a14:compatExt spid="_x0000_s11309"/>
                </a:ext>
                <a:ext uri="{FF2B5EF4-FFF2-40B4-BE49-F238E27FC236}">
                  <a16:creationId xmlns:a16="http://schemas.microsoft.com/office/drawing/2014/main" id="{00000000-0008-0000-0E00-00002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50</xdr:row>
          <xdr:rowOff>266700</xdr:rowOff>
        </xdr:from>
        <xdr:to>
          <xdr:col>11</xdr:col>
          <xdr:colOff>1752600</xdr:colOff>
          <xdr:row>51</xdr:row>
          <xdr:rowOff>182880</xdr:rowOff>
        </xdr:to>
        <xdr:sp macro="" textlink="">
          <xdr:nvSpPr>
            <xdr:cNvPr id="11310" name="Check Box 46" hidden="1">
              <a:extLst>
                <a:ext uri="{63B3BB69-23CF-44E3-9099-C40C66FF867C}">
                  <a14:compatExt spid="_x0000_s11310"/>
                </a:ext>
                <a:ext uri="{FF2B5EF4-FFF2-40B4-BE49-F238E27FC236}">
                  <a16:creationId xmlns:a16="http://schemas.microsoft.com/office/drawing/2014/main" id="{00000000-0008-0000-0E00-00002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51</xdr:row>
          <xdr:rowOff>144780</xdr:rowOff>
        </xdr:from>
        <xdr:to>
          <xdr:col>11</xdr:col>
          <xdr:colOff>1752600</xdr:colOff>
          <xdr:row>52</xdr:row>
          <xdr:rowOff>7620</xdr:rowOff>
        </xdr:to>
        <xdr:sp macro="" textlink="">
          <xdr:nvSpPr>
            <xdr:cNvPr id="11311" name="Check Box 47" hidden="1">
              <a:extLst>
                <a:ext uri="{63B3BB69-23CF-44E3-9099-C40C66FF867C}">
                  <a14:compatExt spid="_x0000_s11311"/>
                </a:ext>
                <a:ext uri="{FF2B5EF4-FFF2-40B4-BE49-F238E27FC236}">
                  <a16:creationId xmlns:a16="http://schemas.microsoft.com/office/drawing/2014/main" id="{00000000-0008-0000-0E00-00002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50</xdr:row>
          <xdr:rowOff>30480</xdr:rowOff>
        </xdr:from>
        <xdr:to>
          <xdr:col>11</xdr:col>
          <xdr:colOff>1752600</xdr:colOff>
          <xdr:row>50</xdr:row>
          <xdr:rowOff>342900</xdr:rowOff>
        </xdr:to>
        <xdr:sp macro="" textlink="">
          <xdr:nvSpPr>
            <xdr:cNvPr id="11312" name="Check Box 48" hidden="1">
              <a:extLst>
                <a:ext uri="{63B3BB69-23CF-44E3-9099-C40C66FF867C}">
                  <a14:compatExt spid="_x0000_s11312"/>
                </a:ext>
                <a:ext uri="{FF2B5EF4-FFF2-40B4-BE49-F238E27FC236}">
                  <a16:creationId xmlns:a16="http://schemas.microsoft.com/office/drawing/2014/main" id="{00000000-0008-0000-0E00-00003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52</xdr:row>
          <xdr:rowOff>266700</xdr:rowOff>
        </xdr:from>
        <xdr:to>
          <xdr:col>11</xdr:col>
          <xdr:colOff>1752600</xdr:colOff>
          <xdr:row>53</xdr:row>
          <xdr:rowOff>137160</xdr:rowOff>
        </xdr:to>
        <xdr:sp macro="" textlink="">
          <xdr:nvSpPr>
            <xdr:cNvPr id="11313" name="Check Box 49" hidden="1">
              <a:extLst>
                <a:ext uri="{63B3BB69-23CF-44E3-9099-C40C66FF867C}">
                  <a14:compatExt spid="_x0000_s11313"/>
                </a:ext>
                <a:ext uri="{FF2B5EF4-FFF2-40B4-BE49-F238E27FC236}">
                  <a16:creationId xmlns:a16="http://schemas.microsoft.com/office/drawing/2014/main" id="{00000000-0008-0000-0E00-00003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53</xdr:row>
          <xdr:rowOff>144780</xdr:rowOff>
        </xdr:from>
        <xdr:to>
          <xdr:col>11</xdr:col>
          <xdr:colOff>1752600</xdr:colOff>
          <xdr:row>54</xdr:row>
          <xdr:rowOff>99060</xdr:rowOff>
        </xdr:to>
        <xdr:sp macro="" textlink="">
          <xdr:nvSpPr>
            <xdr:cNvPr id="11314" name="Check Box 50" hidden="1">
              <a:extLst>
                <a:ext uri="{63B3BB69-23CF-44E3-9099-C40C66FF867C}">
                  <a14:compatExt spid="_x0000_s11314"/>
                </a:ext>
                <a:ext uri="{FF2B5EF4-FFF2-40B4-BE49-F238E27FC236}">
                  <a16:creationId xmlns:a16="http://schemas.microsoft.com/office/drawing/2014/main" id="{00000000-0008-0000-0E00-00003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52</xdr:row>
          <xdr:rowOff>30480</xdr:rowOff>
        </xdr:from>
        <xdr:to>
          <xdr:col>11</xdr:col>
          <xdr:colOff>1752600</xdr:colOff>
          <xdr:row>52</xdr:row>
          <xdr:rowOff>350520</xdr:rowOff>
        </xdr:to>
        <xdr:sp macro="" textlink="">
          <xdr:nvSpPr>
            <xdr:cNvPr id="11315" name="Check Box 51" hidden="1">
              <a:extLst>
                <a:ext uri="{63B3BB69-23CF-44E3-9099-C40C66FF867C}">
                  <a14:compatExt spid="_x0000_s11315"/>
                </a:ext>
                <a:ext uri="{FF2B5EF4-FFF2-40B4-BE49-F238E27FC236}">
                  <a16:creationId xmlns:a16="http://schemas.microsoft.com/office/drawing/2014/main" id="{00000000-0008-0000-0E00-00003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266700</xdr:rowOff>
        </xdr:from>
        <xdr:to>
          <xdr:col>11</xdr:col>
          <xdr:colOff>1752600</xdr:colOff>
          <xdr:row>55</xdr:row>
          <xdr:rowOff>167640</xdr:rowOff>
        </xdr:to>
        <xdr:sp macro="" textlink="">
          <xdr:nvSpPr>
            <xdr:cNvPr id="11316" name="Check Box 52" hidden="1">
              <a:extLst>
                <a:ext uri="{63B3BB69-23CF-44E3-9099-C40C66FF867C}">
                  <a14:compatExt spid="_x0000_s11316"/>
                </a:ext>
                <a:ext uri="{FF2B5EF4-FFF2-40B4-BE49-F238E27FC236}">
                  <a16:creationId xmlns:a16="http://schemas.microsoft.com/office/drawing/2014/main" id="{00000000-0008-0000-0E00-00003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144780</xdr:rowOff>
        </xdr:from>
        <xdr:to>
          <xdr:col>11</xdr:col>
          <xdr:colOff>1752600</xdr:colOff>
          <xdr:row>56</xdr:row>
          <xdr:rowOff>0</xdr:rowOff>
        </xdr:to>
        <xdr:sp macro="" textlink="">
          <xdr:nvSpPr>
            <xdr:cNvPr id="11317" name="Check Box 53" hidden="1">
              <a:extLst>
                <a:ext uri="{63B3BB69-23CF-44E3-9099-C40C66FF867C}">
                  <a14:compatExt spid="_x0000_s11317"/>
                </a:ext>
                <a:ext uri="{FF2B5EF4-FFF2-40B4-BE49-F238E27FC236}">
                  <a16:creationId xmlns:a16="http://schemas.microsoft.com/office/drawing/2014/main" id="{00000000-0008-0000-0E00-00003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30480</xdr:rowOff>
        </xdr:from>
        <xdr:to>
          <xdr:col>11</xdr:col>
          <xdr:colOff>1752600</xdr:colOff>
          <xdr:row>54</xdr:row>
          <xdr:rowOff>320040</xdr:rowOff>
        </xdr:to>
        <xdr:sp macro="" textlink="">
          <xdr:nvSpPr>
            <xdr:cNvPr id="11318" name="Check Box 54" hidden="1">
              <a:extLst>
                <a:ext uri="{63B3BB69-23CF-44E3-9099-C40C66FF867C}">
                  <a14:compatExt spid="_x0000_s11318"/>
                </a:ext>
                <a:ext uri="{FF2B5EF4-FFF2-40B4-BE49-F238E27FC236}">
                  <a16:creationId xmlns:a16="http://schemas.microsoft.com/office/drawing/2014/main" id="{00000000-0008-0000-0E00-00003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266700</xdr:rowOff>
        </xdr:from>
        <xdr:to>
          <xdr:col>11</xdr:col>
          <xdr:colOff>1752600</xdr:colOff>
          <xdr:row>57</xdr:row>
          <xdr:rowOff>167640</xdr:rowOff>
        </xdr:to>
        <xdr:sp macro="" textlink="">
          <xdr:nvSpPr>
            <xdr:cNvPr id="11319" name="Check Box 55" hidden="1">
              <a:extLst>
                <a:ext uri="{63B3BB69-23CF-44E3-9099-C40C66FF867C}">
                  <a14:compatExt spid="_x0000_s11319"/>
                </a:ext>
                <a:ext uri="{FF2B5EF4-FFF2-40B4-BE49-F238E27FC236}">
                  <a16:creationId xmlns:a16="http://schemas.microsoft.com/office/drawing/2014/main" id="{00000000-0008-0000-0E00-00003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144780</xdr:rowOff>
        </xdr:from>
        <xdr:to>
          <xdr:col>11</xdr:col>
          <xdr:colOff>1752600</xdr:colOff>
          <xdr:row>58</xdr:row>
          <xdr:rowOff>30480</xdr:rowOff>
        </xdr:to>
        <xdr:sp macro="" textlink="">
          <xdr:nvSpPr>
            <xdr:cNvPr id="11320" name="Check Box 56" hidden="1">
              <a:extLst>
                <a:ext uri="{63B3BB69-23CF-44E3-9099-C40C66FF867C}">
                  <a14:compatExt spid="_x0000_s11320"/>
                </a:ext>
                <a:ext uri="{FF2B5EF4-FFF2-40B4-BE49-F238E27FC236}">
                  <a16:creationId xmlns:a16="http://schemas.microsoft.com/office/drawing/2014/main" id="{00000000-0008-0000-0E00-00003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30480</xdr:rowOff>
        </xdr:from>
        <xdr:to>
          <xdr:col>11</xdr:col>
          <xdr:colOff>1752600</xdr:colOff>
          <xdr:row>56</xdr:row>
          <xdr:rowOff>228600</xdr:rowOff>
        </xdr:to>
        <xdr:sp macro="" textlink="">
          <xdr:nvSpPr>
            <xdr:cNvPr id="11321" name="Check Box 57" hidden="1">
              <a:extLst>
                <a:ext uri="{63B3BB69-23CF-44E3-9099-C40C66FF867C}">
                  <a14:compatExt spid="_x0000_s11321"/>
                </a:ext>
                <a:ext uri="{FF2B5EF4-FFF2-40B4-BE49-F238E27FC236}">
                  <a16:creationId xmlns:a16="http://schemas.microsoft.com/office/drawing/2014/main" id="{00000000-0008-0000-0E00-00003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266700</xdr:rowOff>
        </xdr:from>
        <xdr:to>
          <xdr:col>11</xdr:col>
          <xdr:colOff>1752600</xdr:colOff>
          <xdr:row>59</xdr:row>
          <xdr:rowOff>137160</xdr:rowOff>
        </xdr:to>
        <xdr:sp macro="" textlink="">
          <xdr:nvSpPr>
            <xdr:cNvPr id="11322" name="Check Box 58" hidden="1">
              <a:extLst>
                <a:ext uri="{63B3BB69-23CF-44E3-9099-C40C66FF867C}">
                  <a14:compatExt spid="_x0000_s11322"/>
                </a:ext>
                <a:ext uri="{FF2B5EF4-FFF2-40B4-BE49-F238E27FC236}">
                  <a16:creationId xmlns:a16="http://schemas.microsoft.com/office/drawing/2014/main" id="{00000000-0008-0000-0E00-00003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144780</xdr:rowOff>
        </xdr:from>
        <xdr:to>
          <xdr:col>11</xdr:col>
          <xdr:colOff>1752600</xdr:colOff>
          <xdr:row>60</xdr:row>
          <xdr:rowOff>0</xdr:rowOff>
        </xdr:to>
        <xdr:sp macro="" textlink="">
          <xdr:nvSpPr>
            <xdr:cNvPr id="11323" name="Check Box 59" hidden="1">
              <a:extLst>
                <a:ext uri="{63B3BB69-23CF-44E3-9099-C40C66FF867C}">
                  <a14:compatExt spid="_x0000_s11323"/>
                </a:ext>
                <a:ext uri="{FF2B5EF4-FFF2-40B4-BE49-F238E27FC236}">
                  <a16:creationId xmlns:a16="http://schemas.microsoft.com/office/drawing/2014/main" id="{00000000-0008-0000-0E00-00003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30480</xdr:rowOff>
        </xdr:from>
        <xdr:to>
          <xdr:col>11</xdr:col>
          <xdr:colOff>1752600</xdr:colOff>
          <xdr:row>58</xdr:row>
          <xdr:rowOff>228600</xdr:rowOff>
        </xdr:to>
        <xdr:sp macro="" textlink="">
          <xdr:nvSpPr>
            <xdr:cNvPr id="11324" name="Check Box 60" hidden="1">
              <a:extLst>
                <a:ext uri="{63B3BB69-23CF-44E3-9099-C40C66FF867C}">
                  <a14:compatExt spid="_x0000_s11324"/>
                </a:ext>
                <a:ext uri="{FF2B5EF4-FFF2-40B4-BE49-F238E27FC236}">
                  <a16:creationId xmlns:a16="http://schemas.microsoft.com/office/drawing/2014/main" id="{00000000-0008-0000-0E00-00003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266700</xdr:rowOff>
        </xdr:from>
        <xdr:to>
          <xdr:col>11</xdr:col>
          <xdr:colOff>1752600</xdr:colOff>
          <xdr:row>61</xdr:row>
          <xdr:rowOff>182880</xdr:rowOff>
        </xdr:to>
        <xdr:sp macro="" textlink="">
          <xdr:nvSpPr>
            <xdr:cNvPr id="11325" name="Check Box 61" hidden="1">
              <a:extLst>
                <a:ext uri="{63B3BB69-23CF-44E3-9099-C40C66FF867C}">
                  <a14:compatExt spid="_x0000_s11325"/>
                </a:ext>
                <a:ext uri="{FF2B5EF4-FFF2-40B4-BE49-F238E27FC236}">
                  <a16:creationId xmlns:a16="http://schemas.microsoft.com/office/drawing/2014/main" id="{00000000-0008-0000-0E00-00003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144780</xdr:rowOff>
        </xdr:from>
        <xdr:to>
          <xdr:col>11</xdr:col>
          <xdr:colOff>1752600</xdr:colOff>
          <xdr:row>62</xdr:row>
          <xdr:rowOff>30480</xdr:rowOff>
        </xdr:to>
        <xdr:sp macro="" textlink="">
          <xdr:nvSpPr>
            <xdr:cNvPr id="11326" name="Check Box 62" hidden="1">
              <a:extLst>
                <a:ext uri="{63B3BB69-23CF-44E3-9099-C40C66FF867C}">
                  <a14:compatExt spid="_x0000_s11326"/>
                </a:ext>
                <a:ext uri="{FF2B5EF4-FFF2-40B4-BE49-F238E27FC236}">
                  <a16:creationId xmlns:a16="http://schemas.microsoft.com/office/drawing/2014/main" id="{00000000-0008-0000-0E00-00003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30480</xdr:rowOff>
        </xdr:from>
        <xdr:to>
          <xdr:col>11</xdr:col>
          <xdr:colOff>1752600</xdr:colOff>
          <xdr:row>60</xdr:row>
          <xdr:rowOff>228600</xdr:rowOff>
        </xdr:to>
        <xdr:sp macro="" textlink="">
          <xdr:nvSpPr>
            <xdr:cNvPr id="11327" name="Check Box 63" hidden="1">
              <a:extLst>
                <a:ext uri="{63B3BB69-23CF-44E3-9099-C40C66FF867C}">
                  <a14:compatExt spid="_x0000_s11327"/>
                </a:ext>
                <a:ext uri="{FF2B5EF4-FFF2-40B4-BE49-F238E27FC236}">
                  <a16:creationId xmlns:a16="http://schemas.microsoft.com/office/drawing/2014/main" id="{00000000-0008-0000-0E00-00003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266700</xdr:rowOff>
        </xdr:from>
        <xdr:to>
          <xdr:col>11</xdr:col>
          <xdr:colOff>1752600</xdr:colOff>
          <xdr:row>63</xdr:row>
          <xdr:rowOff>152400</xdr:rowOff>
        </xdr:to>
        <xdr:sp macro="" textlink="">
          <xdr:nvSpPr>
            <xdr:cNvPr id="11328" name="Check Box 64" hidden="1">
              <a:extLst>
                <a:ext uri="{63B3BB69-23CF-44E3-9099-C40C66FF867C}">
                  <a14:compatExt spid="_x0000_s11328"/>
                </a:ext>
                <a:ext uri="{FF2B5EF4-FFF2-40B4-BE49-F238E27FC236}">
                  <a16:creationId xmlns:a16="http://schemas.microsoft.com/office/drawing/2014/main" id="{00000000-0008-0000-0E00-00004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144780</xdr:rowOff>
        </xdr:from>
        <xdr:to>
          <xdr:col>11</xdr:col>
          <xdr:colOff>1752600</xdr:colOff>
          <xdr:row>64</xdr:row>
          <xdr:rowOff>7620</xdr:rowOff>
        </xdr:to>
        <xdr:sp macro="" textlink="">
          <xdr:nvSpPr>
            <xdr:cNvPr id="11329" name="Check Box 65" hidden="1">
              <a:extLst>
                <a:ext uri="{63B3BB69-23CF-44E3-9099-C40C66FF867C}">
                  <a14:compatExt spid="_x0000_s11329"/>
                </a:ext>
                <a:ext uri="{FF2B5EF4-FFF2-40B4-BE49-F238E27FC236}">
                  <a16:creationId xmlns:a16="http://schemas.microsoft.com/office/drawing/2014/main" id="{00000000-0008-0000-0E00-00004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30480</xdr:rowOff>
        </xdr:from>
        <xdr:to>
          <xdr:col>11</xdr:col>
          <xdr:colOff>1752600</xdr:colOff>
          <xdr:row>62</xdr:row>
          <xdr:rowOff>228600</xdr:rowOff>
        </xdr:to>
        <xdr:sp macro="" textlink="">
          <xdr:nvSpPr>
            <xdr:cNvPr id="11330" name="Check Box 66" hidden="1">
              <a:extLst>
                <a:ext uri="{63B3BB69-23CF-44E3-9099-C40C66FF867C}">
                  <a14:compatExt spid="_x0000_s11330"/>
                </a:ext>
                <a:ext uri="{FF2B5EF4-FFF2-40B4-BE49-F238E27FC236}">
                  <a16:creationId xmlns:a16="http://schemas.microsoft.com/office/drawing/2014/main" id="{00000000-0008-0000-0E00-00004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266700</xdr:rowOff>
        </xdr:from>
        <xdr:to>
          <xdr:col>11</xdr:col>
          <xdr:colOff>1752600</xdr:colOff>
          <xdr:row>65</xdr:row>
          <xdr:rowOff>137160</xdr:rowOff>
        </xdr:to>
        <xdr:sp macro="" textlink="">
          <xdr:nvSpPr>
            <xdr:cNvPr id="11331" name="Check Box 67" hidden="1">
              <a:extLst>
                <a:ext uri="{63B3BB69-23CF-44E3-9099-C40C66FF867C}">
                  <a14:compatExt spid="_x0000_s11331"/>
                </a:ext>
                <a:ext uri="{FF2B5EF4-FFF2-40B4-BE49-F238E27FC236}">
                  <a16:creationId xmlns:a16="http://schemas.microsoft.com/office/drawing/2014/main" id="{00000000-0008-0000-0E00-00004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144780</xdr:rowOff>
        </xdr:from>
        <xdr:to>
          <xdr:col>11</xdr:col>
          <xdr:colOff>1752600</xdr:colOff>
          <xdr:row>66</xdr:row>
          <xdr:rowOff>45720</xdr:rowOff>
        </xdr:to>
        <xdr:sp macro="" textlink="">
          <xdr:nvSpPr>
            <xdr:cNvPr id="11332" name="Check Box 68" hidden="1">
              <a:extLst>
                <a:ext uri="{63B3BB69-23CF-44E3-9099-C40C66FF867C}">
                  <a14:compatExt spid="_x0000_s11332"/>
                </a:ext>
                <a:ext uri="{FF2B5EF4-FFF2-40B4-BE49-F238E27FC236}">
                  <a16:creationId xmlns:a16="http://schemas.microsoft.com/office/drawing/2014/main" id="{00000000-0008-0000-0E00-00004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30480</xdr:rowOff>
        </xdr:from>
        <xdr:to>
          <xdr:col>11</xdr:col>
          <xdr:colOff>1752600</xdr:colOff>
          <xdr:row>64</xdr:row>
          <xdr:rowOff>228600</xdr:rowOff>
        </xdr:to>
        <xdr:sp macro="" textlink="">
          <xdr:nvSpPr>
            <xdr:cNvPr id="11333" name="Check Box 69" hidden="1">
              <a:extLst>
                <a:ext uri="{63B3BB69-23CF-44E3-9099-C40C66FF867C}">
                  <a14:compatExt spid="_x0000_s11333"/>
                </a:ext>
                <a:ext uri="{FF2B5EF4-FFF2-40B4-BE49-F238E27FC236}">
                  <a16:creationId xmlns:a16="http://schemas.microsoft.com/office/drawing/2014/main" id="{00000000-0008-0000-0E00-00004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266700</xdr:rowOff>
        </xdr:from>
        <xdr:to>
          <xdr:col>11</xdr:col>
          <xdr:colOff>1752600</xdr:colOff>
          <xdr:row>67</xdr:row>
          <xdr:rowOff>137160</xdr:rowOff>
        </xdr:to>
        <xdr:sp macro="" textlink="">
          <xdr:nvSpPr>
            <xdr:cNvPr id="11334" name="Check Box 70" hidden="1">
              <a:extLst>
                <a:ext uri="{63B3BB69-23CF-44E3-9099-C40C66FF867C}">
                  <a14:compatExt spid="_x0000_s11334"/>
                </a:ext>
                <a:ext uri="{FF2B5EF4-FFF2-40B4-BE49-F238E27FC236}">
                  <a16:creationId xmlns:a16="http://schemas.microsoft.com/office/drawing/2014/main" id="{00000000-0008-0000-0E00-00004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144780</xdr:rowOff>
        </xdr:from>
        <xdr:to>
          <xdr:col>11</xdr:col>
          <xdr:colOff>1752600</xdr:colOff>
          <xdr:row>68</xdr:row>
          <xdr:rowOff>0</xdr:rowOff>
        </xdr:to>
        <xdr:sp macro="" textlink="">
          <xdr:nvSpPr>
            <xdr:cNvPr id="11335" name="Check Box 71" hidden="1">
              <a:extLst>
                <a:ext uri="{63B3BB69-23CF-44E3-9099-C40C66FF867C}">
                  <a14:compatExt spid="_x0000_s11335"/>
                </a:ext>
                <a:ext uri="{FF2B5EF4-FFF2-40B4-BE49-F238E27FC236}">
                  <a16:creationId xmlns:a16="http://schemas.microsoft.com/office/drawing/2014/main" id="{00000000-0008-0000-0E00-00004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30480</xdr:rowOff>
        </xdr:from>
        <xdr:to>
          <xdr:col>11</xdr:col>
          <xdr:colOff>1752600</xdr:colOff>
          <xdr:row>66</xdr:row>
          <xdr:rowOff>228600</xdr:rowOff>
        </xdr:to>
        <xdr:sp macro="" textlink="">
          <xdr:nvSpPr>
            <xdr:cNvPr id="11336" name="Check Box 72" hidden="1">
              <a:extLst>
                <a:ext uri="{63B3BB69-23CF-44E3-9099-C40C66FF867C}">
                  <a14:compatExt spid="_x0000_s11336"/>
                </a:ext>
                <a:ext uri="{FF2B5EF4-FFF2-40B4-BE49-F238E27FC236}">
                  <a16:creationId xmlns:a16="http://schemas.microsoft.com/office/drawing/2014/main" id="{00000000-0008-0000-0E00-00004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266700</xdr:rowOff>
        </xdr:from>
        <xdr:to>
          <xdr:col>11</xdr:col>
          <xdr:colOff>1752600</xdr:colOff>
          <xdr:row>69</xdr:row>
          <xdr:rowOff>167640</xdr:rowOff>
        </xdr:to>
        <xdr:sp macro="" textlink="">
          <xdr:nvSpPr>
            <xdr:cNvPr id="11337" name="Check Box 73" hidden="1">
              <a:extLst>
                <a:ext uri="{63B3BB69-23CF-44E3-9099-C40C66FF867C}">
                  <a14:compatExt spid="_x0000_s11337"/>
                </a:ext>
                <a:ext uri="{FF2B5EF4-FFF2-40B4-BE49-F238E27FC236}">
                  <a16:creationId xmlns:a16="http://schemas.microsoft.com/office/drawing/2014/main" id="{00000000-0008-0000-0E00-00004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69</xdr:row>
          <xdr:rowOff>144780</xdr:rowOff>
        </xdr:from>
        <xdr:to>
          <xdr:col>11</xdr:col>
          <xdr:colOff>1752600</xdr:colOff>
          <xdr:row>70</xdr:row>
          <xdr:rowOff>30480</xdr:rowOff>
        </xdr:to>
        <xdr:sp macro="" textlink="">
          <xdr:nvSpPr>
            <xdr:cNvPr id="11338" name="Check Box 74" hidden="1">
              <a:extLst>
                <a:ext uri="{63B3BB69-23CF-44E3-9099-C40C66FF867C}">
                  <a14:compatExt spid="_x0000_s11338"/>
                </a:ext>
                <a:ext uri="{FF2B5EF4-FFF2-40B4-BE49-F238E27FC236}">
                  <a16:creationId xmlns:a16="http://schemas.microsoft.com/office/drawing/2014/main" id="{00000000-0008-0000-0E00-00004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30480</xdr:rowOff>
        </xdr:from>
        <xdr:to>
          <xdr:col>11</xdr:col>
          <xdr:colOff>1752600</xdr:colOff>
          <xdr:row>68</xdr:row>
          <xdr:rowOff>320040</xdr:rowOff>
        </xdr:to>
        <xdr:sp macro="" textlink="">
          <xdr:nvSpPr>
            <xdr:cNvPr id="11339" name="Check Box 75" hidden="1">
              <a:extLst>
                <a:ext uri="{63B3BB69-23CF-44E3-9099-C40C66FF867C}">
                  <a14:compatExt spid="_x0000_s11339"/>
                </a:ext>
                <a:ext uri="{FF2B5EF4-FFF2-40B4-BE49-F238E27FC236}">
                  <a16:creationId xmlns:a16="http://schemas.microsoft.com/office/drawing/2014/main" id="{00000000-0008-0000-0E00-00004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266700</xdr:rowOff>
        </xdr:from>
        <xdr:to>
          <xdr:col>11</xdr:col>
          <xdr:colOff>1752600</xdr:colOff>
          <xdr:row>71</xdr:row>
          <xdr:rowOff>137160</xdr:rowOff>
        </xdr:to>
        <xdr:sp macro="" textlink="">
          <xdr:nvSpPr>
            <xdr:cNvPr id="11340" name="Check Box 76" hidden="1">
              <a:extLst>
                <a:ext uri="{63B3BB69-23CF-44E3-9099-C40C66FF867C}">
                  <a14:compatExt spid="_x0000_s11340"/>
                </a:ext>
                <a:ext uri="{FF2B5EF4-FFF2-40B4-BE49-F238E27FC236}">
                  <a16:creationId xmlns:a16="http://schemas.microsoft.com/office/drawing/2014/main" id="{00000000-0008-0000-0E00-00004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144780</xdr:rowOff>
        </xdr:from>
        <xdr:to>
          <xdr:col>11</xdr:col>
          <xdr:colOff>1752600</xdr:colOff>
          <xdr:row>72</xdr:row>
          <xdr:rowOff>0</xdr:rowOff>
        </xdr:to>
        <xdr:sp macro="" textlink="">
          <xdr:nvSpPr>
            <xdr:cNvPr id="11341" name="Check Box 77" hidden="1">
              <a:extLst>
                <a:ext uri="{63B3BB69-23CF-44E3-9099-C40C66FF867C}">
                  <a14:compatExt spid="_x0000_s11341"/>
                </a:ext>
                <a:ext uri="{FF2B5EF4-FFF2-40B4-BE49-F238E27FC236}">
                  <a16:creationId xmlns:a16="http://schemas.microsoft.com/office/drawing/2014/main" id="{00000000-0008-0000-0E00-00004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30480</xdr:rowOff>
        </xdr:from>
        <xdr:to>
          <xdr:col>11</xdr:col>
          <xdr:colOff>1752600</xdr:colOff>
          <xdr:row>70</xdr:row>
          <xdr:rowOff>228600</xdr:rowOff>
        </xdr:to>
        <xdr:sp macro="" textlink="">
          <xdr:nvSpPr>
            <xdr:cNvPr id="11342" name="Check Box 78" hidden="1">
              <a:extLst>
                <a:ext uri="{63B3BB69-23CF-44E3-9099-C40C66FF867C}">
                  <a14:compatExt spid="_x0000_s11342"/>
                </a:ext>
                <a:ext uri="{FF2B5EF4-FFF2-40B4-BE49-F238E27FC236}">
                  <a16:creationId xmlns:a16="http://schemas.microsoft.com/office/drawing/2014/main" id="{00000000-0008-0000-0E00-00004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266700</xdr:rowOff>
        </xdr:from>
        <xdr:to>
          <xdr:col>11</xdr:col>
          <xdr:colOff>1752600</xdr:colOff>
          <xdr:row>73</xdr:row>
          <xdr:rowOff>137160</xdr:rowOff>
        </xdr:to>
        <xdr:sp macro="" textlink="">
          <xdr:nvSpPr>
            <xdr:cNvPr id="11343" name="Check Box 79" hidden="1">
              <a:extLst>
                <a:ext uri="{63B3BB69-23CF-44E3-9099-C40C66FF867C}">
                  <a14:compatExt spid="_x0000_s11343"/>
                </a:ext>
                <a:ext uri="{FF2B5EF4-FFF2-40B4-BE49-F238E27FC236}">
                  <a16:creationId xmlns:a16="http://schemas.microsoft.com/office/drawing/2014/main" id="{00000000-0008-0000-0E00-00004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144780</xdr:rowOff>
        </xdr:from>
        <xdr:to>
          <xdr:col>11</xdr:col>
          <xdr:colOff>1752600</xdr:colOff>
          <xdr:row>74</xdr:row>
          <xdr:rowOff>30480</xdr:rowOff>
        </xdr:to>
        <xdr:sp macro="" textlink="">
          <xdr:nvSpPr>
            <xdr:cNvPr id="11344" name="Check Box 80" hidden="1">
              <a:extLst>
                <a:ext uri="{63B3BB69-23CF-44E3-9099-C40C66FF867C}">
                  <a14:compatExt spid="_x0000_s11344"/>
                </a:ext>
                <a:ext uri="{FF2B5EF4-FFF2-40B4-BE49-F238E27FC236}">
                  <a16:creationId xmlns:a16="http://schemas.microsoft.com/office/drawing/2014/main" id="{00000000-0008-0000-0E00-00005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30480</xdr:rowOff>
        </xdr:from>
        <xdr:to>
          <xdr:col>11</xdr:col>
          <xdr:colOff>1752600</xdr:colOff>
          <xdr:row>72</xdr:row>
          <xdr:rowOff>228600</xdr:rowOff>
        </xdr:to>
        <xdr:sp macro="" textlink="">
          <xdr:nvSpPr>
            <xdr:cNvPr id="11345" name="Check Box 81" hidden="1">
              <a:extLst>
                <a:ext uri="{63B3BB69-23CF-44E3-9099-C40C66FF867C}">
                  <a14:compatExt spid="_x0000_s11345"/>
                </a:ext>
                <a:ext uri="{FF2B5EF4-FFF2-40B4-BE49-F238E27FC236}">
                  <a16:creationId xmlns:a16="http://schemas.microsoft.com/office/drawing/2014/main" id="{00000000-0008-0000-0E00-00005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266700</xdr:rowOff>
        </xdr:from>
        <xdr:to>
          <xdr:col>11</xdr:col>
          <xdr:colOff>1752600</xdr:colOff>
          <xdr:row>75</xdr:row>
          <xdr:rowOff>137160</xdr:rowOff>
        </xdr:to>
        <xdr:sp macro="" textlink="">
          <xdr:nvSpPr>
            <xdr:cNvPr id="11346" name="Check Box 82" hidden="1">
              <a:extLst>
                <a:ext uri="{63B3BB69-23CF-44E3-9099-C40C66FF867C}">
                  <a14:compatExt spid="_x0000_s11346"/>
                </a:ext>
                <a:ext uri="{FF2B5EF4-FFF2-40B4-BE49-F238E27FC236}">
                  <a16:creationId xmlns:a16="http://schemas.microsoft.com/office/drawing/2014/main" id="{00000000-0008-0000-0E00-00005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75</xdr:row>
          <xdr:rowOff>144780</xdr:rowOff>
        </xdr:from>
        <xdr:to>
          <xdr:col>11</xdr:col>
          <xdr:colOff>1752600</xdr:colOff>
          <xdr:row>76</xdr:row>
          <xdr:rowOff>0</xdr:rowOff>
        </xdr:to>
        <xdr:sp macro="" textlink="">
          <xdr:nvSpPr>
            <xdr:cNvPr id="11347" name="Check Box 83" hidden="1">
              <a:extLst>
                <a:ext uri="{63B3BB69-23CF-44E3-9099-C40C66FF867C}">
                  <a14:compatExt spid="_x0000_s11347"/>
                </a:ext>
                <a:ext uri="{FF2B5EF4-FFF2-40B4-BE49-F238E27FC236}">
                  <a16:creationId xmlns:a16="http://schemas.microsoft.com/office/drawing/2014/main" id="{00000000-0008-0000-0E00-00005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30480</xdr:rowOff>
        </xdr:from>
        <xdr:to>
          <xdr:col>11</xdr:col>
          <xdr:colOff>1752600</xdr:colOff>
          <xdr:row>74</xdr:row>
          <xdr:rowOff>228600</xdr:rowOff>
        </xdr:to>
        <xdr:sp macro="" textlink="">
          <xdr:nvSpPr>
            <xdr:cNvPr id="11348" name="Check Box 84" hidden="1">
              <a:extLst>
                <a:ext uri="{63B3BB69-23CF-44E3-9099-C40C66FF867C}">
                  <a14:compatExt spid="_x0000_s11348"/>
                </a:ext>
                <a:ext uri="{FF2B5EF4-FFF2-40B4-BE49-F238E27FC236}">
                  <a16:creationId xmlns:a16="http://schemas.microsoft.com/office/drawing/2014/main" id="{00000000-0008-0000-0E00-00005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266700</xdr:rowOff>
        </xdr:from>
        <xdr:to>
          <xdr:col>11</xdr:col>
          <xdr:colOff>1752600</xdr:colOff>
          <xdr:row>77</xdr:row>
          <xdr:rowOff>182880</xdr:rowOff>
        </xdr:to>
        <xdr:sp macro="" textlink="">
          <xdr:nvSpPr>
            <xdr:cNvPr id="11349" name="Check Box 85" hidden="1">
              <a:extLst>
                <a:ext uri="{63B3BB69-23CF-44E3-9099-C40C66FF867C}">
                  <a14:compatExt spid="_x0000_s11349"/>
                </a:ext>
                <a:ext uri="{FF2B5EF4-FFF2-40B4-BE49-F238E27FC236}">
                  <a16:creationId xmlns:a16="http://schemas.microsoft.com/office/drawing/2014/main" id="{00000000-0008-0000-0E00-00005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77</xdr:row>
          <xdr:rowOff>144780</xdr:rowOff>
        </xdr:from>
        <xdr:to>
          <xdr:col>11</xdr:col>
          <xdr:colOff>1752600</xdr:colOff>
          <xdr:row>78</xdr:row>
          <xdr:rowOff>30480</xdr:rowOff>
        </xdr:to>
        <xdr:sp macro="" textlink="">
          <xdr:nvSpPr>
            <xdr:cNvPr id="11350" name="Check Box 86" hidden="1">
              <a:extLst>
                <a:ext uri="{63B3BB69-23CF-44E3-9099-C40C66FF867C}">
                  <a14:compatExt spid="_x0000_s11350"/>
                </a:ext>
                <a:ext uri="{FF2B5EF4-FFF2-40B4-BE49-F238E27FC236}">
                  <a16:creationId xmlns:a16="http://schemas.microsoft.com/office/drawing/2014/main" id="{00000000-0008-0000-0E00-00005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30480</xdr:rowOff>
        </xdr:from>
        <xdr:to>
          <xdr:col>11</xdr:col>
          <xdr:colOff>1752600</xdr:colOff>
          <xdr:row>76</xdr:row>
          <xdr:rowOff>320040</xdr:rowOff>
        </xdr:to>
        <xdr:sp macro="" textlink="">
          <xdr:nvSpPr>
            <xdr:cNvPr id="11351" name="Check Box 87" hidden="1">
              <a:extLst>
                <a:ext uri="{63B3BB69-23CF-44E3-9099-C40C66FF867C}">
                  <a14:compatExt spid="_x0000_s11351"/>
                </a:ext>
                <a:ext uri="{FF2B5EF4-FFF2-40B4-BE49-F238E27FC236}">
                  <a16:creationId xmlns:a16="http://schemas.microsoft.com/office/drawing/2014/main" id="{00000000-0008-0000-0E00-00005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266700</xdr:rowOff>
        </xdr:from>
        <xdr:to>
          <xdr:col>11</xdr:col>
          <xdr:colOff>1752600</xdr:colOff>
          <xdr:row>79</xdr:row>
          <xdr:rowOff>137160</xdr:rowOff>
        </xdr:to>
        <xdr:sp macro="" textlink="">
          <xdr:nvSpPr>
            <xdr:cNvPr id="11352" name="Check Box 88" hidden="1">
              <a:extLst>
                <a:ext uri="{63B3BB69-23CF-44E3-9099-C40C66FF867C}">
                  <a14:compatExt spid="_x0000_s11352"/>
                </a:ext>
                <a:ext uri="{FF2B5EF4-FFF2-40B4-BE49-F238E27FC236}">
                  <a16:creationId xmlns:a16="http://schemas.microsoft.com/office/drawing/2014/main" id="{00000000-0008-0000-0E00-00005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144780</xdr:rowOff>
        </xdr:from>
        <xdr:to>
          <xdr:col>11</xdr:col>
          <xdr:colOff>1752600</xdr:colOff>
          <xdr:row>80</xdr:row>
          <xdr:rowOff>0</xdr:rowOff>
        </xdr:to>
        <xdr:sp macro="" textlink="">
          <xdr:nvSpPr>
            <xdr:cNvPr id="11353" name="Check Box 89" hidden="1">
              <a:extLst>
                <a:ext uri="{63B3BB69-23CF-44E3-9099-C40C66FF867C}">
                  <a14:compatExt spid="_x0000_s11353"/>
                </a:ext>
                <a:ext uri="{FF2B5EF4-FFF2-40B4-BE49-F238E27FC236}">
                  <a16:creationId xmlns:a16="http://schemas.microsoft.com/office/drawing/2014/main" id="{00000000-0008-0000-0E00-00005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30480</xdr:rowOff>
        </xdr:from>
        <xdr:to>
          <xdr:col>11</xdr:col>
          <xdr:colOff>1752600</xdr:colOff>
          <xdr:row>78</xdr:row>
          <xdr:rowOff>228600</xdr:rowOff>
        </xdr:to>
        <xdr:sp macro="" textlink="">
          <xdr:nvSpPr>
            <xdr:cNvPr id="11354" name="Check Box 90" hidden="1">
              <a:extLst>
                <a:ext uri="{63B3BB69-23CF-44E3-9099-C40C66FF867C}">
                  <a14:compatExt spid="_x0000_s11354"/>
                </a:ext>
                <a:ext uri="{FF2B5EF4-FFF2-40B4-BE49-F238E27FC236}">
                  <a16:creationId xmlns:a16="http://schemas.microsoft.com/office/drawing/2014/main" id="{00000000-0008-0000-0E00-00005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266700</xdr:rowOff>
        </xdr:from>
        <xdr:to>
          <xdr:col>11</xdr:col>
          <xdr:colOff>1752600</xdr:colOff>
          <xdr:row>81</xdr:row>
          <xdr:rowOff>167640</xdr:rowOff>
        </xdr:to>
        <xdr:sp macro="" textlink="">
          <xdr:nvSpPr>
            <xdr:cNvPr id="11355" name="Check Box 91" hidden="1">
              <a:extLst>
                <a:ext uri="{63B3BB69-23CF-44E3-9099-C40C66FF867C}">
                  <a14:compatExt spid="_x0000_s11355"/>
                </a:ext>
                <a:ext uri="{FF2B5EF4-FFF2-40B4-BE49-F238E27FC236}">
                  <a16:creationId xmlns:a16="http://schemas.microsoft.com/office/drawing/2014/main" id="{00000000-0008-0000-0E00-00005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144780</xdr:rowOff>
        </xdr:from>
        <xdr:to>
          <xdr:col>11</xdr:col>
          <xdr:colOff>1752600</xdr:colOff>
          <xdr:row>82</xdr:row>
          <xdr:rowOff>30480</xdr:rowOff>
        </xdr:to>
        <xdr:sp macro="" textlink="">
          <xdr:nvSpPr>
            <xdr:cNvPr id="11356" name="Check Box 92" hidden="1">
              <a:extLst>
                <a:ext uri="{63B3BB69-23CF-44E3-9099-C40C66FF867C}">
                  <a14:compatExt spid="_x0000_s11356"/>
                </a:ext>
                <a:ext uri="{FF2B5EF4-FFF2-40B4-BE49-F238E27FC236}">
                  <a16:creationId xmlns:a16="http://schemas.microsoft.com/office/drawing/2014/main" id="{00000000-0008-0000-0E00-00005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30480</xdr:rowOff>
        </xdr:from>
        <xdr:to>
          <xdr:col>11</xdr:col>
          <xdr:colOff>1752600</xdr:colOff>
          <xdr:row>80</xdr:row>
          <xdr:rowOff>320040</xdr:rowOff>
        </xdr:to>
        <xdr:sp macro="" textlink="">
          <xdr:nvSpPr>
            <xdr:cNvPr id="11357" name="Check Box 93" hidden="1">
              <a:extLst>
                <a:ext uri="{63B3BB69-23CF-44E3-9099-C40C66FF867C}">
                  <a14:compatExt spid="_x0000_s11357"/>
                </a:ext>
                <a:ext uri="{FF2B5EF4-FFF2-40B4-BE49-F238E27FC236}">
                  <a16:creationId xmlns:a16="http://schemas.microsoft.com/office/drawing/2014/main" id="{00000000-0008-0000-0E00-00005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266700</xdr:rowOff>
        </xdr:from>
        <xdr:to>
          <xdr:col>11</xdr:col>
          <xdr:colOff>1752600</xdr:colOff>
          <xdr:row>83</xdr:row>
          <xdr:rowOff>167640</xdr:rowOff>
        </xdr:to>
        <xdr:sp macro="" textlink="">
          <xdr:nvSpPr>
            <xdr:cNvPr id="11358" name="Check Box 94" hidden="1">
              <a:extLst>
                <a:ext uri="{63B3BB69-23CF-44E3-9099-C40C66FF867C}">
                  <a14:compatExt spid="_x0000_s11358"/>
                </a:ext>
                <a:ext uri="{FF2B5EF4-FFF2-40B4-BE49-F238E27FC236}">
                  <a16:creationId xmlns:a16="http://schemas.microsoft.com/office/drawing/2014/main" id="{00000000-0008-0000-0E00-00005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144780</xdr:rowOff>
        </xdr:from>
        <xdr:to>
          <xdr:col>11</xdr:col>
          <xdr:colOff>1752600</xdr:colOff>
          <xdr:row>84</xdr:row>
          <xdr:rowOff>0</xdr:rowOff>
        </xdr:to>
        <xdr:sp macro="" textlink="">
          <xdr:nvSpPr>
            <xdr:cNvPr id="11359" name="Check Box 95" hidden="1">
              <a:extLst>
                <a:ext uri="{63B3BB69-23CF-44E3-9099-C40C66FF867C}">
                  <a14:compatExt spid="_x0000_s11359"/>
                </a:ext>
                <a:ext uri="{FF2B5EF4-FFF2-40B4-BE49-F238E27FC236}">
                  <a16:creationId xmlns:a16="http://schemas.microsoft.com/office/drawing/2014/main" id="{00000000-0008-0000-0E00-00005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30480</xdr:rowOff>
        </xdr:from>
        <xdr:to>
          <xdr:col>11</xdr:col>
          <xdr:colOff>1752600</xdr:colOff>
          <xdr:row>82</xdr:row>
          <xdr:rowOff>320040</xdr:rowOff>
        </xdr:to>
        <xdr:sp macro="" textlink="">
          <xdr:nvSpPr>
            <xdr:cNvPr id="11360" name="Check Box 96" hidden="1">
              <a:extLst>
                <a:ext uri="{63B3BB69-23CF-44E3-9099-C40C66FF867C}">
                  <a14:compatExt spid="_x0000_s11360"/>
                </a:ext>
                <a:ext uri="{FF2B5EF4-FFF2-40B4-BE49-F238E27FC236}">
                  <a16:creationId xmlns:a16="http://schemas.microsoft.com/office/drawing/2014/main" id="{00000000-0008-0000-0E00-00006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266700</xdr:rowOff>
        </xdr:from>
        <xdr:to>
          <xdr:col>11</xdr:col>
          <xdr:colOff>1752600</xdr:colOff>
          <xdr:row>85</xdr:row>
          <xdr:rowOff>182880</xdr:rowOff>
        </xdr:to>
        <xdr:sp macro="" textlink="">
          <xdr:nvSpPr>
            <xdr:cNvPr id="11361" name="Check Box 97" hidden="1">
              <a:extLst>
                <a:ext uri="{63B3BB69-23CF-44E3-9099-C40C66FF867C}">
                  <a14:compatExt spid="_x0000_s11361"/>
                </a:ext>
                <a:ext uri="{FF2B5EF4-FFF2-40B4-BE49-F238E27FC236}">
                  <a16:creationId xmlns:a16="http://schemas.microsoft.com/office/drawing/2014/main" id="{00000000-0008-0000-0E00-00006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144780</xdr:rowOff>
        </xdr:from>
        <xdr:to>
          <xdr:col>11</xdr:col>
          <xdr:colOff>1752600</xdr:colOff>
          <xdr:row>86</xdr:row>
          <xdr:rowOff>30480</xdr:rowOff>
        </xdr:to>
        <xdr:sp macro="" textlink="">
          <xdr:nvSpPr>
            <xdr:cNvPr id="11362" name="Check Box 98" hidden="1">
              <a:extLst>
                <a:ext uri="{63B3BB69-23CF-44E3-9099-C40C66FF867C}">
                  <a14:compatExt spid="_x0000_s11362"/>
                </a:ext>
                <a:ext uri="{FF2B5EF4-FFF2-40B4-BE49-F238E27FC236}">
                  <a16:creationId xmlns:a16="http://schemas.microsoft.com/office/drawing/2014/main" id="{00000000-0008-0000-0E00-00006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30480</xdr:rowOff>
        </xdr:from>
        <xdr:to>
          <xdr:col>11</xdr:col>
          <xdr:colOff>1752600</xdr:colOff>
          <xdr:row>84</xdr:row>
          <xdr:rowOff>228600</xdr:rowOff>
        </xdr:to>
        <xdr:sp macro="" textlink="">
          <xdr:nvSpPr>
            <xdr:cNvPr id="11363" name="Check Box 99" hidden="1">
              <a:extLst>
                <a:ext uri="{63B3BB69-23CF-44E3-9099-C40C66FF867C}">
                  <a14:compatExt spid="_x0000_s11363"/>
                </a:ext>
                <a:ext uri="{FF2B5EF4-FFF2-40B4-BE49-F238E27FC236}">
                  <a16:creationId xmlns:a16="http://schemas.microsoft.com/office/drawing/2014/main" id="{00000000-0008-0000-0E00-00006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266700</xdr:rowOff>
        </xdr:from>
        <xdr:to>
          <xdr:col>11</xdr:col>
          <xdr:colOff>1752600</xdr:colOff>
          <xdr:row>87</xdr:row>
          <xdr:rowOff>167640</xdr:rowOff>
        </xdr:to>
        <xdr:sp macro="" textlink="">
          <xdr:nvSpPr>
            <xdr:cNvPr id="11364" name="Check Box 100" hidden="1">
              <a:extLst>
                <a:ext uri="{63B3BB69-23CF-44E3-9099-C40C66FF867C}">
                  <a14:compatExt spid="_x0000_s11364"/>
                </a:ext>
                <a:ext uri="{FF2B5EF4-FFF2-40B4-BE49-F238E27FC236}">
                  <a16:creationId xmlns:a16="http://schemas.microsoft.com/office/drawing/2014/main" id="{00000000-0008-0000-0E00-00006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144780</xdr:rowOff>
        </xdr:from>
        <xdr:to>
          <xdr:col>11</xdr:col>
          <xdr:colOff>1752600</xdr:colOff>
          <xdr:row>88</xdr:row>
          <xdr:rowOff>0</xdr:rowOff>
        </xdr:to>
        <xdr:sp macro="" textlink="">
          <xdr:nvSpPr>
            <xdr:cNvPr id="11365" name="Check Box 101" hidden="1">
              <a:extLst>
                <a:ext uri="{63B3BB69-23CF-44E3-9099-C40C66FF867C}">
                  <a14:compatExt spid="_x0000_s11365"/>
                </a:ext>
                <a:ext uri="{FF2B5EF4-FFF2-40B4-BE49-F238E27FC236}">
                  <a16:creationId xmlns:a16="http://schemas.microsoft.com/office/drawing/2014/main" id="{00000000-0008-0000-0E00-00006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30480</xdr:rowOff>
        </xdr:from>
        <xdr:to>
          <xdr:col>11</xdr:col>
          <xdr:colOff>1752600</xdr:colOff>
          <xdr:row>86</xdr:row>
          <xdr:rowOff>228600</xdr:rowOff>
        </xdr:to>
        <xdr:sp macro="" textlink="">
          <xdr:nvSpPr>
            <xdr:cNvPr id="11366" name="Check Box 102" hidden="1">
              <a:extLst>
                <a:ext uri="{63B3BB69-23CF-44E3-9099-C40C66FF867C}">
                  <a14:compatExt spid="_x0000_s11366"/>
                </a:ext>
                <a:ext uri="{FF2B5EF4-FFF2-40B4-BE49-F238E27FC236}">
                  <a16:creationId xmlns:a16="http://schemas.microsoft.com/office/drawing/2014/main" id="{00000000-0008-0000-0E00-00006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266700</xdr:rowOff>
        </xdr:from>
        <xdr:to>
          <xdr:col>11</xdr:col>
          <xdr:colOff>1752600</xdr:colOff>
          <xdr:row>89</xdr:row>
          <xdr:rowOff>167640</xdr:rowOff>
        </xdr:to>
        <xdr:sp macro="" textlink="">
          <xdr:nvSpPr>
            <xdr:cNvPr id="11367" name="Check Box 103" hidden="1">
              <a:extLst>
                <a:ext uri="{63B3BB69-23CF-44E3-9099-C40C66FF867C}">
                  <a14:compatExt spid="_x0000_s11367"/>
                </a:ext>
                <a:ext uri="{FF2B5EF4-FFF2-40B4-BE49-F238E27FC236}">
                  <a16:creationId xmlns:a16="http://schemas.microsoft.com/office/drawing/2014/main" id="{00000000-0008-0000-0E00-00006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89</xdr:row>
          <xdr:rowOff>144780</xdr:rowOff>
        </xdr:from>
        <xdr:to>
          <xdr:col>11</xdr:col>
          <xdr:colOff>1752600</xdr:colOff>
          <xdr:row>90</xdr:row>
          <xdr:rowOff>30480</xdr:rowOff>
        </xdr:to>
        <xdr:sp macro="" textlink="">
          <xdr:nvSpPr>
            <xdr:cNvPr id="11368" name="Check Box 104" hidden="1">
              <a:extLst>
                <a:ext uri="{63B3BB69-23CF-44E3-9099-C40C66FF867C}">
                  <a14:compatExt spid="_x0000_s11368"/>
                </a:ext>
                <a:ext uri="{FF2B5EF4-FFF2-40B4-BE49-F238E27FC236}">
                  <a16:creationId xmlns:a16="http://schemas.microsoft.com/office/drawing/2014/main" id="{00000000-0008-0000-0E00-00006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30480</xdr:rowOff>
        </xdr:from>
        <xdr:to>
          <xdr:col>11</xdr:col>
          <xdr:colOff>1752600</xdr:colOff>
          <xdr:row>88</xdr:row>
          <xdr:rowOff>205740</xdr:rowOff>
        </xdr:to>
        <xdr:sp macro="" textlink="">
          <xdr:nvSpPr>
            <xdr:cNvPr id="11369" name="Check Box 105" hidden="1">
              <a:extLst>
                <a:ext uri="{63B3BB69-23CF-44E3-9099-C40C66FF867C}">
                  <a14:compatExt spid="_x0000_s11369"/>
                </a:ext>
                <a:ext uri="{FF2B5EF4-FFF2-40B4-BE49-F238E27FC236}">
                  <a16:creationId xmlns:a16="http://schemas.microsoft.com/office/drawing/2014/main" id="{00000000-0008-0000-0E00-00006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266700</xdr:rowOff>
        </xdr:from>
        <xdr:to>
          <xdr:col>11</xdr:col>
          <xdr:colOff>1752600</xdr:colOff>
          <xdr:row>91</xdr:row>
          <xdr:rowOff>182880</xdr:rowOff>
        </xdr:to>
        <xdr:sp macro="" textlink="">
          <xdr:nvSpPr>
            <xdr:cNvPr id="11370" name="Check Box 106" hidden="1">
              <a:extLst>
                <a:ext uri="{63B3BB69-23CF-44E3-9099-C40C66FF867C}">
                  <a14:compatExt spid="_x0000_s11370"/>
                </a:ext>
                <a:ext uri="{FF2B5EF4-FFF2-40B4-BE49-F238E27FC236}">
                  <a16:creationId xmlns:a16="http://schemas.microsoft.com/office/drawing/2014/main" id="{00000000-0008-0000-0E00-00006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144780</xdr:rowOff>
        </xdr:from>
        <xdr:to>
          <xdr:col>11</xdr:col>
          <xdr:colOff>1752600</xdr:colOff>
          <xdr:row>92</xdr:row>
          <xdr:rowOff>0</xdr:rowOff>
        </xdr:to>
        <xdr:sp macro="" textlink="">
          <xdr:nvSpPr>
            <xdr:cNvPr id="11371" name="Check Box 107" hidden="1">
              <a:extLst>
                <a:ext uri="{63B3BB69-23CF-44E3-9099-C40C66FF867C}">
                  <a14:compatExt spid="_x0000_s11371"/>
                </a:ext>
                <a:ext uri="{FF2B5EF4-FFF2-40B4-BE49-F238E27FC236}">
                  <a16:creationId xmlns:a16="http://schemas.microsoft.com/office/drawing/2014/main" id="{00000000-0008-0000-0E00-00006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30480</xdr:rowOff>
        </xdr:from>
        <xdr:to>
          <xdr:col>11</xdr:col>
          <xdr:colOff>1752600</xdr:colOff>
          <xdr:row>90</xdr:row>
          <xdr:rowOff>320040</xdr:rowOff>
        </xdr:to>
        <xdr:sp macro="" textlink="">
          <xdr:nvSpPr>
            <xdr:cNvPr id="11372" name="Check Box 108" hidden="1">
              <a:extLst>
                <a:ext uri="{63B3BB69-23CF-44E3-9099-C40C66FF867C}">
                  <a14:compatExt spid="_x0000_s11372"/>
                </a:ext>
                <a:ext uri="{FF2B5EF4-FFF2-40B4-BE49-F238E27FC236}">
                  <a16:creationId xmlns:a16="http://schemas.microsoft.com/office/drawing/2014/main" id="{00000000-0008-0000-0E00-00006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266700</xdr:rowOff>
        </xdr:from>
        <xdr:to>
          <xdr:col>11</xdr:col>
          <xdr:colOff>1752600</xdr:colOff>
          <xdr:row>93</xdr:row>
          <xdr:rowOff>167640</xdr:rowOff>
        </xdr:to>
        <xdr:sp macro="" textlink="">
          <xdr:nvSpPr>
            <xdr:cNvPr id="11373" name="Check Box 109" hidden="1">
              <a:extLst>
                <a:ext uri="{63B3BB69-23CF-44E3-9099-C40C66FF867C}">
                  <a14:compatExt spid="_x0000_s11373"/>
                </a:ext>
                <a:ext uri="{FF2B5EF4-FFF2-40B4-BE49-F238E27FC236}">
                  <a16:creationId xmlns:a16="http://schemas.microsoft.com/office/drawing/2014/main" id="{00000000-0008-0000-0E00-00006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144780</xdr:rowOff>
        </xdr:from>
        <xdr:to>
          <xdr:col>11</xdr:col>
          <xdr:colOff>1752600</xdr:colOff>
          <xdr:row>94</xdr:row>
          <xdr:rowOff>30480</xdr:rowOff>
        </xdr:to>
        <xdr:sp macro="" textlink="">
          <xdr:nvSpPr>
            <xdr:cNvPr id="11374" name="Check Box 110" hidden="1">
              <a:extLst>
                <a:ext uri="{63B3BB69-23CF-44E3-9099-C40C66FF867C}">
                  <a14:compatExt spid="_x0000_s11374"/>
                </a:ext>
                <a:ext uri="{FF2B5EF4-FFF2-40B4-BE49-F238E27FC236}">
                  <a16:creationId xmlns:a16="http://schemas.microsoft.com/office/drawing/2014/main" id="{00000000-0008-0000-0E00-00006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30480</xdr:rowOff>
        </xdr:from>
        <xdr:to>
          <xdr:col>11</xdr:col>
          <xdr:colOff>1752600</xdr:colOff>
          <xdr:row>92</xdr:row>
          <xdr:rowOff>320040</xdr:rowOff>
        </xdr:to>
        <xdr:sp macro="" textlink="">
          <xdr:nvSpPr>
            <xdr:cNvPr id="11375" name="Check Box 111" hidden="1">
              <a:extLst>
                <a:ext uri="{63B3BB69-23CF-44E3-9099-C40C66FF867C}">
                  <a14:compatExt spid="_x0000_s11375"/>
                </a:ext>
                <a:ext uri="{FF2B5EF4-FFF2-40B4-BE49-F238E27FC236}">
                  <a16:creationId xmlns:a16="http://schemas.microsoft.com/office/drawing/2014/main" id="{00000000-0008-0000-0E00-00006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266700</xdr:rowOff>
        </xdr:from>
        <xdr:to>
          <xdr:col>11</xdr:col>
          <xdr:colOff>1752600</xdr:colOff>
          <xdr:row>95</xdr:row>
          <xdr:rowOff>167640</xdr:rowOff>
        </xdr:to>
        <xdr:sp macro="" textlink="">
          <xdr:nvSpPr>
            <xdr:cNvPr id="11376" name="Check Box 112" hidden="1">
              <a:extLst>
                <a:ext uri="{63B3BB69-23CF-44E3-9099-C40C66FF867C}">
                  <a14:compatExt spid="_x0000_s11376"/>
                </a:ext>
                <a:ext uri="{FF2B5EF4-FFF2-40B4-BE49-F238E27FC236}">
                  <a16:creationId xmlns:a16="http://schemas.microsoft.com/office/drawing/2014/main" id="{00000000-0008-0000-0E00-00007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144780</xdr:rowOff>
        </xdr:from>
        <xdr:to>
          <xdr:col>11</xdr:col>
          <xdr:colOff>1752600</xdr:colOff>
          <xdr:row>96</xdr:row>
          <xdr:rowOff>0</xdr:rowOff>
        </xdr:to>
        <xdr:sp macro="" textlink="">
          <xdr:nvSpPr>
            <xdr:cNvPr id="11377" name="Check Box 113" hidden="1">
              <a:extLst>
                <a:ext uri="{63B3BB69-23CF-44E3-9099-C40C66FF867C}">
                  <a14:compatExt spid="_x0000_s11377"/>
                </a:ext>
                <a:ext uri="{FF2B5EF4-FFF2-40B4-BE49-F238E27FC236}">
                  <a16:creationId xmlns:a16="http://schemas.microsoft.com/office/drawing/2014/main" id="{00000000-0008-0000-0E00-00007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30480</xdr:rowOff>
        </xdr:from>
        <xdr:to>
          <xdr:col>11</xdr:col>
          <xdr:colOff>1752600</xdr:colOff>
          <xdr:row>94</xdr:row>
          <xdr:rowOff>320040</xdr:rowOff>
        </xdr:to>
        <xdr:sp macro="" textlink="">
          <xdr:nvSpPr>
            <xdr:cNvPr id="11378" name="Check Box 114" hidden="1">
              <a:extLst>
                <a:ext uri="{63B3BB69-23CF-44E3-9099-C40C66FF867C}">
                  <a14:compatExt spid="_x0000_s11378"/>
                </a:ext>
                <a:ext uri="{FF2B5EF4-FFF2-40B4-BE49-F238E27FC236}">
                  <a16:creationId xmlns:a16="http://schemas.microsoft.com/office/drawing/2014/main" id="{00000000-0008-0000-0E00-00007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266700</xdr:rowOff>
        </xdr:from>
        <xdr:to>
          <xdr:col>11</xdr:col>
          <xdr:colOff>1752600</xdr:colOff>
          <xdr:row>97</xdr:row>
          <xdr:rowOff>167640</xdr:rowOff>
        </xdr:to>
        <xdr:sp macro="" textlink="">
          <xdr:nvSpPr>
            <xdr:cNvPr id="11379" name="Check Box 115" hidden="1">
              <a:extLst>
                <a:ext uri="{63B3BB69-23CF-44E3-9099-C40C66FF867C}">
                  <a14:compatExt spid="_x0000_s11379"/>
                </a:ext>
                <a:ext uri="{FF2B5EF4-FFF2-40B4-BE49-F238E27FC236}">
                  <a16:creationId xmlns:a16="http://schemas.microsoft.com/office/drawing/2014/main" id="{00000000-0008-0000-0E00-00007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144780</xdr:rowOff>
        </xdr:from>
        <xdr:to>
          <xdr:col>11</xdr:col>
          <xdr:colOff>1752600</xdr:colOff>
          <xdr:row>98</xdr:row>
          <xdr:rowOff>30480</xdr:rowOff>
        </xdr:to>
        <xdr:sp macro="" textlink="">
          <xdr:nvSpPr>
            <xdr:cNvPr id="11380" name="Check Box 116" hidden="1">
              <a:extLst>
                <a:ext uri="{63B3BB69-23CF-44E3-9099-C40C66FF867C}">
                  <a14:compatExt spid="_x0000_s11380"/>
                </a:ext>
                <a:ext uri="{FF2B5EF4-FFF2-40B4-BE49-F238E27FC236}">
                  <a16:creationId xmlns:a16="http://schemas.microsoft.com/office/drawing/2014/main" id="{00000000-0008-0000-0E00-00007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30480</xdr:rowOff>
        </xdr:from>
        <xdr:to>
          <xdr:col>11</xdr:col>
          <xdr:colOff>1752600</xdr:colOff>
          <xdr:row>96</xdr:row>
          <xdr:rowOff>205740</xdr:rowOff>
        </xdr:to>
        <xdr:sp macro="" textlink="">
          <xdr:nvSpPr>
            <xdr:cNvPr id="11381" name="Check Box 117" hidden="1">
              <a:extLst>
                <a:ext uri="{63B3BB69-23CF-44E3-9099-C40C66FF867C}">
                  <a14:compatExt spid="_x0000_s11381"/>
                </a:ext>
                <a:ext uri="{FF2B5EF4-FFF2-40B4-BE49-F238E27FC236}">
                  <a16:creationId xmlns:a16="http://schemas.microsoft.com/office/drawing/2014/main" id="{00000000-0008-0000-0E00-00007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266700</xdr:rowOff>
        </xdr:from>
        <xdr:to>
          <xdr:col>11</xdr:col>
          <xdr:colOff>1752600</xdr:colOff>
          <xdr:row>99</xdr:row>
          <xdr:rowOff>137160</xdr:rowOff>
        </xdr:to>
        <xdr:sp macro="" textlink="">
          <xdr:nvSpPr>
            <xdr:cNvPr id="11382" name="Check Box 118" hidden="1">
              <a:extLst>
                <a:ext uri="{63B3BB69-23CF-44E3-9099-C40C66FF867C}">
                  <a14:compatExt spid="_x0000_s11382"/>
                </a:ext>
                <a:ext uri="{FF2B5EF4-FFF2-40B4-BE49-F238E27FC236}">
                  <a16:creationId xmlns:a16="http://schemas.microsoft.com/office/drawing/2014/main" id="{00000000-0008-0000-0E00-00007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144780</xdr:rowOff>
        </xdr:from>
        <xdr:to>
          <xdr:col>11</xdr:col>
          <xdr:colOff>1752600</xdr:colOff>
          <xdr:row>100</xdr:row>
          <xdr:rowOff>0</xdr:rowOff>
        </xdr:to>
        <xdr:sp macro="" textlink="">
          <xdr:nvSpPr>
            <xdr:cNvPr id="11383" name="Check Box 119" hidden="1">
              <a:extLst>
                <a:ext uri="{63B3BB69-23CF-44E3-9099-C40C66FF867C}">
                  <a14:compatExt spid="_x0000_s11383"/>
                </a:ext>
                <a:ext uri="{FF2B5EF4-FFF2-40B4-BE49-F238E27FC236}">
                  <a16:creationId xmlns:a16="http://schemas.microsoft.com/office/drawing/2014/main" id="{00000000-0008-0000-0E00-00007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30480</xdr:rowOff>
        </xdr:from>
        <xdr:to>
          <xdr:col>11</xdr:col>
          <xdr:colOff>1752600</xdr:colOff>
          <xdr:row>98</xdr:row>
          <xdr:rowOff>228600</xdr:rowOff>
        </xdr:to>
        <xdr:sp macro="" textlink="">
          <xdr:nvSpPr>
            <xdr:cNvPr id="11384" name="Check Box 120" hidden="1">
              <a:extLst>
                <a:ext uri="{63B3BB69-23CF-44E3-9099-C40C66FF867C}">
                  <a14:compatExt spid="_x0000_s11384"/>
                </a:ext>
                <a:ext uri="{FF2B5EF4-FFF2-40B4-BE49-F238E27FC236}">
                  <a16:creationId xmlns:a16="http://schemas.microsoft.com/office/drawing/2014/main" id="{00000000-0008-0000-0E00-00007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266700</xdr:rowOff>
        </xdr:from>
        <xdr:to>
          <xdr:col>11</xdr:col>
          <xdr:colOff>1752600</xdr:colOff>
          <xdr:row>101</xdr:row>
          <xdr:rowOff>167640</xdr:rowOff>
        </xdr:to>
        <xdr:sp macro="" textlink="">
          <xdr:nvSpPr>
            <xdr:cNvPr id="11385" name="Check Box 121" hidden="1">
              <a:extLst>
                <a:ext uri="{63B3BB69-23CF-44E3-9099-C40C66FF867C}">
                  <a14:compatExt spid="_x0000_s11385"/>
                </a:ext>
                <a:ext uri="{FF2B5EF4-FFF2-40B4-BE49-F238E27FC236}">
                  <a16:creationId xmlns:a16="http://schemas.microsoft.com/office/drawing/2014/main" id="{00000000-0008-0000-0E00-00007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144780</xdr:rowOff>
        </xdr:from>
        <xdr:to>
          <xdr:col>11</xdr:col>
          <xdr:colOff>1752600</xdr:colOff>
          <xdr:row>102</xdr:row>
          <xdr:rowOff>99060</xdr:rowOff>
        </xdr:to>
        <xdr:sp macro="" textlink="">
          <xdr:nvSpPr>
            <xdr:cNvPr id="11386" name="Check Box 122" hidden="1">
              <a:extLst>
                <a:ext uri="{63B3BB69-23CF-44E3-9099-C40C66FF867C}">
                  <a14:compatExt spid="_x0000_s11386"/>
                </a:ext>
                <a:ext uri="{FF2B5EF4-FFF2-40B4-BE49-F238E27FC236}">
                  <a16:creationId xmlns:a16="http://schemas.microsoft.com/office/drawing/2014/main" id="{00000000-0008-0000-0E00-00007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30480</xdr:rowOff>
        </xdr:from>
        <xdr:to>
          <xdr:col>11</xdr:col>
          <xdr:colOff>1752600</xdr:colOff>
          <xdr:row>100</xdr:row>
          <xdr:rowOff>320040</xdr:rowOff>
        </xdr:to>
        <xdr:sp macro="" textlink="">
          <xdr:nvSpPr>
            <xdr:cNvPr id="11387" name="Check Box 123" hidden="1">
              <a:extLst>
                <a:ext uri="{63B3BB69-23CF-44E3-9099-C40C66FF867C}">
                  <a14:compatExt spid="_x0000_s11387"/>
                </a:ext>
                <a:ext uri="{FF2B5EF4-FFF2-40B4-BE49-F238E27FC236}">
                  <a16:creationId xmlns:a16="http://schemas.microsoft.com/office/drawing/2014/main" id="{00000000-0008-0000-0E00-00007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266700</xdr:rowOff>
        </xdr:from>
        <xdr:to>
          <xdr:col>11</xdr:col>
          <xdr:colOff>1752600</xdr:colOff>
          <xdr:row>103</xdr:row>
          <xdr:rowOff>167640</xdr:rowOff>
        </xdr:to>
        <xdr:sp macro="" textlink="">
          <xdr:nvSpPr>
            <xdr:cNvPr id="11388" name="Check Box 124" hidden="1">
              <a:extLst>
                <a:ext uri="{63B3BB69-23CF-44E3-9099-C40C66FF867C}">
                  <a14:compatExt spid="_x0000_s11388"/>
                </a:ext>
                <a:ext uri="{FF2B5EF4-FFF2-40B4-BE49-F238E27FC236}">
                  <a16:creationId xmlns:a16="http://schemas.microsoft.com/office/drawing/2014/main" id="{00000000-0008-0000-0E00-00007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144780</xdr:rowOff>
        </xdr:from>
        <xdr:to>
          <xdr:col>11</xdr:col>
          <xdr:colOff>1752600</xdr:colOff>
          <xdr:row>104</xdr:row>
          <xdr:rowOff>0</xdr:rowOff>
        </xdr:to>
        <xdr:sp macro="" textlink="">
          <xdr:nvSpPr>
            <xdr:cNvPr id="11389" name="Check Box 125" hidden="1">
              <a:extLst>
                <a:ext uri="{63B3BB69-23CF-44E3-9099-C40C66FF867C}">
                  <a14:compatExt spid="_x0000_s11389"/>
                </a:ext>
                <a:ext uri="{FF2B5EF4-FFF2-40B4-BE49-F238E27FC236}">
                  <a16:creationId xmlns:a16="http://schemas.microsoft.com/office/drawing/2014/main" id="{00000000-0008-0000-0E00-00007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30480</xdr:rowOff>
        </xdr:from>
        <xdr:to>
          <xdr:col>11</xdr:col>
          <xdr:colOff>1752600</xdr:colOff>
          <xdr:row>102</xdr:row>
          <xdr:rowOff>274320</xdr:rowOff>
        </xdr:to>
        <xdr:sp macro="" textlink="">
          <xdr:nvSpPr>
            <xdr:cNvPr id="11390" name="Check Box 126" hidden="1">
              <a:extLst>
                <a:ext uri="{63B3BB69-23CF-44E3-9099-C40C66FF867C}">
                  <a14:compatExt spid="_x0000_s11390"/>
                </a:ext>
                <a:ext uri="{FF2B5EF4-FFF2-40B4-BE49-F238E27FC236}">
                  <a16:creationId xmlns:a16="http://schemas.microsoft.com/office/drawing/2014/main" id="{00000000-0008-0000-0E00-00007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266700</xdr:rowOff>
        </xdr:from>
        <xdr:to>
          <xdr:col>11</xdr:col>
          <xdr:colOff>1752600</xdr:colOff>
          <xdr:row>105</xdr:row>
          <xdr:rowOff>167640</xdr:rowOff>
        </xdr:to>
        <xdr:sp macro="" textlink="">
          <xdr:nvSpPr>
            <xdr:cNvPr id="11391" name="Check Box 127" hidden="1">
              <a:extLst>
                <a:ext uri="{63B3BB69-23CF-44E3-9099-C40C66FF867C}">
                  <a14:compatExt spid="_x0000_s11391"/>
                </a:ext>
                <a:ext uri="{FF2B5EF4-FFF2-40B4-BE49-F238E27FC236}">
                  <a16:creationId xmlns:a16="http://schemas.microsoft.com/office/drawing/2014/main" id="{00000000-0008-0000-0E00-00007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144780</xdr:rowOff>
        </xdr:from>
        <xdr:to>
          <xdr:col>11</xdr:col>
          <xdr:colOff>1752600</xdr:colOff>
          <xdr:row>106</xdr:row>
          <xdr:rowOff>99060</xdr:rowOff>
        </xdr:to>
        <xdr:sp macro="" textlink="">
          <xdr:nvSpPr>
            <xdr:cNvPr id="11392" name="Check Box 128" hidden="1">
              <a:extLst>
                <a:ext uri="{63B3BB69-23CF-44E3-9099-C40C66FF867C}">
                  <a14:compatExt spid="_x0000_s11392"/>
                </a:ext>
                <a:ext uri="{FF2B5EF4-FFF2-40B4-BE49-F238E27FC236}">
                  <a16:creationId xmlns:a16="http://schemas.microsoft.com/office/drawing/2014/main" id="{00000000-0008-0000-0E00-00008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30480</xdr:rowOff>
        </xdr:from>
        <xdr:to>
          <xdr:col>11</xdr:col>
          <xdr:colOff>1752600</xdr:colOff>
          <xdr:row>104</xdr:row>
          <xdr:rowOff>327660</xdr:rowOff>
        </xdr:to>
        <xdr:sp macro="" textlink="">
          <xdr:nvSpPr>
            <xdr:cNvPr id="11393" name="Check Box 129" hidden="1">
              <a:extLst>
                <a:ext uri="{63B3BB69-23CF-44E3-9099-C40C66FF867C}">
                  <a14:compatExt spid="_x0000_s11393"/>
                </a:ext>
                <a:ext uri="{FF2B5EF4-FFF2-40B4-BE49-F238E27FC236}">
                  <a16:creationId xmlns:a16="http://schemas.microsoft.com/office/drawing/2014/main" id="{00000000-0008-0000-0E00-00008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266700</xdr:rowOff>
        </xdr:from>
        <xdr:to>
          <xdr:col>11</xdr:col>
          <xdr:colOff>1752600</xdr:colOff>
          <xdr:row>107</xdr:row>
          <xdr:rowOff>137160</xdr:rowOff>
        </xdr:to>
        <xdr:sp macro="" textlink="">
          <xdr:nvSpPr>
            <xdr:cNvPr id="11394" name="Check Box 130" hidden="1">
              <a:extLst>
                <a:ext uri="{63B3BB69-23CF-44E3-9099-C40C66FF867C}">
                  <a14:compatExt spid="_x0000_s11394"/>
                </a:ext>
                <a:ext uri="{FF2B5EF4-FFF2-40B4-BE49-F238E27FC236}">
                  <a16:creationId xmlns:a16="http://schemas.microsoft.com/office/drawing/2014/main" id="{00000000-0008-0000-0E00-00008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107</xdr:row>
          <xdr:rowOff>144780</xdr:rowOff>
        </xdr:from>
        <xdr:to>
          <xdr:col>11</xdr:col>
          <xdr:colOff>1752600</xdr:colOff>
          <xdr:row>108</xdr:row>
          <xdr:rowOff>0</xdr:rowOff>
        </xdr:to>
        <xdr:sp macro="" textlink="">
          <xdr:nvSpPr>
            <xdr:cNvPr id="11395" name="Check Box 131" hidden="1">
              <a:extLst>
                <a:ext uri="{63B3BB69-23CF-44E3-9099-C40C66FF867C}">
                  <a14:compatExt spid="_x0000_s11395"/>
                </a:ext>
                <a:ext uri="{FF2B5EF4-FFF2-40B4-BE49-F238E27FC236}">
                  <a16:creationId xmlns:a16="http://schemas.microsoft.com/office/drawing/2014/main" id="{00000000-0008-0000-0E00-00008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30480</xdr:rowOff>
        </xdr:from>
        <xdr:to>
          <xdr:col>11</xdr:col>
          <xdr:colOff>1752600</xdr:colOff>
          <xdr:row>106</xdr:row>
          <xdr:rowOff>327660</xdr:rowOff>
        </xdr:to>
        <xdr:sp macro="" textlink="">
          <xdr:nvSpPr>
            <xdr:cNvPr id="11396" name="Check Box 132" hidden="1">
              <a:extLst>
                <a:ext uri="{63B3BB69-23CF-44E3-9099-C40C66FF867C}">
                  <a14:compatExt spid="_x0000_s11396"/>
                </a:ext>
                <a:ext uri="{FF2B5EF4-FFF2-40B4-BE49-F238E27FC236}">
                  <a16:creationId xmlns:a16="http://schemas.microsoft.com/office/drawing/2014/main" id="{00000000-0008-0000-0E00-00008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266700</xdr:rowOff>
        </xdr:from>
        <xdr:to>
          <xdr:col>11</xdr:col>
          <xdr:colOff>1752600</xdr:colOff>
          <xdr:row>109</xdr:row>
          <xdr:rowOff>167640</xdr:rowOff>
        </xdr:to>
        <xdr:sp macro="" textlink="">
          <xdr:nvSpPr>
            <xdr:cNvPr id="11397" name="Check Box 133" hidden="1">
              <a:extLst>
                <a:ext uri="{63B3BB69-23CF-44E3-9099-C40C66FF867C}">
                  <a14:compatExt spid="_x0000_s11397"/>
                </a:ext>
                <a:ext uri="{FF2B5EF4-FFF2-40B4-BE49-F238E27FC236}">
                  <a16:creationId xmlns:a16="http://schemas.microsoft.com/office/drawing/2014/main" id="{00000000-0008-0000-0E00-00008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109</xdr:row>
          <xdr:rowOff>144780</xdr:rowOff>
        </xdr:from>
        <xdr:to>
          <xdr:col>11</xdr:col>
          <xdr:colOff>1752600</xdr:colOff>
          <xdr:row>110</xdr:row>
          <xdr:rowOff>99060</xdr:rowOff>
        </xdr:to>
        <xdr:sp macro="" textlink="">
          <xdr:nvSpPr>
            <xdr:cNvPr id="11398" name="Check Box 134" hidden="1">
              <a:extLst>
                <a:ext uri="{63B3BB69-23CF-44E3-9099-C40C66FF867C}">
                  <a14:compatExt spid="_x0000_s11398"/>
                </a:ext>
                <a:ext uri="{FF2B5EF4-FFF2-40B4-BE49-F238E27FC236}">
                  <a16:creationId xmlns:a16="http://schemas.microsoft.com/office/drawing/2014/main" id="{00000000-0008-0000-0E00-00008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30480</xdr:rowOff>
        </xdr:from>
        <xdr:to>
          <xdr:col>11</xdr:col>
          <xdr:colOff>1752600</xdr:colOff>
          <xdr:row>108</xdr:row>
          <xdr:rowOff>274320</xdr:rowOff>
        </xdr:to>
        <xdr:sp macro="" textlink="">
          <xdr:nvSpPr>
            <xdr:cNvPr id="11399" name="Check Box 135" hidden="1">
              <a:extLst>
                <a:ext uri="{63B3BB69-23CF-44E3-9099-C40C66FF867C}">
                  <a14:compatExt spid="_x0000_s11399"/>
                </a:ext>
                <a:ext uri="{FF2B5EF4-FFF2-40B4-BE49-F238E27FC236}">
                  <a16:creationId xmlns:a16="http://schemas.microsoft.com/office/drawing/2014/main" id="{00000000-0008-0000-0E00-00008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266700</xdr:rowOff>
        </xdr:from>
        <xdr:to>
          <xdr:col>11</xdr:col>
          <xdr:colOff>1752600</xdr:colOff>
          <xdr:row>143</xdr:row>
          <xdr:rowOff>182880</xdr:rowOff>
        </xdr:to>
        <xdr:sp macro="" textlink="">
          <xdr:nvSpPr>
            <xdr:cNvPr id="11400" name="Check Box 136" hidden="1">
              <a:extLst>
                <a:ext uri="{63B3BB69-23CF-44E3-9099-C40C66FF867C}">
                  <a14:compatExt spid="_x0000_s11400"/>
                </a:ext>
                <a:ext uri="{FF2B5EF4-FFF2-40B4-BE49-F238E27FC236}">
                  <a16:creationId xmlns:a16="http://schemas.microsoft.com/office/drawing/2014/main" id="{00000000-0008-0000-0E00-00008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143</xdr:row>
          <xdr:rowOff>144780</xdr:rowOff>
        </xdr:from>
        <xdr:to>
          <xdr:col>11</xdr:col>
          <xdr:colOff>1752600</xdr:colOff>
          <xdr:row>144</xdr:row>
          <xdr:rowOff>0</xdr:rowOff>
        </xdr:to>
        <xdr:sp macro="" textlink="">
          <xdr:nvSpPr>
            <xdr:cNvPr id="11401" name="Check Box 137" hidden="1">
              <a:extLst>
                <a:ext uri="{63B3BB69-23CF-44E3-9099-C40C66FF867C}">
                  <a14:compatExt spid="_x0000_s11401"/>
                </a:ext>
                <a:ext uri="{FF2B5EF4-FFF2-40B4-BE49-F238E27FC236}">
                  <a16:creationId xmlns:a16="http://schemas.microsoft.com/office/drawing/2014/main" id="{00000000-0008-0000-0E00-00008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30480</xdr:rowOff>
        </xdr:from>
        <xdr:to>
          <xdr:col>11</xdr:col>
          <xdr:colOff>1752600</xdr:colOff>
          <xdr:row>142</xdr:row>
          <xdr:rowOff>327660</xdr:rowOff>
        </xdr:to>
        <xdr:sp macro="" textlink="">
          <xdr:nvSpPr>
            <xdr:cNvPr id="11402" name="Check Box 138" hidden="1">
              <a:extLst>
                <a:ext uri="{63B3BB69-23CF-44E3-9099-C40C66FF867C}">
                  <a14:compatExt spid="_x0000_s11402"/>
                </a:ext>
                <a:ext uri="{FF2B5EF4-FFF2-40B4-BE49-F238E27FC236}">
                  <a16:creationId xmlns:a16="http://schemas.microsoft.com/office/drawing/2014/main" id="{00000000-0008-0000-0E00-00008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109</xdr:row>
          <xdr:rowOff>144780</xdr:rowOff>
        </xdr:from>
        <xdr:to>
          <xdr:col>11</xdr:col>
          <xdr:colOff>1752600</xdr:colOff>
          <xdr:row>110</xdr:row>
          <xdr:rowOff>99060</xdr:rowOff>
        </xdr:to>
        <xdr:sp macro="" textlink="">
          <xdr:nvSpPr>
            <xdr:cNvPr id="11404" name="Check Box 140" hidden="1">
              <a:extLst>
                <a:ext uri="{63B3BB69-23CF-44E3-9099-C40C66FF867C}">
                  <a14:compatExt spid="_x0000_s11404"/>
                </a:ext>
                <a:ext uri="{FF2B5EF4-FFF2-40B4-BE49-F238E27FC236}">
                  <a16:creationId xmlns:a16="http://schemas.microsoft.com/office/drawing/2014/main" id="{00000000-0008-0000-0E00-00008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266700</xdr:rowOff>
        </xdr:from>
        <xdr:to>
          <xdr:col>11</xdr:col>
          <xdr:colOff>1752600</xdr:colOff>
          <xdr:row>111</xdr:row>
          <xdr:rowOff>182880</xdr:rowOff>
        </xdr:to>
        <xdr:sp macro="" textlink="">
          <xdr:nvSpPr>
            <xdr:cNvPr id="11405" name="Check Box 141" hidden="1">
              <a:extLst>
                <a:ext uri="{63B3BB69-23CF-44E3-9099-C40C66FF867C}">
                  <a14:compatExt spid="_x0000_s11405"/>
                </a:ext>
                <a:ext uri="{FF2B5EF4-FFF2-40B4-BE49-F238E27FC236}">
                  <a16:creationId xmlns:a16="http://schemas.microsoft.com/office/drawing/2014/main" id="{00000000-0008-0000-0E00-00008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111</xdr:row>
          <xdr:rowOff>144780</xdr:rowOff>
        </xdr:from>
        <xdr:to>
          <xdr:col>11</xdr:col>
          <xdr:colOff>1752600</xdr:colOff>
          <xdr:row>112</xdr:row>
          <xdr:rowOff>7620</xdr:rowOff>
        </xdr:to>
        <xdr:sp macro="" textlink="">
          <xdr:nvSpPr>
            <xdr:cNvPr id="11406" name="Check Box 142" hidden="1">
              <a:extLst>
                <a:ext uri="{63B3BB69-23CF-44E3-9099-C40C66FF867C}">
                  <a14:compatExt spid="_x0000_s11406"/>
                </a:ext>
                <a:ext uri="{FF2B5EF4-FFF2-40B4-BE49-F238E27FC236}">
                  <a16:creationId xmlns:a16="http://schemas.microsoft.com/office/drawing/2014/main" id="{00000000-0008-0000-0E00-00008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30480</xdr:rowOff>
        </xdr:from>
        <xdr:to>
          <xdr:col>11</xdr:col>
          <xdr:colOff>1752600</xdr:colOff>
          <xdr:row>110</xdr:row>
          <xdr:rowOff>327660</xdr:rowOff>
        </xdr:to>
        <xdr:sp macro="" textlink="">
          <xdr:nvSpPr>
            <xdr:cNvPr id="11407" name="Check Box 143" hidden="1">
              <a:extLst>
                <a:ext uri="{63B3BB69-23CF-44E3-9099-C40C66FF867C}">
                  <a14:compatExt spid="_x0000_s11407"/>
                </a:ext>
                <a:ext uri="{FF2B5EF4-FFF2-40B4-BE49-F238E27FC236}">
                  <a16:creationId xmlns:a16="http://schemas.microsoft.com/office/drawing/2014/main" id="{00000000-0008-0000-0E00-00008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266700</xdr:rowOff>
        </xdr:from>
        <xdr:to>
          <xdr:col>11</xdr:col>
          <xdr:colOff>1752600</xdr:colOff>
          <xdr:row>113</xdr:row>
          <xdr:rowOff>152400</xdr:rowOff>
        </xdr:to>
        <xdr:sp macro="" textlink="">
          <xdr:nvSpPr>
            <xdr:cNvPr id="11408" name="Check Box 144" hidden="1">
              <a:extLst>
                <a:ext uri="{63B3BB69-23CF-44E3-9099-C40C66FF867C}">
                  <a14:compatExt spid="_x0000_s11408"/>
                </a:ext>
                <a:ext uri="{FF2B5EF4-FFF2-40B4-BE49-F238E27FC236}">
                  <a16:creationId xmlns:a16="http://schemas.microsoft.com/office/drawing/2014/main" id="{00000000-0008-0000-0E00-00009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113</xdr:row>
          <xdr:rowOff>144780</xdr:rowOff>
        </xdr:from>
        <xdr:to>
          <xdr:col>11</xdr:col>
          <xdr:colOff>1752600</xdr:colOff>
          <xdr:row>114</xdr:row>
          <xdr:rowOff>99060</xdr:rowOff>
        </xdr:to>
        <xdr:sp macro="" textlink="">
          <xdr:nvSpPr>
            <xdr:cNvPr id="11409" name="Check Box 145" hidden="1">
              <a:extLst>
                <a:ext uri="{63B3BB69-23CF-44E3-9099-C40C66FF867C}">
                  <a14:compatExt spid="_x0000_s11409"/>
                </a:ext>
                <a:ext uri="{FF2B5EF4-FFF2-40B4-BE49-F238E27FC236}">
                  <a16:creationId xmlns:a16="http://schemas.microsoft.com/office/drawing/2014/main" id="{00000000-0008-0000-0E00-00009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30480</xdr:rowOff>
        </xdr:from>
        <xdr:to>
          <xdr:col>11</xdr:col>
          <xdr:colOff>1752600</xdr:colOff>
          <xdr:row>112</xdr:row>
          <xdr:rowOff>335280</xdr:rowOff>
        </xdr:to>
        <xdr:sp macro="" textlink="">
          <xdr:nvSpPr>
            <xdr:cNvPr id="11410" name="Check Box 146" hidden="1">
              <a:extLst>
                <a:ext uri="{63B3BB69-23CF-44E3-9099-C40C66FF867C}">
                  <a14:compatExt spid="_x0000_s11410"/>
                </a:ext>
                <a:ext uri="{FF2B5EF4-FFF2-40B4-BE49-F238E27FC236}">
                  <a16:creationId xmlns:a16="http://schemas.microsoft.com/office/drawing/2014/main" id="{00000000-0008-0000-0E00-00009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266700</xdr:rowOff>
        </xdr:from>
        <xdr:to>
          <xdr:col>11</xdr:col>
          <xdr:colOff>1752600</xdr:colOff>
          <xdr:row>115</xdr:row>
          <xdr:rowOff>137160</xdr:rowOff>
        </xdr:to>
        <xdr:sp macro="" textlink="">
          <xdr:nvSpPr>
            <xdr:cNvPr id="11411" name="Check Box 147" hidden="1">
              <a:extLst>
                <a:ext uri="{63B3BB69-23CF-44E3-9099-C40C66FF867C}">
                  <a14:compatExt spid="_x0000_s11411"/>
                </a:ext>
                <a:ext uri="{FF2B5EF4-FFF2-40B4-BE49-F238E27FC236}">
                  <a16:creationId xmlns:a16="http://schemas.microsoft.com/office/drawing/2014/main" id="{00000000-0008-0000-0E00-00009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115</xdr:row>
          <xdr:rowOff>144780</xdr:rowOff>
        </xdr:from>
        <xdr:to>
          <xdr:col>11</xdr:col>
          <xdr:colOff>1752600</xdr:colOff>
          <xdr:row>116</xdr:row>
          <xdr:rowOff>0</xdr:rowOff>
        </xdr:to>
        <xdr:sp macro="" textlink="">
          <xdr:nvSpPr>
            <xdr:cNvPr id="11412" name="Check Box 148" hidden="1">
              <a:extLst>
                <a:ext uri="{63B3BB69-23CF-44E3-9099-C40C66FF867C}">
                  <a14:compatExt spid="_x0000_s11412"/>
                </a:ext>
                <a:ext uri="{FF2B5EF4-FFF2-40B4-BE49-F238E27FC236}">
                  <a16:creationId xmlns:a16="http://schemas.microsoft.com/office/drawing/2014/main" id="{00000000-0008-0000-0E00-00009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30480</xdr:rowOff>
        </xdr:from>
        <xdr:to>
          <xdr:col>11</xdr:col>
          <xdr:colOff>1752600</xdr:colOff>
          <xdr:row>114</xdr:row>
          <xdr:rowOff>327660</xdr:rowOff>
        </xdr:to>
        <xdr:sp macro="" textlink="">
          <xdr:nvSpPr>
            <xdr:cNvPr id="11413" name="Check Box 149" hidden="1">
              <a:extLst>
                <a:ext uri="{63B3BB69-23CF-44E3-9099-C40C66FF867C}">
                  <a14:compatExt spid="_x0000_s11413"/>
                </a:ext>
                <a:ext uri="{FF2B5EF4-FFF2-40B4-BE49-F238E27FC236}">
                  <a16:creationId xmlns:a16="http://schemas.microsoft.com/office/drawing/2014/main" id="{00000000-0008-0000-0E00-00009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266700</xdr:rowOff>
        </xdr:from>
        <xdr:to>
          <xdr:col>11</xdr:col>
          <xdr:colOff>1752600</xdr:colOff>
          <xdr:row>117</xdr:row>
          <xdr:rowOff>182880</xdr:rowOff>
        </xdr:to>
        <xdr:sp macro="" textlink="">
          <xdr:nvSpPr>
            <xdr:cNvPr id="11414" name="Check Box 150" hidden="1">
              <a:extLst>
                <a:ext uri="{63B3BB69-23CF-44E3-9099-C40C66FF867C}">
                  <a14:compatExt spid="_x0000_s11414"/>
                </a:ext>
                <a:ext uri="{FF2B5EF4-FFF2-40B4-BE49-F238E27FC236}">
                  <a16:creationId xmlns:a16="http://schemas.microsoft.com/office/drawing/2014/main" id="{00000000-0008-0000-0E00-00009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117</xdr:row>
          <xdr:rowOff>144780</xdr:rowOff>
        </xdr:from>
        <xdr:to>
          <xdr:col>11</xdr:col>
          <xdr:colOff>1752600</xdr:colOff>
          <xdr:row>118</xdr:row>
          <xdr:rowOff>99060</xdr:rowOff>
        </xdr:to>
        <xdr:sp macro="" textlink="">
          <xdr:nvSpPr>
            <xdr:cNvPr id="11415" name="Check Box 151" hidden="1">
              <a:extLst>
                <a:ext uri="{63B3BB69-23CF-44E3-9099-C40C66FF867C}">
                  <a14:compatExt spid="_x0000_s11415"/>
                </a:ext>
                <a:ext uri="{FF2B5EF4-FFF2-40B4-BE49-F238E27FC236}">
                  <a16:creationId xmlns:a16="http://schemas.microsoft.com/office/drawing/2014/main" id="{00000000-0008-0000-0E00-00009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30480</xdr:rowOff>
        </xdr:from>
        <xdr:to>
          <xdr:col>11</xdr:col>
          <xdr:colOff>1752600</xdr:colOff>
          <xdr:row>116</xdr:row>
          <xdr:rowOff>327660</xdr:rowOff>
        </xdr:to>
        <xdr:sp macro="" textlink="">
          <xdr:nvSpPr>
            <xdr:cNvPr id="11416" name="Check Box 152" hidden="1">
              <a:extLst>
                <a:ext uri="{63B3BB69-23CF-44E3-9099-C40C66FF867C}">
                  <a14:compatExt spid="_x0000_s11416"/>
                </a:ext>
                <a:ext uri="{FF2B5EF4-FFF2-40B4-BE49-F238E27FC236}">
                  <a16:creationId xmlns:a16="http://schemas.microsoft.com/office/drawing/2014/main" id="{00000000-0008-0000-0E00-00009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266700</xdr:rowOff>
        </xdr:from>
        <xdr:to>
          <xdr:col>11</xdr:col>
          <xdr:colOff>1752600</xdr:colOff>
          <xdr:row>119</xdr:row>
          <xdr:rowOff>137160</xdr:rowOff>
        </xdr:to>
        <xdr:sp macro="" textlink="">
          <xdr:nvSpPr>
            <xdr:cNvPr id="11417" name="Check Box 153" hidden="1">
              <a:extLst>
                <a:ext uri="{63B3BB69-23CF-44E3-9099-C40C66FF867C}">
                  <a14:compatExt spid="_x0000_s11417"/>
                </a:ext>
                <a:ext uri="{FF2B5EF4-FFF2-40B4-BE49-F238E27FC236}">
                  <a16:creationId xmlns:a16="http://schemas.microsoft.com/office/drawing/2014/main" id="{00000000-0008-0000-0E00-00009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119</xdr:row>
          <xdr:rowOff>144780</xdr:rowOff>
        </xdr:from>
        <xdr:to>
          <xdr:col>11</xdr:col>
          <xdr:colOff>1752600</xdr:colOff>
          <xdr:row>120</xdr:row>
          <xdr:rowOff>0</xdr:rowOff>
        </xdr:to>
        <xdr:sp macro="" textlink="">
          <xdr:nvSpPr>
            <xdr:cNvPr id="11418" name="Check Box 154" hidden="1">
              <a:extLst>
                <a:ext uri="{63B3BB69-23CF-44E3-9099-C40C66FF867C}">
                  <a14:compatExt spid="_x0000_s11418"/>
                </a:ext>
                <a:ext uri="{FF2B5EF4-FFF2-40B4-BE49-F238E27FC236}">
                  <a16:creationId xmlns:a16="http://schemas.microsoft.com/office/drawing/2014/main" id="{00000000-0008-0000-0E00-00009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30480</xdr:rowOff>
        </xdr:from>
        <xdr:to>
          <xdr:col>11</xdr:col>
          <xdr:colOff>1752600</xdr:colOff>
          <xdr:row>118</xdr:row>
          <xdr:rowOff>228600</xdr:rowOff>
        </xdr:to>
        <xdr:sp macro="" textlink="">
          <xdr:nvSpPr>
            <xdr:cNvPr id="11419" name="Check Box 155" hidden="1">
              <a:extLst>
                <a:ext uri="{63B3BB69-23CF-44E3-9099-C40C66FF867C}">
                  <a14:compatExt spid="_x0000_s11419"/>
                </a:ext>
                <a:ext uri="{FF2B5EF4-FFF2-40B4-BE49-F238E27FC236}">
                  <a16:creationId xmlns:a16="http://schemas.microsoft.com/office/drawing/2014/main" id="{00000000-0008-0000-0E00-00009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266700</xdr:rowOff>
        </xdr:from>
        <xdr:to>
          <xdr:col>11</xdr:col>
          <xdr:colOff>1752600</xdr:colOff>
          <xdr:row>121</xdr:row>
          <xdr:rowOff>137160</xdr:rowOff>
        </xdr:to>
        <xdr:sp macro="" textlink="">
          <xdr:nvSpPr>
            <xdr:cNvPr id="11420" name="Check Box 156" hidden="1">
              <a:extLst>
                <a:ext uri="{63B3BB69-23CF-44E3-9099-C40C66FF867C}">
                  <a14:compatExt spid="_x0000_s11420"/>
                </a:ext>
                <a:ext uri="{FF2B5EF4-FFF2-40B4-BE49-F238E27FC236}">
                  <a16:creationId xmlns:a16="http://schemas.microsoft.com/office/drawing/2014/main" id="{00000000-0008-0000-0E00-00009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121</xdr:row>
          <xdr:rowOff>144780</xdr:rowOff>
        </xdr:from>
        <xdr:to>
          <xdr:col>11</xdr:col>
          <xdr:colOff>1752600</xdr:colOff>
          <xdr:row>122</xdr:row>
          <xdr:rowOff>99060</xdr:rowOff>
        </xdr:to>
        <xdr:sp macro="" textlink="">
          <xdr:nvSpPr>
            <xdr:cNvPr id="11421" name="Check Box 157" hidden="1">
              <a:extLst>
                <a:ext uri="{63B3BB69-23CF-44E3-9099-C40C66FF867C}">
                  <a14:compatExt spid="_x0000_s11421"/>
                </a:ext>
                <a:ext uri="{FF2B5EF4-FFF2-40B4-BE49-F238E27FC236}">
                  <a16:creationId xmlns:a16="http://schemas.microsoft.com/office/drawing/2014/main" id="{00000000-0008-0000-0E00-00009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30480</xdr:rowOff>
        </xdr:from>
        <xdr:to>
          <xdr:col>11</xdr:col>
          <xdr:colOff>1752600</xdr:colOff>
          <xdr:row>120</xdr:row>
          <xdr:rowOff>281940</xdr:rowOff>
        </xdr:to>
        <xdr:sp macro="" textlink="">
          <xdr:nvSpPr>
            <xdr:cNvPr id="11422" name="Check Box 158" hidden="1">
              <a:extLst>
                <a:ext uri="{63B3BB69-23CF-44E3-9099-C40C66FF867C}">
                  <a14:compatExt spid="_x0000_s11422"/>
                </a:ext>
                <a:ext uri="{FF2B5EF4-FFF2-40B4-BE49-F238E27FC236}">
                  <a16:creationId xmlns:a16="http://schemas.microsoft.com/office/drawing/2014/main" id="{00000000-0008-0000-0E00-00009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266700</xdr:rowOff>
        </xdr:from>
        <xdr:to>
          <xdr:col>11</xdr:col>
          <xdr:colOff>1752600</xdr:colOff>
          <xdr:row>123</xdr:row>
          <xdr:rowOff>137160</xdr:rowOff>
        </xdr:to>
        <xdr:sp macro="" textlink="">
          <xdr:nvSpPr>
            <xdr:cNvPr id="11423" name="Check Box 159" hidden="1">
              <a:extLst>
                <a:ext uri="{63B3BB69-23CF-44E3-9099-C40C66FF867C}">
                  <a14:compatExt spid="_x0000_s11423"/>
                </a:ext>
                <a:ext uri="{FF2B5EF4-FFF2-40B4-BE49-F238E27FC236}">
                  <a16:creationId xmlns:a16="http://schemas.microsoft.com/office/drawing/2014/main" id="{00000000-0008-0000-0E00-00009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123</xdr:row>
          <xdr:rowOff>144780</xdr:rowOff>
        </xdr:from>
        <xdr:to>
          <xdr:col>11</xdr:col>
          <xdr:colOff>1752600</xdr:colOff>
          <xdr:row>124</xdr:row>
          <xdr:rowOff>0</xdr:rowOff>
        </xdr:to>
        <xdr:sp macro="" textlink="">
          <xdr:nvSpPr>
            <xdr:cNvPr id="11424" name="Check Box 160" hidden="1">
              <a:extLst>
                <a:ext uri="{63B3BB69-23CF-44E3-9099-C40C66FF867C}">
                  <a14:compatExt spid="_x0000_s11424"/>
                </a:ext>
                <a:ext uri="{FF2B5EF4-FFF2-40B4-BE49-F238E27FC236}">
                  <a16:creationId xmlns:a16="http://schemas.microsoft.com/office/drawing/2014/main" id="{00000000-0008-0000-0E00-0000A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30480</xdr:rowOff>
        </xdr:from>
        <xdr:to>
          <xdr:col>11</xdr:col>
          <xdr:colOff>1752600</xdr:colOff>
          <xdr:row>122</xdr:row>
          <xdr:rowOff>350520</xdr:rowOff>
        </xdr:to>
        <xdr:sp macro="" textlink="">
          <xdr:nvSpPr>
            <xdr:cNvPr id="11425" name="Check Box 161" hidden="1">
              <a:extLst>
                <a:ext uri="{63B3BB69-23CF-44E3-9099-C40C66FF867C}">
                  <a14:compatExt spid="_x0000_s11425"/>
                </a:ext>
                <a:ext uri="{FF2B5EF4-FFF2-40B4-BE49-F238E27FC236}">
                  <a16:creationId xmlns:a16="http://schemas.microsoft.com/office/drawing/2014/main" id="{00000000-0008-0000-0E00-0000A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266700</xdr:rowOff>
        </xdr:from>
        <xdr:to>
          <xdr:col>11</xdr:col>
          <xdr:colOff>1752600</xdr:colOff>
          <xdr:row>125</xdr:row>
          <xdr:rowOff>137160</xdr:rowOff>
        </xdr:to>
        <xdr:sp macro="" textlink="">
          <xdr:nvSpPr>
            <xdr:cNvPr id="11426" name="Check Box 162" hidden="1">
              <a:extLst>
                <a:ext uri="{63B3BB69-23CF-44E3-9099-C40C66FF867C}">
                  <a14:compatExt spid="_x0000_s11426"/>
                </a:ext>
                <a:ext uri="{FF2B5EF4-FFF2-40B4-BE49-F238E27FC236}">
                  <a16:creationId xmlns:a16="http://schemas.microsoft.com/office/drawing/2014/main" id="{00000000-0008-0000-0E00-0000A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125</xdr:row>
          <xdr:rowOff>144780</xdr:rowOff>
        </xdr:from>
        <xdr:to>
          <xdr:col>11</xdr:col>
          <xdr:colOff>1752600</xdr:colOff>
          <xdr:row>126</xdr:row>
          <xdr:rowOff>99060</xdr:rowOff>
        </xdr:to>
        <xdr:sp macro="" textlink="">
          <xdr:nvSpPr>
            <xdr:cNvPr id="11427" name="Check Box 163" hidden="1">
              <a:extLst>
                <a:ext uri="{63B3BB69-23CF-44E3-9099-C40C66FF867C}">
                  <a14:compatExt spid="_x0000_s11427"/>
                </a:ext>
                <a:ext uri="{FF2B5EF4-FFF2-40B4-BE49-F238E27FC236}">
                  <a16:creationId xmlns:a16="http://schemas.microsoft.com/office/drawing/2014/main" id="{00000000-0008-0000-0E00-0000A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30480</xdr:rowOff>
        </xdr:from>
        <xdr:to>
          <xdr:col>11</xdr:col>
          <xdr:colOff>1752600</xdr:colOff>
          <xdr:row>124</xdr:row>
          <xdr:rowOff>350520</xdr:rowOff>
        </xdr:to>
        <xdr:sp macro="" textlink="">
          <xdr:nvSpPr>
            <xdr:cNvPr id="11428" name="Check Box 164" hidden="1">
              <a:extLst>
                <a:ext uri="{63B3BB69-23CF-44E3-9099-C40C66FF867C}">
                  <a14:compatExt spid="_x0000_s11428"/>
                </a:ext>
                <a:ext uri="{FF2B5EF4-FFF2-40B4-BE49-F238E27FC236}">
                  <a16:creationId xmlns:a16="http://schemas.microsoft.com/office/drawing/2014/main" id="{00000000-0008-0000-0E00-0000A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266700</xdr:rowOff>
        </xdr:from>
        <xdr:to>
          <xdr:col>11</xdr:col>
          <xdr:colOff>1752600</xdr:colOff>
          <xdr:row>127</xdr:row>
          <xdr:rowOff>182880</xdr:rowOff>
        </xdr:to>
        <xdr:sp macro="" textlink="">
          <xdr:nvSpPr>
            <xdr:cNvPr id="11429" name="Check Box 165" hidden="1">
              <a:extLst>
                <a:ext uri="{63B3BB69-23CF-44E3-9099-C40C66FF867C}">
                  <a14:compatExt spid="_x0000_s11429"/>
                </a:ext>
                <a:ext uri="{FF2B5EF4-FFF2-40B4-BE49-F238E27FC236}">
                  <a16:creationId xmlns:a16="http://schemas.microsoft.com/office/drawing/2014/main" id="{00000000-0008-0000-0E00-0000A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127</xdr:row>
          <xdr:rowOff>144780</xdr:rowOff>
        </xdr:from>
        <xdr:to>
          <xdr:col>11</xdr:col>
          <xdr:colOff>1752600</xdr:colOff>
          <xdr:row>128</xdr:row>
          <xdr:rowOff>7620</xdr:rowOff>
        </xdr:to>
        <xdr:sp macro="" textlink="">
          <xdr:nvSpPr>
            <xdr:cNvPr id="11430" name="Check Box 166" hidden="1">
              <a:extLst>
                <a:ext uri="{63B3BB69-23CF-44E3-9099-C40C66FF867C}">
                  <a14:compatExt spid="_x0000_s11430"/>
                </a:ext>
                <a:ext uri="{FF2B5EF4-FFF2-40B4-BE49-F238E27FC236}">
                  <a16:creationId xmlns:a16="http://schemas.microsoft.com/office/drawing/2014/main" id="{00000000-0008-0000-0E00-0000A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30480</xdr:rowOff>
        </xdr:from>
        <xdr:to>
          <xdr:col>11</xdr:col>
          <xdr:colOff>1752600</xdr:colOff>
          <xdr:row>126</xdr:row>
          <xdr:rowOff>327660</xdr:rowOff>
        </xdr:to>
        <xdr:sp macro="" textlink="">
          <xdr:nvSpPr>
            <xdr:cNvPr id="11431" name="Check Box 167" hidden="1">
              <a:extLst>
                <a:ext uri="{63B3BB69-23CF-44E3-9099-C40C66FF867C}">
                  <a14:compatExt spid="_x0000_s11431"/>
                </a:ext>
                <a:ext uri="{FF2B5EF4-FFF2-40B4-BE49-F238E27FC236}">
                  <a16:creationId xmlns:a16="http://schemas.microsoft.com/office/drawing/2014/main" id="{00000000-0008-0000-0E00-0000A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266700</xdr:rowOff>
        </xdr:from>
        <xdr:to>
          <xdr:col>11</xdr:col>
          <xdr:colOff>1752600</xdr:colOff>
          <xdr:row>129</xdr:row>
          <xdr:rowOff>137160</xdr:rowOff>
        </xdr:to>
        <xdr:sp macro="" textlink="">
          <xdr:nvSpPr>
            <xdr:cNvPr id="11432" name="Check Box 168" hidden="1">
              <a:extLst>
                <a:ext uri="{63B3BB69-23CF-44E3-9099-C40C66FF867C}">
                  <a14:compatExt spid="_x0000_s11432"/>
                </a:ext>
                <a:ext uri="{FF2B5EF4-FFF2-40B4-BE49-F238E27FC236}">
                  <a16:creationId xmlns:a16="http://schemas.microsoft.com/office/drawing/2014/main" id="{00000000-0008-0000-0E00-0000A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129</xdr:row>
          <xdr:rowOff>144780</xdr:rowOff>
        </xdr:from>
        <xdr:to>
          <xdr:col>11</xdr:col>
          <xdr:colOff>1752600</xdr:colOff>
          <xdr:row>130</xdr:row>
          <xdr:rowOff>30480</xdr:rowOff>
        </xdr:to>
        <xdr:sp macro="" textlink="">
          <xdr:nvSpPr>
            <xdr:cNvPr id="11433" name="Check Box 169" hidden="1">
              <a:extLst>
                <a:ext uri="{63B3BB69-23CF-44E3-9099-C40C66FF867C}">
                  <a14:compatExt spid="_x0000_s11433"/>
                </a:ext>
                <a:ext uri="{FF2B5EF4-FFF2-40B4-BE49-F238E27FC236}">
                  <a16:creationId xmlns:a16="http://schemas.microsoft.com/office/drawing/2014/main" id="{00000000-0008-0000-0E00-0000A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30480</xdr:rowOff>
        </xdr:from>
        <xdr:to>
          <xdr:col>11</xdr:col>
          <xdr:colOff>1752600</xdr:colOff>
          <xdr:row>128</xdr:row>
          <xdr:rowOff>350520</xdr:rowOff>
        </xdr:to>
        <xdr:sp macro="" textlink="">
          <xdr:nvSpPr>
            <xdr:cNvPr id="11434" name="Check Box 170" hidden="1">
              <a:extLst>
                <a:ext uri="{63B3BB69-23CF-44E3-9099-C40C66FF867C}">
                  <a14:compatExt spid="_x0000_s11434"/>
                </a:ext>
                <a:ext uri="{FF2B5EF4-FFF2-40B4-BE49-F238E27FC236}">
                  <a16:creationId xmlns:a16="http://schemas.microsoft.com/office/drawing/2014/main" id="{00000000-0008-0000-0E00-0000A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266700</xdr:rowOff>
        </xdr:from>
        <xdr:to>
          <xdr:col>11</xdr:col>
          <xdr:colOff>1752600</xdr:colOff>
          <xdr:row>131</xdr:row>
          <xdr:rowOff>182880</xdr:rowOff>
        </xdr:to>
        <xdr:sp macro="" textlink="">
          <xdr:nvSpPr>
            <xdr:cNvPr id="11435" name="Check Box 171" hidden="1">
              <a:extLst>
                <a:ext uri="{63B3BB69-23CF-44E3-9099-C40C66FF867C}">
                  <a14:compatExt spid="_x0000_s11435"/>
                </a:ext>
                <a:ext uri="{FF2B5EF4-FFF2-40B4-BE49-F238E27FC236}">
                  <a16:creationId xmlns:a16="http://schemas.microsoft.com/office/drawing/2014/main" id="{00000000-0008-0000-0E00-0000A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131</xdr:row>
          <xdr:rowOff>144780</xdr:rowOff>
        </xdr:from>
        <xdr:to>
          <xdr:col>11</xdr:col>
          <xdr:colOff>1752600</xdr:colOff>
          <xdr:row>132</xdr:row>
          <xdr:rowOff>0</xdr:rowOff>
        </xdr:to>
        <xdr:sp macro="" textlink="">
          <xdr:nvSpPr>
            <xdr:cNvPr id="11436" name="Check Box 172" hidden="1">
              <a:extLst>
                <a:ext uri="{63B3BB69-23CF-44E3-9099-C40C66FF867C}">
                  <a14:compatExt spid="_x0000_s11436"/>
                </a:ext>
                <a:ext uri="{FF2B5EF4-FFF2-40B4-BE49-F238E27FC236}">
                  <a16:creationId xmlns:a16="http://schemas.microsoft.com/office/drawing/2014/main" id="{00000000-0008-0000-0E00-0000A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30480</xdr:rowOff>
        </xdr:from>
        <xdr:to>
          <xdr:col>11</xdr:col>
          <xdr:colOff>1752600</xdr:colOff>
          <xdr:row>130</xdr:row>
          <xdr:rowOff>327660</xdr:rowOff>
        </xdr:to>
        <xdr:sp macro="" textlink="">
          <xdr:nvSpPr>
            <xdr:cNvPr id="11437" name="Check Box 173" hidden="1">
              <a:extLst>
                <a:ext uri="{63B3BB69-23CF-44E3-9099-C40C66FF867C}">
                  <a14:compatExt spid="_x0000_s11437"/>
                </a:ext>
                <a:ext uri="{FF2B5EF4-FFF2-40B4-BE49-F238E27FC236}">
                  <a16:creationId xmlns:a16="http://schemas.microsoft.com/office/drawing/2014/main" id="{00000000-0008-0000-0E00-0000A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266700</xdr:rowOff>
        </xdr:from>
        <xdr:to>
          <xdr:col>11</xdr:col>
          <xdr:colOff>1752600</xdr:colOff>
          <xdr:row>133</xdr:row>
          <xdr:rowOff>160020</xdr:rowOff>
        </xdr:to>
        <xdr:sp macro="" textlink="">
          <xdr:nvSpPr>
            <xdr:cNvPr id="11438" name="Check Box 174" hidden="1">
              <a:extLst>
                <a:ext uri="{63B3BB69-23CF-44E3-9099-C40C66FF867C}">
                  <a14:compatExt spid="_x0000_s11438"/>
                </a:ext>
                <a:ext uri="{FF2B5EF4-FFF2-40B4-BE49-F238E27FC236}">
                  <a16:creationId xmlns:a16="http://schemas.microsoft.com/office/drawing/2014/main" id="{00000000-0008-0000-0E00-0000A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133</xdr:row>
          <xdr:rowOff>144780</xdr:rowOff>
        </xdr:from>
        <xdr:to>
          <xdr:col>11</xdr:col>
          <xdr:colOff>1752600</xdr:colOff>
          <xdr:row>134</xdr:row>
          <xdr:rowOff>99060</xdr:rowOff>
        </xdr:to>
        <xdr:sp macro="" textlink="">
          <xdr:nvSpPr>
            <xdr:cNvPr id="11439" name="Check Box 175" hidden="1">
              <a:extLst>
                <a:ext uri="{63B3BB69-23CF-44E3-9099-C40C66FF867C}">
                  <a14:compatExt spid="_x0000_s11439"/>
                </a:ext>
                <a:ext uri="{FF2B5EF4-FFF2-40B4-BE49-F238E27FC236}">
                  <a16:creationId xmlns:a16="http://schemas.microsoft.com/office/drawing/2014/main" id="{00000000-0008-0000-0E00-0000A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30480</xdr:rowOff>
        </xdr:from>
        <xdr:to>
          <xdr:col>11</xdr:col>
          <xdr:colOff>1752600</xdr:colOff>
          <xdr:row>132</xdr:row>
          <xdr:rowOff>327660</xdr:rowOff>
        </xdr:to>
        <xdr:sp macro="" textlink="">
          <xdr:nvSpPr>
            <xdr:cNvPr id="11440" name="Check Box 176" hidden="1">
              <a:extLst>
                <a:ext uri="{63B3BB69-23CF-44E3-9099-C40C66FF867C}">
                  <a14:compatExt spid="_x0000_s11440"/>
                </a:ext>
                <a:ext uri="{FF2B5EF4-FFF2-40B4-BE49-F238E27FC236}">
                  <a16:creationId xmlns:a16="http://schemas.microsoft.com/office/drawing/2014/main" id="{00000000-0008-0000-0E00-0000B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266700</xdr:rowOff>
        </xdr:from>
        <xdr:to>
          <xdr:col>11</xdr:col>
          <xdr:colOff>1752600</xdr:colOff>
          <xdr:row>135</xdr:row>
          <xdr:rowOff>182880</xdr:rowOff>
        </xdr:to>
        <xdr:sp macro="" textlink="">
          <xdr:nvSpPr>
            <xdr:cNvPr id="11441" name="Check Box 177" hidden="1">
              <a:extLst>
                <a:ext uri="{63B3BB69-23CF-44E3-9099-C40C66FF867C}">
                  <a14:compatExt spid="_x0000_s11441"/>
                </a:ext>
                <a:ext uri="{FF2B5EF4-FFF2-40B4-BE49-F238E27FC236}">
                  <a16:creationId xmlns:a16="http://schemas.microsoft.com/office/drawing/2014/main" id="{00000000-0008-0000-0E00-0000B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135</xdr:row>
          <xdr:rowOff>144780</xdr:rowOff>
        </xdr:from>
        <xdr:to>
          <xdr:col>11</xdr:col>
          <xdr:colOff>1752600</xdr:colOff>
          <xdr:row>136</xdr:row>
          <xdr:rowOff>0</xdr:rowOff>
        </xdr:to>
        <xdr:sp macro="" textlink="">
          <xdr:nvSpPr>
            <xdr:cNvPr id="11442" name="Check Box 178" hidden="1">
              <a:extLst>
                <a:ext uri="{63B3BB69-23CF-44E3-9099-C40C66FF867C}">
                  <a14:compatExt spid="_x0000_s11442"/>
                </a:ext>
                <a:ext uri="{FF2B5EF4-FFF2-40B4-BE49-F238E27FC236}">
                  <a16:creationId xmlns:a16="http://schemas.microsoft.com/office/drawing/2014/main" id="{00000000-0008-0000-0E00-0000B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30480</xdr:rowOff>
        </xdr:from>
        <xdr:to>
          <xdr:col>11</xdr:col>
          <xdr:colOff>1752600</xdr:colOff>
          <xdr:row>134</xdr:row>
          <xdr:rowOff>327660</xdr:rowOff>
        </xdr:to>
        <xdr:sp macro="" textlink="">
          <xdr:nvSpPr>
            <xdr:cNvPr id="11443" name="Check Box 179" hidden="1">
              <a:extLst>
                <a:ext uri="{63B3BB69-23CF-44E3-9099-C40C66FF867C}">
                  <a14:compatExt spid="_x0000_s11443"/>
                </a:ext>
                <a:ext uri="{FF2B5EF4-FFF2-40B4-BE49-F238E27FC236}">
                  <a16:creationId xmlns:a16="http://schemas.microsoft.com/office/drawing/2014/main" id="{00000000-0008-0000-0E00-0000B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266700</xdr:rowOff>
        </xdr:from>
        <xdr:to>
          <xdr:col>11</xdr:col>
          <xdr:colOff>1752600</xdr:colOff>
          <xdr:row>137</xdr:row>
          <xdr:rowOff>182880</xdr:rowOff>
        </xdr:to>
        <xdr:sp macro="" textlink="">
          <xdr:nvSpPr>
            <xdr:cNvPr id="11444" name="Check Box 180" hidden="1">
              <a:extLst>
                <a:ext uri="{63B3BB69-23CF-44E3-9099-C40C66FF867C}">
                  <a14:compatExt spid="_x0000_s11444"/>
                </a:ext>
                <a:ext uri="{FF2B5EF4-FFF2-40B4-BE49-F238E27FC236}">
                  <a16:creationId xmlns:a16="http://schemas.microsoft.com/office/drawing/2014/main" id="{00000000-0008-0000-0E00-0000B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137</xdr:row>
          <xdr:rowOff>144780</xdr:rowOff>
        </xdr:from>
        <xdr:to>
          <xdr:col>11</xdr:col>
          <xdr:colOff>1752600</xdr:colOff>
          <xdr:row>138</xdr:row>
          <xdr:rowOff>99060</xdr:rowOff>
        </xdr:to>
        <xdr:sp macro="" textlink="">
          <xdr:nvSpPr>
            <xdr:cNvPr id="11445" name="Check Box 181" hidden="1">
              <a:extLst>
                <a:ext uri="{63B3BB69-23CF-44E3-9099-C40C66FF867C}">
                  <a14:compatExt spid="_x0000_s11445"/>
                </a:ext>
                <a:ext uri="{FF2B5EF4-FFF2-40B4-BE49-F238E27FC236}">
                  <a16:creationId xmlns:a16="http://schemas.microsoft.com/office/drawing/2014/main" id="{00000000-0008-0000-0E00-0000B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30480</xdr:rowOff>
        </xdr:from>
        <xdr:to>
          <xdr:col>11</xdr:col>
          <xdr:colOff>1752600</xdr:colOff>
          <xdr:row>136</xdr:row>
          <xdr:rowOff>327660</xdr:rowOff>
        </xdr:to>
        <xdr:sp macro="" textlink="">
          <xdr:nvSpPr>
            <xdr:cNvPr id="11446" name="Check Box 182" hidden="1">
              <a:extLst>
                <a:ext uri="{63B3BB69-23CF-44E3-9099-C40C66FF867C}">
                  <a14:compatExt spid="_x0000_s11446"/>
                </a:ext>
                <a:ext uri="{FF2B5EF4-FFF2-40B4-BE49-F238E27FC236}">
                  <a16:creationId xmlns:a16="http://schemas.microsoft.com/office/drawing/2014/main" id="{00000000-0008-0000-0E00-0000B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266700</xdr:rowOff>
        </xdr:from>
        <xdr:to>
          <xdr:col>11</xdr:col>
          <xdr:colOff>1752600</xdr:colOff>
          <xdr:row>139</xdr:row>
          <xdr:rowOff>182880</xdr:rowOff>
        </xdr:to>
        <xdr:sp macro="" textlink="">
          <xdr:nvSpPr>
            <xdr:cNvPr id="11447" name="Check Box 183" hidden="1">
              <a:extLst>
                <a:ext uri="{63B3BB69-23CF-44E3-9099-C40C66FF867C}">
                  <a14:compatExt spid="_x0000_s11447"/>
                </a:ext>
                <a:ext uri="{FF2B5EF4-FFF2-40B4-BE49-F238E27FC236}">
                  <a16:creationId xmlns:a16="http://schemas.microsoft.com/office/drawing/2014/main" id="{00000000-0008-0000-0E00-0000B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139</xdr:row>
          <xdr:rowOff>144780</xdr:rowOff>
        </xdr:from>
        <xdr:to>
          <xdr:col>11</xdr:col>
          <xdr:colOff>1752600</xdr:colOff>
          <xdr:row>140</xdr:row>
          <xdr:rowOff>0</xdr:rowOff>
        </xdr:to>
        <xdr:sp macro="" textlink="">
          <xdr:nvSpPr>
            <xdr:cNvPr id="11448" name="Check Box 184" hidden="1">
              <a:extLst>
                <a:ext uri="{63B3BB69-23CF-44E3-9099-C40C66FF867C}">
                  <a14:compatExt spid="_x0000_s11448"/>
                </a:ext>
                <a:ext uri="{FF2B5EF4-FFF2-40B4-BE49-F238E27FC236}">
                  <a16:creationId xmlns:a16="http://schemas.microsoft.com/office/drawing/2014/main" id="{00000000-0008-0000-0E00-0000B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30480</xdr:rowOff>
        </xdr:from>
        <xdr:to>
          <xdr:col>11</xdr:col>
          <xdr:colOff>1752600</xdr:colOff>
          <xdr:row>138</xdr:row>
          <xdr:rowOff>327660</xdr:rowOff>
        </xdr:to>
        <xdr:sp macro="" textlink="">
          <xdr:nvSpPr>
            <xdr:cNvPr id="11449" name="Check Box 185" hidden="1">
              <a:extLst>
                <a:ext uri="{63B3BB69-23CF-44E3-9099-C40C66FF867C}">
                  <a14:compatExt spid="_x0000_s11449"/>
                </a:ext>
                <a:ext uri="{FF2B5EF4-FFF2-40B4-BE49-F238E27FC236}">
                  <a16:creationId xmlns:a16="http://schemas.microsoft.com/office/drawing/2014/main" id="{00000000-0008-0000-0E00-0000B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266700</xdr:rowOff>
        </xdr:from>
        <xdr:to>
          <xdr:col>11</xdr:col>
          <xdr:colOff>1752600</xdr:colOff>
          <xdr:row>141</xdr:row>
          <xdr:rowOff>182880</xdr:rowOff>
        </xdr:to>
        <xdr:sp macro="" textlink="">
          <xdr:nvSpPr>
            <xdr:cNvPr id="11450" name="Check Box 186" hidden="1">
              <a:extLst>
                <a:ext uri="{63B3BB69-23CF-44E3-9099-C40C66FF867C}">
                  <a14:compatExt spid="_x0000_s11450"/>
                </a:ext>
                <a:ext uri="{FF2B5EF4-FFF2-40B4-BE49-F238E27FC236}">
                  <a16:creationId xmlns:a16="http://schemas.microsoft.com/office/drawing/2014/main" id="{00000000-0008-0000-0E00-0000B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141</xdr:row>
          <xdr:rowOff>144780</xdr:rowOff>
        </xdr:from>
        <xdr:to>
          <xdr:col>11</xdr:col>
          <xdr:colOff>1752600</xdr:colOff>
          <xdr:row>142</xdr:row>
          <xdr:rowOff>99060</xdr:rowOff>
        </xdr:to>
        <xdr:sp macro="" textlink="">
          <xdr:nvSpPr>
            <xdr:cNvPr id="11451" name="Check Box 187" hidden="1">
              <a:extLst>
                <a:ext uri="{63B3BB69-23CF-44E3-9099-C40C66FF867C}">
                  <a14:compatExt spid="_x0000_s11451"/>
                </a:ext>
                <a:ext uri="{FF2B5EF4-FFF2-40B4-BE49-F238E27FC236}">
                  <a16:creationId xmlns:a16="http://schemas.microsoft.com/office/drawing/2014/main" id="{00000000-0008-0000-0E00-0000B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30480</xdr:rowOff>
        </xdr:from>
        <xdr:to>
          <xdr:col>11</xdr:col>
          <xdr:colOff>1752600</xdr:colOff>
          <xdr:row>140</xdr:row>
          <xdr:rowOff>327660</xdr:rowOff>
        </xdr:to>
        <xdr:sp macro="" textlink="">
          <xdr:nvSpPr>
            <xdr:cNvPr id="11452" name="Check Box 188" hidden="1">
              <a:extLst>
                <a:ext uri="{63B3BB69-23CF-44E3-9099-C40C66FF867C}">
                  <a14:compatExt spid="_x0000_s11452"/>
                </a:ext>
                <a:ext uri="{FF2B5EF4-FFF2-40B4-BE49-F238E27FC236}">
                  <a16:creationId xmlns:a16="http://schemas.microsoft.com/office/drawing/2014/main" id="{00000000-0008-0000-0E00-0000B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13</xdr:col>
      <xdr:colOff>121227</xdr:colOff>
      <xdr:row>14</xdr:row>
      <xdr:rowOff>94094</xdr:rowOff>
    </xdr:from>
    <xdr:to>
      <xdr:col>16</xdr:col>
      <xdr:colOff>1163782</xdr:colOff>
      <xdr:row>26</xdr:row>
      <xdr:rowOff>225713</xdr:rowOff>
    </xdr:to>
    <xdr:graphicFrame macro="">
      <xdr:nvGraphicFramePr>
        <xdr:cNvPr id="2" name="Gráfico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11975</xdr:colOff>
      <xdr:row>30</xdr:row>
      <xdr:rowOff>169001</xdr:rowOff>
    </xdr:from>
    <xdr:to>
      <xdr:col>9</xdr:col>
      <xdr:colOff>40822</xdr:colOff>
      <xdr:row>30</xdr:row>
      <xdr:rowOff>3224893</xdr:rowOff>
    </xdr:to>
    <xdr:graphicFrame macro="">
      <xdr:nvGraphicFramePr>
        <xdr:cNvPr id="3" name="Gráfico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30480</xdr:colOff>
          <xdr:row>35</xdr:row>
          <xdr:rowOff>152400</xdr:rowOff>
        </xdr:from>
        <xdr:to>
          <xdr:col>10</xdr:col>
          <xdr:colOff>1706880</xdr:colOff>
          <xdr:row>36</xdr:row>
          <xdr:rowOff>30480</xdr:rowOff>
        </xdr:to>
        <xdr:sp macro="" textlink="">
          <xdr:nvSpPr>
            <xdr:cNvPr id="12297" name="Check Box 9" hidden="1">
              <a:extLst>
                <a:ext uri="{63B3BB69-23CF-44E3-9099-C40C66FF867C}">
                  <a14:compatExt spid="_x0000_s12297"/>
                </a:ext>
                <a:ext uri="{FF2B5EF4-FFF2-40B4-BE49-F238E27FC236}">
                  <a16:creationId xmlns:a16="http://schemas.microsoft.com/office/drawing/2014/main" id="{00000000-0008-0000-0F00-00000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30480</xdr:colOff>
          <xdr:row>36</xdr:row>
          <xdr:rowOff>30480</xdr:rowOff>
        </xdr:from>
        <xdr:to>
          <xdr:col>10</xdr:col>
          <xdr:colOff>1706880</xdr:colOff>
          <xdr:row>36</xdr:row>
          <xdr:rowOff>228600</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0F00-00000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37</xdr:row>
          <xdr:rowOff>266700</xdr:rowOff>
        </xdr:from>
        <xdr:to>
          <xdr:col>10</xdr:col>
          <xdr:colOff>1706880</xdr:colOff>
          <xdr:row>38</xdr:row>
          <xdr:rowOff>106680</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0F00-00000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38</xdr:row>
          <xdr:rowOff>144780</xdr:rowOff>
        </xdr:from>
        <xdr:to>
          <xdr:col>10</xdr:col>
          <xdr:colOff>1706880</xdr:colOff>
          <xdr:row>39</xdr:row>
          <xdr:rowOff>0</xdr:rowOff>
        </xdr:to>
        <xdr:sp macro="" textlink="">
          <xdr:nvSpPr>
            <xdr:cNvPr id="12301" name="Check Box 13" hidden="1">
              <a:extLst>
                <a:ext uri="{63B3BB69-23CF-44E3-9099-C40C66FF867C}">
                  <a14:compatExt spid="_x0000_s12301"/>
                </a:ext>
                <a:ext uri="{FF2B5EF4-FFF2-40B4-BE49-F238E27FC236}">
                  <a16:creationId xmlns:a16="http://schemas.microsoft.com/office/drawing/2014/main" id="{00000000-0008-0000-0F00-00000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37</xdr:row>
          <xdr:rowOff>30480</xdr:rowOff>
        </xdr:from>
        <xdr:to>
          <xdr:col>10</xdr:col>
          <xdr:colOff>1706880</xdr:colOff>
          <xdr:row>37</xdr:row>
          <xdr:rowOff>228600</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0F00-00000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39</xdr:row>
          <xdr:rowOff>266700</xdr:rowOff>
        </xdr:from>
        <xdr:to>
          <xdr:col>10</xdr:col>
          <xdr:colOff>1706880</xdr:colOff>
          <xdr:row>40</xdr:row>
          <xdr:rowOff>106680</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F00-00000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40</xdr:row>
          <xdr:rowOff>144780</xdr:rowOff>
        </xdr:from>
        <xdr:to>
          <xdr:col>10</xdr:col>
          <xdr:colOff>1706880</xdr:colOff>
          <xdr:row>40</xdr:row>
          <xdr:rowOff>342900</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0F00-00001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39</xdr:row>
          <xdr:rowOff>30480</xdr:rowOff>
        </xdr:from>
        <xdr:to>
          <xdr:col>10</xdr:col>
          <xdr:colOff>1706880</xdr:colOff>
          <xdr:row>39</xdr:row>
          <xdr:rowOff>259080</xdr:rowOff>
        </xdr:to>
        <xdr:sp macro="" textlink="">
          <xdr:nvSpPr>
            <xdr:cNvPr id="12305" name="Check Box 17" hidden="1">
              <a:extLst>
                <a:ext uri="{63B3BB69-23CF-44E3-9099-C40C66FF867C}">
                  <a14:compatExt spid="_x0000_s12305"/>
                </a:ext>
                <a:ext uri="{FF2B5EF4-FFF2-40B4-BE49-F238E27FC236}">
                  <a16:creationId xmlns:a16="http://schemas.microsoft.com/office/drawing/2014/main" id="{00000000-0008-0000-0F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41</xdr:row>
          <xdr:rowOff>266700</xdr:rowOff>
        </xdr:from>
        <xdr:to>
          <xdr:col>10</xdr:col>
          <xdr:colOff>1706880</xdr:colOff>
          <xdr:row>42</xdr:row>
          <xdr:rowOff>106680</xdr:rowOff>
        </xdr:to>
        <xdr:sp macro="" textlink="">
          <xdr:nvSpPr>
            <xdr:cNvPr id="12306" name="Check Box 18" hidden="1">
              <a:extLst>
                <a:ext uri="{63B3BB69-23CF-44E3-9099-C40C66FF867C}">
                  <a14:compatExt spid="_x0000_s12306"/>
                </a:ext>
                <a:ext uri="{FF2B5EF4-FFF2-40B4-BE49-F238E27FC236}">
                  <a16:creationId xmlns:a16="http://schemas.microsoft.com/office/drawing/2014/main" id="{00000000-0008-0000-0F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42</xdr:row>
          <xdr:rowOff>144780</xdr:rowOff>
        </xdr:from>
        <xdr:to>
          <xdr:col>10</xdr:col>
          <xdr:colOff>1706880</xdr:colOff>
          <xdr:row>43</xdr:row>
          <xdr:rowOff>0</xdr:rowOff>
        </xdr:to>
        <xdr:sp macro="" textlink="">
          <xdr:nvSpPr>
            <xdr:cNvPr id="12307" name="Check Box 19" hidden="1">
              <a:extLst>
                <a:ext uri="{63B3BB69-23CF-44E3-9099-C40C66FF867C}">
                  <a14:compatExt spid="_x0000_s12307"/>
                </a:ext>
                <a:ext uri="{FF2B5EF4-FFF2-40B4-BE49-F238E27FC236}">
                  <a16:creationId xmlns:a16="http://schemas.microsoft.com/office/drawing/2014/main" id="{00000000-0008-0000-0F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41</xdr:row>
          <xdr:rowOff>30480</xdr:rowOff>
        </xdr:from>
        <xdr:to>
          <xdr:col>10</xdr:col>
          <xdr:colOff>1706880</xdr:colOff>
          <xdr:row>41</xdr:row>
          <xdr:rowOff>228600</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0F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43</xdr:row>
          <xdr:rowOff>266700</xdr:rowOff>
        </xdr:from>
        <xdr:to>
          <xdr:col>10</xdr:col>
          <xdr:colOff>1706880</xdr:colOff>
          <xdr:row>44</xdr:row>
          <xdr:rowOff>106680</xdr:rowOff>
        </xdr:to>
        <xdr:sp macro="" textlink="">
          <xdr:nvSpPr>
            <xdr:cNvPr id="12309" name="Check Box 21" hidden="1">
              <a:extLst>
                <a:ext uri="{63B3BB69-23CF-44E3-9099-C40C66FF867C}">
                  <a14:compatExt spid="_x0000_s12309"/>
                </a:ext>
                <a:ext uri="{FF2B5EF4-FFF2-40B4-BE49-F238E27FC236}">
                  <a16:creationId xmlns:a16="http://schemas.microsoft.com/office/drawing/2014/main" id="{00000000-0008-0000-0F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44</xdr:row>
          <xdr:rowOff>144780</xdr:rowOff>
        </xdr:from>
        <xdr:to>
          <xdr:col>10</xdr:col>
          <xdr:colOff>1706880</xdr:colOff>
          <xdr:row>44</xdr:row>
          <xdr:rowOff>342900</xdr:rowOff>
        </xdr:to>
        <xdr:sp macro="" textlink="">
          <xdr:nvSpPr>
            <xdr:cNvPr id="12310" name="Check Box 22" hidden="1">
              <a:extLst>
                <a:ext uri="{63B3BB69-23CF-44E3-9099-C40C66FF867C}">
                  <a14:compatExt spid="_x0000_s12310"/>
                </a:ext>
                <a:ext uri="{FF2B5EF4-FFF2-40B4-BE49-F238E27FC236}">
                  <a16:creationId xmlns:a16="http://schemas.microsoft.com/office/drawing/2014/main" id="{00000000-0008-0000-0F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43</xdr:row>
          <xdr:rowOff>30480</xdr:rowOff>
        </xdr:from>
        <xdr:to>
          <xdr:col>10</xdr:col>
          <xdr:colOff>1706880</xdr:colOff>
          <xdr:row>43</xdr:row>
          <xdr:rowOff>259080</xdr:rowOff>
        </xdr:to>
        <xdr:sp macro="" textlink="">
          <xdr:nvSpPr>
            <xdr:cNvPr id="12311" name="Check Box 23" hidden="1">
              <a:extLst>
                <a:ext uri="{63B3BB69-23CF-44E3-9099-C40C66FF867C}">
                  <a14:compatExt spid="_x0000_s12311"/>
                </a:ext>
                <a:ext uri="{FF2B5EF4-FFF2-40B4-BE49-F238E27FC236}">
                  <a16:creationId xmlns:a16="http://schemas.microsoft.com/office/drawing/2014/main" id="{00000000-0008-0000-0F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45</xdr:row>
          <xdr:rowOff>266700</xdr:rowOff>
        </xdr:from>
        <xdr:to>
          <xdr:col>10</xdr:col>
          <xdr:colOff>1706880</xdr:colOff>
          <xdr:row>46</xdr:row>
          <xdr:rowOff>106680</xdr:rowOff>
        </xdr:to>
        <xdr:sp macro="" textlink="">
          <xdr:nvSpPr>
            <xdr:cNvPr id="12312" name="Check Box 24" hidden="1">
              <a:extLst>
                <a:ext uri="{63B3BB69-23CF-44E3-9099-C40C66FF867C}">
                  <a14:compatExt spid="_x0000_s12312"/>
                </a:ext>
                <a:ext uri="{FF2B5EF4-FFF2-40B4-BE49-F238E27FC236}">
                  <a16:creationId xmlns:a16="http://schemas.microsoft.com/office/drawing/2014/main" id="{00000000-0008-0000-0F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46</xdr:row>
          <xdr:rowOff>144780</xdr:rowOff>
        </xdr:from>
        <xdr:to>
          <xdr:col>10</xdr:col>
          <xdr:colOff>1706880</xdr:colOff>
          <xdr:row>47</xdr:row>
          <xdr:rowOff>0</xdr:rowOff>
        </xdr:to>
        <xdr:sp macro="" textlink="">
          <xdr:nvSpPr>
            <xdr:cNvPr id="12313" name="Check Box 25" hidden="1">
              <a:extLst>
                <a:ext uri="{63B3BB69-23CF-44E3-9099-C40C66FF867C}">
                  <a14:compatExt spid="_x0000_s12313"/>
                </a:ext>
                <a:ext uri="{FF2B5EF4-FFF2-40B4-BE49-F238E27FC236}">
                  <a16:creationId xmlns:a16="http://schemas.microsoft.com/office/drawing/2014/main" id="{00000000-0008-0000-0F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45</xdr:row>
          <xdr:rowOff>30480</xdr:rowOff>
        </xdr:from>
        <xdr:to>
          <xdr:col>10</xdr:col>
          <xdr:colOff>1706880</xdr:colOff>
          <xdr:row>45</xdr:row>
          <xdr:rowOff>228600</xdr:rowOff>
        </xdr:to>
        <xdr:sp macro="" textlink="">
          <xdr:nvSpPr>
            <xdr:cNvPr id="12314" name="Check Box 26" hidden="1">
              <a:extLst>
                <a:ext uri="{63B3BB69-23CF-44E3-9099-C40C66FF867C}">
                  <a14:compatExt spid="_x0000_s12314"/>
                </a:ext>
                <a:ext uri="{FF2B5EF4-FFF2-40B4-BE49-F238E27FC236}">
                  <a16:creationId xmlns:a16="http://schemas.microsoft.com/office/drawing/2014/main" id="{00000000-0008-0000-0F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47</xdr:row>
          <xdr:rowOff>266700</xdr:rowOff>
        </xdr:from>
        <xdr:to>
          <xdr:col>10</xdr:col>
          <xdr:colOff>1706880</xdr:colOff>
          <xdr:row>48</xdr:row>
          <xdr:rowOff>106680</xdr:rowOff>
        </xdr:to>
        <xdr:sp macro="" textlink="">
          <xdr:nvSpPr>
            <xdr:cNvPr id="12315" name="Check Box 27" hidden="1">
              <a:extLst>
                <a:ext uri="{63B3BB69-23CF-44E3-9099-C40C66FF867C}">
                  <a14:compatExt spid="_x0000_s12315"/>
                </a:ext>
                <a:ext uri="{FF2B5EF4-FFF2-40B4-BE49-F238E27FC236}">
                  <a16:creationId xmlns:a16="http://schemas.microsoft.com/office/drawing/2014/main" id="{00000000-0008-0000-0F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48</xdr:row>
          <xdr:rowOff>144780</xdr:rowOff>
        </xdr:from>
        <xdr:to>
          <xdr:col>10</xdr:col>
          <xdr:colOff>1706880</xdr:colOff>
          <xdr:row>48</xdr:row>
          <xdr:rowOff>342900</xdr:rowOff>
        </xdr:to>
        <xdr:sp macro="" textlink="">
          <xdr:nvSpPr>
            <xdr:cNvPr id="12316" name="Check Box 28" hidden="1">
              <a:extLst>
                <a:ext uri="{63B3BB69-23CF-44E3-9099-C40C66FF867C}">
                  <a14:compatExt spid="_x0000_s12316"/>
                </a:ext>
                <a:ext uri="{FF2B5EF4-FFF2-40B4-BE49-F238E27FC236}">
                  <a16:creationId xmlns:a16="http://schemas.microsoft.com/office/drawing/2014/main" id="{00000000-0008-0000-0F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47</xdr:row>
          <xdr:rowOff>30480</xdr:rowOff>
        </xdr:from>
        <xdr:to>
          <xdr:col>10</xdr:col>
          <xdr:colOff>1706880</xdr:colOff>
          <xdr:row>47</xdr:row>
          <xdr:rowOff>259080</xdr:rowOff>
        </xdr:to>
        <xdr:sp macro="" textlink="">
          <xdr:nvSpPr>
            <xdr:cNvPr id="12317" name="Check Box 29" hidden="1">
              <a:extLst>
                <a:ext uri="{63B3BB69-23CF-44E3-9099-C40C66FF867C}">
                  <a14:compatExt spid="_x0000_s12317"/>
                </a:ext>
                <a:ext uri="{FF2B5EF4-FFF2-40B4-BE49-F238E27FC236}">
                  <a16:creationId xmlns:a16="http://schemas.microsoft.com/office/drawing/2014/main" id="{00000000-0008-0000-0F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49</xdr:row>
          <xdr:rowOff>266700</xdr:rowOff>
        </xdr:from>
        <xdr:to>
          <xdr:col>10</xdr:col>
          <xdr:colOff>1706880</xdr:colOff>
          <xdr:row>50</xdr:row>
          <xdr:rowOff>106680</xdr:rowOff>
        </xdr:to>
        <xdr:sp macro="" textlink="">
          <xdr:nvSpPr>
            <xdr:cNvPr id="12318" name="Check Box 30" hidden="1">
              <a:extLst>
                <a:ext uri="{63B3BB69-23CF-44E3-9099-C40C66FF867C}">
                  <a14:compatExt spid="_x0000_s12318"/>
                </a:ext>
                <a:ext uri="{FF2B5EF4-FFF2-40B4-BE49-F238E27FC236}">
                  <a16:creationId xmlns:a16="http://schemas.microsoft.com/office/drawing/2014/main" id="{00000000-0008-0000-0F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50</xdr:row>
          <xdr:rowOff>144780</xdr:rowOff>
        </xdr:from>
        <xdr:to>
          <xdr:col>10</xdr:col>
          <xdr:colOff>1706880</xdr:colOff>
          <xdr:row>51</xdr:row>
          <xdr:rowOff>0</xdr:rowOff>
        </xdr:to>
        <xdr:sp macro="" textlink="">
          <xdr:nvSpPr>
            <xdr:cNvPr id="12319" name="Check Box 31" hidden="1">
              <a:extLst>
                <a:ext uri="{63B3BB69-23CF-44E3-9099-C40C66FF867C}">
                  <a14:compatExt spid="_x0000_s12319"/>
                </a:ext>
                <a:ext uri="{FF2B5EF4-FFF2-40B4-BE49-F238E27FC236}">
                  <a16:creationId xmlns:a16="http://schemas.microsoft.com/office/drawing/2014/main" id="{00000000-0008-0000-0F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49</xdr:row>
          <xdr:rowOff>30480</xdr:rowOff>
        </xdr:from>
        <xdr:to>
          <xdr:col>10</xdr:col>
          <xdr:colOff>1706880</xdr:colOff>
          <xdr:row>49</xdr:row>
          <xdr:rowOff>228600</xdr:rowOff>
        </xdr:to>
        <xdr:sp macro="" textlink="">
          <xdr:nvSpPr>
            <xdr:cNvPr id="12320" name="Check Box 32" hidden="1">
              <a:extLst>
                <a:ext uri="{63B3BB69-23CF-44E3-9099-C40C66FF867C}">
                  <a14:compatExt spid="_x0000_s12320"/>
                </a:ext>
                <a:ext uri="{FF2B5EF4-FFF2-40B4-BE49-F238E27FC236}">
                  <a16:creationId xmlns:a16="http://schemas.microsoft.com/office/drawing/2014/main" id="{00000000-0008-0000-0F00-00002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51</xdr:row>
          <xdr:rowOff>266700</xdr:rowOff>
        </xdr:from>
        <xdr:to>
          <xdr:col>10</xdr:col>
          <xdr:colOff>1706880</xdr:colOff>
          <xdr:row>52</xdr:row>
          <xdr:rowOff>106680</xdr:rowOff>
        </xdr:to>
        <xdr:sp macro="" textlink="">
          <xdr:nvSpPr>
            <xdr:cNvPr id="12321" name="Check Box 33" hidden="1">
              <a:extLst>
                <a:ext uri="{63B3BB69-23CF-44E3-9099-C40C66FF867C}">
                  <a14:compatExt spid="_x0000_s12321"/>
                </a:ext>
                <a:ext uri="{FF2B5EF4-FFF2-40B4-BE49-F238E27FC236}">
                  <a16:creationId xmlns:a16="http://schemas.microsoft.com/office/drawing/2014/main" id="{00000000-0008-0000-0F00-00002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52</xdr:row>
          <xdr:rowOff>144780</xdr:rowOff>
        </xdr:from>
        <xdr:to>
          <xdr:col>10</xdr:col>
          <xdr:colOff>1706880</xdr:colOff>
          <xdr:row>52</xdr:row>
          <xdr:rowOff>342900</xdr:rowOff>
        </xdr:to>
        <xdr:sp macro="" textlink="">
          <xdr:nvSpPr>
            <xdr:cNvPr id="12322" name="Check Box 34" hidden="1">
              <a:extLst>
                <a:ext uri="{63B3BB69-23CF-44E3-9099-C40C66FF867C}">
                  <a14:compatExt spid="_x0000_s12322"/>
                </a:ext>
                <a:ext uri="{FF2B5EF4-FFF2-40B4-BE49-F238E27FC236}">
                  <a16:creationId xmlns:a16="http://schemas.microsoft.com/office/drawing/2014/main" id="{00000000-0008-0000-0F00-00002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51</xdr:row>
          <xdr:rowOff>30480</xdr:rowOff>
        </xdr:from>
        <xdr:to>
          <xdr:col>10</xdr:col>
          <xdr:colOff>1706880</xdr:colOff>
          <xdr:row>51</xdr:row>
          <xdr:rowOff>259080</xdr:rowOff>
        </xdr:to>
        <xdr:sp macro="" textlink="">
          <xdr:nvSpPr>
            <xdr:cNvPr id="12323" name="Check Box 35" hidden="1">
              <a:extLst>
                <a:ext uri="{63B3BB69-23CF-44E3-9099-C40C66FF867C}">
                  <a14:compatExt spid="_x0000_s12323"/>
                </a:ext>
                <a:ext uri="{FF2B5EF4-FFF2-40B4-BE49-F238E27FC236}">
                  <a16:creationId xmlns:a16="http://schemas.microsoft.com/office/drawing/2014/main" id="{00000000-0008-0000-0F00-00002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53</xdr:row>
          <xdr:rowOff>266700</xdr:rowOff>
        </xdr:from>
        <xdr:to>
          <xdr:col>10</xdr:col>
          <xdr:colOff>1706880</xdr:colOff>
          <xdr:row>54</xdr:row>
          <xdr:rowOff>106680</xdr:rowOff>
        </xdr:to>
        <xdr:sp macro="" textlink="">
          <xdr:nvSpPr>
            <xdr:cNvPr id="12324" name="Check Box 36" hidden="1">
              <a:extLst>
                <a:ext uri="{63B3BB69-23CF-44E3-9099-C40C66FF867C}">
                  <a14:compatExt spid="_x0000_s12324"/>
                </a:ext>
                <a:ext uri="{FF2B5EF4-FFF2-40B4-BE49-F238E27FC236}">
                  <a16:creationId xmlns:a16="http://schemas.microsoft.com/office/drawing/2014/main" id="{00000000-0008-0000-0F00-00002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54</xdr:row>
          <xdr:rowOff>144780</xdr:rowOff>
        </xdr:from>
        <xdr:to>
          <xdr:col>10</xdr:col>
          <xdr:colOff>1706880</xdr:colOff>
          <xdr:row>55</xdr:row>
          <xdr:rowOff>0</xdr:rowOff>
        </xdr:to>
        <xdr:sp macro="" textlink="">
          <xdr:nvSpPr>
            <xdr:cNvPr id="12325" name="Check Box 37" hidden="1">
              <a:extLst>
                <a:ext uri="{63B3BB69-23CF-44E3-9099-C40C66FF867C}">
                  <a14:compatExt spid="_x0000_s12325"/>
                </a:ext>
                <a:ext uri="{FF2B5EF4-FFF2-40B4-BE49-F238E27FC236}">
                  <a16:creationId xmlns:a16="http://schemas.microsoft.com/office/drawing/2014/main" id="{00000000-0008-0000-0F00-00002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53</xdr:row>
          <xdr:rowOff>30480</xdr:rowOff>
        </xdr:from>
        <xdr:to>
          <xdr:col>10</xdr:col>
          <xdr:colOff>1706880</xdr:colOff>
          <xdr:row>53</xdr:row>
          <xdr:rowOff>228600</xdr:rowOff>
        </xdr:to>
        <xdr:sp macro="" textlink="">
          <xdr:nvSpPr>
            <xdr:cNvPr id="12326" name="Check Box 38" hidden="1">
              <a:extLst>
                <a:ext uri="{63B3BB69-23CF-44E3-9099-C40C66FF867C}">
                  <a14:compatExt spid="_x0000_s12326"/>
                </a:ext>
                <a:ext uri="{FF2B5EF4-FFF2-40B4-BE49-F238E27FC236}">
                  <a16:creationId xmlns:a16="http://schemas.microsoft.com/office/drawing/2014/main" id="{00000000-0008-0000-0F00-00002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55</xdr:row>
          <xdr:rowOff>266700</xdr:rowOff>
        </xdr:from>
        <xdr:to>
          <xdr:col>10</xdr:col>
          <xdr:colOff>1706880</xdr:colOff>
          <xdr:row>56</xdr:row>
          <xdr:rowOff>106680</xdr:rowOff>
        </xdr:to>
        <xdr:sp macro="" textlink="">
          <xdr:nvSpPr>
            <xdr:cNvPr id="12327" name="Check Box 39" hidden="1">
              <a:extLst>
                <a:ext uri="{63B3BB69-23CF-44E3-9099-C40C66FF867C}">
                  <a14:compatExt spid="_x0000_s12327"/>
                </a:ext>
                <a:ext uri="{FF2B5EF4-FFF2-40B4-BE49-F238E27FC236}">
                  <a16:creationId xmlns:a16="http://schemas.microsoft.com/office/drawing/2014/main" id="{00000000-0008-0000-0F00-00002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56</xdr:row>
          <xdr:rowOff>144780</xdr:rowOff>
        </xdr:from>
        <xdr:to>
          <xdr:col>10</xdr:col>
          <xdr:colOff>1706880</xdr:colOff>
          <xdr:row>56</xdr:row>
          <xdr:rowOff>342900</xdr:rowOff>
        </xdr:to>
        <xdr:sp macro="" textlink="">
          <xdr:nvSpPr>
            <xdr:cNvPr id="12328" name="Check Box 40" hidden="1">
              <a:extLst>
                <a:ext uri="{63B3BB69-23CF-44E3-9099-C40C66FF867C}">
                  <a14:compatExt spid="_x0000_s12328"/>
                </a:ext>
                <a:ext uri="{FF2B5EF4-FFF2-40B4-BE49-F238E27FC236}">
                  <a16:creationId xmlns:a16="http://schemas.microsoft.com/office/drawing/2014/main" id="{00000000-0008-0000-0F00-00002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55</xdr:row>
          <xdr:rowOff>30480</xdr:rowOff>
        </xdr:from>
        <xdr:to>
          <xdr:col>10</xdr:col>
          <xdr:colOff>1706880</xdr:colOff>
          <xdr:row>55</xdr:row>
          <xdr:rowOff>259080</xdr:rowOff>
        </xdr:to>
        <xdr:sp macro="" textlink="">
          <xdr:nvSpPr>
            <xdr:cNvPr id="12329" name="Check Box 41" hidden="1">
              <a:extLst>
                <a:ext uri="{63B3BB69-23CF-44E3-9099-C40C66FF867C}">
                  <a14:compatExt spid="_x0000_s12329"/>
                </a:ext>
                <a:ext uri="{FF2B5EF4-FFF2-40B4-BE49-F238E27FC236}">
                  <a16:creationId xmlns:a16="http://schemas.microsoft.com/office/drawing/2014/main" id="{00000000-0008-0000-0F00-00002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57</xdr:row>
          <xdr:rowOff>266700</xdr:rowOff>
        </xdr:from>
        <xdr:to>
          <xdr:col>10</xdr:col>
          <xdr:colOff>1706880</xdr:colOff>
          <xdr:row>58</xdr:row>
          <xdr:rowOff>106680</xdr:rowOff>
        </xdr:to>
        <xdr:sp macro="" textlink="">
          <xdr:nvSpPr>
            <xdr:cNvPr id="12330" name="Check Box 42" hidden="1">
              <a:extLst>
                <a:ext uri="{63B3BB69-23CF-44E3-9099-C40C66FF867C}">
                  <a14:compatExt spid="_x0000_s12330"/>
                </a:ext>
                <a:ext uri="{FF2B5EF4-FFF2-40B4-BE49-F238E27FC236}">
                  <a16:creationId xmlns:a16="http://schemas.microsoft.com/office/drawing/2014/main" id="{00000000-0008-0000-0F00-00002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58</xdr:row>
          <xdr:rowOff>144780</xdr:rowOff>
        </xdr:from>
        <xdr:to>
          <xdr:col>10</xdr:col>
          <xdr:colOff>1706880</xdr:colOff>
          <xdr:row>59</xdr:row>
          <xdr:rowOff>0</xdr:rowOff>
        </xdr:to>
        <xdr:sp macro="" textlink="">
          <xdr:nvSpPr>
            <xdr:cNvPr id="12331" name="Check Box 43" hidden="1">
              <a:extLst>
                <a:ext uri="{63B3BB69-23CF-44E3-9099-C40C66FF867C}">
                  <a14:compatExt spid="_x0000_s12331"/>
                </a:ext>
                <a:ext uri="{FF2B5EF4-FFF2-40B4-BE49-F238E27FC236}">
                  <a16:creationId xmlns:a16="http://schemas.microsoft.com/office/drawing/2014/main" id="{00000000-0008-0000-0F00-00002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57</xdr:row>
          <xdr:rowOff>30480</xdr:rowOff>
        </xdr:from>
        <xdr:to>
          <xdr:col>10</xdr:col>
          <xdr:colOff>1706880</xdr:colOff>
          <xdr:row>57</xdr:row>
          <xdr:rowOff>228600</xdr:rowOff>
        </xdr:to>
        <xdr:sp macro="" textlink="">
          <xdr:nvSpPr>
            <xdr:cNvPr id="12332" name="Check Box 44" hidden="1">
              <a:extLst>
                <a:ext uri="{63B3BB69-23CF-44E3-9099-C40C66FF867C}">
                  <a14:compatExt spid="_x0000_s12332"/>
                </a:ext>
                <a:ext uri="{FF2B5EF4-FFF2-40B4-BE49-F238E27FC236}">
                  <a16:creationId xmlns:a16="http://schemas.microsoft.com/office/drawing/2014/main" id="{00000000-0008-0000-0F00-00002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59</xdr:row>
          <xdr:rowOff>266700</xdr:rowOff>
        </xdr:from>
        <xdr:to>
          <xdr:col>10</xdr:col>
          <xdr:colOff>1706880</xdr:colOff>
          <xdr:row>60</xdr:row>
          <xdr:rowOff>106680</xdr:rowOff>
        </xdr:to>
        <xdr:sp macro="" textlink="">
          <xdr:nvSpPr>
            <xdr:cNvPr id="12333" name="Check Box 45" hidden="1">
              <a:extLst>
                <a:ext uri="{63B3BB69-23CF-44E3-9099-C40C66FF867C}">
                  <a14:compatExt spid="_x0000_s12333"/>
                </a:ext>
                <a:ext uri="{FF2B5EF4-FFF2-40B4-BE49-F238E27FC236}">
                  <a16:creationId xmlns:a16="http://schemas.microsoft.com/office/drawing/2014/main" id="{00000000-0008-0000-0F00-00002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60</xdr:row>
          <xdr:rowOff>144780</xdr:rowOff>
        </xdr:from>
        <xdr:to>
          <xdr:col>10</xdr:col>
          <xdr:colOff>1706880</xdr:colOff>
          <xdr:row>60</xdr:row>
          <xdr:rowOff>342900</xdr:rowOff>
        </xdr:to>
        <xdr:sp macro="" textlink="">
          <xdr:nvSpPr>
            <xdr:cNvPr id="12334" name="Check Box 46" hidden="1">
              <a:extLst>
                <a:ext uri="{63B3BB69-23CF-44E3-9099-C40C66FF867C}">
                  <a14:compatExt spid="_x0000_s12334"/>
                </a:ext>
                <a:ext uri="{FF2B5EF4-FFF2-40B4-BE49-F238E27FC236}">
                  <a16:creationId xmlns:a16="http://schemas.microsoft.com/office/drawing/2014/main" id="{00000000-0008-0000-0F00-00002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59</xdr:row>
          <xdr:rowOff>30480</xdr:rowOff>
        </xdr:from>
        <xdr:to>
          <xdr:col>10</xdr:col>
          <xdr:colOff>1706880</xdr:colOff>
          <xdr:row>59</xdr:row>
          <xdr:rowOff>259080</xdr:rowOff>
        </xdr:to>
        <xdr:sp macro="" textlink="">
          <xdr:nvSpPr>
            <xdr:cNvPr id="12335" name="Check Box 47" hidden="1">
              <a:extLst>
                <a:ext uri="{63B3BB69-23CF-44E3-9099-C40C66FF867C}">
                  <a14:compatExt spid="_x0000_s12335"/>
                </a:ext>
                <a:ext uri="{FF2B5EF4-FFF2-40B4-BE49-F238E27FC236}">
                  <a16:creationId xmlns:a16="http://schemas.microsoft.com/office/drawing/2014/main" id="{00000000-0008-0000-0F00-00002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61</xdr:row>
          <xdr:rowOff>266700</xdr:rowOff>
        </xdr:from>
        <xdr:to>
          <xdr:col>10</xdr:col>
          <xdr:colOff>1706880</xdr:colOff>
          <xdr:row>62</xdr:row>
          <xdr:rowOff>106680</xdr:rowOff>
        </xdr:to>
        <xdr:sp macro="" textlink="">
          <xdr:nvSpPr>
            <xdr:cNvPr id="12336" name="Check Box 48" hidden="1">
              <a:extLst>
                <a:ext uri="{63B3BB69-23CF-44E3-9099-C40C66FF867C}">
                  <a14:compatExt spid="_x0000_s12336"/>
                </a:ext>
                <a:ext uri="{FF2B5EF4-FFF2-40B4-BE49-F238E27FC236}">
                  <a16:creationId xmlns:a16="http://schemas.microsoft.com/office/drawing/2014/main" id="{00000000-0008-0000-0F00-00003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62</xdr:row>
          <xdr:rowOff>144780</xdr:rowOff>
        </xdr:from>
        <xdr:to>
          <xdr:col>10</xdr:col>
          <xdr:colOff>1706880</xdr:colOff>
          <xdr:row>63</xdr:row>
          <xdr:rowOff>0</xdr:rowOff>
        </xdr:to>
        <xdr:sp macro="" textlink="">
          <xdr:nvSpPr>
            <xdr:cNvPr id="12337" name="Check Box 49" hidden="1">
              <a:extLst>
                <a:ext uri="{63B3BB69-23CF-44E3-9099-C40C66FF867C}">
                  <a14:compatExt spid="_x0000_s12337"/>
                </a:ext>
                <a:ext uri="{FF2B5EF4-FFF2-40B4-BE49-F238E27FC236}">
                  <a16:creationId xmlns:a16="http://schemas.microsoft.com/office/drawing/2014/main" id="{00000000-0008-0000-0F00-00003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61</xdr:row>
          <xdr:rowOff>30480</xdr:rowOff>
        </xdr:from>
        <xdr:to>
          <xdr:col>10</xdr:col>
          <xdr:colOff>1706880</xdr:colOff>
          <xdr:row>61</xdr:row>
          <xdr:rowOff>228600</xdr:rowOff>
        </xdr:to>
        <xdr:sp macro="" textlink="">
          <xdr:nvSpPr>
            <xdr:cNvPr id="12338" name="Check Box 50" hidden="1">
              <a:extLst>
                <a:ext uri="{63B3BB69-23CF-44E3-9099-C40C66FF867C}">
                  <a14:compatExt spid="_x0000_s12338"/>
                </a:ext>
                <a:ext uri="{FF2B5EF4-FFF2-40B4-BE49-F238E27FC236}">
                  <a16:creationId xmlns:a16="http://schemas.microsoft.com/office/drawing/2014/main" id="{00000000-0008-0000-0F00-00003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63</xdr:row>
          <xdr:rowOff>266700</xdr:rowOff>
        </xdr:from>
        <xdr:to>
          <xdr:col>10</xdr:col>
          <xdr:colOff>1706880</xdr:colOff>
          <xdr:row>64</xdr:row>
          <xdr:rowOff>106680</xdr:rowOff>
        </xdr:to>
        <xdr:sp macro="" textlink="">
          <xdr:nvSpPr>
            <xdr:cNvPr id="12339" name="Check Box 51" hidden="1">
              <a:extLst>
                <a:ext uri="{63B3BB69-23CF-44E3-9099-C40C66FF867C}">
                  <a14:compatExt spid="_x0000_s12339"/>
                </a:ext>
                <a:ext uri="{FF2B5EF4-FFF2-40B4-BE49-F238E27FC236}">
                  <a16:creationId xmlns:a16="http://schemas.microsoft.com/office/drawing/2014/main" id="{00000000-0008-0000-0F00-00003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64</xdr:row>
          <xdr:rowOff>144780</xdr:rowOff>
        </xdr:from>
        <xdr:to>
          <xdr:col>10</xdr:col>
          <xdr:colOff>1706880</xdr:colOff>
          <xdr:row>64</xdr:row>
          <xdr:rowOff>342900</xdr:rowOff>
        </xdr:to>
        <xdr:sp macro="" textlink="">
          <xdr:nvSpPr>
            <xdr:cNvPr id="12340" name="Check Box 52" hidden="1">
              <a:extLst>
                <a:ext uri="{63B3BB69-23CF-44E3-9099-C40C66FF867C}">
                  <a14:compatExt spid="_x0000_s12340"/>
                </a:ext>
                <a:ext uri="{FF2B5EF4-FFF2-40B4-BE49-F238E27FC236}">
                  <a16:creationId xmlns:a16="http://schemas.microsoft.com/office/drawing/2014/main" id="{00000000-0008-0000-0F00-00003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63</xdr:row>
          <xdr:rowOff>30480</xdr:rowOff>
        </xdr:from>
        <xdr:to>
          <xdr:col>10</xdr:col>
          <xdr:colOff>1706880</xdr:colOff>
          <xdr:row>63</xdr:row>
          <xdr:rowOff>259080</xdr:rowOff>
        </xdr:to>
        <xdr:sp macro="" textlink="">
          <xdr:nvSpPr>
            <xdr:cNvPr id="12341" name="Check Box 53" hidden="1">
              <a:extLst>
                <a:ext uri="{63B3BB69-23CF-44E3-9099-C40C66FF867C}">
                  <a14:compatExt spid="_x0000_s12341"/>
                </a:ext>
                <a:ext uri="{FF2B5EF4-FFF2-40B4-BE49-F238E27FC236}">
                  <a16:creationId xmlns:a16="http://schemas.microsoft.com/office/drawing/2014/main" id="{00000000-0008-0000-0F00-00003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65</xdr:row>
          <xdr:rowOff>266700</xdr:rowOff>
        </xdr:from>
        <xdr:to>
          <xdr:col>10</xdr:col>
          <xdr:colOff>1706880</xdr:colOff>
          <xdr:row>66</xdr:row>
          <xdr:rowOff>106680</xdr:rowOff>
        </xdr:to>
        <xdr:sp macro="" textlink="">
          <xdr:nvSpPr>
            <xdr:cNvPr id="12342" name="Check Box 54" hidden="1">
              <a:extLst>
                <a:ext uri="{63B3BB69-23CF-44E3-9099-C40C66FF867C}">
                  <a14:compatExt spid="_x0000_s12342"/>
                </a:ext>
                <a:ext uri="{FF2B5EF4-FFF2-40B4-BE49-F238E27FC236}">
                  <a16:creationId xmlns:a16="http://schemas.microsoft.com/office/drawing/2014/main" id="{00000000-0008-0000-0F00-00003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66</xdr:row>
          <xdr:rowOff>144780</xdr:rowOff>
        </xdr:from>
        <xdr:to>
          <xdr:col>10</xdr:col>
          <xdr:colOff>1706880</xdr:colOff>
          <xdr:row>67</xdr:row>
          <xdr:rowOff>0</xdr:rowOff>
        </xdr:to>
        <xdr:sp macro="" textlink="">
          <xdr:nvSpPr>
            <xdr:cNvPr id="12343" name="Check Box 55" hidden="1">
              <a:extLst>
                <a:ext uri="{63B3BB69-23CF-44E3-9099-C40C66FF867C}">
                  <a14:compatExt spid="_x0000_s12343"/>
                </a:ext>
                <a:ext uri="{FF2B5EF4-FFF2-40B4-BE49-F238E27FC236}">
                  <a16:creationId xmlns:a16="http://schemas.microsoft.com/office/drawing/2014/main" id="{00000000-0008-0000-0F00-00003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65</xdr:row>
          <xdr:rowOff>30480</xdr:rowOff>
        </xdr:from>
        <xdr:to>
          <xdr:col>10</xdr:col>
          <xdr:colOff>1706880</xdr:colOff>
          <xdr:row>65</xdr:row>
          <xdr:rowOff>228600</xdr:rowOff>
        </xdr:to>
        <xdr:sp macro="" textlink="">
          <xdr:nvSpPr>
            <xdr:cNvPr id="12344" name="Check Box 56" hidden="1">
              <a:extLst>
                <a:ext uri="{63B3BB69-23CF-44E3-9099-C40C66FF867C}">
                  <a14:compatExt spid="_x0000_s12344"/>
                </a:ext>
                <a:ext uri="{FF2B5EF4-FFF2-40B4-BE49-F238E27FC236}">
                  <a16:creationId xmlns:a16="http://schemas.microsoft.com/office/drawing/2014/main" id="{00000000-0008-0000-0F00-00003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67</xdr:row>
          <xdr:rowOff>266700</xdr:rowOff>
        </xdr:from>
        <xdr:to>
          <xdr:col>10</xdr:col>
          <xdr:colOff>1706880</xdr:colOff>
          <xdr:row>68</xdr:row>
          <xdr:rowOff>106680</xdr:rowOff>
        </xdr:to>
        <xdr:sp macro="" textlink="">
          <xdr:nvSpPr>
            <xdr:cNvPr id="12345" name="Check Box 57" hidden="1">
              <a:extLst>
                <a:ext uri="{63B3BB69-23CF-44E3-9099-C40C66FF867C}">
                  <a14:compatExt spid="_x0000_s12345"/>
                </a:ext>
                <a:ext uri="{FF2B5EF4-FFF2-40B4-BE49-F238E27FC236}">
                  <a16:creationId xmlns:a16="http://schemas.microsoft.com/office/drawing/2014/main" id="{00000000-0008-0000-0F00-00003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68</xdr:row>
          <xdr:rowOff>144780</xdr:rowOff>
        </xdr:from>
        <xdr:to>
          <xdr:col>10</xdr:col>
          <xdr:colOff>1706880</xdr:colOff>
          <xdr:row>68</xdr:row>
          <xdr:rowOff>342900</xdr:rowOff>
        </xdr:to>
        <xdr:sp macro="" textlink="">
          <xdr:nvSpPr>
            <xdr:cNvPr id="12346" name="Check Box 58" hidden="1">
              <a:extLst>
                <a:ext uri="{63B3BB69-23CF-44E3-9099-C40C66FF867C}">
                  <a14:compatExt spid="_x0000_s12346"/>
                </a:ext>
                <a:ext uri="{FF2B5EF4-FFF2-40B4-BE49-F238E27FC236}">
                  <a16:creationId xmlns:a16="http://schemas.microsoft.com/office/drawing/2014/main" id="{00000000-0008-0000-0F00-00003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67</xdr:row>
          <xdr:rowOff>30480</xdr:rowOff>
        </xdr:from>
        <xdr:to>
          <xdr:col>10</xdr:col>
          <xdr:colOff>1706880</xdr:colOff>
          <xdr:row>67</xdr:row>
          <xdr:rowOff>259080</xdr:rowOff>
        </xdr:to>
        <xdr:sp macro="" textlink="">
          <xdr:nvSpPr>
            <xdr:cNvPr id="12347" name="Check Box 59" hidden="1">
              <a:extLst>
                <a:ext uri="{63B3BB69-23CF-44E3-9099-C40C66FF867C}">
                  <a14:compatExt spid="_x0000_s12347"/>
                </a:ext>
                <a:ext uri="{FF2B5EF4-FFF2-40B4-BE49-F238E27FC236}">
                  <a16:creationId xmlns:a16="http://schemas.microsoft.com/office/drawing/2014/main" id="{00000000-0008-0000-0F00-00003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69</xdr:row>
          <xdr:rowOff>266700</xdr:rowOff>
        </xdr:from>
        <xdr:to>
          <xdr:col>10</xdr:col>
          <xdr:colOff>1706880</xdr:colOff>
          <xdr:row>70</xdr:row>
          <xdr:rowOff>106680</xdr:rowOff>
        </xdr:to>
        <xdr:sp macro="" textlink="">
          <xdr:nvSpPr>
            <xdr:cNvPr id="12348" name="Check Box 60" hidden="1">
              <a:extLst>
                <a:ext uri="{63B3BB69-23CF-44E3-9099-C40C66FF867C}">
                  <a14:compatExt spid="_x0000_s12348"/>
                </a:ext>
                <a:ext uri="{FF2B5EF4-FFF2-40B4-BE49-F238E27FC236}">
                  <a16:creationId xmlns:a16="http://schemas.microsoft.com/office/drawing/2014/main" id="{00000000-0008-0000-0F00-00003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70</xdr:row>
          <xdr:rowOff>144780</xdr:rowOff>
        </xdr:from>
        <xdr:to>
          <xdr:col>10</xdr:col>
          <xdr:colOff>1706880</xdr:colOff>
          <xdr:row>71</xdr:row>
          <xdr:rowOff>0</xdr:rowOff>
        </xdr:to>
        <xdr:sp macro="" textlink="">
          <xdr:nvSpPr>
            <xdr:cNvPr id="12349" name="Check Box 61" hidden="1">
              <a:extLst>
                <a:ext uri="{63B3BB69-23CF-44E3-9099-C40C66FF867C}">
                  <a14:compatExt spid="_x0000_s12349"/>
                </a:ext>
                <a:ext uri="{FF2B5EF4-FFF2-40B4-BE49-F238E27FC236}">
                  <a16:creationId xmlns:a16="http://schemas.microsoft.com/office/drawing/2014/main" id="{00000000-0008-0000-0F00-00003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69</xdr:row>
          <xdr:rowOff>30480</xdr:rowOff>
        </xdr:from>
        <xdr:to>
          <xdr:col>10</xdr:col>
          <xdr:colOff>1706880</xdr:colOff>
          <xdr:row>69</xdr:row>
          <xdr:rowOff>228600</xdr:rowOff>
        </xdr:to>
        <xdr:sp macro="" textlink="">
          <xdr:nvSpPr>
            <xdr:cNvPr id="12350" name="Check Box 62" hidden="1">
              <a:extLst>
                <a:ext uri="{63B3BB69-23CF-44E3-9099-C40C66FF867C}">
                  <a14:compatExt spid="_x0000_s12350"/>
                </a:ext>
                <a:ext uri="{FF2B5EF4-FFF2-40B4-BE49-F238E27FC236}">
                  <a16:creationId xmlns:a16="http://schemas.microsoft.com/office/drawing/2014/main" id="{00000000-0008-0000-0F00-00003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71</xdr:row>
          <xdr:rowOff>266700</xdr:rowOff>
        </xdr:from>
        <xdr:to>
          <xdr:col>10</xdr:col>
          <xdr:colOff>1706880</xdr:colOff>
          <xdr:row>72</xdr:row>
          <xdr:rowOff>106680</xdr:rowOff>
        </xdr:to>
        <xdr:sp macro="" textlink="">
          <xdr:nvSpPr>
            <xdr:cNvPr id="12351" name="Check Box 63" hidden="1">
              <a:extLst>
                <a:ext uri="{63B3BB69-23CF-44E3-9099-C40C66FF867C}">
                  <a14:compatExt spid="_x0000_s12351"/>
                </a:ext>
                <a:ext uri="{FF2B5EF4-FFF2-40B4-BE49-F238E27FC236}">
                  <a16:creationId xmlns:a16="http://schemas.microsoft.com/office/drawing/2014/main" id="{00000000-0008-0000-0F00-00003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72</xdr:row>
          <xdr:rowOff>144780</xdr:rowOff>
        </xdr:from>
        <xdr:to>
          <xdr:col>10</xdr:col>
          <xdr:colOff>1706880</xdr:colOff>
          <xdr:row>72</xdr:row>
          <xdr:rowOff>342900</xdr:rowOff>
        </xdr:to>
        <xdr:sp macro="" textlink="">
          <xdr:nvSpPr>
            <xdr:cNvPr id="12352" name="Check Box 64" hidden="1">
              <a:extLst>
                <a:ext uri="{63B3BB69-23CF-44E3-9099-C40C66FF867C}">
                  <a14:compatExt spid="_x0000_s12352"/>
                </a:ext>
                <a:ext uri="{FF2B5EF4-FFF2-40B4-BE49-F238E27FC236}">
                  <a16:creationId xmlns:a16="http://schemas.microsoft.com/office/drawing/2014/main" id="{00000000-0008-0000-0F00-00004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71</xdr:row>
          <xdr:rowOff>30480</xdr:rowOff>
        </xdr:from>
        <xdr:to>
          <xdr:col>10</xdr:col>
          <xdr:colOff>1706880</xdr:colOff>
          <xdr:row>71</xdr:row>
          <xdr:rowOff>259080</xdr:rowOff>
        </xdr:to>
        <xdr:sp macro="" textlink="">
          <xdr:nvSpPr>
            <xdr:cNvPr id="12353" name="Check Box 65" hidden="1">
              <a:extLst>
                <a:ext uri="{63B3BB69-23CF-44E3-9099-C40C66FF867C}">
                  <a14:compatExt spid="_x0000_s12353"/>
                </a:ext>
                <a:ext uri="{FF2B5EF4-FFF2-40B4-BE49-F238E27FC236}">
                  <a16:creationId xmlns:a16="http://schemas.microsoft.com/office/drawing/2014/main" id="{00000000-0008-0000-0F00-00004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73</xdr:row>
          <xdr:rowOff>266700</xdr:rowOff>
        </xdr:from>
        <xdr:to>
          <xdr:col>10</xdr:col>
          <xdr:colOff>1706880</xdr:colOff>
          <xdr:row>74</xdr:row>
          <xdr:rowOff>106680</xdr:rowOff>
        </xdr:to>
        <xdr:sp macro="" textlink="">
          <xdr:nvSpPr>
            <xdr:cNvPr id="12354" name="Check Box 66" hidden="1">
              <a:extLst>
                <a:ext uri="{63B3BB69-23CF-44E3-9099-C40C66FF867C}">
                  <a14:compatExt spid="_x0000_s12354"/>
                </a:ext>
                <a:ext uri="{FF2B5EF4-FFF2-40B4-BE49-F238E27FC236}">
                  <a16:creationId xmlns:a16="http://schemas.microsoft.com/office/drawing/2014/main" id="{00000000-0008-0000-0F00-00004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74</xdr:row>
          <xdr:rowOff>144780</xdr:rowOff>
        </xdr:from>
        <xdr:to>
          <xdr:col>10</xdr:col>
          <xdr:colOff>1706880</xdr:colOff>
          <xdr:row>75</xdr:row>
          <xdr:rowOff>30480</xdr:rowOff>
        </xdr:to>
        <xdr:sp macro="" textlink="">
          <xdr:nvSpPr>
            <xdr:cNvPr id="12355" name="Check Box 67" hidden="1">
              <a:extLst>
                <a:ext uri="{63B3BB69-23CF-44E3-9099-C40C66FF867C}">
                  <a14:compatExt spid="_x0000_s12355"/>
                </a:ext>
                <a:ext uri="{FF2B5EF4-FFF2-40B4-BE49-F238E27FC236}">
                  <a16:creationId xmlns:a16="http://schemas.microsoft.com/office/drawing/2014/main" id="{00000000-0008-0000-0F00-00004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73</xdr:row>
          <xdr:rowOff>30480</xdr:rowOff>
        </xdr:from>
        <xdr:to>
          <xdr:col>10</xdr:col>
          <xdr:colOff>1706880</xdr:colOff>
          <xdr:row>73</xdr:row>
          <xdr:rowOff>228600</xdr:rowOff>
        </xdr:to>
        <xdr:sp macro="" textlink="">
          <xdr:nvSpPr>
            <xdr:cNvPr id="12356" name="Check Box 68" hidden="1">
              <a:extLst>
                <a:ext uri="{63B3BB69-23CF-44E3-9099-C40C66FF867C}">
                  <a14:compatExt spid="_x0000_s12356"/>
                </a:ext>
                <a:ext uri="{FF2B5EF4-FFF2-40B4-BE49-F238E27FC236}">
                  <a16:creationId xmlns:a16="http://schemas.microsoft.com/office/drawing/2014/main" id="{00000000-0008-0000-0F00-00004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75</xdr:row>
          <xdr:rowOff>266700</xdr:rowOff>
        </xdr:from>
        <xdr:to>
          <xdr:col>10</xdr:col>
          <xdr:colOff>1706880</xdr:colOff>
          <xdr:row>76</xdr:row>
          <xdr:rowOff>106680</xdr:rowOff>
        </xdr:to>
        <xdr:sp macro="" textlink="">
          <xdr:nvSpPr>
            <xdr:cNvPr id="12357" name="Check Box 69" hidden="1">
              <a:extLst>
                <a:ext uri="{63B3BB69-23CF-44E3-9099-C40C66FF867C}">
                  <a14:compatExt spid="_x0000_s12357"/>
                </a:ext>
                <a:ext uri="{FF2B5EF4-FFF2-40B4-BE49-F238E27FC236}">
                  <a16:creationId xmlns:a16="http://schemas.microsoft.com/office/drawing/2014/main" id="{00000000-0008-0000-0F00-00004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76</xdr:row>
          <xdr:rowOff>144780</xdr:rowOff>
        </xdr:from>
        <xdr:to>
          <xdr:col>10</xdr:col>
          <xdr:colOff>1706880</xdr:colOff>
          <xdr:row>76</xdr:row>
          <xdr:rowOff>342900</xdr:rowOff>
        </xdr:to>
        <xdr:sp macro="" textlink="">
          <xdr:nvSpPr>
            <xdr:cNvPr id="12358" name="Check Box 70" hidden="1">
              <a:extLst>
                <a:ext uri="{63B3BB69-23CF-44E3-9099-C40C66FF867C}">
                  <a14:compatExt spid="_x0000_s12358"/>
                </a:ext>
                <a:ext uri="{FF2B5EF4-FFF2-40B4-BE49-F238E27FC236}">
                  <a16:creationId xmlns:a16="http://schemas.microsoft.com/office/drawing/2014/main" id="{00000000-0008-0000-0F00-00004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75</xdr:row>
          <xdr:rowOff>30480</xdr:rowOff>
        </xdr:from>
        <xdr:to>
          <xdr:col>10</xdr:col>
          <xdr:colOff>1706880</xdr:colOff>
          <xdr:row>75</xdr:row>
          <xdr:rowOff>259080</xdr:rowOff>
        </xdr:to>
        <xdr:sp macro="" textlink="">
          <xdr:nvSpPr>
            <xdr:cNvPr id="12359" name="Check Box 71" hidden="1">
              <a:extLst>
                <a:ext uri="{63B3BB69-23CF-44E3-9099-C40C66FF867C}">
                  <a14:compatExt spid="_x0000_s12359"/>
                </a:ext>
                <a:ext uri="{FF2B5EF4-FFF2-40B4-BE49-F238E27FC236}">
                  <a16:creationId xmlns:a16="http://schemas.microsoft.com/office/drawing/2014/main" id="{00000000-0008-0000-0F00-00004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77</xdr:row>
          <xdr:rowOff>266700</xdr:rowOff>
        </xdr:from>
        <xdr:to>
          <xdr:col>10</xdr:col>
          <xdr:colOff>1706880</xdr:colOff>
          <xdr:row>78</xdr:row>
          <xdr:rowOff>106680</xdr:rowOff>
        </xdr:to>
        <xdr:sp macro="" textlink="">
          <xdr:nvSpPr>
            <xdr:cNvPr id="12360" name="Check Box 72" hidden="1">
              <a:extLst>
                <a:ext uri="{63B3BB69-23CF-44E3-9099-C40C66FF867C}">
                  <a14:compatExt spid="_x0000_s12360"/>
                </a:ext>
                <a:ext uri="{FF2B5EF4-FFF2-40B4-BE49-F238E27FC236}">
                  <a16:creationId xmlns:a16="http://schemas.microsoft.com/office/drawing/2014/main" id="{00000000-0008-0000-0F00-00004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78</xdr:row>
          <xdr:rowOff>144780</xdr:rowOff>
        </xdr:from>
        <xdr:to>
          <xdr:col>10</xdr:col>
          <xdr:colOff>1706880</xdr:colOff>
          <xdr:row>79</xdr:row>
          <xdr:rowOff>30480</xdr:rowOff>
        </xdr:to>
        <xdr:sp macro="" textlink="">
          <xdr:nvSpPr>
            <xdr:cNvPr id="12361" name="Check Box 73" hidden="1">
              <a:extLst>
                <a:ext uri="{63B3BB69-23CF-44E3-9099-C40C66FF867C}">
                  <a14:compatExt spid="_x0000_s12361"/>
                </a:ext>
                <a:ext uri="{FF2B5EF4-FFF2-40B4-BE49-F238E27FC236}">
                  <a16:creationId xmlns:a16="http://schemas.microsoft.com/office/drawing/2014/main" id="{00000000-0008-0000-0F00-00004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77</xdr:row>
          <xdr:rowOff>30480</xdr:rowOff>
        </xdr:from>
        <xdr:to>
          <xdr:col>10</xdr:col>
          <xdr:colOff>1706880</xdr:colOff>
          <xdr:row>77</xdr:row>
          <xdr:rowOff>228600</xdr:rowOff>
        </xdr:to>
        <xdr:sp macro="" textlink="">
          <xdr:nvSpPr>
            <xdr:cNvPr id="12362" name="Check Box 74" hidden="1">
              <a:extLst>
                <a:ext uri="{63B3BB69-23CF-44E3-9099-C40C66FF867C}">
                  <a14:compatExt spid="_x0000_s12362"/>
                </a:ext>
                <a:ext uri="{FF2B5EF4-FFF2-40B4-BE49-F238E27FC236}">
                  <a16:creationId xmlns:a16="http://schemas.microsoft.com/office/drawing/2014/main" id="{00000000-0008-0000-0F00-00004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79</xdr:row>
          <xdr:rowOff>266700</xdr:rowOff>
        </xdr:from>
        <xdr:to>
          <xdr:col>10</xdr:col>
          <xdr:colOff>1706880</xdr:colOff>
          <xdr:row>80</xdr:row>
          <xdr:rowOff>106680</xdr:rowOff>
        </xdr:to>
        <xdr:sp macro="" textlink="">
          <xdr:nvSpPr>
            <xdr:cNvPr id="12363" name="Check Box 75" hidden="1">
              <a:extLst>
                <a:ext uri="{63B3BB69-23CF-44E3-9099-C40C66FF867C}">
                  <a14:compatExt spid="_x0000_s12363"/>
                </a:ext>
                <a:ext uri="{FF2B5EF4-FFF2-40B4-BE49-F238E27FC236}">
                  <a16:creationId xmlns:a16="http://schemas.microsoft.com/office/drawing/2014/main" id="{00000000-0008-0000-0F00-00004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80</xdr:row>
          <xdr:rowOff>144780</xdr:rowOff>
        </xdr:from>
        <xdr:to>
          <xdr:col>10</xdr:col>
          <xdr:colOff>1706880</xdr:colOff>
          <xdr:row>80</xdr:row>
          <xdr:rowOff>342900</xdr:rowOff>
        </xdr:to>
        <xdr:sp macro="" textlink="">
          <xdr:nvSpPr>
            <xdr:cNvPr id="12364" name="Check Box 76" hidden="1">
              <a:extLst>
                <a:ext uri="{63B3BB69-23CF-44E3-9099-C40C66FF867C}">
                  <a14:compatExt spid="_x0000_s12364"/>
                </a:ext>
                <a:ext uri="{FF2B5EF4-FFF2-40B4-BE49-F238E27FC236}">
                  <a16:creationId xmlns:a16="http://schemas.microsoft.com/office/drawing/2014/main" id="{00000000-0008-0000-0F00-00004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79</xdr:row>
          <xdr:rowOff>30480</xdr:rowOff>
        </xdr:from>
        <xdr:to>
          <xdr:col>10</xdr:col>
          <xdr:colOff>1706880</xdr:colOff>
          <xdr:row>79</xdr:row>
          <xdr:rowOff>259080</xdr:rowOff>
        </xdr:to>
        <xdr:sp macro="" textlink="">
          <xdr:nvSpPr>
            <xdr:cNvPr id="12365" name="Check Box 77" hidden="1">
              <a:extLst>
                <a:ext uri="{63B3BB69-23CF-44E3-9099-C40C66FF867C}">
                  <a14:compatExt spid="_x0000_s12365"/>
                </a:ext>
                <a:ext uri="{FF2B5EF4-FFF2-40B4-BE49-F238E27FC236}">
                  <a16:creationId xmlns:a16="http://schemas.microsoft.com/office/drawing/2014/main" id="{00000000-0008-0000-0F00-00004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81</xdr:row>
          <xdr:rowOff>266700</xdr:rowOff>
        </xdr:from>
        <xdr:to>
          <xdr:col>10</xdr:col>
          <xdr:colOff>1706880</xdr:colOff>
          <xdr:row>82</xdr:row>
          <xdr:rowOff>106680</xdr:rowOff>
        </xdr:to>
        <xdr:sp macro="" textlink="">
          <xdr:nvSpPr>
            <xdr:cNvPr id="12366" name="Check Box 78" hidden="1">
              <a:extLst>
                <a:ext uri="{63B3BB69-23CF-44E3-9099-C40C66FF867C}">
                  <a14:compatExt spid="_x0000_s12366"/>
                </a:ext>
                <a:ext uri="{FF2B5EF4-FFF2-40B4-BE49-F238E27FC236}">
                  <a16:creationId xmlns:a16="http://schemas.microsoft.com/office/drawing/2014/main" id="{00000000-0008-0000-0F00-00004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82</xdr:row>
          <xdr:rowOff>144780</xdr:rowOff>
        </xdr:from>
        <xdr:to>
          <xdr:col>10</xdr:col>
          <xdr:colOff>1706880</xdr:colOff>
          <xdr:row>83</xdr:row>
          <xdr:rowOff>0</xdr:rowOff>
        </xdr:to>
        <xdr:sp macro="" textlink="">
          <xdr:nvSpPr>
            <xdr:cNvPr id="12367" name="Check Box 79" hidden="1">
              <a:extLst>
                <a:ext uri="{63B3BB69-23CF-44E3-9099-C40C66FF867C}">
                  <a14:compatExt spid="_x0000_s12367"/>
                </a:ext>
                <a:ext uri="{FF2B5EF4-FFF2-40B4-BE49-F238E27FC236}">
                  <a16:creationId xmlns:a16="http://schemas.microsoft.com/office/drawing/2014/main" id="{00000000-0008-0000-0F00-00004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81</xdr:row>
          <xdr:rowOff>30480</xdr:rowOff>
        </xdr:from>
        <xdr:to>
          <xdr:col>10</xdr:col>
          <xdr:colOff>1706880</xdr:colOff>
          <xdr:row>81</xdr:row>
          <xdr:rowOff>228600</xdr:rowOff>
        </xdr:to>
        <xdr:sp macro="" textlink="">
          <xdr:nvSpPr>
            <xdr:cNvPr id="12368" name="Check Box 80" hidden="1">
              <a:extLst>
                <a:ext uri="{63B3BB69-23CF-44E3-9099-C40C66FF867C}">
                  <a14:compatExt spid="_x0000_s12368"/>
                </a:ext>
                <a:ext uri="{FF2B5EF4-FFF2-40B4-BE49-F238E27FC236}">
                  <a16:creationId xmlns:a16="http://schemas.microsoft.com/office/drawing/2014/main" id="{00000000-0008-0000-0F00-00005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33</xdr:row>
          <xdr:rowOff>266700</xdr:rowOff>
        </xdr:from>
        <xdr:to>
          <xdr:col>10</xdr:col>
          <xdr:colOff>1706880</xdr:colOff>
          <xdr:row>34</xdr:row>
          <xdr:rowOff>106680</xdr:rowOff>
        </xdr:to>
        <xdr:sp macro="" textlink="">
          <xdr:nvSpPr>
            <xdr:cNvPr id="12369" name="Check Box 81" hidden="1">
              <a:extLst>
                <a:ext uri="{63B3BB69-23CF-44E3-9099-C40C66FF867C}">
                  <a14:compatExt spid="_x0000_s12369"/>
                </a:ext>
                <a:ext uri="{FF2B5EF4-FFF2-40B4-BE49-F238E27FC236}">
                  <a16:creationId xmlns:a16="http://schemas.microsoft.com/office/drawing/2014/main" id="{00000000-0008-0000-0F00-00005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34</xdr:row>
          <xdr:rowOff>144780</xdr:rowOff>
        </xdr:from>
        <xdr:to>
          <xdr:col>10</xdr:col>
          <xdr:colOff>1706880</xdr:colOff>
          <xdr:row>35</xdr:row>
          <xdr:rowOff>0</xdr:rowOff>
        </xdr:to>
        <xdr:sp macro="" textlink="">
          <xdr:nvSpPr>
            <xdr:cNvPr id="12370" name="Check Box 82" hidden="1">
              <a:extLst>
                <a:ext uri="{63B3BB69-23CF-44E3-9099-C40C66FF867C}">
                  <a14:compatExt spid="_x0000_s12370"/>
                </a:ext>
                <a:ext uri="{FF2B5EF4-FFF2-40B4-BE49-F238E27FC236}">
                  <a16:creationId xmlns:a16="http://schemas.microsoft.com/office/drawing/2014/main" id="{00000000-0008-0000-0F00-00005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33</xdr:row>
          <xdr:rowOff>30480</xdr:rowOff>
        </xdr:from>
        <xdr:to>
          <xdr:col>10</xdr:col>
          <xdr:colOff>1706880</xdr:colOff>
          <xdr:row>33</xdr:row>
          <xdr:rowOff>228600</xdr:rowOff>
        </xdr:to>
        <xdr:sp macro="" textlink="">
          <xdr:nvSpPr>
            <xdr:cNvPr id="12371" name="Check Box 83" hidden="1">
              <a:extLst>
                <a:ext uri="{63B3BB69-23CF-44E3-9099-C40C66FF867C}">
                  <a14:compatExt spid="_x0000_s12371"/>
                </a:ext>
                <a:ext uri="{FF2B5EF4-FFF2-40B4-BE49-F238E27FC236}">
                  <a16:creationId xmlns:a16="http://schemas.microsoft.com/office/drawing/2014/main" id="{00000000-0008-0000-0F00-00005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twoCellAnchor>
    <xdr:from>
      <xdr:col>0</xdr:col>
      <xdr:colOff>59423</xdr:colOff>
      <xdr:row>17</xdr:row>
      <xdr:rowOff>102757</xdr:rowOff>
    </xdr:from>
    <xdr:to>
      <xdr:col>14</xdr:col>
      <xdr:colOff>43638</xdr:colOff>
      <xdr:row>30</xdr:row>
      <xdr:rowOff>82636</xdr:rowOff>
    </xdr:to>
    <xdr:graphicFrame macro="">
      <xdr:nvGraphicFramePr>
        <xdr:cNvPr id="2" name="Gráfico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0</xdr:colOff>
          <xdr:row>46</xdr:row>
          <xdr:rowOff>144780</xdr:rowOff>
        </xdr:from>
        <xdr:to>
          <xdr:col>10</xdr:col>
          <xdr:colOff>1706880</xdr:colOff>
          <xdr:row>47</xdr:row>
          <xdr:rowOff>0</xdr:rowOff>
        </xdr:to>
        <xdr:sp macro="" textlink="">
          <xdr:nvSpPr>
            <xdr:cNvPr id="12379" name="Check Box 91" hidden="1">
              <a:extLst>
                <a:ext uri="{63B3BB69-23CF-44E3-9099-C40C66FF867C}">
                  <a14:compatExt spid="_x0000_s12379"/>
                </a:ext>
                <a:ext uri="{FF2B5EF4-FFF2-40B4-BE49-F238E27FC236}">
                  <a16:creationId xmlns:a16="http://schemas.microsoft.com/office/drawing/2014/main" id="{00000000-0008-0000-0F00-00005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45</xdr:row>
          <xdr:rowOff>30480</xdr:rowOff>
        </xdr:from>
        <xdr:to>
          <xdr:col>10</xdr:col>
          <xdr:colOff>1706880</xdr:colOff>
          <xdr:row>45</xdr:row>
          <xdr:rowOff>228600</xdr:rowOff>
        </xdr:to>
        <xdr:sp macro="" textlink="">
          <xdr:nvSpPr>
            <xdr:cNvPr id="12380" name="Check Box 92" hidden="1">
              <a:extLst>
                <a:ext uri="{63B3BB69-23CF-44E3-9099-C40C66FF867C}">
                  <a14:compatExt spid="_x0000_s12380"/>
                </a:ext>
                <a:ext uri="{FF2B5EF4-FFF2-40B4-BE49-F238E27FC236}">
                  <a16:creationId xmlns:a16="http://schemas.microsoft.com/office/drawing/2014/main" id="{00000000-0008-0000-0F00-00005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xdr:from>
      <xdr:col>14</xdr:col>
      <xdr:colOff>78441</xdr:colOff>
      <xdr:row>2</xdr:row>
      <xdr:rowOff>95362</xdr:rowOff>
    </xdr:from>
    <xdr:to>
      <xdr:col>23</xdr:col>
      <xdr:colOff>819975</xdr:colOff>
      <xdr:row>12</xdr:row>
      <xdr:rowOff>201482</xdr:rowOff>
    </xdr:to>
    <xdr:graphicFrame macro="">
      <xdr:nvGraphicFramePr>
        <xdr:cNvPr id="3" name="Gráfico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11975</xdr:colOff>
      <xdr:row>17</xdr:row>
      <xdr:rowOff>169001</xdr:rowOff>
    </xdr:from>
    <xdr:to>
      <xdr:col>9</xdr:col>
      <xdr:colOff>40822</xdr:colOff>
      <xdr:row>17</xdr:row>
      <xdr:rowOff>3224893</xdr:rowOff>
    </xdr:to>
    <xdr:graphicFrame macro="">
      <xdr:nvGraphicFramePr>
        <xdr:cNvPr id="2" name="Gráfico 1">
          <a:extLst>
            <a:ext uri="{FF2B5EF4-FFF2-40B4-BE49-F238E27FC236}">
              <a16:creationId xmlns:a16="http://schemas.microsoft.com/office/drawing/2014/main" id="{4BA6EF6A-DACA-475C-9FBF-B6CD26828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30480</xdr:colOff>
          <xdr:row>22</xdr:row>
          <xdr:rowOff>152400</xdr:rowOff>
        </xdr:from>
        <xdr:to>
          <xdr:col>10</xdr:col>
          <xdr:colOff>1706880</xdr:colOff>
          <xdr:row>23</xdr:row>
          <xdr:rowOff>68580</xdr:rowOff>
        </xdr:to>
        <xdr:sp macro="" textlink="">
          <xdr:nvSpPr>
            <xdr:cNvPr id="21506" name="Check Box 2" hidden="1">
              <a:extLst>
                <a:ext uri="{63B3BB69-23CF-44E3-9099-C40C66FF867C}">
                  <a14:compatExt spid="_x0000_s21506"/>
                </a:ext>
                <a:ext uri="{FF2B5EF4-FFF2-40B4-BE49-F238E27FC236}">
                  <a16:creationId xmlns:a16="http://schemas.microsoft.com/office/drawing/2014/main" id="{00000000-0008-0000-1000-00000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30480</xdr:colOff>
          <xdr:row>23</xdr:row>
          <xdr:rowOff>30480</xdr:rowOff>
        </xdr:from>
        <xdr:to>
          <xdr:col>10</xdr:col>
          <xdr:colOff>1706880</xdr:colOff>
          <xdr:row>23</xdr:row>
          <xdr:rowOff>259080</xdr:rowOff>
        </xdr:to>
        <xdr:sp macro="" textlink="">
          <xdr:nvSpPr>
            <xdr:cNvPr id="21507" name="Check Box 3" hidden="1">
              <a:extLst>
                <a:ext uri="{63B3BB69-23CF-44E3-9099-C40C66FF867C}">
                  <a14:compatExt spid="_x0000_s21507"/>
                </a:ext>
                <a:ext uri="{FF2B5EF4-FFF2-40B4-BE49-F238E27FC236}">
                  <a16:creationId xmlns:a16="http://schemas.microsoft.com/office/drawing/2014/main" id="{00000000-0008-0000-1000-00000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24</xdr:row>
          <xdr:rowOff>266700</xdr:rowOff>
        </xdr:from>
        <xdr:to>
          <xdr:col>10</xdr:col>
          <xdr:colOff>1706880</xdr:colOff>
          <xdr:row>25</xdr:row>
          <xdr:rowOff>106680</xdr:rowOff>
        </xdr:to>
        <xdr:sp macro="" textlink="">
          <xdr:nvSpPr>
            <xdr:cNvPr id="21508" name="Check Box 4" hidden="1">
              <a:extLst>
                <a:ext uri="{63B3BB69-23CF-44E3-9099-C40C66FF867C}">
                  <a14:compatExt spid="_x0000_s21508"/>
                </a:ext>
                <a:ext uri="{FF2B5EF4-FFF2-40B4-BE49-F238E27FC236}">
                  <a16:creationId xmlns:a16="http://schemas.microsoft.com/office/drawing/2014/main" id="{00000000-0008-0000-1000-00000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25</xdr:row>
          <xdr:rowOff>144780</xdr:rowOff>
        </xdr:from>
        <xdr:to>
          <xdr:col>10</xdr:col>
          <xdr:colOff>1706880</xdr:colOff>
          <xdr:row>26</xdr:row>
          <xdr:rowOff>0</xdr:rowOff>
        </xdr:to>
        <xdr:sp macro="" textlink="">
          <xdr:nvSpPr>
            <xdr:cNvPr id="21509" name="Check Box 5" hidden="1">
              <a:extLst>
                <a:ext uri="{63B3BB69-23CF-44E3-9099-C40C66FF867C}">
                  <a14:compatExt spid="_x0000_s21509"/>
                </a:ext>
                <a:ext uri="{FF2B5EF4-FFF2-40B4-BE49-F238E27FC236}">
                  <a16:creationId xmlns:a16="http://schemas.microsoft.com/office/drawing/2014/main" id="{00000000-0008-0000-1000-00000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24</xdr:row>
          <xdr:rowOff>30480</xdr:rowOff>
        </xdr:from>
        <xdr:to>
          <xdr:col>10</xdr:col>
          <xdr:colOff>1706880</xdr:colOff>
          <xdr:row>24</xdr:row>
          <xdr:rowOff>259080</xdr:rowOff>
        </xdr:to>
        <xdr:sp macro="" textlink="">
          <xdr:nvSpPr>
            <xdr:cNvPr id="21510" name="Check Box 6" hidden="1">
              <a:extLst>
                <a:ext uri="{63B3BB69-23CF-44E3-9099-C40C66FF867C}">
                  <a14:compatExt spid="_x0000_s21510"/>
                </a:ext>
                <a:ext uri="{FF2B5EF4-FFF2-40B4-BE49-F238E27FC236}">
                  <a16:creationId xmlns:a16="http://schemas.microsoft.com/office/drawing/2014/main" id="{00000000-0008-0000-1000-00000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26</xdr:row>
          <xdr:rowOff>266700</xdr:rowOff>
        </xdr:from>
        <xdr:to>
          <xdr:col>10</xdr:col>
          <xdr:colOff>1706880</xdr:colOff>
          <xdr:row>27</xdr:row>
          <xdr:rowOff>106680</xdr:rowOff>
        </xdr:to>
        <xdr:sp macro="" textlink="">
          <xdr:nvSpPr>
            <xdr:cNvPr id="21511" name="Check Box 7" hidden="1">
              <a:extLst>
                <a:ext uri="{63B3BB69-23CF-44E3-9099-C40C66FF867C}">
                  <a14:compatExt spid="_x0000_s21511"/>
                </a:ext>
                <a:ext uri="{FF2B5EF4-FFF2-40B4-BE49-F238E27FC236}">
                  <a16:creationId xmlns:a16="http://schemas.microsoft.com/office/drawing/2014/main" id="{00000000-0008-0000-1000-00000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27</xdr:row>
          <xdr:rowOff>144780</xdr:rowOff>
        </xdr:from>
        <xdr:to>
          <xdr:col>10</xdr:col>
          <xdr:colOff>1706880</xdr:colOff>
          <xdr:row>28</xdr:row>
          <xdr:rowOff>0</xdr:rowOff>
        </xdr:to>
        <xdr:sp macro="" textlink="">
          <xdr:nvSpPr>
            <xdr:cNvPr id="21512" name="Check Box 8" hidden="1">
              <a:extLst>
                <a:ext uri="{63B3BB69-23CF-44E3-9099-C40C66FF867C}">
                  <a14:compatExt spid="_x0000_s21512"/>
                </a:ext>
                <a:ext uri="{FF2B5EF4-FFF2-40B4-BE49-F238E27FC236}">
                  <a16:creationId xmlns:a16="http://schemas.microsoft.com/office/drawing/2014/main" id="{00000000-0008-0000-1000-00000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26</xdr:row>
          <xdr:rowOff>30480</xdr:rowOff>
        </xdr:from>
        <xdr:to>
          <xdr:col>10</xdr:col>
          <xdr:colOff>1706880</xdr:colOff>
          <xdr:row>26</xdr:row>
          <xdr:rowOff>259080</xdr:rowOff>
        </xdr:to>
        <xdr:sp macro="" textlink="">
          <xdr:nvSpPr>
            <xdr:cNvPr id="21513" name="Check Box 9" hidden="1">
              <a:extLst>
                <a:ext uri="{63B3BB69-23CF-44E3-9099-C40C66FF867C}">
                  <a14:compatExt spid="_x0000_s21513"/>
                </a:ext>
                <a:ext uri="{FF2B5EF4-FFF2-40B4-BE49-F238E27FC236}">
                  <a16:creationId xmlns:a16="http://schemas.microsoft.com/office/drawing/2014/main" id="{00000000-0008-0000-1000-00000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28</xdr:row>
          <xdr:rowOff>266700</xdr:rowOff>
        </xdr:from>
        <xdr:to>
          <xdr:col>10</xdr:col>
          <xdr:colOff>1706880</xdr:colOff>
          <xdr:row>29</xdr:row>
          <xdr:rowOff>106680</xdr:rowOff>
        </xdr:to>
        <xdr:sp macro="" textlink="">
          <xdr:nvSpPr>
            <xdr:cNvPr id="21514" name="Check Box 10" hidden="1">
              <a:extLst>
                <a:ext uri="{63B3BB69-23CF-44E3-9099-C40C66FF867C}">
                  <a14:compatExt spid="_x0000_s21514"/>
                </a:ext>
                <a:ext uri="{FF2B5EF4-FFF2-40B4-BE49-F238E27FC236}">
                  <a16:creationId xmlns:a16="http://schemas.microsoft.com/office/drawing/2014/main" id="{00000000-0008-0000-1000-00000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29</xdr:row>
          <xdr:rowOff>144780</xdr:rowOff>
        </xdr:from>
        <xdr:to>
          <xdr:col>10</xdr:col>
          <xdr:colOff>1706880</xdr:colOff>
          <xdr:row>30</xdr:row>
          <xdr:rowOff>0</xdr:rowOff>
        </xdr:to>
        <xdr:sp macro="" textlink="">
          <xdr:nvSpPr>
            <xdr:cNvPr id="21515" name="Check Box 11" hidden="1">
              <a:extLst>
                <a:ext uri="{63B3BB69-23CF-44E3-9099-C40C66FF867C}">
                  <a14:compatExt spid="_x0000_s21515"/>
                </a:ext>
                <a:ext uri="{FF2B5EF4-FFF2-40B4-BE49-F238E27FC236}">
                  <a16:creationId xmlns:a16="http://schemas.microsoft.com/office/drawing/2014/main" id="{00000000-0008-0000-1000-00000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28</xdr:row>
          <xdr:rowOff>30480</xdr:rowOff>
        </xdr:from>
        <xdr:to>
          <xdr:col>10</xdr:col>
          <xdr:colOff>1706880</xdr:colOff>
          <xdr:row>28</xdr:row>
          <xdr:rowOff>259080</xdr:rowOff>
        </xdr:to>
        <xdr:sp macro="" textlink="">
          <xdr:nvSpPr>
            <xdr:cNvPr id="21516" name="Check Box 12" hidden="1">
              <a:extLst>
                <a:ext uri="{63B3BB69-23CF-44E3-9099-C40C66FF867C}">
                  <a14:compatExt spid="_x0000_s21516"/>
                </a:ext>
                <a:ext uri="{FF2B5EF4-FFF2-40B4-BE49-F238E27FC236}">
                  <a16:creationId xmlns:a16="http://schemas.microsoft.com/office/drawing/2014/main" id="{00000000-0008-0000-1000-00000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30</xdr:row>
          <xdr:rowOff>266700</xdr:rowOff>
        </xdr:from>
        <xdr:to>
          <xdr:col>10</xdr:col>
          <xdr:colOff>1706880</xdr:colOff>
          <xdr:row>31</xdr:row>
          <xdr:rowOff>106680</xdr:rowOff>
        </xdr:to>
        <xdr:sp macro="" textlink="">
          <xdr:nvSpPr>
            <xdr:cNvPr id="21517" name="Check Box 13" hidden="1">
              <a:extLst>
                <a:ext uri="{63B3BB69-23CF-44E3-9099-C40C66FF867C}">
                  <a14:compatExt spid="_x0000_s21517"/>
                </a:ext>
                <a:ext uri="{FF2B5EF4-FFF2-40B4-BE49-F238E27FC236}">
                  <a16:creationId xmlns:a16="http://schemas.microsoft.com/office/drawing/2014/main" id="{00000000-0008-0000-1000-00000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31</xdr:row>
          <xdr:rowOff>144780</xdr:rowOff>
        </xdr:from>
        <xdr:to>
          <xdr:col>10</xdr:col>
          <xdr:colOff>1706880</xdr:colOff>
          <xdr:row>32</xdr:row>
          <xdr:rowOff>0</xdr:rowOff>
        </xdr:to>
        <xdr:sp macro="" textlink="">
          <xdr:nvSpPr>
            <xdr:cNvPr id="21518" name="Check Box 14" hidden="1">
              <a:extLst>
                <a:ext uri="{63B3BB69-23CF-44E3-9099-C40C66FF867C}">
                  <a14:compatExt spid="_x0000_s21518"/>
                </a:ext>
                <a:ext uri="{FF2B5EF4-FFF2-40B4-BE49-F238E27FC236}">
                  <a16:creationId xmlns:a16="http://schemas.microsoft.com/office/drawing/2014/main" id="{00000000-0008-0000-1000-00000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30</xdr:row>
          <xdr:rowOff>30480</xdr:rowOff>
        </xdr:from>
        <xdr:to>
          <xdr:col>10</xdr:col>
          <xdr:colOff>1706880</xdr:colOff>
          <xdr:row>30</xdr:row>
          <xdr:rowOff>259080</xdr:rowOff>
        </xdr:to>
        <xdr:sp macro="" textlink="">
          <xdr:nvSpPr>
            <xdr:cNvPr id="21519" name="Check Box 15" hidden="1">
              <a:extLst>
                <a:ext uri="{63B3BB69-23CF-44E3-9099-C40C66FF867C}">
                  <a14:compatExt spid="_x0000_s21519"/>
                </a:ext>
                <a:ext uri="{FF2B5EF4-FFF2-40B4-BE49-F238E27FC236}">
                  <a16:creationId xmlns:a16="http://schemas.microsoft.com/office/drawing/2014/main" id="{00000000-0008-0000-1000-00000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32</xdr:row>
          <xdr:rowOff>266700</xdr:rowOff>
        </xdr:from>
        <xdr:to>
          <xdr:col>10</xdr:col>
          <xdr:colOff>1706880</xdr:colOff>
          <xdr:row>33</xdr:row>
          <xdr:rowOff>106680</xdr:rowOff>
        </xdr:to>
        <xdr:sp macro="" textlink="">
          <xdr:nvSpPr>
            <xdr:cNvPr id="21520" name="Check Box 16" hidden="1">
              <a:extLst>
                <a:ext uri="{63B3BB69-23CF-44E3-9099-C40C66FF867C}">
                  <a14:compatExt spid="_x0000_s21520"/>
                </a:ext>
                <a:ext uri="{FF2B5EF4-FFF2-40B4-BE49-F238E27FC236}">
                  <a16:creationId xmlns:a16="http://schemas.microsoft.com/office/drawing/2014/main" id="{00000000-0008-0000-1000-00001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33</xdr:row>
          <xdr:rowOff>144780</xdr:rowOff>
        </xdr:from>
        <xdr:to>
          <xdr:col>10</xdr:col>
          <xdr:colOff>1706880</xdr:colOff>
          <xdr:row>34</xdr:row>
          <xdr:rowOff>0</xdr:rowOff>
        </xdr:to>
        <xdr:sp macro="" textlink="">
          <xdr:nvSpPr>
            <xdr:cNvPr id="21521" name="Check Box 17" hidden="1">
              <a:extLst>
                <a:ext uri="{63B3BB69-23CF-44E3-9099-C40C66FF867C}">
                  <a14:compatExt spid="_x0000_s21521"/>
                </a:ext>
                <a:ext uri="{FF2B5EF4-FFF2-40B4-BE49-F238E27FC236}">
                  <a16:creationId xmlns:a16="http://schemas.microsoft.com/office/drawing/2014/main" id="{00000000-0008-0000-1000-00001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32</xdr:row>
          <xdr:rowOff>30480</xdr:rowOff>
        </xdr:from>
        <xdr:to>
          <xdr:col>10</xdr:col>
          <xdr:colOff>1706880</xdr:colOff>
          <xdr:row>32</xdr:row>
          <xdr:rowOff>259080</xdr:rowOff>
        </xdr:to>
        <xdr:sp macro="" textlink="">
          <xdr:nvSpPr>
            <xdr:cNvPr id="21522" name="Check Box 18" hidden="1">
              <a:extLst>
                <a:ext uri="{63B3BB69-23CF-44E3-9099-C40C66FF867C}">
                  <a14:compatExt spid="_x0000_s21522"/>
                </a:ext>
                <a:ext uri="{FF2B5EF4-FFF2-40B4-BE49-F238E27FC236}">
                  <a16:creationId xmlns:a16="http://schemas.microsoft.com/office/drawing/2014/main" id="{00000000-0008-0000-1000-00001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34</xdr:row>
          <xdr:rowOff>266700</xdr:rowOff>
        </xdr:from>
        <xdr:to>
          <xdr:col>10</xdr:col>
          <xdr:colOff>1706880</xdr:colOff>
          <xdr:row>35</xdr:row>
          <xdr:rowOff>106680</xdr:rowOff>
        </xdr:to>
        <xdr:sp macro="" textlink="">
          <xdr:nvSpPr>
            <xdr:cNvPr id="21523" name="Check Box 19" hidden="1">
              <a:extLst>
                <a:ext uri="{63B3BB69-23CF-44E3-9099-C40C66FF867C}">
                  <a14:compatExt spid="_x0000_s21523"/>
                </a:ext>
                <a:ext uri="{FF2B5EF4-FFF2-40B4-BE49-F238E27FC236}">
                  <a16:creationId xmlns:a16="http://schemas.microsoft.com/office/drawing/2014/main" id="{00000000-0008-0000-1000-00001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35</xdr:row>
          <xdr:rowOff>144780</xdr:rowOff>
        </xdr:from>
        <xdr:to>
          <xdr:col>10</xdr:col>
          <xdr:colOff>1706880</xdr:colOff>
          <xdr:row>36</xdr:row>
          <xdr:rowOff>0</xdr:rowOff>
        </xdr:to>
        <xdr:sp macro="" textlink="">
          <xdr:nvSpPr>
            <xdr:cNvPr id="21524" name="Check Box 20" hidden="1">
              <a:extLst>
                <a:ext uri="{63B3BB69-23CF-44E3-9099-C40C66FF867C}">
                  <a14:compatExt spid="_x0000_s21524"/>
                </a:ext>
                <a:ext uri="{FF2B5EF4-FFF2-40B4-BE49-F238E27FC236}">
                  <a16:creationId xmlns:a16="http://schemas.microsoft.com/office/drawing/2014/main" id="{00000000-0008-0000-1000-00001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34</xdr:row>
          <xdr:rowOff>30480</xdr:rowOff>
        </xdr:from>
        <xdr:to>
          <xdr:col>10</xdr:col>
          <xdr:colOff>1706880</xdr:colOff>
          <xdr:row>34</xdr:row>
          <xdr:rowOff>259080</xdr:rowOff>
        </xdr:to>
        <xdr:sp macro="" textlink="">
          <xdr:nvSpPr>
            <xdr:cNvPr id="21525" name="Check Box 21" hidden="1">
              <a:extLst>
                <a:ext uri="{63B3BB69-23CF-44E3-9099-C40C66FF867C}">
                  <a14:compatExt spid="_x0000_s21525"/>
                </a:ext>
                <a:ext uri="{FF2B5EF4-FFF2-40B4-BE49-F238E27FC236}">
                  <a16:creationId xmlns:a16="http://schemas.microsoft.com/office/drawing/2014/main" id="{00000000-0008-0000-1000-00001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36</xdr:row>
          <xdr:rowOff>266700</xdr:rowOff>
        </xdr:from>
        <xdr:to>
          <xdr:col>10</xdr:col>
          <xdr:colOff>1706880</xdr:colOff>
          <xdr:row>37</xdr:row>
          <xdr:rowOff>106680</xdr:rowOff>
        </xdr:to>
        <xdr:sp macro="" textlink="">
          <xdr:nvSpPr>
            <xdr:cNvPr id="21526" name="Check Box 22" hidden="1">
              <a:extLst>
                <a:ext uri="{63B3BB69-23CF-44E3-9099-C40C66FF867C}">
                  <a14:compatExt spid="_x0000_s21526"/>
                </a:ext>
                <a:ext uri="{FF2B5EF4-FFF2-40B4-BE49-F238E27FC236}">
                  <a16:creationId xmlns:a16="http://schemas.microsoft.com/office/drawing/2014/main" id="{00000000-0008-0000-1000-00001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37</xdr:row>
          <xdr:rowOff>144780</xdr:rowOff>
        </xdr:from>
        <xdr:to>
          <xdr:col>10</xdr:col>
          <xdr:colOff>1706880</xdr:colOff>
          <xdr:row>38</xdr:row>
          <xdr:rowOff>0</xdr:rowOff>
        </xdr:to>
        <xdr:sp macro="" textlink="">
          <xdr:nvSpPr>
            <xdr:cNvPr id="21527" name="Check Box 23" hidden="1">
              <a:extLst>
                <a:ext uri="{63B3BB69-23CF-44E3-9099-C40C66FF867C}">
                  <a14:compatExt spid="_x0000_s21527"/>
                </a:ext>
                <a:ext uri="{FF2B5EF4-FFF2-40B4-BE49-F238E27FC236}">
                  <a16:creationId xmlns:a16="http://schemas.microsoft.com/office/drawing/2014/main" id="{00000000-0008-0000-1000-00001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36</xdr:row>
          <xdr:rowOff>30480</xdr:rowOff>
        </xdr:from>
        <xdr:to>
          <xdr:col>10</xdr:col>
          <xdr:colOff>1706880</xdr:colOff>
          <xdr:row>36</xdr:row>
          <xdr:rowOff>259080</xdr:rowOff>
        </xdr:to>
        <xdr:sp macro="" textlink="">
          <xdr:nvSpPr>
            <xdr:cNvPr id="21528" name="Check Box 24" hidden="1">
              <a:extLst>
                <a:ext uri="{63B3BB69-23CF-44E3-9099-C40C66FF867C}">
                  <a14:compatExt spid="_x0000_s21528"/>
                </a:ext>
                <a:ext uri="{FF2B5EF4-FFF2-40B4-BE49-F238E27FC236}">
                  <a16:creationId xmlns:a16="http://schemas.microsoft.com/office/drawing/2014/main" id="{00000000-0008-0000-1000-00001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38</xdr:row>
          <xdr:rowOff>266700</xdr:rowOff>
        </xdr:from>
        <xdr:to>
          <xdr:col>10</xdr:col>
          <xdr:colOff>1706880</xdr:colOff>
          <xdr:row>39</xdr:row>
          <xdr:rowOff>106680</xdr:rowOff>
        </xdr:to>
        <xdr:sp macro="" textlink="">
          <xdr:nvSpPr>
            <xdr:cNvPr id="21529" name="Check Box 25" hidden="1">
              <a:extLst>
                <a:ext uri="{63B3BB69-23CF-44E3-9099-C40C66FF867C}">
                  <a14:compatExt spid="_x0000_s21529"/>
                </a:ext>
                <a:ext uri="{FF2B5EF4-FFF2-40B4-BE49-F238E27FC236}">
                  <a16:creationId xmlns:a16="http://schemas.microsoft.com/office/drawing/2014/main" id="{00000000-0008-0000-1000-00001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39</xdr:row>
          <xdr:rowOff>144780</xdr:rowOff>
        </xdr:from>
        <xdr:to>
          <xdr:col>10</xdr:col>
          <xdr:colOff>1706880</xdr:colOff>
          <xdr:row>40</xdr:row>
          <xdr:rowOff>0</xdr:rowOff>
        </xdr:to>
        <xdr:sp macro="" textlink="">
          <xdr:nvSpPr>
            <xdr:cNvPr id="21530" name="Check Box 26" hidden="1">
              <a:extLst>
                <a:ext uri="{63B3BB69-23CF-44E3-9099-C40C66FF867C}">
                  <a14:compatExt spid="_x0000_s21530"/>
                </a:ext>
                <a:ext uri="{FF2B5EF4-FFF2-40B4-BE49-F238E27FC236}">
                  <a16:creationId xmlns:a16="http://schemas.microsoft.com/office/drawing/2014/main" id="{00000000-0008-0000-1000-00001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38</xdr:row>
          <xdr:rowOff>30480</xdr:rowOff>
        </xdr:from>
        <xdr:to>
          <xdr:col>10</xdr:col>
          <xdr:colOff>1706880</xdr:colOff>
          <xdr:row>38</xdr:row>
          <xdr:rowOff>259080</xdr:rowOff>
        </xdr:to>
        <xdr:sp macro="" textlink="">
          <xdr:nvSpPr>
            <xdr:cNvPr id="21531" name="Check Box 27" hidden="1">
              <a:extLst>
                <a:ext uri="{63B3BB69-23CF-44E3-9099-C40C66FF867C}">
                  <a14:compatExt spid="_x0000_s21531"/>
                </a:ext>
                <a:ext uri="{FF2B5EF4-FFF2-40B4-BE49-F238E27FC236}">
                  <a16:creationId xmlns:a16="http://schemas.microsoft.com/office/drawing/2014/main" id="{00000000-0008-0000-1000-00001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40</xdr:row>
          <xdr:rowOff>266700</xdr:rowOff>
        </xdr:from>
        <xdr:to>
          <xdr:col>10</xdr:col>
          <xdr:colOff>1706880</xdr:colOff>
          <xdr:row>41</xdr:row>
          <xdr:rowOff>106680</xdr:rowOff>
        </xdr:to>
        <xdr:sp macro="" textlink="">
          <xdr:nvSpPr>
            <xdr:cNvPr id="21532" name="Check Box 28" hidden="1">
              <a:extLst>
                <a:ext uri="{63B3BB69-23CF-44E3-9099-C40C66FF867C}">
                  <a14:compatExt spid="_x0000_s21532"/>
                </a:ext>
                <a:ext uri="{FF2B5EF4-FFF2-40B4-BE49-F238E27FC236}">
                  <a16:creationId xmlns:a16="http://schemas.microsoft.com/office/drawing/2014/main" id="{00000000-0008-0000-1000-00001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41</xdr:row>
          <xdr:rowOff>144780</xdr:rowOff>
        </xdr:from>
        <xdr:to>
          <xdr:col>10</xdr:col>
          <xdr:colOff>1706880</xdr:colOff>
          <xdr:row>42</xdr:row>
          <xdr:rowOff>0</xdr:rowOff>
        </xdr:to>
        <xdr:sp macro="" textlink="">
          <xdr:nvSpPr>
            <xdr:cNvPr id="21533" name="Check Box 29" hidden="1">
              <a:extLst>
                <a:ext uri="{63B3BB69-23CF-44E3-9099-C40C66FF867C}">
                  <a14:compatExt spid="_x0000_s21533"/>
                </a:ext>
                <a:ext uri="{FF2B5EF4-FFF2-40B4-BE49-F238E27FC236}">
                  <a16:creationId xmlns:a16="http://schemas.microsoft.com/office/drawing/2014/main" id="{00000000-0008-0000-1000-00001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40</xdr:row>
          <xdr:rowOff>30480</xdr:rowOff>
        </xdr:from>
        <xdr:to>
          <xdr:col>10</xdr:col>
          <xdr:colOff>1706880</xdr:colOff>
          <xdr:row>40</xdr:row>
          <xdr:rowOff>259080</xdr:rowOff>
        </xdr:to>
        <xdr:sp macro="" textlink="">
          <xdr:nvSpPr>
            <xdr:cNvPr id="21534" name="Check Box 30" hidden="1">
              <a:extLst>
                <a:ext uri="{63B3BB69-23CF-44E3-9099-C40C66FF867C}">
                  <a14:compatExt spid="_x0000_s21534"/>
                </a:ext>
                <a:ext uri="{FF2B5EF4-FFF2-40B4-BE49-F238E27FC236}">
                  <a16:creationId xmlns:a16="http://schemas.microsoft.com/office/drawing/2014/main" id="{00000000-0008-0000-1000-00001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42</xdr:row>
          <xdr:rowOff>266700</xdr:rowOff>
        </xdr:from>
        <xdr:to>
          <xdr:col>10</xdr:col>
          <xdr:colOff>1706880</xdr:colOff>
          <xdr:row>43</xdr:row>
          <xdr:rowOff>106680</xdr:rowOff>
        </xdr:to>
        <xdr:sp macro="" textlink="">
          <xdr:nvSpPr>
            <xdr:cNvPr id="21535" name="Check Box 31" hidden="1">
              <a:extLst>
                <a:ext uri="{63B3BB69-23CF-44E3-9099-C40C66FF867C}">
                  <a14:compatExt spid="_x0000_s21535"/>
                </a:ext>
                <a:ext uri="{FF2B5EF4-FFF2-40B4-BE49-F238E27FC236}">
                  <a16:creationId xmlns:a16="http://schemas.microsoft.com/office/drawing/2014/main" id="{00000000-0008-0000-1000-00001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43</xdr:row>
          <xdr:rowOff>144780</xdr:rowOff>
        </xdr:from>
        <xdr:to>
          <xdr:col>10</xdr:col>
          <xdr:colOff>1706880</xdr:colOff>
          <xdr:row>44</xdr:row>
          <xdr:rowOff>0</xdr:rowOff>
        </xdr:to>
        <xdr:sp macro="" textlink="">
          <xdr:nvSpPr>
            <xdr:cNvPr id="21536" name="Check Box 32" hidden="1">
              <a:extLst>
                <a:ext uri="{63B3BB69-23CF-44E3-9099-C40C66FF867C}">
                  <a14:compatExt spid="_x0000_s21536"/>
                </a:ext>
                <a:ext uri="{FF2B5EF4-FFF2-40B4-BE49-F238E27FC236}">
                  <a16:creationId xmlns:a16="http://schemas.microsoft.com/office/drawing/2014/main" id="{00000000-0008-0000-1000-00002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42</xdr:row>
          <xdr:rowOff>30480</xdr:rowOff>
        </xdr:from>
        <xdr:to>
          <xdr:col>10</xdr:col>
          <xdr:colOff>1706880</xdr:colOff>
          <xdr:row>42</xdr:row>
          <xdr:rowOff>259080</xdr:rowOff>
        </xdr:to>
        <xdr:sp macro="" textlink="">
          <xdr:nvSpPr>
            <xdr:cNvPr id="21537" name="Check Box 33" hidden="1">
              <a:extLst>
                <a:ext uri="{63B3BB69-23CF-44E3-9099-C40C66FF867C}">
                  <a14:compatExt spid="_x0000_s21537"/>
                </a:ext>
                <a:ext uri="{FF2B5EF4-FFF2-40B4-BE49-F238E27FC236}">
                  <a16:creationId xmlns:a16="http://schemas.microsoft.com/office/drawing/2014/main" id="{00000000-0008-0000-1000-00002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44</xdr:row>
          <xdr:rowOff>266700</xdr:rowOff>
        </xdr:from>
        <xdr:to>
          <xdr:col>10</xdr:col>
          <xdr:colOff>1706880</xdr:colOff>
          <xdr:row>45</xdr:row>
          <xdr:rowOff>106680</xdr:rowOff>
        </xdr:to>
        <xdr:sp macro="" textlink="">
          <xdr:nvSpPr>
            <xdr:cNvPr id="21538" name="Check Box 34" hidden="1">
              <a:extLst>
                <a:ext uri="{63B3BB69-23CF-44E3-9099-C40C66FF867C}">
                  <a14:compatExt spid="_x0000_s21538"/>
                </a:ext>
                <a:ext uri="{FF2B5EF4-FFF2-40B4-BE49-F238E27FC236}">
                  <a16:creationId xmlns:a16="http://schemas.microsoft.com/office/drawing/2014/main" id="{00000000-0008-0000-1000-00002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45</xdr:row>
          <xdr:rowOff>144780</xdr:rowOff>
        </xdr:from>
        <xdr:to>
          <xdr:col>10</xdr:col>
          <xdr:colOff>1706880</xdr:colOff>
          <xdr:row>46</xdr:row>
          <xdr:rowOff>0</xdr:rowOff>
        </xdr:to>
        <xdr:sp macro="" textlink="">
          <xdr:nvSpPr>
            <xdr:cNvPr id="21539" name="Check Box 35" hidden="1">
              <a:extLst>
                <a:ext uri="{63B3BB69-23CF-44E3-9099-C40C66FF867C}">
                  <a14:compatExt spid="_x0000_s21539"/>
                </a:ext>
                <a:ext uri="{FF2B5EF4-FFF2-40B4-BE49-F238E27FC236}">
                  <a16:creationId xmlns:a16="http://schemas.microsoft.com/office/drawing/2014/main" id="{00000000-0008-0000-1000-00002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44</xdr:row>
          <xdr:rowOff>30480</xdr:rowOff>
        </xdr:from>
        <xdr:to>
          <xdr:col>10</xdr:col>
          <xdr:colOff>1706880</xdr:colOff>
          <xdr:row>44</xdr:row>
          <xdr:rowOff>259080</xdr:rowOff>
        </xdr:to>
        <xdr:sp macro="" textlink="">
          <xdr:nvSpPr>
            <xdr:cNvPr id="21540" name="Check Box 36" hidden="1">
              <a:extLst>
                <a:ext uri="{63B3BB69-23CF-44E3-9099-C40C66FF867C}">
                  <a14:compatExt spid="_x0000_s21540"/>
                </a:ext>
                <a:ext uri="{FF2B5EF4-FFF2-40B4-BE49-F238E27FC236}">
                  <a16:creationId xmlns:a16="http://schemas.microsoft.com/office/drawing/2014/main" id="{00000000-0008-0000-1000-00002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46</xdr:row>
          <xdr:rowOff>266700</xdr:rowOff>
        </xdr:from>
        <xdr:to>
          <xdr:col>10</xdr:col>
          <xdr:colOff>1706880</xdr:colOff>
          <xdr:row>47</xdr:row>
          <xdr:rowOff>106680</xdr:rowOff>
        </xdr:to>
        <xdr:sp macro="" textlink="">
          <xdr:nvSpPr>
            <xdr:cNvPr id="21541" name="Check Box 37" hidden="1">
              <a:extLst>
                <a:ext uri="{63B3BB69-23CF-44E3-9099-C40C66FF867C}">
                  <a14:compatExt spid="_x0000_s21541"/>
                </a:ext>
                <a:ext uri="{FF2B5EF4-FFF2-40B4-BE49-F238E27FC236}">
                  <a16:creationId xmlns:a16="http://schemas.microsoft.com/office/drawing/2014/main" id="{00000000-0008-0000-1000-00002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47</xdr:row>
          <xdr:rowOff>144780</xdr:rowOff>
        </xdr:from>
        <xdr:to>
          <xdr:col>10</xdr:col>
          <xdr:colOff>1706880</xdr:colOff>
          <xdr:row>48</xdr:row>
          <xdr:rowOff>0</xdr:rowOff>
        </xdr:to>
        <xdr:sp macro="" textlink="">
          <xdr:nvSpPr>
            <xdr:cNvPr id="21542" name="Check Box 38" hidden="1">
              <a:extLst>
                <a:ext uri="{63B3BB69-23CF-44E3-9099-C40C66FF867C}">
                  <a14:compatExt spid="_x0000_s21542"/>
                </a:ext>
                <a:ext uri="{FF2B5EF4-FFF2-40B4-BE49-F238E27FC236}">
                  <a16:creationId xmlns:a16="http://schemas.microsoft.com/office/drawing/2014/main" id="{00000000-0008-0000-1000-00002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46</xdr:row>
          <xdr:rowOff>30480</xdr:rowOff>
        </xdr:from>
        <xdr:to>
          <xdr:col>10</xdr:col>
          <xdr:colOff>1706880</xdr:colOff>
          <xdr:row>46</xdr:row>
          <xdr:rowOff>259080</xdr:rowOff>
        </xdr:to>
        <xdr:sp macro="" textlink="">
          <xdr:nvSpPr>
            <xdr:cNvPr id="21543" name="Check Box 39" hidden="1">
              <a:extLst>
                <a:ext uri="{63B3BB69-23CF-44E3-9099-C40C66FF867C}">
                  <a14:compatExt spid="_x0000_s21543"/>
                </a:ext>
                <a:ext uri="{FF2B5EF4-FFF2-40B4-BE49-F238E27FC236}">
                  <a16:creationId xmlns:a16="http://schemas.microsoft.com/office/drawing/2014/main" id="{00000000-0008-0000-1000-00002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48</xdr:row>
          <xdr:rowOff>266700</xdr:rowOff>
        </xdr:from>
        <xdr:to>
          <xdr:col>10</xdr:col>
          <xdr:colOff>1706880</xdr:colOff>
          <xdr:row>49</xdr:row>
          <xdr:rowOff>106680</xdr:rowOff>
        </xdr:to>
        <xdr:sp macro="" textlink="">
          <xdr:nvSpPr>
            <xdr:cNvPr id="21544" name="Check Box 40" hidden="1">
              <a:extLst>
                <a:ext uri="{63B3BB69-23CF-44E3-9099-C40C66FF867C}">
                  <a14:compatExt spid="_x0000_s21544"/>
                </a:ext>
                <a:ext uri="{FF2B5EF4-FFF2-40B4-BE49-F238E27FC236}">
                  <a16:creationId xmlns:a16="http://schemas.microsoft.com/office/drawing/2014/main" id="{00000000-0008-0000-1000-00002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49</xdr:row>
          <xdr:rowOff>144780</xdr:rowOff>
        </xdr:from>
        <xdr:to>
          <xdr:col>10</xdr:col>
          <xdr:colOff>1706880</xdr:colOff>
          <xdr:row>50</xdr:row>
          <xdr:rowOff>0</xdr:rowOff>
        </xdr:to>
        <xdr:sp macro="" textlink="">
          <xdr:nvSpPr>
            <xdr:cNvPr id="21545" name="Check Box 41" hidden="1">
              <a:extLst>
                <a:ext uri="{63B3BB69-23CF-44E3-9099-C40C66FF867C}">
                  <a14:compatExt spid="_x0000_s21545"/>
                </a:ext>
                <a:ext uri="{FF2B5EF4-FFF2-40B4-BE49-F238E27FC236}">
                  <a16:creationId xmlns:a16="http://schemas.microsoft.com/office/drawing/2014/main" id="{00000000-0008-0000-1000-00002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48</xdr:row>
          <xdr:rowOff>30480</xdr:rowOff>
        </xdr:from>
        <xdr:to>
          <xdr:col>10</xdr:col>
          <xdr:colOff>1706880</xdr:colOff>
          <xdr:row>48</xdr:row>
          <xdr:rowOff>259080</xdr:rowOff>
        </xdr:to>
        <xdr:sp macro="" textlink="">
          <xdr:nvSpPr>
            <xdr:cNvPr id="21546" name="Check Box 42" hidden="1">
              <a:extLst>
                <a:ext uri="{63B3BB69-23CF-44E3-9099-C40C66FF867C}">
                  <a14:compatExt spid="_x0000_s21546"/>
                </a:ext>
                <a:ext uri="{FF2B5EF4-FFF2-40B4-BE49-F238E27FC236}">
                  <a16:creationId xmlns:a16="http://schemas.microsoft.com/office/drawing/2014/main" id="{00000000-0008-0000-1000-00002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50</xdr:row>
          <xdr:rowOff>266700</xdr:rowOff>
        </xdr:from>
        <xdr:to>
          <xdr:col>10</xdr:col>
          <xdr:colOff>1706880</xdr:colOff>
          <xdr:row>51</xdr:row>
          <xdr:rowOff>106680</xdr:rowOff>
        </xdr:to>
        <xdr:sp macro="" textlink="">
          <xdr:nvSpPr>
            <xdr:cNvPr id="21547" name="Check Box 43" hidden="1">
              <a:extLst>
                <a:ext uri="{63B3BB69-23CF-44E3-9099-C40C66FF867C}">
                  <a14:compatExt spid="_x0000_s21547"/>
                </a:ext>
                <a:ext uri="{FF2B5EF4-FFF2-40B4-BE49-F238E27FC236}">
                  <a16:creationId xmlns:a16="http://schemas.microsoft.com/office/drawing/2014/main" id="{00000000-0008-0000-1000-00002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51</xdr:row>
          <xdr:rowOff>144780</xdr:rowOff>
        </xdr:from>
        <xdr:to>
          <xdr:col>10</xdr:col>
          <xdr:colOff>1706880</xdr:colOff>
          <xdr:row>52</xdr:row>
          <xdr:rowOff>0</xdr:rowOff>
        </xdr:to>
        <xdr:sp macro="" textlink="">
          <xdr:nvSpPr>
            <xdr:cNvPr id="21548" name="Check Box 44" hidden="1">
              <a:extLst>
                <a:ext uri="{63B3BB69-23CF-44E3-9099-C40C66FF867C}">
                  <a14:compatExt spid="_x0000_s21548"/>
                </a:ext>
                <a:ext uri="{FF2B5EF4-FFF2-40B4-BE49-F238E27FC236}">
                  <a16:creationId xmlns:a16="http://schemas.microsoft.com/office/drawing/2014/main" id="{00000000-0008-0000-1000-00002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50</xdr:row>
          <xdr:rowOff>30480</xdr:rowOff>
        </xdr:from>
        <xdr:to>
          <xdr:col>10</xdr:col>
          <xdr:colOff>1706880</xdr:colOff>
          <xdr:row>50</xdr:row>
          <xdr:rowOff>259080</xdr:rowOff>
        </xdr:to>
        <xdr:sp macro="" textlink="">
          <xdr:nvSpPr>
            <xdr:cNvPr id="21549" name="Check Box 45" hidden="1">
              <a:extLst>
                <a:ext uri="{63B3BB69-23CF-44E3-9099-C40C66FF867C}">
                  <a14:compatExt spid="_x0000_s21549"/>
                </a:ext>
                <a:ext uri="{FF2B5EF4-FFF2-40B4-BE49-F238E27FC236}">
                  <a16:creationId xmlns:a16="http://schemas.microsoft.com/office/drawing/2014/main" id="{00000000-0008-0000-1000-00002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52</xdr:row>
          <xdr:rowOff>266700</xdr:rowOff>
        </xdr:from>
        <xdr:to>
          <xdr:col>10</xdr:col>
          <xdr:colOff>1706880</xdr:colOff>
          <xdr:row>53</xdr:row>
          <xdr:rowOff>106680</xdr:rowOff>
        </xdr:to>
        <xdr:sp macro="" textlink="">
          <xdr:nvSpPr>
            <xdr:cNvPr id="21550" name="Check Box 46" hidden="1">
              <a:extLst>
                <a:ext uri="{63B3BB69-23CF-44E3-9099-C40C66FF867C}">
                  <a14:compatExt spid="_x0000_s21550"/>
                </a:ext>
                <a:ext uri="{FF2B5EF4-FFF2-40B4-BE49-F238E27FC236}">
                  <a16:creationId xmlns:a16="http://schemas.microsoft.com/office/drawing/2014/main" id="{00000000-0008-0000-1000-00002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53</xdr:row>
          <xdr:rowOff>144780</xdr:rowOff>
        </xdr:from>
        <xdr:to>
          <xdr:col>10</xdr:col>
          <xdr:colOff>1706880</xdr:colOff>
          <xdr:row>54</xdr:row>
          <xdr:rowOff>0</xdr:rowOff>
        </xdr:to>
        <xdr:sp macro="" textlink="">
          <xdr:nvSpPr>
            <xdr:cNvPr id="21551" name="Check Box 47" hidden="1">
              <a:extLst>
                <a:ext uri="{63B3BB69-23CF-44E3-9099-C40C66FF867C}">
                  <a14:compatExt spid="_x0000_s21551"/>
                </a:ext>
                <a:ext uri="{FF2B5EF4-FFF2-40B4-BE49-F238E27FC236}">
                  <a16:creationId xmlns:a16="http://schemas.microsoft.com/office/drawing/2014/main" id="{00000000-0008-0000-1000-00002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52</xdr:row>
          <xdr:rowOff>30480</xdr:rowOff>
        </xdr:from>
        <xdr:to>
          <xdr:col>10</xdr:col>
          <xdr:colOff>1706880</xdr:colOff>
          <xdr:row>52</xdr:row>
          <xdr:rowOff>259080</xdr:rowOff>
        </xdr:to>
        <xdr:sp macro="" textlink="">
          <xdr:nvSpPr>
            <xdr:cNvPr id="21552" name="Check Box 48" hidden="1">
              <a:extLst>
                <a:ext uri="{63B3BB69-23CF-44E3-9099-C40C66FF867C}">
                  <a14:compatExt spid="_x0000_s21552"/>
                </a:ext>
                <a:ext uri="{FF2B5EF4-FFF2-40B4-BE49-F238E27FC236}">
                  <a16:creationId xmlns:a16="http://schemas.microsoft.com/office/drawing/2014/main" id="{00000000-0008-0000-1000-00003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54</xdr:row>
          <xdr:rowOff>266700</xdr:rowOff>
        </xdr:from>
        <xdr:to>
          <xdr:col>10</xdr:col>
          <xdr:colOff>1706880</xdr:colOff>
          <xdr:row>55</xdr:row>
          <xdr:rowOff>106680</xdr:rowOff>
        </xdr:to>
        <xdr:sp macro="" textlink="">
          <xdr:nvSpPr>
            <xdr:cNvPr id="21553" name="Check Box 49" hidden="1">
              <a:extLst>
                <a:ext uri="{63B3BB69-23CF-44E3-9099-C40C66FF867C}">
                  <a14:compatExt spid="_x0000_s21553"/>
                </a:ext>
                <a:ext uri="{FF2B5EF4-FFF2-40B4-BE49-F238E27FC236}">
                  <a16:creationId xmlns:a16="http://schemas.microsoft.com/office/drawing/2014/main" id="{00000000-0008-0000-1000-00003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55</xdr:row>
          <xdr:rowOff>144780</xdr:rowOff>
        </xdr:from>
        <xdr:to>
          <xdr:col>10</xdr:col>
          <xdr:colOff>1706880</xdr:colOff>
          <xdr:row>56</xdr:row>
          <xdr:rowOff>0</xdr:rowOff>
        </xdr:to>
        <xdr:sp macro="" textlink="">
          <xdr:nvSpPr>
            <xdr:cNvPr id="21554" name="Check Box 50" hidden="1">
              <a:extLst>
                <a:ext uri="{63B3BB69-23CF-44E3-9099-C40C66FF867C}">
                  <a14:compatExt spid="_x0000_s21554"/>
                </a:ext>
                <a:ext uri="{FF2B5EF4-FFF2-40B4-BE49-F238E27FC236}">
                  <a16:creationId xmlns:a16="http://schemas.microsoft.com/office/drawing/2014/main" id="{00000000-0008-0000-1000-00003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54</xdr:row>
          <xdr:rowOff>30480</xdr:rowOff>
        </xdr:from>
        <xdr:to>
          <xdr:col>10</xdr:col>
          <xdr:colOff>1706880</xdr:colOff>
          <xdr:row>54</xdr:row>
          <xdr:rowOff>259080</xdr:rowOff>
        </xdr:to>
        <xdr:sp macro="" textlink="">
          <xdr:nvSpPr>
            <xdr:cNvPr id="21555" name="Check Box 51" hidden="1">
              <a:extLst>
                <a:ext uri="{63B3BB69-23CF-44E3-9099-C40C66FF867C}">
                  <a14:compatExt spid="_x0000_s21555"/>
                </a:ext>
                <a:ext uri="{FF2B5EF4-FFF2-40B4-BE49-F238E27FC236}">
                  <a16:creationId xmlns:a16="http://schemas.microsoft.com/office/drawing/2014/main" id="{00000000-0008-0000-1000-00003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56</xdr:row>
          <xdr:rowOff>266700</xdr:rowOff>
        </xdr:from>
        <xdr:to>
          <xdr:col>10</xdr:col>
          <xdr:colOff>1706880</xdr:colOff>
          <xdr:row>57</xdr:row>
          <xdr:rowOff>106680</xdr:rowOff>
        </xdr:to>
        <xdr:sp macro="" textlink="">
          <xdr:nvSpPr>
            <xdr:cNvPr id="21556" name="Check Box 52" hidden="1">
              <a:extLst>
                <a:ext uri="{63B3BB69-23CF-44E3-9099-C40C66FF867C}">
                  <a14:compatExt spid="_x0000_s21556"/>
                </a:ext>
                <a:ext uri="{FF2B5EF4-FFF2-40B4-BE49-F238E27FC236}">
                  <a16:creationId xmlns:a16="http://schemas.microsoft.com/office/drawing/2014/main" id="{00000000-0008-0000-1000-00003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57</xdr:row>
          <xdr:rowOff>144780</xdr:rowOff>
        </xdr:from>
        <xdr:to>
          <xdr:col>10</xdr:col>
          <xdr:colOff>1706880</xdr:colOff>
          <xdr:row>58</xdr:row>
          <xdr:rowOff>0</xdr:rowOff>
        </xdr:to>
        <xdr:sp macro="" textlink="">
          <xdr:nvSpPr>
            <xdr:cNvPr id="21557" name="Check Box 53" hidden="1">
              <a:extLst>
                <a:ext uri="{63B3BB69-23CF-44E3-9099-C40C66FF867C}">
                  <a14:compatExt spid="_x0000_s21557"/>
                </a:ext>
                <a:ext uri="{FF2B5EF4-FFF2-40B4-BE49-F238E27FC236}">
                  <a16:creationId xmlns:a16="http://schemas.microsoft.com/office/drawing/2014/main" id="{00000000-0008-0000-1000-00003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56</xdr:row>
          <xdr:rowOff>30480</xdr:rowOff>
        </xdr:from>
        <xdr:to>
          <xdr:col>10</xdr:col>
          <xdr:colOff>1706880</xdr:colOff>
          <xdr:row>56</xdr:row>
          <xdr:rowOff>259080</xdr:rowOff>
        </xdr:to>
        <xdr:sp macro="" textlink="">
          <xdr:nvSpPr>
            <xdr:cNvPr id="21558" name="Check Box 54" hidden="1">
              <a:extLst>
                <a:ext uri="{63B3BB69-23CF-44E3-9099-C40C66FF867C}">
                  <a14:compatExt spid="_x0000_s21558"/>
                </a:ext>
                <a:ext uri="{FF2B5EF4-FFF2-40B4-BE49-F238E27FC236}">
                  <a16:creationId xmlns:a16="http://schemas.microsoft.com/office/drawing/2014/main" id="{00000000-0008-0000-1000-00003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58</xdr:row>
          <xdr:rowOff>266700</xdr:rowOff>
        </xdr:from>
        <xdr:to>
          <xdr:col>10</xdr:col>
          <xdr:colOff>1706880</xdr:colOff>
          <xdr:row>59</xdr:row>
          <xdr:rowOff>106680</xdr:rowOff>
        </xdr:to>
        <xdr:sp macro="" textlink="">
          <xdr:nvSpPr>
            <xdr:cNvPr id="21559" name="Check Box 55" hidden="1">
              <a:extLst>
                <a:ext uri="{63B3BB69-23CF-44E3-9099-C40C66FF867C}">
                  <a14:compatExt spid="_x0000_s21559"/>
                </a:ext>
                <a:ext uri="{FF2B5EF4-FFF2-40B4-BE49-F238E27FC236}">
                  <a16:creationId xmlns:a16="http://schemas.microsoft.com/office/drawing/2014/main" id="{00000000-0008-0000-1000-00003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59</xdr:row>
          <xdr:rowOff>144780</xdr:rowOff>
        </xdr:from>
        <xdr:to>
          <xdr:col>10</xdr:col>
          <xdr:colOff>1706880</xdr:colOff>
          <xdr:row>60</xdr:row>
          <xdr:rowOff>0</xdr:rowOff>
        </xdr:to>
        <xdr:sp macro="" textlink="">
          <xdr:nvSpPr>
            <xdr:cNvPr id="21560" name="Check Box 56" hidden="1">
              <a:extLst>
                <a:ext uri="{63B3BB69-23CF-44E3-9099-C40C66FF867C}">
                  <a14:compatExt spid="_x0000_s21560"/>
                </a:ext>
                <a:ext uri="{FF2B5EF4-FFF2-40B4-BE49-F238E27FC236}">
                  <a16:creationId xmlns:a16="http://schemas.microsoft.com/office/drawing/2014/main" id="{00000000-0008-0000-1000-00003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58</xdr:row>
          <xdr:rowOff>30480</xdr:rowOff>
        </xdr:from>
        <xdr:to>
          <xdr:col>10</xdr:col>
          <xdr:colOff>1706880</xdr:colOff>
          <xdr:row>58</xdr:row>
          <xdr:rowOff>259080</xdr:rowOff>
        </xdr:to>
        <xdr:sp macro="" textlink="">
          <xdr:nvSpPr>
            <xdr:cNvPr id="21561" name="Check Box 57" hidden="1">
              <a:extLst>
                <a:ext uri="{63B3BB69-23CF-44E3-9099-C40C66FF867C}">
                  <a14:compatExt spid="_x0000_s21561"/>
                </a:ext>
                <a:ext uri="{FF2B5EF4-FFF2-40B4-BE49-F238E27FC236}">
                  <a16:creationId xmlns:a16="http://schemas.microsoft.com/office/drawing/2014/main" id="{00000000-0008-0000-1000-00003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60</xdr:row>
          <xdr:rowOff>266700</xdr:rowOff>
        </xdr:from>
        <xdr:to>
          <xdr:col>10</xdr:col>
          <xdr:colOff>1706880</xdr:colOff>
          <xdr:row>61</xdr:row>
          <xdr:rowOff>106680</xdr:rowOff>
        </xdr:to>
        <xdr:sp macro="" textlink="">
          <xdr:nvSpPr>
            <xdr:cNvPr id="21562" name="Check Box 58" hidden="1">
              <a:extLst>
                <a:ext uri="{63B3BB69-23CF-44E3-9099-C40C66FF867C}">
                  <a14:compatExt spid="_x0000_s21562"/>
                </a:ext>
                <a:ext uri="{FF2B5EF4-FFF2-40B4-BE49-F238E27FC236}">
                  <a16:creationId xmlns:a16="http://schemas.microsoft.com/office/drawing/2014/main" id="{00000000-0008-0000-1000-00003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61</xdr:row>
          <xdr:rowOff>144780</xdr:rowOff>
        </xdr:from>
        <xdr:to>
          <xdr:col>10</xdr:col>
          <xdr:colOff>1706880</xdr:colOff>
          <xdr:row>62</xdr:row>
          <xdr:rowOff>68580</xdr:rowOff>
        </xdr:to>
        <xdr:sp macro="" textlink="">
          <xdr:nvSpPr>
            <xdr:cNvPr id="21563" name="Check Box 59" hidden="1">
              <a:extLst>
                <a:ext uri="{63B3BB69-23CF-44E3-9099-C40C66FF867C}">
                  <a14:compatExt spid="_x0000_s21563"/>
                </a:ext>
                <a:ext uri="{FF2B5EF4-FFF2-40B4-BE49-F238E27FC236}">
                  <a16:creationId xmlns:a16="http://schemas.microsoft.com/office/drawing/2014/main" id="{00000000-0008-0000-1000-00003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60</xdr:row>
          <xdr:rowOff>30480</xdr:rowOff>
        </xdr:from>
        <xdr:to>
          <xdr:col>10</xdr:col>
          <xdr:colOff>1706880</xdr:colOff>
          <xdr:row>60</xdr:row>
          <xdr:rowOff>259080</xdr:rowOff>
        </xdr:to>
        <xdr:sp macro="" textlink="">
          <xdr:nvSpPr>
            <xdr:cNvPr id="21564" name="Check Box 60" hidden="1">
              <a:extLst>
                <a:ext uri="{63B3BB69-23CF-44E3-9099-C40C66FF867C}">
                  <a14:compatExt spid="_x0000_s21564"/>
                </a:ext>
                <a:ext uri="{FF2B5EF4-FFF2-40B4-BE49-F238E27FC236}">
                  <a16:creationId xmlns:a16="http://schemas.microsoft.com/office/drawing/2014/main" id="{00000000-0008-0000-1000-00003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62</xdr:row>
          <xdr:rowOff>266700</xdr:rowOff>
        </xdr:from>
        <xdr:to>
          <xdr:col>10</xdr:col>
          <xdr:colOff>1706880</xdr:colOff>
          <xdr:row>63</xdr:row>
          <xdr:rowOff>106680</xdr:rowOff>
        </xdr:to>
        <xdr:sp macro="" textlink="">
          <xdr:nvSpPr>
            <xdr:cNvPr id="21565" name="Check Box 61" hidden="1">
              <a:extLst>
                <a:ext uri="{63B3BB69-23CF-44E3-9099-C40C66FF867C}">
                  <a14:compatExt spid="_x0000_s21565"/>
                </a:ext>
                <a:ext uri="{FF2B5EF4-FFF2-40B4-BE49-F238E27FC236}">
                  <a16:creationId xmlns:a16="http://schemas.microsoft.com/office/drawing/2014/main" id="{00000000-0008-0000-1000-00003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63</xdr:row>
          <xdr:rowOff>144780</xdr:rowOff>
        </xdr:from>
        <xdr:to>
          <xdr:col>10</xdr:col>
          <xdr:colOff>1706880</xdr:colOff>
          <xdr:row>64</xdr:row>
          <xdr:rowOff>0</xdr:rowOff>
        </xdr:to>
        <xdr:sp macro="" textlink="">
          <xdr:nvSpPr>
            <xdr:cNvPr id="21566" name="Check Box 62" hidden="1">
              <a:extLst>
                <a:ext uri="{63B3BB69-23CF-44E3-9099-C40C66FF867C}">
                  <a14:compatExt spid="_x0000_s21566"/>
                </a:ext>
                <a:ext uri="{FF2B5EF4-FFF2-40B4-BE49-F238E27FC236}">
                  <a16:creationId xmlns:a16="http://schemas.microsoft.com/office/drawing/2014/main" id="{00000000-0008-0000-1000-00003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62</xdr:row>
          <xdr:rowOff>30480</xdr:rowOff>
        </xdr:from>
        <xdr:to>
          <xdr:col>10</xdr:col>
          <xdr:colOff>1706880</xdr:colOff>
          <xdr:row>62</xdr:row>
          <xdr:rowOff>259080</xdr:rowOff>
        </xdr:to>
        <xdr:sp macro="" textlink="">
          <xdr:nvSpPr>
            <xdr:cNvPr id="21567" name="Check Box 63" hidden="1">
              <a:extLst>
                <a:ext uri="{63B3BB69-23CF-44E3-9099-C40C66FF867C}">
                  <a14:compatExt spid="_x0000_s21567"/>
                </a:ext>
                <a:ext uri="{FF2B5EF4-FFF2-40B4-BE49-F238E27FC236}">
                  <a16:creationId xmlns:a16="http://schemas.microsoft.com/office/drawing/2014/main" id="{00000000-0008-0000-1000-00003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64</xdr:row>
          <xdr:rowOff>266700</xdr:rowOff>
        </xdr:from>
        <xdr:to>
          <xdr:col>10</xdr:col>
          <xdr:colOff>1706880</xdr:colOff>
          <xdr:row>65</xdr:row>
          <xdr:rowOff>106680</xdr:rowOff>
        </xdr:to>
        <xdr:sp macro="" textlink="">
          <xdr:nvSpPr>
            <xdr:cNvPr id="21568" name="Check Box 64" hidden="1">
              <a:extLst>
                <a:ext uri="{63B3BB69-23CF-44E3-9099-C40C66FF867C}">
                  <a14:compatExt spid="_x0000_s21568"/>
                </a:ext>
                <a:ext uri="{FF2B5EF4-FFF2-40B4-BE49-F238E27FC236}">
                  <a16:creationId xmlns:a16="http://schemas.microsoft.com/office/drawing/2014/main" id="{00000000-0008-0000-1000-00004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65</xdr:row>
          <xdr:rowOff>144780</xdr:rowOff>
        </xdr:from>
        <xdr:to>
          <xdr:col>10</xdr:col>
          <xdr:colOff>1706880</xdr:colOff>
          <xdr:row>66</xdr:row>
          <xdr:rowOff>68580</xdr:rowOff>
        </xdr:to>
        <xdr:sp macro="" textlink="">
          <xdr:nvSpPr>
            <xdr:cNvPr id="21569" name="Check Box 65" hidden="1">
              <a:extLst>
                <a:ext uri="{63B3BB69-23CF-44E3-9099-C40C66FF867C}">
                  <a14:compatExt spid="_x0000_s21569"/>
                </a:ext>
                <a:ext uri="{FF2B5EF4-FFF2-40B4-BE49-F238E27FC236}">
                  <a16:creationId xmlns:a16="http://schemas.microsoft.com/office/drawing/2014/main" id="{00000000-0008-0000-1000-00004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64</xdr:row>
          <xdr:rowOff>30480</xdr:rowOff>
        </xdr:from>
        <xdr:to>
          <xdr:col>10</xdr:col>
          <xdr:colOff>1706880</xdr:colOff>
          <xdr:row>64</xdr:row>
          <xdr:rowOff>259080</xdr:rowOff>
        </xdr:to>
        <xdr:sp macro="" textlink="">
          <xdr:nvSpPr>
            <xdr:cNvPr id="21570" name="Check Box 66" hidden="1">
              <a:extLst>
                <a:ext uri="{63B3BB69-23CF-44E3-9099-C40C66FF867C}">
                  <a14:compatExt spid="_x0000_s21570"/>
                </a:ext>
                <a:ext uri="{FF2B5EF4-FFF2-40B4-BE49-F238E27FC236}">
                  <a16:creationId xmlns:a16="http://schemas.microsoft.com/office/drawing/2014/main" id="{00000000-0008-0000-1000-00004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66</xdr:row>
          <xdr:rowOff>266700</xdr:rowOff>
        </xdr:from>
        <xdr:to>
          <xdr:col>10</xdr:col>
          <xdr:colOff>1706880</xdr:colOff>
          <xdr:row>67</xdr:row>
          <xdr:rowOff>106680</xdr:rowOff>
        </xdr:to>
        <xdr:sp macro="" textlink="">
          <xdr:nvSpPr>
            <xdr:cNvPr id="21571" name="Check Box 67" hidden="1">
              <a:extLst>
                <a:ext uri="{63B3BB69-23CF-44E3-9099-C40C66FF867C}">
                  <a14:compatExt spid="_x0000_s21571"/>
                </a:ext>
                <a:ext uri="{FF2B5EF4-FFF2-40B4-BE49-F238E27FC236}">
                  <a16:creationId xmlns:a16="http://schemas.microsoft.com/office/drawing/2014/main" id="{00000000-0008-0000-1000-00004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67</xdr:row>
          <xdr:rowOff>144780</xdr:rowOff>
        </xdr:from>
        <xdr:to>
          <xdr:col>10</xdr:col>
          <xdr:colOff>1706880</xdr:colOff>
          <xdr:row>68</xdr:row>
          <xdr:rowOff>0</xdr:rowOff>
        </xdr:to>
        <xdr:sp macro="" textlink="">
          <xdr:nvSpPr>
            <xdr:cNvPr id="21572" name="Check Box 68" hidden="1">
              <a:extLst>
                <a:ext uri="{63B3BB69-23CF-44E3-9099-C40C66FF867C}">
                  <a14:compatExt spid="_x0000_s21572"/>
                </a:ext>
                <a:ext uri="{FF2B5EF4-FFF2-40B4-BE49-F238E27FC236}">
                  <a16:creationId xmlns:a16="http://schemas.microsoft.com/office/drawing/2014/main" id="{00000000-0008-0000-1000-00004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66</xdr:row>
          <xdr:rowOff>30480</xdr:rowOff>
        </xdr:from>
        <xdr:to>
          <xdr:col>10</xdr:col>
          <xdr:colOff>1706880</xdr:colOff>
          <xdr:row>66</xdr:row>
          <xdr:rowOff>259080</xdr:rowOff>
        </xdr:to>
        <xdr:sp macro="" textlink="">
          <xdr:nvSpPr>
            <xdr:cNvPr id="21573" name="Check Box 69" hidden="1">
              <a:extLst>
                <a:ext uri="{63B3BB69-23CF-44E3-9099-C40C66FF867C}">
                  <a14:compatExt spid="_x0000_s21573"/>
                </a:ext>
                <a:ext uri="{FF2B5EF4-FFF2-40B4-BE49-F238E27FC236}">
                  <a16:creationId xmlns:a16="http://schemas.microsoft.com/office/drawing/2014/main" id="{00000000-0008-0000-1000-00004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68</xdr:row>
          <xdr:rowOff>266700</xdr:rowOff>
        </xdr:from>
        <xdr:to>
          <xdr:col>10</xdr:col>
          <xdr:colOff>1706880</xdr:colOff>
          <xdr:row>69</xdr:row>
          <xdr:rowOff>106680</xdr:rowOff>
        </xdr:to>
        <xdr:sp macro="" textlink="">
          <xdr:nvSpPr>
            <xdr:cNvPr id="21574" name="Check Box 70" hidden="1">
              <a:extLst>
                <a:ext uri="{63B3BB69-23CF-44E3-9099-C40C66FF867C}">
                  <a14:compatExt spid="_x0000_s21574"/>
                </a:ext>
                <a:ext uri="{FF2B5EF4-FFF2-40B4-BE49-F238E27FC236}">
                  <a16:creationId xmlns:a16="http://schemas.microsoft.com/office/drawing/2014/main" id="{00000000-0008-0000-1000-00004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69</xdr:row>
          <xdr:rowOff>144780</xdr:rowOff>
        </xdr:from>
        <xdr:to>
          <xdr:col>10</xdr:col>
          <xdr:colOff>1706880</xdr:colOff>
          <xdr:row>70</xdr:row>
          <xdr:rowOff>0</xdr:rowOff>
        </xdr:to>
        <xdr:sp macro="" textlink="">
          <xdr:nvSpPr>
            <xdr:cNvPr id="21575" name="Check Box 71" hidden="1">
              <a:extLst>
                <a:ext uri="{63B3BB69-23CF-44E3-9099-C40C66FF867C}">
                  <a14:compatExt spid="_x0000_s21575"/>
                </a:ext>
                <a:ext uri="{FF2B5EF4-FFF2-40B4-BE49-F238E27FC236}">
                  <a16:creationId xmlns:a16="http://schemas.microsoft.com/office/drawing/2014/main" id="{00000000-0008-0000-1000-00004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68</xdr:row>
          <xdr:rowOff>30480</xdr:rowOff>
        </xdr:from>
        <xdr:to>
          <xdr:col>10</xdr:col>
          <xdr:colOff>1706880</xdr:colOff>
          <xdr:row>68</xdr:row>
          <xdr:rowOff>259080</xdr:rowOff>
        </xdr:to>
        <xdr:sp macro="" textlink="">
          <xdr:nvSpPr>
            <xdr:cNvPr id="21576" name="Check Box 72" hidden="1">
              <a:extLst>
                <a:ext uri="{63B3BB69-23CF-44E3-9099-C40C66FF867C}">
                  <a14:compatExt spid="_x0000_s21576"/>
                </a:ext>
                <a:ext uri="{FF2B5EF4-FFF2-40B4-BE49-F238E27FC236}">
                  <a16:creationId xmlns:a16="http://schemas.microsoft.com/office/drawing/2014/main" id="{00000000-0008-0000-1000-00004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20</xdr:row>
          <xdr:rowOff>266700</xdr:rowOff>
        </xdr:from>
        <xdr:to>
          <xdr:col>10</xdr:col>
          <xdr:colOff>1706880</xdr:colOff>
          <xdr:row>21</xdr:row>
          <xdr:rowOff>106680</xdr:rowOff>
        </xdr:to>
        <xdr:sp macro="" textlink="">
          <xdr:nvSpPr>
            <xdr:cNvPr id="21577" name="Check Box 73" hidden="1">
              <a:extLst>
                <a:ext uri="{63B3BB69-23CF-44E3-9099-C40C66FF867C}">
                  <a14:compatExt spid="_x0000_s21577"/>
                </a:ext>
                <a:ext uri="{FF2B5EF4-FFF2-40B4-BE49-F238E27FC236}">
                  <a16:creationId xmlns:a16="http://schemas.microsoft.com/office/drawing/2014/main" id="{00000000-0008-0000-1000-00004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Memória de Cálculo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21</xdr:row>
          <xdr:rowOff>144780</xdr:rowOff>
        </xdr:from>
        <xdr:to>
          <xdr:col>10</xdr:col>
          <xdr:colOff>1706880</xdr:colOff>
          <xdr:row>21</xdr:row>
          <xdr:rowOff>373380</xdr:rowOff>
        </xdr:to>
        <xdr:sp macro="" textlink="">
          <xdr:nvSpPr>
            <xdr:cNvPr id="21578" name="Check Box 74" hidden="1">
              <a:extLst>
                <a:ext uri="{63B3BB69-23CF-44E3-9099-C40C66FF867C}">
                  <a14:compatExt spid="_x0000_s21578"/>
                </a:ext>
                <a:ext uri="{FF2B5EF4-FFF2-40B4-BE49-F238E27FC236}">
                  <a16:creationId xmlns:a16="http://schemas.microsoft.com/office/drawing/2014/main" id="{00000000-0008-0000-1000-00004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20</xdr:row>
          <xdr:rowOff>30480</xdr:rowOff>
        </xdr:from>
        <xdr:to>
          <xdr:col>10</xdr:col>
          <xdr:colOff>1706880</xdr:colOff>
          <xdr:row>20</xdr:row>
          <xdr:rowOff>259080</xdr:rowOff>
        </xdr:to>
        <xdr:sp macro="" textlink="">
          <xdr:nvSpPr>
            <xdr:cNvPr id="21579" name="Check Box 75" hidden="1">
              <a:extLst>
                <a:ext uri="{63B3BB69-23CF-44E3-9099-C40C66FF867C}">
                  <a14:compatExt spid="_x0000_s21579"/>
                </a:ext>
                <a:ext uri="{FF2B5EF4-FFF2-40B4-BE49-F238E27FC236}">
                  <a16:creationId xmlns:a16="http://schemas.microsoft.com/office/drawing/2014/main" id="{00000000-0008-0000-1000-00004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33</xdr:row>
          <xdr:rowOff>144780</xdr:rowOff>
        </xdr:from>
        <xdr:to>
          <xdr:col>10</xdr:col>
          <xdr:colOff>1706880</xdr:colOff>
          <xdr:row>34</xdr:row>
          <xdr:rowOff>0</xdr:rowOff>
        </xdr:to>
        <xdr:sp macro="" textlink="">
          <xdr:nvSpPr>
            <xdr:cNvPr id="21580" name="Check Box 76" hidden="1">
              <a:extLst>
                <a:ext uri="{63B3BB69-23CF-44E3-9099-C40C66FF867C}">
                  <a14:compatExt spid="_x0000_s21580"/>
                </a:ext>
                <a:ext uri="{FF2B5EF4-FFF2-40B4-BE49-F238E27FC236}">
                  <a16:creationId xmlns:a16="http://schemas.microsoft.com/office/drawing/2014/main" id="{00000000-0008-0000-1000-00004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Formalizado com Dep de Custos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32</xdr:row>
          <xdr:rowOff>30480</xdr:rowOff>
        </xdr:from>
        <xdr:to>
          <xdr:col>10</xdr:col>
          <xdr:colOff>1706880</xdr:colOff>
          <xdr:row>32</xdr:row>
          <xdr:rowOff>259080</xdr:rowOff>
        </xdr:to>
        <xdr:sp macro="" textlink="">
          <xdr:nvSpPr>
            <xdr:cNvPr id="21581" name="Check Box 77" hidden="1">
              <a:extLst>
                <a:ext uri="{63B3BB69-23CF-44E3-9099-C40C66FF867C}">
                  <a14:compatExt spid="_x0000_s21581"/>
                </a:ext>
                <a:ext uri="{FF2B5EF4-FFF2-40B4-BE49-F238E27FC236}">
                  <a16:creationId xmlns:a16="http://schemas.microsoft.com/office/drawing/2014/main" id="{00000000-0008-0000-1000-00004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t-BR" sz="800" b="0" i="0" u="none" strike="noStrike" baseline="0">
                  <a:solidFill>
                    <a:srgbClr val="000000"/>
                  </a:solidFill>
                  <a:latin typeface="Segoe UI"/>
                  <a:cs typeface="Segoe UI"/>
                </a:rPr>
                <a:t>A3 e Estrutura Desenvolvido</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01%20-%20VENDA%20DE%20ATIVOS\A3%20Projeto%2001%20-%20VENDA%20DE%20ATIVOS.xlsx" TargetMode="External"/><Relationship Id="rId1" Type="http://schemas.openxmlformats.org/officeDocument/2006/relationships/externalLinkPath" Target="file:///\\DASRVFILE\Departamentos\ENGENHARIA\1.1%20Projetos%20de%20redu&#231;&#227;o%20custo\01%20-%20VENDA%20DE%20ATIVOS\A3%20Projeto%2001%20-%20VENDA%20DE%20ATIV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02%20-%20TANQUE%20DE%20DECAPAGEM\A3%20Projeto%2002%20-%20TANQUE%20DE%20DECAPAGEM.xlsx" TargetMode="External"/><Relationship Id="rId1" Type="http://schemas.openxmlformats.org/officeDocument/2006/relationships/externalLinkPath" Target="file:///\\DASRVFILE\Departamentos\ENGENHARIA\1.1%20Projetos%20de%20redu&#231;&#227;o%20custo\02%20-%20TANQUE%20DE%20DECAPAGEM\A3%20Projeto%2002%20-%20TANQUE%20DE%20DECAPAGEM.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03%20-%20PRODUTOS%20QU&#205;MICOS%20KTL\A3%20Projeto%2003%20-%20PRODUTOS%20QU&#205;MICOS%20KTL.xlsx" TargetMode="External"/><Relationship Id="rId1" Type="http://schemas.openxmlformats.org/officeDocument/2006/relationships/externalLinkPath" Target="file:///\\DASRVFILE\Departamentos\ENGENHARIA\1.1%20Projetos%20de%20redu&#231;&#227;o%20custo\03%20-%20PRODUTOS%20QU&#205;MICOS%20KTL\A3%20Projeto%2003%20-%20PRODUTOS%20QU&#205;MICOS%20KTL.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04%20-%20G&#193;S\A3%20Projeto%2004%20-%20Projeto%20de%20efici&#234;ncia%20do%20G&#225;s.xlsx" TargetMode="External"/><Relationship Id="rId1" Type="http://schemas.openxmlformats.org/officeDocument/2006/relationships/externalLinkPath" Target="file:///\\DASRVFILE\Departamentos\ENGENHARIA\1.1%20Projetos%20de%20redu&#231;&#227;o%20custo\04%20-%20G&#193;S\A3%20Projeto%2004%20-%20Projeto%20de%20efici&#234;ncia%20do%20G&#225;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ASRVFILE\Departamentos\ENGENHARIA\1.1%20Projetos%20de%20redu&#231;&#227;o%20custo\05%20-%20REDU&#199;&#195;O%20DE%20FRETE\A3%20Projeto%2005%20-%20REDU&#199;&#195;O%20DE%20FRETE.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06%20-%20CONSUMO%20DE%20TINTA%20P&#211;\A3%20Projeto%2006%20-%20CONSUMO%20DE%20TINTA%20P&#211;.xlsx" TargetMode="External"/><Relationship Id="rId1" Type="http://schemas.openxmlformats.org/officeDocument/2006/relationships/externalLinkPath" Target="file:///\\DASRVFILE\Departamentos\ENGENHARIA\1.1%20Projetos%20de%20redu&#231;&#227;o%20custo\06%20-%20CONSUMO%20DE%20TINTA%20P&#211;\A3%20Projeto%2006%20-%20CONSUMO%20DE%20TINTA%20P&#21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07%20-%20CONSUMO%20DE%20EPI%20e%20SERVI&#199;OS\A3%20Projeto%2007%20-%20CONSUMO%20DE%20EPI%20e%20SERVI&#199;OS_Feveiro2026.xlsx" TargetMode="External"/><Relationship Id="rId1" Type="http://schemas.openxmlformats.org/officeDocument/2006/relationships/externalLinkPath" Target="file:///\\DASRVFILE\Departamentos\ENGENHARIA\1.1%20Projetos%20de%20redu&#231;&#227;o%20custo\07%20-%20CONSUMO%20DE%20EPI%20e%20SERVI&#199;OS\A3%20Projeto%2007%20-%20CONSUMO%20DE%20EPI%20e%20SERVI&#199;OS_Feveiro2026.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ASRVFILE\Departamentos\ENGENHARIA\1.1%20Projetos%20de%20redu&#231;&#227;o%20custo\08%20-%20&#193;GUA\08.%20&#193;GUA%20-%20MELHORAR%20A%20EFICI&#202;NCIA%20DO%20CONSUMO%20DE%20&#192;GUA.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ASRVFILE\Departamentos\ENGENHARIA\1.1%20Projetos%20de%20redu&#231;&#227;o%20custo\09%20-%20ENERGIA%20EL&#201;TRICA\A3%20Projeto%2009%20-%20MELHORAR%20A%20EFICI&#202;NCIA%20DO%20CONSUMO%20DA%20ENERGIA%20EL&#201;TRICA.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DASRVFILE\Departamentos\ENGENHARIA\1.1%20Projetos%20de%20redu&#231;&#227;o%20custo\10%20-%20CONSUMO%20PERNA%20DE%20MO&#199;A\A3%20-%2010.%20CONSUMO%20PERNA%20DE%20MO&#199;A.xlsx" TargetMode="External"/><Relationship Id="rId1" Type="http://schemas.openxmlformats.org/officeDocument/2006/relationships/externalLinkPath" Target="file:///\\DASRVFILE\Departamentos\ENGENHARIA\1.1%20Projetos%20de%20redu&#231;&#227;o%20custo\10%20-%20CONSUMO%20PERNA%20DE%20MO&#199;A\A3%20-%2010.%20CONSUMO%20PERNA%20DE%20MO&#199;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R:\Departamentos\ENGENHARIA\1.1%20Projetos%20de%20redu&#231;&#227;o%20custo\12%20-%20VENDA%20DE%20DESCART&#193;VEIS\A3%20Projeto%2012%20-%20VENDA%20DE%20DESCART&#193;VEIS.xlsx" TargetMode="External"/><Relationship Id="rId1" Type="http://schemas.openxmlformats.org/officeDocument/2006/relationships/externalLinkPath" Target="file:///R:\Departamentos\ENGENHARIA\1.1%20Projetos%20de%20redu&#231;&#227;o%20custo\12%20-%20VENDA%20DE%20DESCART&#193;VEIS\A3%20Projeto%2012%20-%20VENDA%20DE%20DESCART&#193;VEIS.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ASRVFILE\Departamentos\ENGENHARIA\1.1%20Projetos%20de%20redu&#231;&#227;o%20custo\13%20-%20CONSUMO%20DE%20MATERIAIS%20DA%20ETE\A3%20Projeto%2013%20-%20CONSUMO%20DE%20MATERIAIS%20DA%20ETE.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ASRVFILE\Departamentos\ENGENHARIA\1.1%20Projetos%20de%20redu&#231;&#227;o%20custo\16%20-%20Empilhadeira%20El&#233;trica\A3%20Empilhadeira%20Eletrica.xlsx" TargetMode="External"/></Relationships>
</file>

<file path=xl/externalLinks/_rels/externalLink14.xml.rels><?xml version="1.0" encoding="UTF-8" standalone="yes"?>
<Relationships xmlns="http://schemas.openxmlformats.org/package/2006/relationships"><Relationship Id="rId3" Type="http://schemas.openxmlformats.org/officeDocument/2006/relationships/externalLinkPath" Target="../../../ControledeDocumentosDelga2/Indicadores/Indicadores,%20Analise%20Critica%20e%20High%20Five/Form.%20104%20-%20Indicadores%20e%20Ata%20de%20Analise%20Critica%20-%20Jarinu.xlsx" TargetMode="External"/><Relationship Id="rId2" Type="http://schemas.openxmlformats.org/officeDocument/2006/relationships/externalLinkPath" Target="https://delgadiadema.sharepoint.com/sites/ControledeDocumentosDelga2/Indicadores/Indicadores,%20Analise%20Critica%20e%20High%20Five/Form.%20104%20-%20Indicadores%20e%20Ata%20de%20Analise%20Critica%20-%20Jarinu.xlsx" TargetMode="External"/><Relationship Id="rId1" Type="http://schemas.openxmlformats.org/officeDocument/2006/relationships/externalLinkPath" Target="/sites/ControledeDocumentosDelga2/Indicadores/Indicadores,%20Analise%20Critica%20e%20High%20Five/Form.%20104%20-%20Indicadores%20e%20Ata%20de%20Analise%20Critica%20-%20Jarinu.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2.168.5.20\Departamentos\TI\Projetos\Master%202026\01%20-%20Desenvolver%20c&#233;lula%20de%20solda%20para%20soldar%20porcas\01%20-%20Desenvolver%20c&#233;lula%20de%20solda%20para%20soldar%20porcas.xlsx" TargetMode="External"/></Relationships>
</file>

<file path=xl/externalLinks/_rels/externalLink16.xml.rels><?xml version="1.0" encoding="UTF-8" standalone="yes"?>
<Relationships xmlns="http://schemas.openxmlformats.org/package/2006/relationships"><Relationship Id="rId3" Type="http://schemas.openxmlformats.org/officeDocument/2006/relationships/externalLinkPath" Target="file:///\\192.168.5.20\Departamentos\TI\Projetos\Master%202026\02%20-%20Aumentar%20a%20produtividade%20da%20estamparia%20atraves%20da%20implementa&#231;&#227;o%20lote%20econ&#244;mico%20e%20multiplos%20de%20MTP\A3%20Aumento%20de%20Produtividade%20por%20Implementa&#231;&#227;o%20de%20Lote%20Econ&#244;mico%20e%20Padroniza&#231;&#227;o%20de%20Embalagens.xlsx" TargetMode="External"/><Relationship Id="rId2" Type="http://schemas.microsoft.com/office/2019/04/relationships/externalLinkLongPath" Target="file:///\\192.168.5.20\Departamentos\TI\Projetos\Master%202026\02%20-%20Aumentar%20a%20produtividade%20da%20estamparia%20atraves%20da%20implementa&#231;&#227;o%20lote%20econ&#244;mico%20e%20multiplos%20de%20MTP\A3%20Aumento%20de%20Produtividade%20por%20Implementa&#231;&#227;o%20de%20Lote%20Econ&#244;mico%20e%20Padroniza&#231;&#227;o%20de%20Embalagens.xlsx?D0266F2F" TargetMode="External"/><Relationship Id="rId1" Type="http://schemas.openxmlformats.org/officeDocument/2006/relationships/externalLinkPath" Target="file:///\\D0266F2F\A3%20Aumento%20de%20Produtividade%20por%20Implementa&#231;&#227;o%20de%20Lote%20Econ&#244;mico%20e%20Padroniza&#231;&#227;o%20de%20Embalagens.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92.168.5.20\Departamentos\TI\Projetos\Master%202026\03%20-%20Redu&#231;&#227;o%20de%20consumo%20de%20MP%20dos%20blanks%20com%20a%20t&#233;cnica%20de%20corte%20Wave\Planta%20Melhoria%20Blank%20Wave%20-%20Gest&#227;o%20de%20Projetos.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92.168.5.20\Departamentos\TI\Projetos\Master%202026\05-%20Aplicar%20borda%20aparada%20nas%20bobinas\05%20-%20Aplica&#231;&#227;o%20de%20bordas%20aparadas.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92.168.5.20\Departamentos\TI\Projetos\Master%202026\06%20-%20Redu&#231;&#227;o%20consumo%20MTP%20aplicando%20toler&#226;ncia%20m&#237;nima\06%20-%20Projeto%20Jarinu.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92.168.5.20\Departamentos\TI\Projetos\Master%202026\14%20-%20Redu&#231;&#227;o%20de%20consumo%20no%20passo%20do%20blank%20dos%20itens%20VW000950AA%20951AA\14%20-%20Redu&#231;&#227;o%20de%20consumo%20no%20passo%20%20VW000950AA%20951A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92.168.5.20\Departamentos\TI\Projetos\Master%202026\15%20-%20Redu&#231;&#227;o%20de%20consumo%20no%20slitter%20dos%20itens%20VW000950AA%20951AA\15%20-%20Projeto%20Jarinu.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92.168.5.20\Departamentos\TI\Projetos\Master%202026\19%20-%20Redu&#231;&#227;o%20da%20largura%20da%20bobina%20m&#227;e%20do%20Curv&#227;o\19%20-%20Redu&#231;&#227;o%20da%20largura%20da%20bobina%20m&#227;e%20do%20Curv&#227;o.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2.168.5.20\Departamentos\TI\Projetos\Master%202026\20%20-%20Redu&#231;&#227;o%20do%20custos%20na%20aquisi&#231;&#227;o%20de%20FLAP\20%20-%20Redu&#231;&#227;o%20do%20custos%20na%20aquisi&#231;&#227;o%20de%20FLAP.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92.168.5.20\Departamentos\TI\Projetos\Master%202026\23%20-%20Piloto%20MTP%20VW000938AB%20(-%203%20mm%20no%20passo)\23%20-%20Piloto%20MTP%20VW000938AB%20(-%203%20mm%20no%20passo).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92.168.5.20\Departamentos\TI\Projetos\Master%202026\27%20-%20Mean%20to-low%20Curva%20B\27%20-%20Mean%20to%20low%20curva%20B.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92.168.5.20\Departamentos\TI\Projetos\Master%202026\28%20-%20Mean%20to-low%20Curva%20C\28%20-%20Mean%20to%20low%20curva%20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92.168.5.20\Departamentos\TI\Projetos\Master%202026\29%20-%20Redu&#231;&#227;o%20de%20consumo%20de%20MTP%20no%20passo%20do%20Blank%20do%20item%20VW000942AB943AB%20(Passo%20-5%20)\29%20-%20Projeto%20Jarinu.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R:\Departamentos\TI\Projetos\Master%202026\33%20-%20Rollout%20Impressora%20Administrativo\33%20-%20Projeto%20Jarinu.xlsx" TargetMode="External"/></Relationships>
</file>

<file path=xl/externalLinks/_rels/externalLink29.xml.rels><?xml version="1.0" encoding="UTF-8" standalone="yes"?>
<Relationships xmlns="http://schemas.openxmlformats.org/package/2006/relationships"><Relationship Id="rId3" Type="http://schemas.openxmlformats.org/officeDocument/2006/relationships/externalLinkPath" Target="../../../ControledeDocumentosDelga2/Indicadores/Indicadores,%20Analise%20Critica%20e%20High%20Five/Form.%20104%20-%20Indicadores%20e%20Ata%20de%20Analise%20Critica%20-%20Ferraz.xlsx" TargetMode="External"/><Relationship Id="rId2" Type="http://schemas.openxmlformats.org/officeDocument/2006/relationships/externalLinkPath" Target="https://delgadiadema.sharepoint.com/sites/ControledeDocumentosDelga2/Indicadores/Indicadores,%20Analise%20Critica%20e%20High%20Five/Form.%20104%20-%20Indicadores%20e%20Ata%20de%20Analise%20Critica%20-%20Ferraz.xlsx" TargetMode="External"/><Relationship Id="rId1" Type="http://schemas.openxmlformats.org/officeDocument/2006/relationships/externalLinkPath" Target="/sites/ControledeDocumentosDelga2/Indicadores/Indicadores,%20Analise%20Critica%20e%20High%20Five/Form.%20104%20-%20Indicadores%20e%20Ata%20de%20Analise%20Critica%20-%20Ferraz.xlsx"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delgadiadema.sharepoint.com/sites/GestoEstratgica/Documentos%20Compartilhados/Controle%20Master/Auditoria%20SPD/Diadema/Auditoria%20SPD%20Diadema%20Rev.00_040226.xlsx" TargetMode="External"/><Relationship Id="rId1" Type="http://schemas.openxmlformats.org/officeDocument/2006/relationships/externalLinkPath" Target="Auditoria%20SPD/Diadema/Auditoria%20SPD%20Diadema%20Rev.00_040226.xlsx"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file:///C:\Users\janderson.oliveira\Desktop\SPD%20Resumo%20corporativo.%20Rev02.xlsx" TargetMode="External"/><Relationship Id="rId1" Type="http://schemas.openxmlformats.org/officeDocument/2006/relationships/externalLinkPath" Target="file:///C:\Users\janderson.oliveira\Desktop\SPD%20Resumo%20corporativo.%20Rev02.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92.168.3.20\Departamentos\Engenharia\Planejamento%20Estrat&#233;gico\A3_01-Refugo.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92.168.3.20\Departamentos\Engenharia\Planejamento%20Estrat&#233;gico\A3_02%20-%20Redu&#231;&#227;o%20de%20mat&#233;ria-prima%20DD000506Z.xlsx"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03-%20Comuniza&#231;&#227;o%20de%20Materiais.xlsx" TargetMode="External"/><Relationship Id="rId1" Type="http://schemas.openxmlformats.org/officeDocument/2006/relationships/externalLinkPath" Target="file:///\\192.168.3.20\Departamentos\Engenharia\Planejamento%20Estrat&#233;gico\A3_03-%20Comuniza&#231;&#227;o%20de%20Materiais.xlsx"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08%20-%20Redu&#231;&#227;o%20de%20mat&#233;ria-prima%20DD000502-DD000503Z.xlsx" TargetMode="External"/><Relationship Id="rId1" Type="http://schemas.openxmlformats.org/officeDocument/2006/relationships/externalLinkPath" Target="file:///\\192.168.3.20\Departamentos\Engenharia\Planejamento%20Estrat&#233;gico\A3_08%20-%20Redu&#231;&#227;o%20de%20mat&#233;ria-prima%20DD000502-DD000503Z.xlsx"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09-ACABAMENTO%20CAPO%20CNH.xlsx" TargetMode="External"/><Relationship Id="rId1" Type="http://schemas.openxmlformats.org/officeDocument/2006/relationships/externalLinkPath" Target="file:///\\192.168.3.20\Departamentos\Engenharia\Planejamento%20Estrat&#233;gico\A3_09-ACABAMENTO%20CAPO%20CNH.xlsx"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20REDU&#199;&#195;O%20DE%20CUSTO%20DO%20TUBO%20COMPRADO%20DO%20CAP&#212;.xlsx" TargetMode="External"/><Relationship Id="rId1" Type="http://schemas.openxmlformats.org/officeDocument/2006/relationships/externalLinkPath" Target="file:///\\192.168.3.20\Departamentos\Engenharia\Planejamento%20Estrat&#233;gico\A3%20REDU&#199;&#195;O%20DE%20CUSTO%20DO%20TUBO%20COMPRADO%20DO%20CAP&#212;.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92.168.3.20\Departamentos\Engenharia\Planejamento%20Estrat&#233;gico\A3_11%20-%20T&#233;rmino%20turno%20da%20noite.xlsx"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12-REDU&#199;&#195;O%20DE%20CUSTO%20DE%20LOCA&#199;&#195;O%20DE%20PTA%2012%20METROS%20(002).xlsx" TargetMode="External"/><Relationship Id="rId1" Type="http://schemas.openxmlformats.org/officeDocument/2006/relationships/externalLinkPath" Target="file:///\\192.168.3.20\Departamentos\Engenharia\Planejamento%20Estrat&#233;gico\A3_12-REDU&#199;&#195;O%20DE%20CUSTO%20DE%20LOCA&#199;&#195;O%20DE%20PTA%2012%20METROS%20(002).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92.168.3.20\Departamentos\Engenharia\Planejamento%20Estrat&#233;gico\A3_14-Troca%20de%20empilhaderia%20GLP%20por%20el&#233;trica.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92.168.3.20\Departamentos\Engenharia\Planejamento%20Estrat&#233;gico\A3_15%20-%20Redu&#231;&#227;o%20de%20mat&#233;ria-prima%20DD000504-DD000505.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20REDU&#199;&#195;O%20DE%20CUSTO%20DE%20LOCA&#199;&#195;O%20DE%20M&#193;QUINA%20SOLDA%20MIG.xlsx" TargetMode="External"/><Relationship Id="rId1" Type="http://schemas.openxmlformats.org/officeDocument/2006/relationships/externalLinkPath" Target="file:///\\192.168.3.20\Departamentos\Engenharia\Planejamento%20Estrat&#233;gico\A3%20REDU&#199;&#195;O%20DE%20CUSTO%20DE%20LOCA&#199;&#195;O%20DE%20M&#193;QUINA%20SOLDA%20MIG.xlsx"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01-%20servi&#231;os%20terceiros.xlsx" TargetMode="External"/><Relationship Id="rId1" Type="http://schemas.openxmlformats.org/officeDocument/2006/relationships/externalLinkPath" Target="file:///\\192.168.3.20\Departamentos\Engenharia\Planejamento%20Estrat&#233;gico\A3_01-%20servi&#231;os%20terceiros.xlsx"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REDUZIR%20N&#218;MEROS%20DE%20EMPILHADEIRAS%20LOCADA.xlsx" TargetMode="External"/><Relationship Id="rId1" Type="http://schemas.openxmlformats.org/officeDocument/2006/relationships/externalLinkPath" Target="file:///\\192.168.3.20\Departamentos\Engenharia\Planejamento%20Estrat&#233;gico\A3_REDUZIR%20N&#218;MEROS%20DE%20EMPILHADEIRAS%20LOCADA.xlsx" TargetMode="External"/></Relationships>
</file>

<file path=xl/externalLinks/_rels/externalLink45.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16%20-%20Redu&#231;&#227;o%20de%20energia%20el&#233;trica.xlsx" TargetMode="External"/><Relationship Id="rId1" Type="http://schemas.openxmlformats.org/officeDocument/2006/relationships/externalLinkPath" Target="file:///\\192.168.3.20\Departamentos\Engenharia\Planejamento%20Estrat&#233;gico\A3_16%20-%20Redu&#231;&#227;o%20de%20energia%20el&#233;trica.xlsx"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18%20-%20Redu&#231;&#227;o%20de%20mat&#233;ria-prima%20DD000507z.xlsx" TargetMode="External"/><Relationship Id="rId1" Type="http://schemas.openxmlformats.org/officeDocument/2006/relationships/externalLinkPath" Target="file:///\\192.168.3.20\Departamentos\Engenharia\Planejamento%20Estrat&#233;gico\A3_18%20-%20Redu&#231;&#227;o%20de%20mat&#233;ria-prima%20DD000507z.xlsx"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22-%20Eliminar%20custo%20com%20usinagem%20externa%20CN%2000016-17.xlsx" TargetMode="External"/><Relationship Id="rId1" Type="http://schemas.openxmlformats.org/officeDocument/2006/relationships/externalLinkPath" Target="file:///\\192.168.3.20\Departamentos\Engenharia\Planejamento%20Estrat&#233;gico\A3_22-%20Eliminar%20custo%20com%20usinagem%20externa%20CN%2000016-17.xlsx"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26%20-%20Aumento%20de%20produtividade%20linha%20schuler.xlsx" TargetMode="External"/><Relationship Id="rId1" Type="http://schemas.openxmlformats.org/officeDocument/2006/relationships/externalLinkPath" Target="file:///\\192.168.3.20\Departamentos\Engenharia\Planejamento%20Estrat&#233;gico\A3_26%20-%20Aumento%20de%20produtividade%20linha%20schuler.xlsx"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file:///\\192.168.3.20\Departamentos\Engenharia\Planejamento%20Estrat&#233;gico\A3_27%20-%20%20Redu&#231;&#227;o%20de%20tempo%20de%20Setup%20linha%20Schuler.xlsx" TargetMode="External"/><Relationship Id="rId1" Type="http://schemas.openxmlformats.org/officeDocument/2006/relationships/externalLinkPath" Target="file:///\\192.168.3.20\Departamentos\Engenharia\Planejamento%20Estrat&#233;gico\A3_27%20-%20%20Redu&#231;&#227;o%20de%20tempo%20de%20Setup%20linha%20Schuler.xlsx" TargetMode="External"/></Relationships>
</file>

<file path=xl/externalLinks/_rels/externalLink50.xml.rels><?xml version="1.0" encoding="UTF-8" standalone="yes"?>
<Relationships xmlns="http://schemas.openxmlformats.org/package/2006/relationships"><Relationship Id="rId3" Type="http://schemas.openxmlformats.org/officeDocument/2006/relationships/externalLinkPath" Target="../../../Compradores/Documentos%20Compartilhados/Acompanhamento%20Projetos%20-%20Compras/Acompanhamento%20Projetos-Compras.xlsm" TargetMode="External"/><Relationship Id="rId2" Type="http://schemas.openxmlformats.org/officeDocument/2006/relationships/externalLinkPath" Target="https://delgadiadema.sharepoint.com/sites/Compradores/Documentos%20Compartilhados/Acompanhamento%20Projetos%20-%20Compras/Acompanhamento%20Projetos-Compras.xlsm" TargetMode="External"/><Relationship Id="rId1" Type="http://schemas.openxmlformats.org/officeDocument/2006/relationships/externalLinkPath" Target="/sites/Compradores/Documentos%20Compartilhados/Acompanhamento%20Projetos%20-%20Compras/Acompanhamento%20Projetos-Compras.xlsm"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file:///C:\Users\tainah.amaral\AppData\Roaming\Microsoft\Excel\Acompanhamento%2520Projetos-Compras%20(version%201).xlsb" TargetMode="External"/><Relationship Id="rId1" Type="http://schemas.openxmlformats.org/officeDocument/2006/relationships/externalLinkPath" Target="file:///C:\Users\tainah.amaral\AppData\Roaming\Microsoft\Excel\Acompanhamento%2520Projetos-Compras%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 val="Indicador"/>
    </sheetNames>
    <sheetDataSet>
      <sheetData sheetId="0"/>
      <sheetData sheetId="1">
        <row r="12">
          <cell r="F12">
            <v>0.67001522109695633</v>
          </cell>
          <cell r="G12">
            <v>0.69939774153074041</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33">
          <cell r="F33">
            <v>1</v>
          </cell>
          <cell r="G33">
            <v>1</v>
          </cell>
        </row>
      </sheetData>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Planilha2"/>
      <sheetName val="Estrutura"/>
      <sheetName val="Cronograma"/>
      <sheetName val="Analise de risco"/>
      <sheetName val="Indicador"/>
    </sheetNames>
    <sheetDataSet>
      <sheetData sheetId="0"/>
      <sheetData sheetId="1"/>
      <sheetData sheetId="2">
        <row r="10">
          <cell r="F10">
            <v>1</v>
          </cell>
          <cell r="G10">
            <v>1</v>
          </cell>
        </row>
      </sheetData>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17">
          <cell r="F17">
            <v>0.23731749710312863</v>
          </cell>
          <cell r="G17">
            <v>0.57908458864426415</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s>
    <sheetDataSet>
      <sheetData sheetId="0"/>
      <sheetData sheetId="1">
        <row r="13">
          <cell r="F13">
            <v>0.60501020370755076</v>
          </cell>
          <cell r="G13">
            <v>0.64444246208742195</v>
          </cell>
        </row>
      </sheetData>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18">
          <cell r="F18">
            <v>0.45115282903721365</v>
          </cell>
          <cell r="G18">
            <v>0.49946323529411762</v>
          </cell>
        </row>
      </sheetData>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11">
          <cell r="F11">
            <v>1</v>
          </cell>
          <cell r="G11">
            <v>1</v>
          </cell>
        </row>
      </sheetData>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s>
    <sheetDataSet>
      <sheetData sheetId="0"/>
      <sheetData sheetId="1">
        <row r="13">
          <cell r="F13">
            <v>0.28999999999999998</v>
          </cell>
          <cell r="G13">
            <v>0.68</v>
          </cell>
        </row>
      </sheetData>
      <sheetData sheetId="2"/>
      <sheetData sheetId="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s>
    <sheetDataSet>
      <sheetData sheetId="0"/>
      <sheetData sheetId="1">
        <row r="14">
          <cell r="F14">
            <v>0.56355594753559757</v>
          </cell>
          <cell r="G14">
            <v>0.76526389866291344</v>
          </cell>
        </row>
      </sheetData>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3"/>
      <sheetName val="Estrutura"/>
      <sheetName val="Cronograma"/>
      <sheetName val="Analise de risco"/>
    </sheetNames>
    <sheetDataSet>
      <sheetData sheetId="0"/>
      <sheetData sheetId="1">
        <row r="16">
          <cell r="F16">
            <v>0.94344097792373649</v>
          </cell>
          <cell r="G16">
            <v>0.9643678160919541</v>
          </cell>
        </row>
      </sheetData>
      <sheetData sheetId="2"/>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15">
          <cell r="F15">
            <v>0.91249999999999998</v>
          </cell>
          <cell r="G15">
            <v>0.81937499999999996</v>
          </cell>
        </row>
      </sheetData>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s>
    <sheetDataSet>
      <sheetData sheetId="0"/>
      <sheetData sheetId="1">
        <row r="13">
          <cell r="F13">
            <v>0.61786022455489364</v>
          </cell>
          <cell r="G13">
            <v>0.69094786729857816</v>
          </cell>
        </row>
      </sheetData>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s>
    <sheetDataSet>
      <sheetData sheetId="0"/>
      <sheetData sheetId="1">
        <row r="17">
          <cell r="F17">
            <v>0.43503243434314481</v>
          </cell>
          <cell r="G17">
            <v>0.33097297297297296</v>
          </cell>
        </row>
      </sheetData>
      <sheetData sheetId="2"/>
      <sheetData sheetId="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ange Log"/>
      <sheetName val="Plano de Ação"/>
      <sheetName val="Indicadores"/>
      <sheetName val="Conteudo da Analise Critica"/>
      <sheetName val="Anual2024"/>
      <sheetName val="Anual 2025"/>
      <sheetName val="Janeiro2025"/>
      <sheetName val="Fevereiro2025"/>
      <sheetName val="Março2025 "/>
      <sheetName val="Abril2025  "/>
      <sheetName val="Maio 2025  "/>
      <sheetName val="Junho 2025   "/>
      <sheetName val="Julho 2025  "/>
      <sheetName val="AGOSTO 2025   "/>
      <sheetName val="SETEMBRO 2025"/>
      <sheetName val="OUTUBRO 2025"/>
      <sheetName val="NOVEMBRO 2025 "/>
      <sheetName val="Janeiro 2026"/>
      <sheetName val="Fevereiro 2026 "/>
      <sheetName val="Março  2026  "/>
      <sheetName val="Abril 2026"/>
      <sheetName val="Maio 2026 "/>
      <sheetName val="Dezembro 2025  "/>
      <sheetName val="Março2025"/>
      <sheetName val="Abril2025"/>
      <sheetName val="Maio2025"/>
      <sheetName val="Junho2025"/>
      <sheetName val="Julho2025"/>
      <sheetName val="Agosto2025"/>
      <sheetName val="Setembro2025"/>
      <sheetName val="Outubro2025"/>
      <sheetName val="Novembro2025"/>
      <sheetName val="Dezembro2025"/>
      <sheetName val="Anual2025"/>
    </sheetNames>
    <sheetDataSet>
      <sheetData sheetId="0"/>
      <sheetData sheetId="1"/>
      <sheetData sheetId="2">
        <row r="11">
          <cell r="AP11">
            <v>0</v>
          </cell>
          <cell r="AS11" t="str">
            <v/>
          </cell>
          <cell r="AT11" t="str">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SWOT"/>
      <sheetName val="Dados"/>
      <sheetName val="Gráficos"/>
      <sheetName val="Planilha1"/>
      <sheetName val="Transferência_Terceirização"/>
    </sheetNames>
    <sheetDataSet>
      <sheetData sheetId="0"/>
      <sheetData sheetId="1">
        <row r="5">
          <cell r="I5">
            <v>1</v>
          </cell>
          <cell r="J5">
            <v>1</v>
          </cell>
        </row>
        <row r="6">
          <cell r="I6">
            <v>1</v>
          </cell>
          <cell r="J6">
            <v>1</v>
          </cell>
        </row>
        <row r="7">
          <cell r="I7">
            <v>1</v>
          </cell>
          <cell r="J7">
            <v>1</v>
          </cell>
        </row>
        <row r="8">
          <cell r="I8">
            <v>0.95161290322580649</v>
          </cell>
          <cell r="J8">
            <v>0.95</v>
          </cell>
        </row>
        <row r="9">
          <cell r="I9">
            <v>0</v>
          </cell>
          <cell r="J9">
            <v>0</v>
          </cell>
        </row>
      </sheetData>
      <sheetData sheetId="2"/>
      <sheetData sheetId="3"/>
      <sheetData sheetId="4"/>
      <sheetData sheetId="5"/>
      <sheetData sheetId="6"/>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Escopo A3"/>
      <sheetName val="Estrutura"/>
      <sheetName val="Cronograma"/>
      <sheetName val="Analise de risco"/>
      <sheetName val="Transferência_Terceirização"/>
      <sheetName val="SWOT"/>
      <sheetName val="Graficos"/>
    </sheetNames>
    <sheetDataSet>
      <sheetData sheetId="0" refreshError="1"/>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0.88372093023255816</v>
          </cell>
          <cell r="J11">
            <v>0</v>
          </cell>
        </row>
        <row r="12">
          <cell r="I12">
            <v>1</v>
          </cell>
          <cell r="J12">
            <v>1</v>
          </cell>
        </row>
        <row r="13">
          <cell r="I13">
            <v>0</v>
          </cell>
          <cell r="J13">
            <v>0</v>
          </cell>
        </row>
        <row r="14">
          <cell r="I14">
            <v>1</v>
          </cell>
          <cell r="J14">
            <v>1</v>
          </cell>
        </row>
        <row r="15">
          <cell r="I15">
            <v>1</v>
          </cell>
          <cell r="J15">
            <v>0</v>
          </cell>
        </row>
      </sheetData>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s>
    <sheetDataSet>
      <sheetData sheetId="0"/>
      <sheetData sheetId="1">
        <row r="5">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1</v>
          </cell>
        </row>
        <row r="12">
          <cell r="I12">
            <v>1</v>
          </cell>
          <cell r="J12">
            <v>1</v>
          </cell>
        </row>
        <row r="13">
          <cell r="I13">
            <v>1</v>
          </cell>
          <cell r="J13">
            <v>1</v>
          </cell>
        </row>
        <row r="14">
          <cell r="I14">
            <v>0.99224806201550386</v>
          </cell>
          <cell r="J14">
            <v>1</v>
          </cell>
        </row>
        <row r="15">
          <cell r="I15">
            <v>0.99224806201550386</v>
          </cell>
          <cell r="J15">
            <v>0.95</v>
          </cell>
        </row>
        <row r="16">
          <cell r="I16">
            <v>0.99224806201550386</v>
          </cell>
          <cell r="J16">
            <v>0.95</v>
          </cell>
        </row>
        <row r="17">
          <cell r="I17">
            <v>0.99224806201550386</v>
          </cell>
          <cell r="J17">
            <v>0.95</v>
          </cell>
        </row>
        <row r="18">
          <cell r="I18">
            <v>0.99224806201550386</v>
          </cell>
          <cell r="J18">
            <v>1</v>
          </cell>
        </row>
        <row r="19">
          <cell r="I19">
            <v>0.99224806201550386</v>
          </cell>
          <cell r="J19">
            <v>1</v>
          </cell>
        </row>
        <row r="20">
          <cell r="I20">
            <v>0.99224806201550386</v>
          </cell>
          <cell r="J20">
            <v>1</v>
          </cell>
        </row>
        <row r="21">
          <cell r="I21">
            <v>0.99224806201550386</v>
          </cell>
          <cell r="J21">
            <v>0.8</v>
          </cell>
        </row>
        <row r="22">
          <cell r="I22">
            <v>0.9196428571428571</v>
          </cell>
          <cell r="J22">
            <v>1</v>
          </cell>
        </row>
        <row r="23">
          <cell r="I23">
            <v>0.91150442477876104</v>
          </cell>
          <cell r="J23">
            <v>1</v>
          </cell>
        </row>
        <row r="24">
          <cell r="I24">
            <v>0.92810457516339873</v>
          </cell>
          <cell r="J24">
            <v>1</v>
          </cell>
        </row>
        <row r="25">
          <cell r="I25">
            <v>0.92207792207792205</v>
          </cell>
          <cell r="J25">
            <v>0.70129870129870131</v>
          </cell>
        </row>
        <row r="26">
          <cell r="I26">
            <v>0.91612903225806452</v>
          </cell>
          <cell r="J26">
            <v>0.6967741935483871</v>
          </cell>
        </row>
        <row r="27">
          <cell r="I27">
            <v>0.91025641025641024</v>
          </cell>
          <cell r="J27">
            <v>0.69230769230769229</v>
          </cell>
        </row>
        <row r="28">
          <cell r="I28">
            <v>0.90445859872611467</v>
          </cell>
          <cell r="J28">
            <v>0.68789808917197448</v>
          </cell>
        </row>
        <row r="29">
          <cell r="I29">
            <v>0.89873417721518989</v>
          </cell>
          <cell r="J29">
            <v>0.68354430379746833</v>
          </cell>
        </row>
        <row r="30">
          <cell r="I30">
            <v>0.89308176100628933</v>
          </cell>
          <cell r="J30">
            <v>0.67924528301886788</v>
          </cell>
        </row>
        <row r="31">
          <cell r="I31">
            <v>0.88749999999999996</v>
          </cell>
          <cell r="J31">
            <v>0.67500000000000004</v>
          </cell>
        </row>
        <row r="32">
          <cell r="I32">
            <v>0.88198757763975155</v>
          </cell>
          <cell r="J32">
            <v>0.67080745341614911</v>
          </cell>
        </row>
        <row r="33">
          <cell r="I33">
            <v>0.87654320987654322</v>
          </cell>
          <cell r="J33">
            <v>0.66666666666666663</v>
          </cell>
        </row>
        <row r="34">
          <cell r="I34">
            <v>0.87116564417177911</v>
          </cell>
          <cell r="J34">
            <v>1</v>
          </cell>
        </row>
        <row r="35">
          <cell r="I35">
            <v>0.86585365853658536</v>
          </cell>
          <cell r="J35">
            <v>1</v>
          </cell>
        </row>
        <row r="36">
          <cell r="I36">
            <v>0.8606060606060606</v>
          </cell>
          <cell r="J36">
            <v>1</v>
          </cell>
        </row>
        <row r="37">
          <cell r="I37">
            <v>0.85542168674698793</v>
          </cell>
          <cell r="J37">
            <v>1</v>
          </cell>
        </row>
        <row r="38">
          <cell r="I38">
            <v>0.85029940119760483</v>
          </cell>
          <cell r="J38">
            <v>1</v>
          </cell>
        </row>
        <row r="39">
          <cell r="I39">
            <v>0.84523809523809523</v>
          </cell>
          <cell r="J39">
            <v>1</v>
          </cell>
        </row>
        <row r="40">
          <cell r="I40">
            <v>0.84023668639053251</v>
          </cell>
          <cell r="J40">
            <v>1</v>
          </cell>
        </row>
        <row r="41">
          <cell r="I41">
            <v>0.83529411764705885</v>
          </cell>
          <cell r="J41">
            <v>1</v>
          </cell>
        </row>
        <row r="42">
          <cell r="I42">
            <v>0.83040935672514615</v>
          </cell>
          <cell r="J42">
            <v>1</v>
          </cell>
        </row>
        <row r="43">
          <cell r="I43">
            <v>0.82558139534883723</v>
          </cell>
          <cell r="J43">
            <v>0.62790697674418605</v>
          </cell>
        </row>
        <row r="44">
          <cell r="I44">
            <v>0.82080924855491333</v>
          </cell>
          <cell r="J44">
            <v>0.62427745664739887</v>
          </cell>
        </row>
        <row r="45">
          <cell r="I45">
            <v>0.81609195402298851</v>
          </cell>
          <cell r="J45">
            <v>0.62068965517241381</v>
          </cell>
        </row>
        <row r="46">
          <cell r="I46">
            <v>0.75187969924812026</v>
          </cell>
          <cell r="J46">
            <v>0.49624060150375937</v>
          </cell>
        </row>
        <row r="47">
          <cell r="I47">
            <v>0.74436090225563911</v>
          </cell>
          <cell r="J47">
            <v>0.48872180451127817</v>
          </cell>
        </row>
        <row r="48">
          <cell r="I48">
            <v>0.70338983050847459</v>
          </cell>
          <cell r="J48">
            <v>0.4152542372881356</v>
          </cell>
        </row>
        <row r="49">
          <cell r="I49">
            <v>0.69747899159663862</v>
          </cell>
          <cell r="J49">
            <v>0.41176470588235292</v>
          </cell>
        </row>
        <row r="50">
          <cell r="I50">
            <v>0.72992700729927007</v>
          </cell>
          <cell r="J50">
            <v>0.48175182481751827</v>
          </cell>
        </row>
        <row r="51">
          <cell r="I51">
            <v>0.72463768115942029</v>
          </cell>
          <cell r="J51">
            <v>0.47826086956521741</v>
          </cell>
        </row>
        <row r="52">
          <cell r="I52">
            <v>0.71111111111111114</v>
          </cell>
          <cell r="J52">
            <v>0.45925925925925926</v>
          </cell>
        </row>
        <row r="53">
          <cell r="I53">
            <v>0.78835978835978837</v>
          </cell>
          <cell r="J53">
            <v>0.60846560846560849</v>
          </cell>
        </row>
        <row r="54">
          <cell r="I54" t="str">
            <v/>
          </cell>
          <cell r="J54">
            <v>0</v>
          </cell>
        </row>
        <row r="55">
          <cell r="I55">
            <v>0.75722543352601157</v>
          </cell>
          <cell r="J55">
            <v>0.56069364161849711</v>
          </cell>
        </row>
        <row r="56">
          <cell r="I56">
            <v>0.71523178807947019</v>
          </cell>
          <cell r="J56">
            <v>0.49006622516556292</v>
          </cell>
        </row>
        <row r="57">
          <cell r="I57">
            <v>0.6901408450704225</v>
          </cell>
          <cell r="J57">
            <v>0.45070422535211269</v>
          </cell>
        </row>
        <row r="58">
          <cell r="I58">
            <v>0.66911764705882348</v>
          </cell>
          <cell r="J58">
            <v>0.41911764705882354</v>
          </cell>
        </row>
      </sheetData>
      <sheetData sheetId="2"/>
      <sheetData sheetId="3"/>
      <sheetData sheetId="4"/>
      <sheetData sheetId="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0</v>
          </cell>
        </row>
        <row r="10">
          <cell r="I10">
            <v>0</v>
          </cell>
          <cell r="J10">
            <v>0</v>
          </cell>
        </row>
        <row r="11">
          <cell r="I11">
            <v>0</v>
          </cell>
          <cell r="J11">
            <v>0</v>
          </cell>
        </row>
        <row r="12">
          <cell r="I12">
            <v>0</v>
          </cell>
          <cell r="J12">
            <v>0</v>
          </cell>
        </row>
        <row r="13">
          <cell r="I13">
            <v>0</v>
          </cell>
          <cell r="J13">
            <v>0</v>
          </cell>
        </row>
        <row r="14">
          <cell r="I14">
            <v>0</v>
          </cell>
          <cell r="J14">
            <v>0</v>
          </cell>
        </row>
        <row r="15">
          <cell r="I15">
            <v>0</v>
          </cell>
          <cell r="J15">
            <v>0</v>
          </cell>
        </row>
        <row r="16">
          <cell r="I16">
            <v>0</v>
          </cell>
          <cell r="J16">
            <v>0</v>
          </cell>
        </row>
      </sheetData>
      <sheetData sheetId="2"/>
      <sheetData sheetId="3"/>
      <sheetData sheetId="4"/>
      <sheetData sheetId="5"/>
      <sheetData sheetId="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0.83783783783783783</v>
          </cell>
          <cell r="J10">
            <v>0.82</v>
          </cell>
        </row>
        <row r="11">
          <cell r="I11">
            <v>0</v>
          </cell>
          <cell r="J11">
            <v>0</v>
          </cell>
        </row>
        <row r="12">
          <cell r="I12">
            <v>0.75</v>
          </cell>
          <cell r="J12">
            <v>0</v>
          </cell>
        </row>
        <row r="13">
          <cell r="I13">
            <v>0</v>
          </cell>
          <cell r="J13">
            <v>0</v>
          </cell>
        </row>
        <row r="14">
          <cell r="I14">
            <v>0</v>
          </cell>
          <cell r="J14">
            <v>0</v>
          </cell>
        </row>
        <row r="15">
          <cell r="I15">
            <v>0</v>
          </cell>
          <cell r="J15">
            <v>0</v>
          </cell>
        </row>
        <row r="16">
          <cell r="I16">
            <v>0</v>
          </cell>
          <cell r="J16">
            <v>0</v>
          </cell>
        </row>
        <row r="17">
          <cell r="I17">
            <v>0</v>
          </cell>
          <cell r="J17">
            <v>0</v>
          </cell>
        </row>
        <row r="18">
          <cell r="I18">
            <v>0</v>
          </cell>
          <cell r="J18">
            <v>0</v>
          </cell>
        </row>
        <row r="19">
          <cell r="I19">
            <v>0</v>
          </cell>
          <cell r="J19">
            <v>0</v>
          </cell>
        </row>
        <row r="20">
          <cell r="I20">
            <v>0</v>
          </cell>
          <cell r="J20">
            <v>0</v>
          </cell>
        </row>
        <row r="21">
          <cell r="I21">
            <v>0</v>
          </cell>
          <cell r="J21">
            <v>0</v>
          </cell>
        </row>
        <row r="22">
          <cell r="I22">
            <v>0</v>
          </cell>
          <cell r="J22">
            <v>0</v>
          </cell>
        </row>
        <row r="23">
          <cell r="I23">
            <v>0</v>
          </cell>
          <cell r="J23">
            <v>0</v>
          </cell>
        </row>
        <row r="24">
          <cell r="I24">
            <v>0</v>
          </cell>
          <cell r="J24">
            <v>0</v>
          </cell>
        </row>
      </sheetData>
      <sheetData sheetId="2"/>
      <sheetData sheetId="3"/>
      <sheetData sheetId="4"/>
      <sheetData sheetId="5"/>
      <sheetData sheetId="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1</v>
          </cell>
        </row>
        <row r="12">
          <cell r="I12">
            <v>1</v>
          </cell>
          <cell r="J12">
            <v>1</v>
          </cell>
        </row>
        <row r="13">
          <cell r="I13">
            <v>1</v>
          </cell>
          <cell r="J13">
            <v>1</v>
          </cell>
        </row>
        <row r="14">
          <cell r="I14">
            <v>1</v>
          </cell>
          <cell r="J14">
            <v>1</v>
          </cell>
        </row>
        <row r="15">
          <cell r="I15">
            <v>1</v>
          </cell>
          <cell r="J15">
            <v>1</v>
          </cell>
        </row>
        <row r="16">
          <cell r="I16">
            <v>1</v>
          </cell>
          <cell r="J16">
            <v>1</v>
          </cell>
        </row>
      </sheetData>
      <sheetData sheetId="2"/>
      <sheetData sheetId="3"/>
      <sheetData sheetId="4"/>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0</v>
          </cell>
        </row>
        <row r="10">
          <cell r="I10">
            <v>1</v>
          </cell>
          <cell r="J10">
            <v>0</v>
          </cell>
        </row>
        <row r="11">
          <cell r="I11">
            <v>1</v>
          </cell>
          <cell r="J11">
            <v>0</v>
          </cell>
        </row>
        <row r="12">
          <cell r="I12">
            <v>1</v>
          </cell>
          <cell r="J12">
            <v>0</v>
          </cell>
        </row>
        <row r="13">
          <cell r="I13">
            <v>1</v>
          </cell>
          <cell r="J13">
            <v>0</v>
          </cell>
        </row>
        <row r="14">
          <cell r="I14">
            <v>1</v>
          </cell>
          <cell r="J14">
            <v>0</v>
          </cell>
        </row>
        <row r="15">
          <cell r="I15">
            <v>0</v>
          </cell>
          <cell r="J15">
            <v>0</v>
          </cell>
        </row>
      </sheetData>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0</v>
          </cell>
          <cell r="J5">
            <v>0</v>
          </cell>
        </row>
        <row r="6">
          <cell r="I6">
            <v>0</v>
          </cell>
          <cell r="J6">
            <v>0</v>
          </cell>
        </row>
        <row r="7">
          <cell r="I7">
            <v>0</v>
          </cell>
          <cell r="J7">
            <v>0</v>
          </cell>
        </row>
        <row r="8">
          <cell r="I8">
            <v>0</v>
          </cell>
          <cell r="J8">
            <v>0</v>
          </cell>
        </row>
        <row r="9">
          <cell r="I9">
            <v>0</v>
          </cell>
          <cell r="J9">
            <v>0</v>
          </cell>
        </row>
        <row r="10">
          <cell r="I10">
            <v>0</v>
          </cell>
          <cell r="J10">
            <v>0</v>
          </cell>
        </row>
        <row r="11">
          <cell r="I11">
            <v>0</v>
          </cell>
          <cell r="J11">
            <v>0</v>
          </cell>
        </row>
        <row r="12">
          <cell r="I12">
            <v>0</v>
          </cell>
          <cell r="J12">
            <v>0</v>
          </cell>
        </row>
        <row r="13">
          <cell r="I13">
            <v>0</v>
          </cell>
          <cell r="J13">
            <v>0</v>
          </cell>
        </row>
        <row r="14">
          <cell r="I14">
            <v>0</v>
          </cell>
          <cell r="J14">
            <v>0</v>
          </cell>
        </row>
        <row r="15">
          <cell r="I15">
            <v>0</v>
          </cell>
          <cell r="J15">
            <v>0</v>
          </cell>
        </row>
        <row r="16">
          <cell r="I16">
            <v>0</v>
          </cell>
          <cell r="J16">
            <v>0</v>
          </cell>
        </row>
      </sheetData>
      <sheetData sheetId="2"/>
      <sheetData sheetId="3"/>
      <sheetData sheetId="4"/>
      <sheetData sheetId="5"/>
      <sheetData sheetId="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Indicadores Projeto"/>
      <sheetName val="Memoria de Calculo"/>
      <sheetName val="Entrada de material "/>
      <sheetName val="Transferência_Terceirização"/>
    </sheetNames>
    <sheetDataSet>
      <sheetData sheetId="0"/>
      <sheetData sheetId="1">
        <row r="5">
          <cell r="J5">
            <v>1</v>
          </cell>
        </row>
        <row r="6">
          <cell r="J6">
            <v>1</v>
          </cell>
        </row>
        <row r="7">
          <cell r="J7">
            <v>1</v>
          </cell>
        </row>
        <row r="8">
          <cell r="I8">
            <v>1</v>
          </cell>
          <cell r="J8">
            <v>1</v>
          </cell>
        </row>
        <row r="9">
          <cell r="I9">
            <v>1</v>
          </cell>
          <cell r="J9">
            <v>1</v>
          </cell>
        </row>
        <row r="10">
          <cell r="I10">
            <v>1</v>
          </cell>
          <cell r="J10">
            <v>1</v>
          </cell>
        </row>
        <row r="11">
          <cell r="I11">
            <v>1</v>
          </cell>
          <cell r="J11">
            <v>1</v>
          </cell>
        </row>
        <row r="12">
          <cell r="I12">
            <v>0</v>
          </cell>
          <cell r="J12">
            <v>0</v>
          </cell>
        </row>
        <row r="13">
          <cell r="I13">
            <v>0</v>
          </cell>
          <cell r="J13">
            <v>0</v>
          </cell>
        </row>
        <row r="14">
          <cell r="I14">
            <v>0</v>
          </cell>
          <cell r="J14">
            <v>0</v>
          </cell>
        </row>
        <row r="15">
          <cell r="I15">
            <v>0</v>
          </cell>
          <cell r="J15">
            <v>0</v>
          </cell>
        </row>
        <row r="16">
          <cell r="I16">
            <v>0</v>
          </cell>
          <cell r="J16">
            <v>0</v>
          </cell>
        </row>
        <row r="17">
          <cell r="I17">
            <v>0</v>
          </cell>
          <cell r="J17">
            <v>0</v>
          </cell>
        </row>
      </sheetData>
      <sheetData sheetId="2"/>
      <sheetData sheetId="3"/>
      <sheetData sheetId="4"/>
      <sheetData sheetId="5"/>
      <sheetData sheetId="6"/>
      <sheetData sheetId="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Graficos"/>
    </sheetNames>
    <sheetDataSet>
      <sheetData sheetId="0"/>
      <sheetData sheetId="1">
        <row r="18">
          <cell r="I18">
            <v>1</v>
          </cell>
          <cell r="J18">
            <v>1</v>
          </cell>
        </row>
        <row r="19">
          <cell r="I19">
            <v>1</v>
          </cell>
          <cell r="J19">
            <v>1</v>
          </cell>
        </row>
        <row r="20">
          <cell r="I20">
            <v>1</v>
          </cell>
          <cell r="J20">
            <v>1</v>
          </cell>
        </row>
        <row r="21">
          <cell r="I21">
            <v>1</v>
          </cell>
          <cell r="J21">
            <v>1</v>
          </cell>
        </row>
        <row r="22">
          <cell r="I22">
            <v>1</v>
          </cell>
          <cell r="J22">
            <v>1</v>
          </cell>
        </row>
      </sheetData>
      <sheetData sheetId="2"/>
      <sheetData sheetId="3"/>
      <sheetData sheetId="4"/>
      <sheetData sheetId="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0</v>
          </cell>
        </row>
        <row r="6">
          <cell r="I6">
            <v>1</v>
          </cell>
          <cell r="J6">
            <v>0</v>
          </cell>
        </row>
        <row r="7">
          <cell r="I7">
            <v>1</v>
          </cell>
          <cell r="J7">
            <v>0</v>
          </cell>
        </row>
        <row r="8">
          <cell r="I8">
            <v>1</v>
          </cell>
          <cell r="J8">
            <v>0</v>
          </cell>
        </row>
        <row r="9">
          <cell r="I9">
            <v>0</v>
          </cell>
          <cell r="J9">
            <v>0</v>
          </cell>
        </row>
        <row r="10">
          <cell r="I10">
            <v>0</v>
          </cell>
          <cell r="J10">
            <v>0</v>
          </cell>
        </row>
        <row r="11">
          <cell r="I11">
            <v>0</v>
          </cell>
          <cell r="J11">
            <v>0</v>
          </cell>
        </row>
        <row r="12">
          <cell r="I12">
            <v>0</v>
          </cell>
          <cell r="J12">
            <v>0</v>
          </cell>
        </row>
        <row r="13">
          <cell r="I13">
            <v>0</v>
          </cell>
          <cell r="J13">
            <v>0</v>
          </cell>
        </row>
        <row r="14">
          <cell r="I14">
            <v>0</v>
          </cell>
          <cell r="J14">
            <v>0</v>
          </cell>
        </row>
        <row r="15">
          <cell r="I15">
            <v>0</v>
          </cell>
          <cell r="J15">
            <v>0</v>
          </cell>
        </row>
        <row r="16">
          <cell r="I16">
            <v>0</v>
          </cell>
          <cell r="J16">
            <v>0</v>
          </cell>
        </row>
        <row r="17">
          <cell r="I17">
            <v>0</v>
          </cell>
          <cell r="J17">
            <v>0</v>
          </cell>
        </row>
        <row r="18">
          <cell r="I18">
            <v>0</v>
          </cell>
          <cell r="J18">
            <v>0</v>
          </cell>
        </row>
        <row r="19">
          <cell r="I19">
            <v>0</v>
          </cell>
          <cell r="J19">
            <v>0</v>
          </cell>
        </row>
        <row r="20">
          <cell r="I20">
            <v>0</v>
          </cell>
          <cell r="J20">
            <v>0</v>
          </cell>
        </row>
        <row r="21">
          <cell r="I21">
            <v>0</v>
          </cell>
          <cell r="J21">
            <v>0</v>
          </cell>
        </row>
        <row r="22">
          <cell r="I22">
            <v>0</v>
          </cell>
          <cell r="J22">
            <v>0</v>
          </cell>
        </row>
        <row r="23">
          <cell r="I23">
            <v>0</v>
          </cell>
          <cell r="J23">
            <v>0</v>
          </cell>
        </row>
        <row r="24">
          <cell r="I24">
            <v>0</v>
          </cell>
          <cell r="J24">
            <v>0</v>
          </cell>
        </row>
      </sheetData>
      <sheetData sheetId="2"/>
      <sheetData sheetId="3"/>
      <sheetData sheetId="4"/>
      <sheetData sheetId="5"/>
      <sheetData sheetId="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0</v>
          </cell>
          <cell r="J9">
            <v>0</v>
          </cell>
        </row>
        <row r="10">
          <cell r="I10">
            <v>0</v>
          </cell>
          <cell r="J10">
            <v>0</v>
          </cell>
        </row>
        <row r="11">
          <cell r="I11">
            <v>0</v>
          </cell>
          <cell r="J11">
            <v>0</v>
          </cell>
        </row>
        <row r="12">
          <cell r="I12">
            <v>0</v>
          </cell>
          <cell r="J12">
            <v>0</v>
          </cell>
        </row>
        <row r="13">
          <cell r="I13">
            <v>0</v>
          </cell>
          <cell r="J13">
            <v>0</v>
          </cell>
        </row>
        <row r="14">
          <cell r="I14">
            <v>0</v>
          </cell>
          <cell r="J14">
            <v>0</v>
          </cell>
        </row>
        <row r="15">
          <cell r="I15">
            <v>0</v>
          </cell>
          <cell r="J15">
            <v>0</v>
          </cell>
        </row>
        <row r="16">
          <cell r="I16">
            <v>0</v>
          </cell>
          <cell r="J16">
            <v>0</v>
          </cell>
        </row>
        <row r="17">
          <cell r="I17">
            <v>0</v>
          </cell>
          <cell r="J17">
            <v>0</v>
          </cell>
        </row>
        <row r="18">
          <cell r="I18">
            <v>0</v>
          </cell>
          <cell r="J18">
            <v>0</v>
          </cell>
        </row>
        <row r="19">
          <cell r="I19">
            <v>0</v>
          </cell>
          <cell r="J19">
            <v>0</v>
          </cell>
        </row>
        <row r="20">
          <cell r="I20">
            <v>0</v>
          </cell>
          <cell r="J20">
            <v>0</v>
          </cell>
        </row>
        <row r="21">
          <cell r="I21">
            <v>0</v>
          </cell>
          <cell r="J21">
            <v>0</v>
          </cell>
        </row>
        <row r="22">
          <cell r="I22">
            <v>0</v>
          </cell>
          <cell r="J22"/>
        </row>
        <row r="23">
          <cell r="I23">
            <v>0</v>
          </cell>
          <cell r="J23">
            <v>0</v>
          </cell>
        </row>
        <row r="24">
          <cell r="I24">
            <v>0</v>
          </cell>
          <cell r="J24">
            <v>0</v>
          </cell>
        </row>
      </sheetData>
      <sheetData sheetId="2"/>
      <sheetData sheetId="3"/>
      <sheetData sheetId="4"/>
      <sheetData sheetId="5"/>
      <sheetData sheetId="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 val="Graficos"/>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0</v>
          </cell>
        </row>
        <row r="12">
          <cell r="I12">
            <v>1</v>
          </cell>
          <cell r="J12">
            <v>0</v>
          </cell>
        </row>
        <row r="13">
          <cell r="I13">
            <v>1</v>
          </cell>
          <cell r="J13">
            <v>0</v>
          </cell>
        </row>
        <row r="14">
          <cell r="I14">
            <v>1</v>
          </cell>
          <cell r="J14">
            <v>0</v>
          </cell>
        </row>
        <row r="15">
          <cell r="I15">
            <v>1</v>
          </cell>
          <cell r="J15">
            <v>0</v>
          </cell>
        </row>
        <row r="16">
          <cell r="I16">
            <v>1</v>
          </cell>
          <cell r="J16">
            <v>0</v>
          </cell>
        </row>
        <row r="17">
          <cell r="I17">
            <v>0</v>
          </cell>
          <cell r="J17">
            <v>0</v>
          </cell>
        </row>
        <row r="18">
          <cell r="I18">
            <v>1</v>
          </cell>
          <cell r="J18">
            <v>0</v>
          </cell>
        </row>
        <row r="19">
          <cell r="I19">
            <v>1</v>
          </cell>
          <cell r="J19">
            <v>0</v>
          </cell>
        </row>
        <row r="20">
          <cell r="I20">
            <v>1</v>
          </cell>
          <cell r="J20">
            <v>0</v>
          </cell>
        </row>
        <row r="21">
          <cell r="I21">
            <v>1</v>
          </cell>
          <cell r="J21">
            <v>0</v>
          </cell>
        </row>
        <row r="22">
          <cell r="I22">
            <v>0</v>
          </cell>
          <cell r="J22">
            <v>0</v>
          </cell>
        </row>
      </sheetData>
      <sheetData sheetId="2"/>
      <sheetData sheetId="3"/>
      <sheetData sheetId="4"/>
      <sheetData sheetId="5"/>
      <sheetData sheetId="6"/>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SWOT"/>
      <sheetName val="Graficos"/>
    </sheetNames>
    <sheetDataSet>
      <sheetData sheetId="0"/>
      <sheetData sheetId="1">
        <row r="5">
          <cell r="I5">
            <v>1</v>
          </cell>
          <cell r="J5">
            <v>1</v>
          </cell>
        </row>
        <row r="6">
          <cell r="I6">
            <v>0</v>
          </cell>
          <cell r="J6">
            <v>1</v>
          </cell>
        </row>
        <row r="7">
          <cell r="I7"/>
          <cell r="J7">
            <v>0</v>
          </cell>
        </row>
      </sheetData>
      <sheetData sheetId="2"/>
      <sheetData sheetId="3"/>
      <sheetData sheetId="4"/>
      <sheetData sheetId="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ange Log"/>
      <sheetName val="Indicadores"/>
      <sheetName val="Plano de Ação"/>
      <sheetName val="Anual2024"/>
      <sheetName val="Anual2025"/>
      <sheetName val="Janeiro2026"/>
      <sheetName val="Fevereiro2026"/>
      <sheetName val="Março2026"/>
      <sheetName val="Abril2026"/>
      <sheetName val="Maio2026"/>
      <sheetName val="Junho2026"/>
      <sheetName val="Anual2026"/>
      <sheetName val="Conteudo da Analise Critica"/>
    </sheetNames>
    <sheetDataSet>
      <sheetData sheetId="0"/>
      <sheetData sheetId="1">
        <row r="211">
          <cell r="AK211"/>
        </row>
        <row r="229">
          <cell r="AK229">
            <v>2372.1833333333334</v>
          </cell>
        </row>
        <row r="239">
          <cell r="AK239">
            <v>7.708333333333333</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HxNry1Eat0u1doLpKuCyhTAZq_UD1GlMss2MxI9SfRBc5mzAGO30R6lXr9MVRIyc" itemId="01J6RWUE5KZDYEC5ETQVFZ5ILVAZZ7D2UU">
      <xxl21:absoluteUrl r:id="rId2"/>
    </xxl21:alternateUrls>
    <sheetNames>
      <sheetName val="Escopo A3"/>
      <sheetName val="Plano de Ação"/>
      <sheetName val="Cronograma"/>
      <sheetName val="Analise de risco"/>
      <sheetName val="Transferência_Terceirização"/>
    </sheetNames>
    <sheetDataSet>
      <sheetData sheetId="0">
        <row r="63">
          <cell r="D63" t="str">
            <v>Reunião Fast Response</v>
          </cell>
          <cell r="H63" t="str">
            <v>OK</v>
          </cell>
        </row>
        <row r="64">
          <cell r="D64" t="str">
            <v>Reunião diaria de produção</v>
          </cell>
          <cell r="H64" t="str">
            <v>OK</v>
          </cell>
        </row>
        <row r="65">
          <cell r="D65" t="str">
            <v>Reunião diaria de passagem de turno</v>
          </cell>
          <cell r="H65" t="str">
            <v>OK</v>
          </cell>
        </row>
        <row r="66">
          <cell r="D66" t="str">
            <v>Reunião mensal de gestão da produção</v>
          </cell>
          <cell r="H66" t="str">
            <v>Não Ok</v>
          </cell>
        </row>
        <row r="67">
          <cell r="D67" t="str">
            <v>Reunião diaria de produto não conforme</v>
          </cell>
          <cell r="H67" t="str">
            <v>Não Ok</v>
          </cell>
        </row>
        <row r="68">
          <cell r="D68" t="str">
            <v>Form.682 Quadro hora/hora</v>
          </cell>
          <cell r="H68" t="str">
            <v>Não Ok</v>
          </cell>
        </row>
        <row r="69">
          <cell r="D69" t="str">
            <v>PLR</v>
          </cell>
          <cell r="H69" t="str">
            <v>OK</v>
          </cell>
        </row>
        <row r="70">
          <cell r="D70" t="str">
            <v>SQDCM</v>
          </cell>
          <cell r="H70" t="str">
            <v>OK</v>
          </cell>
        </row>
        <row r="71">
          <cell r="D71" t="str">
            <v>Form.121 Indicadores de SGI</v>
          </cell>
          <cell r="H71" t="str">
            <v>OK</v>
          </cell>
        </row>
        <row r="72">
          <cell r="D72" t="str">
            <v>Quadro de Aviso Padronizado</v>
          </cell>
          <cell r="H72" t="str">
            <v>Não Ok</v>
          </cell>
        </row>
        <row r="73">
          <cell r="D73" t="str">
            <v>Acompanhamento de OEE</v>
          </cell>
          <cell r="H73" t="str">
            <v>OK</v>
          </cell>
        </row>
        <row r="74">
          <cell r="D74" t="str">
            <v>Acompanhamento de SCRAP</v>
          </cell>
          <cell r="H74" t="str">
            <v>Não Ok</v>
          </cell>
        </row>
        <row r="75">
          <cell r="D75" t="str">
            <v>Acompanhamento de SETUP</v>
          </cell>
          <cell r="H75" t="str">
            <v>Não Ok</v>
          </cell>
        </row>
        <row r="76">
          <cell r="D76" t="str">
            <v>Form. 104 - Indicadores e Ata de Analise Critica</v>
          </cell>
          <cell r="H76" t="str">
            <v>OK</v>
          </cell>
        </row>
        <row r="77">
          <cell r="D77" t="str">
            <v xml:space="preserve">Form.370 - Fast Response Itens Críticos </v>
          </cell>
          <cell r="H77" t="str">
            <v>OK</v>
          </cell>
        </row>
        <row r="78">
          <cell r="D78" t="str">
            <v>Form. 015 – Lista de Presença Resposta Rápida</v>
          </cell>
          <cell r="H78" t="str">
            <v>OK</v>
          </cell>
        </row>
        <row r="79">
          <cell r="D79" t="str">
            <v>Form. 506 Open Issues List</v>
          </cell>
          <cell r="H79" t="str">
            <v>OK</v>
          </cell>
        </row>
        <row r="80">
          <cell r="D80" t="str">
            <v>Ordem de produção</v>
          </cell>
          <cell r="H80" t="str">
            <v>OK</v>
          </cell>
        </row>
        <row r="81">
          <cell r="D81" t="str">
            <v>Form 075 registro de inspeção</v>
          </cell>
          <cell r="H81" t="str">
            <v>OK</v>
          </cell>
        </row>
        <row r="82">
          <cell r="D82" t="str">
            <v>Form 532-Relátorio de produção</v>
          </cell>
          <cell r="H82" t="str">
            <v>Não Ok</v>
          </cell>
        </row>
        <row r="83">
          <cell r="D83" t="str">
            <v>Form 085 identificação do processo-etiqueta azul</v>
          </cell>
          <cell r="H83" t="str">
            <v>OK</v>
          </cell>
        </row>
        <row r="84">
          <cell r="D84" t="str">
            <v>Form 441-Identificação do produto aprovado</v>
          </cell>
          <cell r="H84" t="str">
            <v>OK</v>
          </cell>
        </row>
        <row r="85">
          <cell r="D85" t="str">
            <v>Form 032-Identificação de produto suspeito</v>
          </cell>
          <cell r="H85" t="str">
            <v>OK</v>
          </cell>
        </row>
        <row r="86">
          <cell r="D86" t="str">
            <v>Form 149-Identificação de amostra de produto (try-out)</v>
          </cell>
          <cell r="H86" t="str">
            <v>OK</v>
          </cell>
        </row>
        <row r="87">
          <cell r="D87" t="str">
            <v>Form 093 - Etiqueta "Solicitação de ensaio"</v>
          </cell>
          <cell r="H87" t="str">
            <v>Não Ok</v>
          </cell>
        </row>
        <row r="88">
          <cell r="D88" t="str">
            <v>Etiqueta de beneficiamento</v>
          </cell>
          <cell r="H88" t="str">
            <v>Não Ok</v>
          </cell>
        </row>
        <row r="89">
          <cell r="D89" t="str">
            <v>Etiqueta de RASTREABILIDADE DO PRODUTO/COMPONENTE</v>
          </cell>
          <cell r="H89" t="str">
            <v>OK</v>
          </cell>
        </row>
        <row r="90">
          <cell r="D90" t="str">
            <v xml:space="preserve">Form. 87 - PLANO DE CONTROLE </v>
          </cell>
          <cell r="H90" t="str">
            <v>OK</v>
          </cell>
        </row>
        <row r="91">
          <cell r="D91" t="str">
            <v>Form. 87 - PLANO DE CONTROLE DE CARACTERÍSTICAS ESPECIAIS (RIP "S")</v>
          </cell>
          <cell r="H91" t="str">
            <v>OK</v>
          </cell>
        </row>
        <row r="92">
          <cell r="D92" t="str">
            <v>Form. 647 - INSTRUÇÃO DE TRABALHO</v>
          </cell>
          <cell r="H92" t="str">
            <v>OK</v>
          </cell>
        </row>
        <row r="93">
          <cell r="D93" t="str">
            <v>Form.513 EPS - ESPECIFICAÇÃO DOS PROCESSOS DE SOLDA</v>
          </cell>
          <cell r="H93" t="str">
            <v>Não Ok</v>
          </cell>
        </row>
        <row r="94">
          <cell r="D94" t="str">
            <v>Acompanhamento de Eficiencia de mão de obra</v>
          </cell>
          <cell r="H94" t="str">
            <v>OK</v>
          </cell>
        </row>
        <row r="95">
          <cell r="D95" t="str">
            <v>Plano Mestre de Produtividade</v>
          </cell>
          <cell r="H95" t="str">
            <v>Não Ok</v>
          </cell>
        </row>
        <row r="96">
          <cell r="D96" t="str">
            <v>Projetos Estratégicos: OEE, SCRAP, SMED, Eficiência MOD</v>
          </cell>
          <cell r="H96" t="str">
            <v>Não Ok</v>
          </cell>
        </row>
        <row r="97">
          <cell r="D97" t="str">
            <v>Programa 5S</v>
          </cell>
          <cell r="H97" t="str">
            <v>Não Ok</v>
          </cell>
        </row>
        <row r="98">
          <cell r="D98" t="str">
            <v>Matriz de versatilidade</v>
          </cell>
          <cell r="H98" t="str">
            <v>OK</v>
          </cell>
        </row>
        <row r="99">
          <cell r="D99" t="str">
            <v>Form 080-Registro de Parametros de Processo.xlsx</v>
          </cell>
          <cell r="H99" t="str">
            <v>Não Ok</v>
          </cell>
        </row>
        <row r="100">
          <cell r="D100" t="str">
            <v>Form 048-Retrabalho/Reparo</v>
          </cell>
          <cell r="H100" t="str">
            <v>OK</v>
          </cell>
        </row>
        <row r="101">
          <cell r="D101" t="str">
            <v>Form. 410 – CHECK LIST DE SETUP E FIM DE PRODUÇÃO – ESTAMPARIA</v>
          </cell>
          <cell r="H101" t="str">
            <v>Não Ok</v>
          </cell>
        </row>
        <row r="102">
          <cell r="D102" t="str">
            <v>Form. 411 – CHECK LIST DE SETUP E FIM DE PRODUÇÃO – SOLDA</v>
          </cell>
          <cell r="H102" t="str">
            <v>Não Ok</v>
          </cell>
        </row>
        <row r="103">
          <cell r="D103" t="str">
            <v>FORM 224 – CHECK LIST DE SETUP E FIM DE PRODUÇÃO – OUTROS PROCESSOS</v>
          </cell>
          <cell r="H103" t="str">
            <v>Não Ok</v>
          </cell>
        </row>
        <row r="104">
          <cell r="D104" t="str">
            <v>IT 8.7.1.7 – 033 PLANO DE REAÇÃO</v>
          </cell>
          <cell r="H104" t="str">
            <v>Não Ok</v>
          </cell>
        </row>
        <row r="105">
          <cell r="D105" t="str">
            <v>Programa FIFO</v>
          </cell>
          <cell r="H105" t="str">
            <v>Não Ok</v>
          </cell>
        </row>
        <row r="106">
          <cell r="D106" t="str">
            <v>Alocação de mão de obra</v>
          </cell>
          <cell r="H106" t="str">
            <v>Não Ok</v>
          </cell>
        </row>
        <row r="107">
          <cell r="D107" t="str">
            <v>Form. 477 – REGISTRO DE ALARMES E ESCALONAMENTO</v>
          </cell>
          <cell r="H107" t="str">
            <v>OK</v>
          </cell>
        </row>
        <row r="108">
          <cell r="D108" t="str">
            <v>Form. 148 – IDENTIFICAÇÃO DE RETALHOS</v>
          </cell>
          <cell r="H108" t="str">
            <v>OK</v>
          </cell>
        </row>
        <row r="109">
          <cell r="D109" t="str">
            <v>Form. 030 –  CHECK LIST TPM E PLANO DE MANUTENÇÃO (TPM)</v>
          </cell>
          <cell r="H109" t="str">
            <v>OK</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eral"/>
      <sheetName val="Unidade"/>
    </sheetNames>
    <sheetDataSet>
      <sheetData sheetId="0" refreshError="1"/>
      <sheetData sheetId="1" refreshError="1">
        <row r="1">
          <cell r="E1">
            <v>46071</v>
          </cell>
        </row>
        <row r="36">
          <cell r="E36">
            <v>46081</v>
          </cell>
        </row>
        <row r="51">
          <cell r="E51">
            <v>46095</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indicador analise "/>
    </sheetNames>
    <sheetDataSet>
      <sheetData sheetId="0"/>
      <sheetData sheetId="1">
        <row r="5">
          <cell r="I5">
            <v>1</v>
          </cell>
          <cell r="J5">
            <v>1</v>
          </cell>
        </row>
        <row r="6">
          <cell r="I6">
            <v>1</v>
          </cell>
          <cell r="J6">
            <v>1</v>
          </cell>
        </row>
        <row r="7">
          <cell r="I7">
            <v>1</v>
          </cell>
          <cell r="J7">
            <v>1</v>
          </cell>
        </row>
        <row r="8">
          <cell r="I8">
            <v>1</v>
          </cell>
          <cell r="J8">
            <v>1</v>
          </cell>
        </row>
      </sheetData>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Cálculo de Saving"/>
      <sheetName val="Estrutura"/>
      <sheetName val="Cronograma"/>
      <sheetName val="Analise de risco"/>
    </sheetNames>
    <sheetDataSet>
      <sheetData sheetId="0"/>
      <sheetData sheetId="1"/>
      <sheetData sheetId="2">
        <row r="5">
          <cell r="I5">
            <v>1</v>
          </cell>
          <cell r="J5">
            <v>1</v>
          </cell>
        </row>
        <row r="6">
          <cell r="I6">
            <v>1</v>
          </cell>
          <cell r="J6">
            <v>1</v>
          </cell>
        </row>
        <row r="7">
          <cell r="I7">
            <v>1</v>
          </cell>
          <cell r="J7">
            <v>1</v>
          </cell>
        </row>
        <row r="8">
          <cell r="I8">
            <v>1</v>
          </cell>
          <cell r="J8">
            <v>1</v>
          </cell>
        </row>
        <row r="9">
          <cell r="I9">
            <v>1</v>
          </cell>
          <cell r="J9">
            <v>1</v>
          </cell>
        </row>
        <row r="10">
          <cell r="I10">
            <v>0.87037037037037035</v>
          </cell>
          <cell r="J10">
            <v>0.8</v>
          </cell>
        </row>
        <row r="11">
          <cell r="I11">
            <v>0</v>
          </cell>
          <cell r="J11"/>
        </row>
        <row r="12">
          <cell r="I12">
            <v>0</v>
          </cell>
          <cell r="J12"/>
        </row>
        <row r="13">
          <cell r="I13">
            <v>0</v>
          </cell>
          <cell r="J13">
            <v>0</v>
          </cell>
        </row>
      </sheetData>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0.89333333333333331</v>
          </cell>
          <cell r="J10">
            <v>0.6</v>
          </cell>
        </row>
        <row r="11">
          <cell r="I11">
            <v>0</v>
          </cell>
          <cell r="J11"/>
        </row>
        <row r="12">
          <cell r="I12">
            <v>0</v>
          </cell>
          <cell r="J12"/>
        </row>
        <row r="13">
          <cell r="I13">
            <v>0</v>
          </cell>
          <cell r="J13">
            <v>0</v>
          </cell>
        </row>
        <row r="14">
          <cell r="I14">
            <v>0</v>
          </cell>
          <cell r="J14">
            <v>0</v>
          </cell>
        </row>
      </sheetData>
      <sheetData sheetId="2"/>
      <sheetData sheetId="3"/>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Cálculo de Saving"/>
      <sheetName val="Estrutura"/>
      <sheetName val="Cronograma"/>
      <sheetName val="Analise de risco"/>
    </sheetNames>
    <sheetDataSet>
      <sheetData sheetId="0"/>
      <sheetData sheetId="1"/>
      <sheetData sheetId="2">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1</v>
          </cell>
        </row>
        <row r="12">
          <cell r="I12">
            <v>1</v>
          </cell>
          <cell r="J12">
            <v>1</v>
          </cell>
        </row>
        <row r="13">
          <cell r="I13">
            <v>1</v>
          </cell>
          <cell r="J13">
            <v>1</v>
          </cell>
        </row>
        <row r="14">
          <cell r="I14">
            <v>1</v>
          </cell>
          <cell r="J14">
            <v>1</v>
          </cell>
        </row>
      </sheetData>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1</v>
          </cell>
        </row>
        <row r="12">
          <cell r="I12">
            <v>1</v>
          </cell>
          <cell r="J12">
            <v>1</v>
          </cell>
        </row>
      </sheetData>
      <sheetData sheetId="2"/>
      <sheetData sheetId="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Cálculo de Saving"/>
      <sheetName val="Analise de risco"/>
    </sheetNames>
    <sheetDataSet>
      <sheetData sheetId="0"/>
      <sheetData sheetId="1">
        <row r="5">
          <cell r="I5">
            <v>1</v>
          </cell>
          <cell r="J5">
            <v>1</v>
          </cell>
        </row>
        <row r="6">
          <cell r="I6">
            <v>0.88297872340425532</v>
          </cell>
          <cell r="J6">
            <v>0.95</v>
          </cell>
        </row>
        <row r="7">
          <cell r="I7">
            <v>0</v>
          </cell>
          <cell r="J7">
            <v>0</v>
          </cell>
        </row>
        <row r="8">
          <cell r="I8">
            <v>0</v>
          </cell>
          <cell r="J8">
            <v>0</v>
          </cell>
        </row>
        <row r="9">
          <cell r="I9">
            <v>0</v>
          </cell>
          <cell r="J9">
            <v>0</v>
          </cell>
        </row>
        <row r="10">
          <cell r="I10">
            <v>0</v>
          </cell>
          <cell r="J10">
            <v>0</v>
          </cell>
        </row>
        <row r="11">
          <cell r="I11">
            <v>0</v>
          </cell>
          <cell r="J11">
            <v>0</v>
          </cell>
        </row>
      </sheetData>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Estrutura"/>
      <sheetName val="Cronograma"/>
      <sheetName val="Analise de risco"/>
      <sheetName val="Transferência_Terceirização"/>
      <sheetName val="SWOT"/>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sheetData>
      <sheetData sheetId="2"/>
      <sheetData sheetId="3"/>
      <sheetData sheetId="4"/>
      <sheetData sheetId="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Cálculo de Saving"/>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1</v>
          </cell>
        </row>
      </sheetData>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Cálculo de Saving"/>
      <sheetName val="Estrutura"/>
      <sheetName val="Cronograma"/>
      <sheetName val="Analise de risco"/>
    </sheetNames>
    <sheetDataSet>
      <sheetData sheetId="0"/>
      <sheetData sheetId="1"/>
      <sheetData sheetId="2">
        <row r="5">
          <cell r="I5">
            <v>1</v>
          </cell>
          <cell r="J5">
            <v>1</v>
          </cell>
        </row>
        <row r="6">
          <cell r="I6">
            <v>1</v>
          </cell>
          <cell r="J6">
            <v>1</v>
          </cell>
        </row>
        <row r="7">
          <cell r="I7">
            <v>1</v>
          </cell>
          <cell r="J7">
            <v>1</v>
          </cell>
        </row>
        <row r="8">
          <cell r="I8">
            <v>1</v>
          </cell>
          <cell r="J8">
            <v>1</v>
          </cell>
        </row>
        <row r="9">
          <cell r="I9">
            <v>1</v>
          </cell>
          <cell r="J9">
            <v>1</v>
          </cell>
        </row>
        <row r="10">
          <cell r="I10">
            <v>0.80701754385964908</v>
          </cell>
          <cell r="J10">
            <v>0.9</v>
          </cell>
        </row>
        <row r="11">
          <cell r="I11">
            <v>0</v>
          </cell>
          <cell r="J11">
            <v>0</v>
          </cell>
        </row>
        <row r="12">
          <cell r="I12">
            <v>0</v>
          </cell>
          <cell r="J12">
            <v>0</v>
          </cell>
        </row>
      </sheetData>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copo A3"/>
      <sheetName val="Cálculo de Saving"/>
      <sheetName val="Estrutura"/>
      <sheetName val="Cronograma"/>
      <sheetName val="Analise de risco"/>
    </sheetNames>
    <sheetDataSet>
      <sheetData sheetId="0"/>
      <sheetData sheetId="1"/>
      <sheetData sheetId="2">
        <row r="5">
          <cell r="I5">
            <v>1</v>
          </cell>
          <cell r="J5">
            <v>1</v>
          </cell>
        </row>
        <row r="6">
          <cell r="I6">
            <v>1</v>
          </cell>
          <cell r="J6">
            <v>1</v>
          </cell>
        </row>
        <row r="7">
          <cell r="I7">
            <v>1</v>
          </cell>
          <cell r="J7">
            <v>1</v>
          </cell>
        </row>
        <row r="8">
          <cell r="I8">
            <v>1</v>
          </cell>
          <cell r="J8">
            <v>1</v>
          </cell>
        </row>
        <row r="9">
          <cell r="I9">
            <v>1</v>
          </cell>
          <cell r="J9">
            <v>1</v>
          </cell>
        </row>
        <row r="10">
          <cell r="I10">
            <v>1</v>
          </cell>
          <cell r="J10">
            <v>1</v>
          </cell>
        </row>
        <row r="11">
          <cell r="I11">
            <v>1</v>
          </cell>
          <cell r="J11">
            <v>1</v>
          </cell>
        </row>
        <row r="12">
          <cell r="I12">
            <v>1</v>
          </cell>
          <cell r="J12">
            <v>1</v>
          </cell>
        </row>
        <row r="13">
          <cell r="I13">
            <v>1</v>
          </cell>
          <cell r="J13">
            <v>1</v>
          </cell>
        </row>
        <row r="14">
          <cell r="I14">
            <v>1</v>
          </cell>
          <cell r="J14">
            <v>1</v>
          </cell>
        </row>
      </sheetData>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Cálculo de Saving"/>
      <sheetName val="Analise de risco"/>
    </sheetNames>
    <sheetDataSet>
      <sheetData sheetId="0"/>
      <sheetData sheetId="1">
        <row r="5">
          <cell r="I5">
            <v>1</v>
          </cell>
          <cell r="J5">
            <v>1</v>
          </cell>
        </row>
        <row r="6">
          <cell r="I6">
            <v>1</v>
          </cell>
          <cell r="J6">
            <v>1</v>
          </cell>
        </row>
        <row r="7">
          <cell r="I7">
            <v>0.5</v>
          </cell>
          <cell r="J7">
            <v>0.6</v>
          </cell>
        </row>
      </sheetData>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5">
          <cell r="I5">
            <v>1</v>
          </cell>
          <cell r="J5">
            <v>1</v>
          </cell>
        </row>
        <row r="6">
          <cell r="I6">
            <v>1</v>
          </cell>
          <cell r="J6">
            <v>1</v>
          </cell>
        </row>
        <row r="7">
          <cell r="I7">
            <v>0.85263157894736841</v>
          </cell>
          <cell r="J7">
            <v>0.86</v>
          </cell>
        </row>
      </sheetData>
      <sheetData sheetId="2"/>
      <sheetData sheetId="3"/>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5">
          <cell r="I5">
            <v>1</v>
          </cell>
          <cell r="J5">
            <v>1</v>
          </cell>
        </row>
        <row r="6">
          <cell r="I6">
            <v>1</v>
          </cell>
          <cell r="J6">
            <v>1</v>
          </cell>
        </row>
        <row r="7">
          <cell r="I7">
            <v>1</v>
          </cell>
          <cell r="J7">
            <v>1</v>
          </cell>
        </row>
      </sheetData>
      <sheetData sheetId="2"/>
      <sheetData sheetId="3"/>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ronograma"/>
      <sheetName val="Analise de risco"/>
    </sheetNames>
    <sheetDataSet>
      <sheetData sheetId="0"/>
      <sheetData sheetId="1">
        <row r="5">
          <cell r="I5">
            <v>1</v>
          </cell>
          <cell r="J5">
            <v>1</v>
          </cell>
        </row>
        <row r="6">
          <cell r="I6">
            <v>1</v>
          </cell>
          <cell r="J6">
            <v>1</v>
          </cell>
        </row>
        <row r="7">
          <cell r="I7">
            <v>0.83199999999999996</v>
          </cell>
          <cell r="J7">
            <v>0.85</v>
          </cell>
        </row>
      </sheetData>
      <sheetData sheetId="2"/>
      <sheetData sheetId="3"/>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Estrutura"/>
      <sheetName val="Cálculo de Saving"/>
      <sheetName val="Cronograma"/>
      <sheetName val="Analise de risco"/>
    </sheetNames>
    <sheetDataSet>
      <sheetData sheetId="0"/>
      <sheetData sheetId="1">
        <row r="5">
          <cell r="I5">
            <v>1</v>
          </cell>
          <cell r="J5">
            <v>1</v>
          </cell>
        </row>
        <row r="6">
          <cell r="I6">
            <v>1</v>
          </cell>
          <cell r="J6">
            <v>1</v>
          </cell>
        </row>
        <row r="7">
          <cell r="I7">
            <v>1</v>
          </cell>
          <cell r="J7">
            <v>1</v>
          </cell>
        </row>
        <row r="8">
          <cell r="I8">
            <v>1</v>
          </cell>
          <cell r="J8">
            <v>1</v>
          </cell>
        </row>
        <row r="9">
          <cell r="I9">
            <v>1</v>
          </cell>
          <cell r="J9">
            <v>1</v>
          </cell>
        </row>
        <row r="10">
          <cell r="I10">
            <v>0.75294117647058822</v>
          </cell>
          <cell r="J10">
            <v>0.8</v>
          </cell>
        </row>
        <row r="11">
          <cell r="I11">
            <v>0</v>
          </cell>
          <cell r="J11"/>
        </row>
        <row r="12">
          <cell r="I12">
            <v>0</v>
          </cell>
          <cell r="J12"/>
        </row>
        <row r="13">
          <cell r="I13">
            <v>0</v>
          </cell>
          <cell r="J13">
            <v>0</v>
          </cell>
        </row>
        <row r="14">
          <cell r="I14">
            <v>0</v>
          </cell>
          <cell r="J14">
            <v>0</v>
          </cell>
        </row>
      </sheetData>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Cálculo de Saving"/>
      <sheetName val="Estrutura"/>
      <sheetName val="Cronograma"/>
      <sheetName val="Analise de risco"/>
    </sheetNames>
    <sheetDataSet>
      <sheetData sheetId="0"/>
      <sheetData sheetId="1"/>
      <sheetData sheetId="2">
        <row r="5">
          <cell r="I5">
            <v>1</v>
          </cell>
          <cell r="J5">
            <v>1</v>
          </cell>
        </row>
        <row r="6">
          <cell r="I6">
            <v>1</v>
          </cell>
          <cell r="J6">
            <v>1</v>
          </cell>
        </row>
        <row r="7">
          <cell r="I7">
            <v>1</v>
          </cell>
          <cell r="J7">
            <v>1</v>
          </cell>
        </row>
        <row r="8">
          <cell r="I8">
            <v>1</v>
          </cell>
          <cell r="J8">
            <v>1</v>
          </cell>
        </row>
        <row r="9">
          <cell r="I9">
            <v>1</v>
          </cell>
          <cell r="J9">
            <v>1</v>
          </cell>
        </row>
        <row r="10">
          <cell r="I10">
            <v>1</v>
          </cell>
          <cell r="J10">
            <v>0.9</v>
          </cell>
        </row>
        <row r="11">
          <cell r="I11">
            <v>0.1111111111111111</v>
          </cell>
          <cell r="J11">
            <v>0.25</v>
          </cell>
        </row>
      </sheetData>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Cálculo de Saving"/>
      <sheetName val="Estrutura"/>
      <sheetName val="Cronograma"/>
      <sheetName val="Analise de risco"/>
    </sheetNames>
    <sheetDataSet>
      <sheetData sheetId="0"/>
      <sheetData sheetId="1"/>
      <sheetData sheetId="2">
        <row r="5">
          <cell r="I5">
            <v>1</v>
          </cell>
          <cell r="J5">
            <v>1</v>
          </cell>
        </row>
        <row r="6">
          <cell r="I6">
            <v>1</v>
          </cell>
          <cell r="J6">
            <v>1</v>
          </cell>
        </row>
        <row r="7">
          <cell r="I7">
            <v>1</v>
          </cell>
          <cell r="J7">
            <v>1</v>
          </cell>
        </row>
        <row r="8">
          <cell r="I8">
            <v>0.81967213114754101</v>
          </cell>
          <cell r="J8">
            <v>0.9</v>
          </cell>
        </row>
        <row r="9">
          <cell r="I9">
            <v>0</v>
          </cell>
          <cell r="J9">
            <v>0</v>
          </cell>
        </row>
      </sheetData>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copo A3"/>
      <sheetName val="Cálculo de Saving"/>
      <sheetName val="Estrutura"/>
      <sheetName val="Cronograma"/>
      <sheetName val="Analise de risco"/>
    </sheetNames>
    <sheetDataSet>
      <sheetData sheetId="0"/>
      <sheetData sheetId="1"/>
      <sheetData sheetId="2">
        <row r="7">
          <cell r="I7">
            <v>1</v>
          </cell>
          <cell r="J7">
            <v>1</v>
          </cell>
        </row>
        <row r="8">
          <cell r="I8">
            <v>0.69444444444444442</v>
          </cell>
          <cell r="J8">
            <v>0.8</v>
          </cell>
        </row>
        <row r="9">
          <cell r="I9">
            <v>0</v>
          </cell>
        </row>
        <row r="10">
          <cell r="I10">
            <v>0</v>
          </cell>
          <cell r="J10">
            <v>0</v>
          </cell>
        </row>
        <row r="11">
          <cell r="I11"/>
        </row>
      </sheetData>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lhamento"/>
      <sheetName val="Aline"/>
      <sheetName val="Diogo"/>
      <sheetName val="Eraldo"/>
      <sheetName val="Jean"/>
      <sheetName val="Elenice"/>
      <sheetName val="Lucas"/>
      <sheetName val="Thiago"/>
      <sheetName val="Vitor"/>
      <sheetName val="CONCLUIDO E IMPLANTADO-CANCELAD"/>
    </sheetNames>
    <sheetDataSet>
      <sheetData sheetId="0">
        <row r="1">
          <cell r="A1"/>
          <cell r="E1"/>
          <cell r="I1"/>
          <cell r="J1"/>
          <cell r="M1"/>
          <cell r="N1"/>
          <cell r="O1"/>
        </row>
        <row r="2">
          <cell r="A2"/>
          <cell r="E2"/>
          <cell r="I2"/>
          <cell r="J2"/>
          <cell r="M2"/>
          <cell r="N2"/>
          <cell r="O2"/>
        </row>
        <row r="3">
          <cell r="A3" t="str">
            <v>PROJETO</v>
          </cell>
          <cell r="E3" t="str">
            <v>Resultado Financeiro</v>
          </cell>
          <cell r="I3" t="str">
            <v>Prazo Início Projeto</v>
          </cell>
          <cell r="J3" t="str">
            <v>Prazo Fechamento Projeto</v>
          </cell>
          <cell r="M3" t="str">
            <v>Progresso previsto (%)</v>
          </cell>
          <cell r="N3" t="str">
            <v>Progresso realizado (%)</v>
          </cell>
          <cell r="O3" t="str">
            <v>Início da Implementação de Redução</v>
          </cell>
        </row>
        <row r="4">
          <cell r="A4" t="str">
            <v>AG0125</v>
          </cell>
          <cell r="E4">
            <v>0</v>
          </cell>
          <cell r="I4">
            <v>45845</v>
          </cell>
          <cell r="J4">
            <v>46146</v>
          </cell>
          <cell r="M4">
            <v>0.89423076923076927</v>
          </cell>
          <cell r="N4">
            <v>0.5</v>
          </cell>
          <cell r="O4">
            <v>46392</v>
          </cell>
        </row>
        <row r="5">
          <cell r="A5" t="str">
            <v>AG0225</v>
          </cell>
          <cell r="E5">
            <v>101100</v>
          </cell>
          <cell r="I5">
            <v>45845</v>
          </cell>
          <cell r="J5">
            <v>46159</v>
          </cell>
          <cell r="M5">
            <v>0.965034965034965</v>
          </cell>
          <cell r="N5">
            <v>1</v>
          </cell>
          <cell r="O5">
            <v>46023</v>
          </cell>
        </row>
        <row r="6">
          <cell r="A6" t="str">
            <v>DN0825</v>
          </cell>
          <cell r="E6">
            <v>372095</v>
          </cell>
          <cell r="I6">
            <v>45882</v>
          </cell>
          <cell r="J6">
            <v>46240</v>
          </cell>
          <cell r="M6">
            <v>1</v>
          </cell>
          <cell r="N6">
            <v>0.96</v>
          </cell>
          <cell r="O6">
            <v>46222</v>
          </cell>
        </row>
        <row r="7">
          <cell r="A7" t="str">
            <v>DN1525</v>
          </cell>
          <cell r="E7">
            <v>219761</v>
          </cell>
          <cell r="I7">
            <v>46045</v>
          </cell>
          <cell r="J7">
            <v>46153</v>
          </cell>
          <cell r="M7">
            <v>1</v>
          </cell>
          <cell r="N7">
            <v>1</v>
          </cell>
          <cell r="O7">
            <v>46097</v>
          </cell>
        </row>
        <row r="8">
          <cell r="A8" t="str">
            <v>DN0625</v>
          </cell>
          <cell r="E8">
            <v>35000</v>
          </cell>
          <cell r="I8">
            <v>45729</v>
          </cell>
          <cell r="J8">
            <v>46359</v>
          </cell>
          <cell r="M8" t="e">
            <v>#REF!</v>
          </cell>
          <cell r="N8" t="e">
            <v>#REF!</v>
          </cell>
          <cell r="O8">
            <v>46366</v>
          </cell>
        </row>
        <row r="9">
          <cell r="A9" t="str">
            <v>DN1125</v>
          </cell>
          <cell r="E9">
            <v>112000</v>
          </cell>
          <cell r="I9">
            <v>45898</v>
          </cell>
          <cell r="J9">
            <v>46366</v>
          </cell>
          <cell r="M9">
            <v>0.7142857142857143</v>
          </cell>
          <cell r="N9">
            <v>0.7142857142857143</v>
          </cell>
          <cell r="O9">
            <v>46371</v>
          </cell>
        </row>
        <row r="10">
          <cell r="A10" t="str">
            <v>DN0126</v>
          </cell>
          <cell r="E10">
            <v>0</v>
          </cell>
          <cell r="I10">
            <v>45992</v>
          </cell>
          <cell r="J10">
            <v>46279</v>
          </cell>
          <cell r="M10">
            <v>1</v>
          </cell>
          <cell r="N10">
            <v>1</v>
          </cell>
          <cell r="O10">
            <v>46279</v>
          </cell>
        </row>
        <row r="11">
          <cell r="A11" t="str">
            <v>DN1325</v>
          </cell>
          <cell r="E11" t="str">
            <v>-</v>
          </cell>
          <cell r="I11">
            <v>45898</v>
          </cell>
          <cell r="J11">
            <v>46248</v>
          </cell>
          <cell r="M11">
            <v>1</v>
          </cell>
          <cell r="N11">
            <v>1</v>
          </cell>
          <cell r="O11">
            <v>46249</v>
          </cell>
        </row>
        <row r="12">
          <cell r="A12" t="str">
            <v>DN0226</v>
          </cell>
          <cell r="E12">
            <v>189797</v>
          </cell>
          <cell r="I12">
            <v>46027</v>
          </cell>
          <cell r="J12">
            <v>46287</v>
          </cell>
          <cell r="M12">
            <v>0.7142857142857143</v>
          </cell>
          <cell r="N12">
            <v>0.7142857142857143</v>
          </cell>
          <cell r="O12">
            <v>46293</v>
          </cell>
        </row>
        <row r="13">
          <cell r="A13" t="str">
            <v>DN0425</v>
          </cell>
          <cell r="E13">
            <v>155799</v>
          </cell>
          <cell r="I13">
            <v>45735</v>
          </cell>
          <cell r="J13">
            <v>45982</v>
          </cell>
          <cell r="M13">
            <v>1</v>
          </cell>
          <cell r="N13">
            <v>1</v>
          </cell>
          <cell r="O13">
            <v>46072</v>
          </cell>
        </row>
        <row r="14">
          <cell r="A14" t="str">
            <v>DN0426</v>
          </cell>
          <cell r="E14">
            <v>39383</v>
          </cell>
          <cell r="I14">
            <v>46056</v>
          </cell>
          <cell r="J14">
            <v>46099</v>
          </cell>
          <cell r="M14">
            <v>1</v>
          </cell>
          <cell r="N14">
            <v>1</v>
          </cell>
          <cell r="O14">
            <v>46101</v>
          </cell>
        </row>
        <row r="15">
          <cell r="A15" t="str">
            <v>DN0526</v>
          </cell>
          <cell r="E15">
            <v>100871</v>
          </cell>
          <cell r="I15">
            <v>46056</v>
          </cell>
          <cell r="J15" t="e">
            <v>#REF!</v>
          </cell>
          <cell r="M15" t="e">
            <v>#REF!</v>
          </cell>
          <cell r="N15" t="e">
            <v>#REF!</v>
          </cell>
          <cell r="O15">
            <v>46282</v>
          </cell>
        </row>
        <row r="16">
          <cell r="A16" t="str">
            <v>DN0726</v>
          </cell>
          <cell r="E16">
            <v>49053</v>
          </cell>
          <cell r="I16">
            <v>46045</v>
          </cell>
          <cell r="J16">
            <v>46148</v>
          </cell>
          <cell r="M16" t="e">
            <v>#REF!</v>
          </cell>
          <cell r="N16" t="e">
            <v>#REF!</v>
          </cell>
          <cell r="O16">
            <v>46196</v>
          </cell>
        </row>
        <row r="17">
          <cell r="A17" t="str">
            <v>DN0826</v>
          </cell>
          <cell r="E17">
            <v>437338</v>
          </cell>
          <cell r="I17">
            <v>46146</v>
          </cell>
          <cell r="J17">
            <v>46366</v>
          </cell>
          <cell r="M17">
            <v>0.65217391304347827</v>
          </cell>
          <cell r="N17">
            <v>0.69565217391304346</v>
          </cell>
          <cell r="O17">
            <v>46371</v>
          </cell>
        </row>
        <row r="18">
          <cell r="A18" t="str">
            <v>ES0126</v>
          </cell>
          <cell r="E18">
            <v>43500</v>
          </cell>
          <cell r="I18">
            <v>45933</v>
          </cell>
          <cell r="J18">
            <v>46010</v>
          </cell>
          <cell r="M18">
            <v>1</v>
          </cell>
          <cell r="N18">
            <v>1</v>
          </cell>
          <cell r="O18">
            <v>46038</v>
          </cell>
        </row>
        <row r="19">
          <cell r="A19" t="str">
            <v>ES0125</v>
          </cell>
          <cell r="E19">
            <v>0</v>
          </cell>
          <cell r="I19">
            <v>45824</v>
          </cell>
          <cell r="J19">
            <v>46022</v>
          </cell>
          <cell r="M19">
            <v>0.8571428571428571</v>
          </cell>
          <cell r="N19">
            <v>0.8571428571428571</v>
          </cell>
          <cell r="O19" t="str">
            <v>-</v>
          </cell>
        </row>
        <row r="20">
          <cell r="A20" t="str">
            <v>ES0226</v>
          </cell>
          <cell r="E20">
            <v>8153</v>
          </cell>
          <cell r="I20">
            <v>46023</v>
          </cell>
          <cell r="J20">
            <v>46258</v>
          </cell>
          <cell r="M20">
            <v>0.83333333333333337</v>
          </cell>
          <cell r="N20">
            <v>0.83333333333333337</v>
          </cell>
          <cell r="O20" t="str">
            <v>-</v>
          </cell>
        </row>
        <row r="21">
          <cell r="A21" t="str">
            <v>ES0326</v>
          </cell>
          <cell r="E21">
            <v>3315.6</v>
          </cell>
          <cell r="I21">
            <v>46023</v>
          </cell>
          <cell r="J21">
            <v>46258</v>
          </cell>
          <cell r="M21">
            <v>0.83333333333333337</v>
          </cell>
          <cell r="N21">
            <v>0.83333333333333337</v>
          </cell>
          <cell r="O21" t="str">
            <v>-</v>
          </cell>
        </row>
        <row r="22">
          <cell r="A22" t="str">
            <v>ES0426</v>
          </cell>
          <cell r="E22">
            <v>10379.870000000001</v>
          </cell>
          <cell r="I22">
            <v>46023</v>
          </cell>
          <cell r="J22">
            <v>46080</v>
          </cell>
          <cell r="M22">
            <v>1</v>
          </cell>
          <cell r="N22">
            <v>1</v>
          </cell>
          <cell r="O22" t="str">
            <v>-</v>
          </cell>
        </row>
        <row r="23">
          <cell r="A23" t="str">
            <v>ES0225</v>
          </cell>
          <cell r="E23">
            <v>0</v>
          </cell>
          <cell r="I23">
            <v>45915</v>
          </cell>
          <cell r="J23">
            <v>46003</v>
          </cell>
          <cell r="M23">
            <v>1</v>
          </cell>
          <cell r="N23">
            <v>1</v>
          </cell>
          <cell r="O23" t="str">
            <v>-</v>
          </cell>
        </row>
        <row r="24">
          <cell r="A24" t="str">
            <v>JE0625</v>
          </cell>
          <cell r="E24">
            <v>48787</v>
          </cell>
          <cell r="I24">
            <v>46051</v>
          </cell>
          <cell r="J24">
            <v>46418</v>
          </cell>
          <cell r="M24">
            <v>0.5714285714285714</v>
          </cell>
          <cell r="N24">
            <v>0.5714285714285714</v>
          </cell>
          <cell r="O24">
            <v>46433</v>
          </cell>
        </row>
        <row r="25">
          <cell r="A25" t="str">
            <v>JE0226</v>
          </cell>
          <cell r="E25">
            <v>33377.910000000003</v>
          </cell>
          <cell r="I25">
            <v>46050</v>
          </cell>
          <cell r="J25">
            <v>46087</v>
          </cell>
          <cell r="M25">
            <v>1</v>
          </cell>
          <cell r="N25">
            <v>1</v>
          </cell>
          <cell r="O25">
            <v>46113</v>
          </cell>
        </row>
        <row r="26">
          <cell r="A26" t="str">
            <v>JE0426</v>
          </cell>
          <cell r="E26">
            <v>348550.6</v>
          </cell>
          <cell r="I26">
            <v>46038</v>
          </cell>
          <cell r="J26">
            <v>46568</v>
          </cell>
          <cell r="M26">
            <v>0.875</v>
          </cell>
          <cell r="N26">
            <v>0.875</v>
          </cell>
          <cell r="O26" t="str">
            <v>-</v>
          </cell>
        </row>
        <row r="27">
          <cell r="A27" t="str">
            <v>JE0425</v>
          </cell>
          <cell r="E27">
            <v>606000</v>
          </cell>
          <cell r="I27">
            <v>45775</v>
          </cell>
          <cell r="J27">
            <v>46418</v>
          </cell>
          <cell r="M27">
            <v>1</v>
          </cell>
          <cell r="N27">
            <v>1</v>
          </cell>
          <cell r="O27">
            <v>46300</v>
          </cell>
        </row>
        <row r="28">
          <cell r="A28" t="str">
            <v>JE0825</v>
          </cell>
          <cell r="E28">
            <v>274259.52</v>
          </cell>
          <cell r="I28">
            <v>45918</v>
          </cell>
          <cell r="J28">
            <v>46136</v>
          </cell>
          <cell r="M28">
            <v>1</v>
          </cell>
          <cell r="N28">
            <v>1</v>
          </cell>
          <cell r="O28">
            <v>46174</v>
          </cell>
        </row>
        <row r="29">
          <cell r="A29" t="str">
            <v>JE0125</v>
          </cell>
          <cell r="E29">
            <v>171002</v>
          </cell>
          <cell r="I29">
            <v>45603</v>
          </cell>
          <cell r="J29">
            <v>46418</v>
          </cell>
          <cell r="M29">
            <v>0.94117647058823528</v>
          </cell>
          <cell r="N29">
            <v>0.8529411764705882</v>
          </cell>
          <cell r="O29">
            <v>46433</v>
          </cell>
        </row>
        <row r="30">
          <cell r="A30" t="str">
            <v>JE0126</v>
          </cell>
          <cell r="E30">
            <v>130748</v>
          </cell>
          <cell r="I30">
            <v>46007</v>
          </cell>
          <cell r="J30">
            <v>46168</v>
          </cell>
          <cell r="M30">
            <v>0.61538461538461542</v>
          </cell>
          <cell r="N30">
            <v>0.61538461538461542</v>
          </cell>
          <cell r="O30">
            <v>46296</v>
          </cell>
        </row>
        <row r="31">
          <cell r="A31" t="str">
            <v>JE0325</v>
          </cell>
          <cell r="E31">
            <v>158990</v>
          </cell>
          <cell r="I31">
            <v>45757</v>
          </cell>
          <cell r="J31">
            <v>46038</v>
          </cell>
          <cell r="M31">
            <v>1</v>
          </cell>
          <cell r="N31">
            <v>1</v>
          </cell>
          <cell r="O31">
            <v>46048</v>
          </cell>
        </row>
        <row r="32">
          <cell r="A32" t="str">
            <v>JE0326</v>
          </cell>
          <cell r="E32">
            <v>126386</v>
          </cell>
          <cell r="I32">
            <v>45923</v>
          </cell>
          <cell r="J32">
            <v>46031</v>
          </cell>
          <cell r="M32">
            <v>1</v>
          </cell>
          <cell r="N32">
            <v>1</v>
          </cell>
          <cell r="O32">
            <v>46071</v>
          </cell>
        </row>
        <row r="33">
          <cell r="A33" t="str">
            <v>JE0925</v>
          </cell>
          <cell r="E33">
            <v>46745</v>
          </cell>
          <cell r="I33">
            <v>45944</v>
          </cell>
          <cell r="J33">
            <v>46101</v>
          </cell>
          <cell r="M33">
            <v>0.95454545454545459</v>
          </cell>
          <cell r="N33">
            <v>0.90909090909090906</v>
          </cell>
          <cell r="O33">
            <v>46113</v>
          </cell>
        </row>
        <row r="34">
          <cell r="A34" t="str">
            <v>JE1225</v>
          </cell>
          <cell r="E34">
            <v>22612.28</v>
          </cell>
          <cell r="I34">
            <v>46008</v>
          </cell>
          <cell r="J34">
            <v>46008</v>
          </cell>
          <cell r="M34">
            <v>1</v>
          </cell>
          <cell r="N34">
            <v>1</v>
          </cell>
          <cell r="O34">
            <v>46082</v>
          </cell>
        </row>
        <row r="35">
          <cell r="A35" t="str">
            <v>JE1125</v>
          </cell>
          <cell r="E35">
            <v>14893</v>
          </cell>
          <cell r="I35">
            <v>45961</v>
          </cell>
          <cell r="J35">
            <v>45992</v>
          </cell>
          <cell r="M35">
            <v>1</v>
          </cell>
          <cell r="N35">
            <v>1</v>
          </cell>
          <cell r="O35">
            <v>46082</v>
          </cell>
        </row>
        <row r="36">
          <cell r="A36" t="str">
            <v>JE0725</v>
          </cell>
          <cell r="E36">
            <v>3852.73</v>
          </cell>
          <cell r="I36">
            <v>45918</v>
          </cell>
          <cell r="J36">
            <v>46010</v>
          </cell>
          <cell r="M36">
            <v>1</v>
          </cell>
          <cell r="N36">
            <v>1</v>
          </cell>
          <cell r="O36">
            <v>46082</v>
          </cell>
        </row>
        <row r="37">
          <cell r="A37" t="str">
            <v>JE0526</v>
          </cell>
          <cell r="E37">
            <v>24522.880000000001</v>
          </cell>
          <cell r="I37">
            <v>46056</v>
          </cell>
          <cell r="J37">
            <v>46101</v>
          </cell>
          <cell r="M37">
            <v>1</v>
          </cell>
          <cell r="N37">
            <v>1</v>
          </cell>
          <cell r="O37">
            <v>46098</v>
          </cell>
        </row>
        <row r="38">
          <cell r="A38" t="str">
            <v>JE0626</v>
          </cell>
          <cell r="E38">
            <v>83880.740000000005</v>
          </cell>
          <cell r="I38">
            <v>46163</v>
          </cell>
          <cell r="J38">
            <v>46227</v>
          </cell>
          <cell r="M38">
            <v>0.88888888888888884</v>
          </cell>
          <cell r="N38">
            <v>0.77777777777777779</v>
          </cell>
          <cell r="O38">
            <v>46296</v>
          </cell>
        </row>
        <row r="39">
          <cell r="A39" t="str">
            <v>JE0726</v>
          </cell>
          <cell r="E39">
            <v>38422</v>
          </cell>
          <cell r="I39">
            <v>46140</v>
          </cell>
          <cell r="J39">
            <v>46230</v>
          </cell>
          <cell r="M39">
            <v>1</v>
          </cell>
          <cell r="N39">
            <v>1</v>
          </cell>
          <cell r="O39">
            <v>46235</v>
          </cell>
        </row>
        <row r="40">
          <cell r="A40" t="str">
            <v>JE0826</v>
          </cell>
          <cell r="E40">
            <v>10000</v>
          </cell>
          <cell r="I40">
            <v>46073</v>
          </cell>
          <cell r="J40">
            <v>46288</v>
          </cell>
          <cell r="M40">
            <v>0.7857142857142857</v>
          </cell>
          <cell r="N40">
            <v>0.16129032258064516</v>
          </cell>
          <cell r="O40">
            <v>46296</v>
          </cell>
        </row>
        <row r="41">
          <cell r="A41" t="str">
            <v>JE0926</v>
          </cell>
          <cell r="E41">
            <v>46336.38</v>
          </cell>
          <cell r="I41">
            <v>46203</v>
          </cell>
          <cell r="J41">
            <v>46295</v>
          </cell>
          <cell r="M41">
            <v>0.42105263157894735</v>
          </cell>
          <cell r="N41">
            <v>0.3888888888888889</v>
          </cell>
          <cell r="O41"/>
        </row>
        <row r="42">
          <cell r="A42" t="str">
            <v>JE1026</v>
          </cell>
          <cell r="E42">
            <v>72455</v>
          </cell>
          <cell r="I42">
            <v>46232</v>
          </cell>
          <cell r="J42">
            <v>46287</v>
          </cell>
          <cell r="M42">
            <v>0.38461538461538464</v>
          </cell>
          <cell r="N42">
            <v>1</v>
          </cell>
          <cell r="O42"/>
        </row>
        <row r="43">
          <cell r="A43" t="str">
            <v>EF0325</v>
          </cell>
          <cell r="E43" t="str">
            <v>0</v>
          </cell>
          <cell r="I43">
            <v>45936</v>
          </cell>
          <cell r="J43">
            <v>46157</v>
          </cell>
          <cell r="M43">
            <v>0.33166666666666667</v>
          </cell>
          <cell r="N43">
            <v>0.4</v>
          </cell>
          <cell r="O43">
            <v>46157</v>
          </cell>
        </row>
        <row r="44">
          <cell r="A44" t="str">
            <v>EF0326</v>
          </cell>
          <cell r="E44">
            <v>1139000</v>
          </cell>
          <cell r="I44">
            <v>46003</v>
          </cell>
          <cell r="J44">
            <v>46539</v>
          </cell>
          <cell r="M44">
            <v>0.40972222222222221</v>
          </cell>
          <cell r="N44">
            <v>0.44444444444444442</v>
          </cell>
          <cell r="O44">
            <v>46569</v>
          </cell>
        </row>
        <row r="45">
          <cell r="A45" t="str">
            <v>EF0426</v>
          </cell>
          <cell r="E45">
            <v>353954</v>
          </cell>
          <cell r="I45">
            <v>46054</v>
          </cell>
          <cell r="J45">
            <v>46539</v>
          </cell>
          <cell r="M45">
            <v>0.33779755283648499</v>
          </cell>
          <cell r="N45">
            <v>0.42499999999999999</v>
          </cell>
          <cell r="O45">
            <v>46539</v>
          </cell>
        </row>
        <row r="46">
          <cell r="A46" t="str">
            <v>EF0226</v>
          </cell>
          <cell r="E46">
            <v>600868</v>
          </cell>
          <cell r="I46">
            <v>45962</v>
          </cell>
          <cell r="J46">
            <v>46170</v>
          </cell>
          <cell r="M46">
            <v>1</v>
          </cell>
          <cell r="N46">
            <v>1</v>
          </cell>
          <cell r="O46">
            <v>46174</v>
          </cell>
        </row>
        <row r="47">
          <cell r="A47" t="str">
            <v>EF0526</v>
          </cell>
          <cell r="E47">
            <v>72408</v>
          </cell>
          <cell r="I47">
            <v>46027</v>
          </cell>
          <cell r="J47">
            <v>46083</v>
          </cell>
          <cell r="M47">
            <v>1</v>
          </cell>
          <cell r="N47">
            <v>1</v>
          </cell>
          <cell r="O47">
            <v>46111</v>
          </cell>
        </row>
        <row r="48">
          <cell r="A48" t="str">
            <v>EF0126</v>
          </cell>
          <cell r="E48">
            <v>60231.6</v>
          </cell>
          <cell r="I48">
            <v>46006</v>
          </cell>
          <cell r="J48">
            <v>46160</v>
          </cell>
          <cell r="M48">
            <v>0.93846153846153846</v>
          </cell>
          <cell r="N48">
            <v>1</v>
          </cell>
          <cell r="O48">
            <v>46327</v>
          </cell>
        </row>
        <row r="49">
          <cell r="A49" t="str">
            <v>EF0626</v>
          </cell>
          <cell r="E49">
            <v>61965.48</v>
          </cell>
          <cell r="I49">
            <v>46054</v>
          </cell>
          <cell r="J49">
            <v>46142</v>
          </cell>
          <cell r="M49">
            <v>0.93846153846153846</v>
          </cell>
          <cell r="N49">
            <v>1</v>
          </cell>
          <cell r="O49">
            <v>46143</v>
          </cell>
        </row>
        <row r="50">
          <cell r="A50" t="str">
            <v>EF0726</v>
          </cell>
          <cell r="E50">
            <v>30000</v>
          </cell>
          <cell r="I50"/>
          <cell r="J50"/>
          <cell r="M50">
            <v>0</v>
          </cell>
          <cell r="N50"/>
          <cell r="O50"/>
        </row>
        <row r="51">
          <cell r="A51" t="str">
            <v>EF0826</v>
          </cell>
          <cell r="E51">
            <v>30000</v>
          </cell>
          <cell r="I51"/>
          <cell r="J51"/>
          <cell r="M51">
            <v>0</v>
          </cell>
          <cell r="N51"/>
          <cell r="O51"/>
        </row>
        <row r="52">
          <cell r="A52" t="str">
            <v>LJ0225</v>
          </cell>
          <cell r="E52">
            <v>3256202</v>
          </cell>
          <cell r="I52">
            <v>45926</v>
          </cell>
          <cell r="J52">
            <v>46132</v>
          </cell>
          <cell r="M52">
            <v>1</v>
          </cell>
          <cell r="N52">
            <v>1</v>
          </cell>
          <cell r="O52">
            <v>46174</v>
          </cell>
        </row>
        <row r="53">
          <cell r="A53" t="str">
            <v>LJ0226</v>
          </cell>
          <cell r="E53">
            <v>364573</v>
          </cell>
          <cell r="I53">
            <v>46143</v>
          </cell>
          <cell r="J53">
            <v>46376</v>
          </cell>
          <cell r="M53">
            <v>0.39191919191919189</v>
          </cell>
          <cell r="N53">
            <v>0.39679999999999999</v>
          </cell>
          <cell r="O53">
            <v>46366</v>
          </cell>
        </row>
        <row r="54">
          <cell r="A54" t="str">
            <v>LJ0126</v>
          </cell>
          <cell r="E54">
            <v>51864.28</v>
          </cell>
          <cell r="I54">
            <v>45659</v>
          </cell>
          <cell r="J54">
            <v>45769</v>
          </cell>
          <cell r="M54">
            <v>1</v>
          </cell>
          <cell r="N54">
            <v>1</v>
          </cell>
          <cell r="O54">
            <v>46066</v>
          </cell>
        </row>
        <row r="55">
          <cell r="A55" t="str">
            <v>CR0125</v>
          </cell>
          <cell r="E55">
            <v>2674685</v>
          </cell>
          <cell r="I55">
            <v>45905</v>
          </cell>
          <cell r="J55">
            <v>45947</v>
          </cell>
          <cell r="M55">
            <v>1</v>
          </cell>
          <cell r="N55">
            <v>1</v>
          </cell>
          <cell r="O55">
            <v>46023</v>
          </cell>
        </row>
        <row r="56">
          <cell r="A56" t="str">
            <v>LJ0926</v>
          </cell>
          <cell r="E56">
            <v>572763</v>
          </cell>
          <cell r="I56">
            <v>46174</v>
          </cell>
          <cell r="J56">
            <v>46185</v>
          </cell>
          <cell r="M56">
            <v>1</v>
          </cell>
          <cell r="N56">
            <v>1</v>
          </cell>
          <cell r="O56">
            <v>46174</v>
          </cell>
        </row>
        <row r="57">
          <cell r="A57" t="str">
            <v>LJ0726</v>
          </cell>
          <cell r="E57">
            <v>214329</v>
          </cell>
          <cell r="I57">
            <v>46083</v>
          </cell>
          <cell r="J57">
            <v>46127</v>
          </cell>
          <cell r="M57">
            <v>1</v>
          </cell>
          <cell r="N57">
            <v>1</v>
          </cell>
          <cell r="O57">
            <v>46113</v>
          </cell>
        </row>
        <row r="58">
          <cell r="A58" t="str">
            <v>LJ0426</v>
          </cell>
          <cell r="E58">
            <v>130308</v>
          </cell>
          <cell r="I58">
            <v>45599</v>
          </cell>
          <cell r="J58">
            <v>46315</v>
          </cell>
          <cell r="M58">
            <v>0.93831168831168832</v>
          </cell>
          <cell r="N58">
            <v>0.99090909090909096</v>
          </cell>
          <cell r="O58">
            <v>46235</v>
          </cell>
        </row>
        <row r="59">
          <cell r="A59" t="str">
            <v>LJ0526</v>
          </cell>
          <cell r="E59">
            <v>480465</v>
          </cell>
          <cell r="I59">
            <v>45595</v>
          </cell>
          <cell r="J59">
            <v>46134</v>
          </cell>
          <cell r="M59">
            <v>1</v>
          </cell>
          <cell r="N59">
            <v>1</v>
          </cell>
          <cell r="O59" t="str">
            <v>-</v>
          </cell>
        </row>
        <row r="60">
          <cell r="A60" t="str">
            <v>LJ0826</v>
          </cell>
          <cell r="E60">
            <v>226617</v>
          </cell>
          <cell r="I60">
            <v>46195</v>
          </cell>
          <cell r="J60">
            <v>46366</v>
          </cell>
          <cell r="M60">
            <v>0.60441441441441435</v>
          </cell>
          <cell r="N60">
            <v>0.61</v>
          </cell>
          <cell r="O60">
            <v>46366</v>
          </cell>
        </row>
        <row r="61">
          <cell r="A61" t="str">
            <v>TS0325</v>
          </cell>
          <cell r="E61">
            <v>450000</v>
          </cell>
          <cell r="I61">
            <v>45853</v>
          </cell>
          <cell r="J61">
            <v>45989</v>
          </cell>
          <cell r="M61">
            <v>1</v>
          </cell>
          <cell r="N61">
            <v>1</v>
          </cell>
          <cell r="O61" t="str">
            <v>-</v>
          </cell>
        </row>
        <row r="62">
          <cell r="A62" t="str">
            <v>TS0126</v>
          </cell>
          <cell r="E62">
            <v>794810</v>
          </cell>
          <cell r="I62">
            <v>46097</v>
          </cell>
          <cell r="J62">
            <v>46311</v>
          </cell>
          <cell r="M62">
            <v>0.48192771084337349</v>
          </cell>
          <cell r="N62">
            <v>0.53500000000000003</v>
          </cell>
          <cell r="O62">
            <v>46311</v>
          </cell>
        </row>
        <row r="63">
          <cell r="A63" t="str">
            <v>TS0226</v>
          </cell>
          <cell r="E63">
            <v>99600</v>
          </cell>
          <cell r="I63">
            <v>46125</v>
          </cell>
          <cell r="J63">
            <v>46222</v>
          </cell>
          <cell r="M63">
            <v>1</v>
          </cell>
          <cell r="N63">
            <v>1</v>
          </cell>
          <cell r="O63">
            <v>46174</v>
          </cell>
        </row>
        <row r="64">
          <cell r="A64" t="str">
            <v>TS0326</v>
          </cell>
          <cell r="E64">
            <v>408000</v>
          </cell>
          <cell r="I64">
            <v>46160</v>
          </cell>
          <cell r="J64">
            <v>46225</v>
          </cell>
          <cell r="M64">
            <v>1</v>
          </cell>
          <cell r="N64">
            <v>1</v>
          </cell>
          <cell r="O64">
            <v>46357</v>
          </cell>
        </row>
        <row r="65">
          <cell r="A65" t="str">
            <v>TS0426</v>
          </cell>
          <cell r="E65">
            <v>96000</v>
          </cell>
          <cell r="I65">
            <v>46136</v>
          </cell>
          <cell r="J65">
            <v>46213</v>
          </cell>
          <cell r="M65">
            <v>1</v>
          </cell>
          <cell r="N65">
            <v>1</v>
          </cell>
          <cell r="O65">
            <v>46237</v>
          </cell>
        </row>
        <row r="66">
          <cell r="A66" t="str">
            <v>VH0525</v>
          </cell>
          <cell r="E66">
            <v>0</v>
          </cell>
          <cell r="I66">
            <v>45810</v>
          </cell>
          <cell r="J66">
            <v>46111</v>
          </cell>
          <cell r="M66">
            <v>0.92592592592592593</v>
          </cell>
          <cell r="N66">
            <v>0.92571428571428582</v>
          </cell>
          <cell r="O66">
            <v>46113</v>
          </cell>
        </row>
        <row r="67">
          <cell r="A67" t="str">
            <v>VH1225</v>
          </cell>
          <cell r="E67">
            <v>0</v>
          </cell>
          <cell r="I67">
            <v>45852</v>
          </cell>
          <cell r="J67">
            <v>46285</v>
          </cell>
          <cell r="M67">
            <v>8.3333333333333329E-2</v>
          </cell>
          <cell r="N67">
            <v>9.9999999999999992E-2</v>
          </cell>
          <cell r="O67" t="str">
            <v>-</v>
          </cell>
        </row>
        <row r="68">
          <cell r="A68" t="str">
            <v>VH0825</v>
          </cell>
          <cell r="E68">
            <v>0</v>
          </cell>
          <cell r="I68">
            <v>45748</v>
          </cell>
          <cell r="J68">
            <v>46263</v>
          </cell>
          <cell r="M68">
            <v>0.66666666666666663</v>
          </cell>
          <cell r="N68">
            <v>0.75</v>
          </cell>
          <cell r="O68" t="str">
            <v>-</v>
          </cell>
        </row>
        <row r="69">
          <cell r="A69" t="str">
            <v>VH1325</v>
          </cell>
          <cell r="E69">
            <v>500000</v>
          </cell>
          <cell r="I69">
            <v>45855</v>
          </cell>
          <cell r="J69">
            <v>46099</v>
          </cell>
          <cell r="M69">
            <v>1</v>
          </cell>
          <cell r="N69">
            <v>1</v>
          </cell>
          <cell r="O69">
            <v>46447</v>
          </cell>
        </row>
        <row r="70">
          <cell r="A70" t="str">
            <v>VH0125</v>
          </cell>
          <cell r="E70">
            <v>317391</v>
          </cell>
          <cell r="I70">
            <v>45810</v>
          </cell>
          <cell r="J70">
            <v>45933</v>
          </cell>
          <cell r="M70">
            <v>1</v>
          </cell>
          <cell r="N70">
            <v>1</v>
          </cell>
          <cell r="O70">
            <v>46082</v>
          </cell>
        </row>
        <row r="71">
          <cell r="A71" t="str">
            <v>VH1425</v>
          </cell>
          <cell r="E71">
            <v>200000</v>
          </cell>
          <cell r="I71">
            <v>45859</v>
          </cell>
          <cell r="J71">
            <v>45933</v>
          </cell>
          <cell r="M71">
            <v>0.55555555555555558</v>
          </cell>
          <cell r="N71">
            <v>0.55500000000000005</v>
          </cell>
          <cell r="O71">
            <v>46023</v>
          </cell>
        </row>
        <row r="72">
          <cell r="A72" t="str">
            <v>VH0126</v>
          </cell>
          <cell r="E72">
            <v>0</v>
          </cell>
          <cell r="I72">
            <v>46077</v>
          </cell>
          <cell r="J72">
            <v>46094</v>
          </cell>
          <cell r="M72">
            <v>0.5</v>
          </cell>
          <cell r="N72">
            <v>0.67500000000000004</v>
          </cell>
          <cell r="O72">
            <v>46296</v>
          </cell>
        </row>
        <row r="73">
          <cell r="A73" t="str">
            <v>VH0226</v>
          </cell>
          <cell r="E73">
            <v>0</v>
          </cell>
          <cell r="I73">
            <v>46087</v>
          </cell>
          <cell r="J73">
            <v>45933</v>
          </cell>
          <cell r="M73">
            <v>0.33333333333333331</v>
          </cell>
          <cell r="N73">
            <v>0.33333333333333331</v>
          </cell>
          <cell r="O73">
            <v>46266</v>
          </cell>
        </row>
        <row r="74">
          <cell r="A74"/>
          <cell r="E74"/>
          <cell r="I74"/>
          <cell r="J74"/>
          <cell r="M74"/>
          <cell r="N74"/>
          <cell r="O74"/>
        </row>
        <row r="75">
          <cell r="A75"/>
          <cell r="E75"/>
          <cell r="I75"/>
          <cell r="J75"/>
          <cell r="O75"/>
        </row>
        <row r="76">
          <cell r="A76"/>
          <cell r="E76"/>
          <cell r="I76"/>
          <cell r="J76"/>
          <cell r="O76"/>
        </row>
        <row r="77">
          <cell r="A77"/>
          <cell r="E77"/>
          <cell r="I77"/>
          <cell r="J77"/>
          <cell r="O77"/>
        </row>
        <row r="78">
          <cell r="A78"/>
          <cell r="E78"/>
          <cell r="I78"/>
          <cell r="J78"/>
          <cell r="O78"/>
        </row>
        <row r="79">
          <cell r="A79"/>
          <cell r="E79"/>
          <cell r="I79"/>
          <cell r="J79"/>
          <cell r="O79"/>
        </row>
        <row r="80">
          <cell r="A80"/>
          <cell r="E80"/>
          <cell r="I80"/>
          <cell r="J80"/>
          <cell r="O80"/>
        </row>
        <row r="81">
          <cell r="A81"/>
          <cell r="E81"/>
          <cell r="I81"/>
          <cell r="J81"/>
          <cell r="O81"/>
        </row>
        <row r="82">
          <cell r="A82"/>
          <cell r="I82"/>
          <cell r="J82"/>
          <cell r="O82"/>
        </row>
        <row r="83">
          <cell r="A83"/>
          <cell r="E83"/>
          <cell r="I83"/>
          <cell r="J83"/>
          <cell r="O83"/>
        </row>
        <row r="84">
          <cell r="A84"/>
          <cell r="E84"/>
          <cell r="I84"/>
          <cell r="J84"/>
          <cell r="O84"/>
        </row>
      </sheetData>
      <sheetData sheetId="1"/>
      <sheetData sheetId="2"/>
      <sheetData sheetId="3"/>
      <sheetData sheetId="4"/>
      <sheetData sheetId="5"/>
      <sheetData sheetId="6">
        <row r="1">
          <cell r="A1"/>
          <cell r="J1"/>
        </row>
        <row r="2">
          <cell r="A2"/>
          <cell r="J2"/>
        </row>
        <row r="3">
          <cell r="A3" t="str">
            <v>PROJETO</v>
          </cell>
          <cell r="J3" t="str">
            <v>Prazo Fechamento Projeto</v>
          </cell>
        </row>
        <row r="4">
          <cell r="A4" t="str">
            <v>LJ0225</v>
          </cell>
          <cell r="J4">
            <v>46132</v>
          </cell>
        </row>
        <row r="5">
          <cell r="A5" t="str">
            <v>LJ0226</v>
          </cell>
          <cell r="J5">
            <v>46376</v>
          </cell>
        </row>
        <row r="6">
          <cell r="A6" t="str">
            <v>LJ0126</v>
          </cell>
          <cell r="J6">
            <v>45769</v>
          </cell>
        </row>
        <row r="7">
          <cell r="A7" t="str">
            <v>CR0125</v>
          </cell>
          <cell r="J7">
            <v>45947</v>
          </cell>
        </row>
        <row r="8">
          <cell r="A8" t="str">
            <v>LJ0926</v>
          </cell>
          <cell r="J8">
            <v>46185</v>
          </cell>
        </row>
        <row r="9">
          <cell r="A9" t="str">
            <v>LJ0726</v>
          </cell>
          <cell r="J9">
            <v>46127</v>
          </cell>
        </row>
        <row r="10">
          <cell r="A10" t="str">
            <v>LJ0426</v>
          </cell>
          <cell r="J10">
            <v>46315</v>
          </cell>
        </row>
        <row r="11">
          <cell r="A11" t="str">
            <v>LJ0526</v>
          </cell>
          <cell r="J11">
            <v>46134</v>
          </cell>
        </row>
        <row r="12">
          <cell r="A12" t="str">
            <v>LJ0826</v>
          </cell>
          <cell r="J12">
            <v>46366</v>
          </cell>
        </row>
        <row r="13">
          <cell r="A13"/>
          <cell r="J13"/>
        </row>
        <row r="14">
          <cell r="A14"/>
          <cell r="J14"/>
        </row>
        <row r="15">
          <cell r="A15"/>
          <cell r="J15"/>
        </row>
        <row r="16">
          <cell r="A16"/>
          <cell r="J16"/>
        </row>
        <row r="17">
          <cell r="A17"/>
          <cell r="J17"/>
        </row>
        <row r="18">
          <cell r="A18"/>
          <cell r="J18"/>
        </row>
        <row r="19">
          <cell r="A19"/>
          <cell r="J19"/>
        </row>
        <row r="20">
          <cell r="A20"/>
          <cell r="J20"/>
        </row>
        <row r="21">
          <cell r="A21"/>
          <cell r="J21"/>
        </row>
        <row r="22">
          <cell r="A22"/>
          <cell r="J22"/>
        </row>
        <row r="23">
          <cell r="A23"/>
          <cell r="J23"/>
        </row>
      </sheetData>
      <sheetData sheetId="7"/>
      <sheetData sheetId="8"/>
      <sheetData sheetId="9">
        <row r="1">
          <cell r="A1"/>
          <cell r="I1"/>
          <cell r="M1"/>
          <cell r="N1"/>
        </row>
        <row r="2">
          <cell r="A2"/>
          <cell r="I2"/>
          <cell r="M2"/>
          <cell r="N2"/>
        </row>
        <row r="3">
          <cell r="A3" t="str">
            <v>PROJETO</v>
          </cell>
          <cell r="I3" t="str">
            <v>Prazo Início Projeto</v>
          </cell>
          <cell r="M3" t="str">
            <v>Progresso previsto (%)</v>
          </cell>
          <cell r="N3" t="str">
            <v>Progresso realizado (%)</v>
          </cell>
        </row>
        <row r="4">
          <cell r="A4" t="str">
            <v>TS0225</v>
          </cell>
          <cell r="I4">
            <v>45833</v>
          </cell>
          <cell r="M4">
            <v>1</v>
          </cell>
          <cell r="N4">
            <v>1</v>
          </cell>
        </row>
        <row r="5">
          <cell r="A5" t="str">
            <v>DN0125</v>
          </cell>
          <cell r="I5">
            <v>45792</v>
          </cell>
          <cell r="M5" t="e">
            <v>#REF!</v>
          </cell>
          <cell r="N5" t="e">
            <v>#REF!</v>
          </cell>
        </row>
        <row r="6">
          <cell r="A6" t="str">
            <v>JE0525</v>
          </cell>
          <cell r="I6">
            <v>45748</v>
          </cell>
          <cell r="M6">
            <v>1</v>
          </cell>
          <cell r="N6">
            <v>1</v>
          </cell>
        </row>
        <row r="7">
          <cell r="A7" t="str">
            <v>VH0925</v>
          </cell>
          <cell r="I7">
            <v>45813</v>
          </cell>
          <cell r="M7">
            <v>1</v>
          </cell>
          <cell r="N7">
            <v>1</v>
          </cell>
        </row>
        <row r="8">
          <cell r="A8" t="str">
            <v>EM0125</v>
          </cell>
          <cell r="I8">
            <v>45758</v>
          </cell>
          <cell r="M8">
            <v>0.50769230769230766</v>
          </cell>
          <cell r="N8">
            <v>0.46153846153846156</v>
          </cell>
        </row>
        <row r="9">
          <cell r="A9" t="str">
            <v>TS0125</v>
          </cell>
          <cell r="I9">
            <v>45779</v>
          </cell>
          <cell r="M9">
            <v>1</v>
          </cell>
          <cell r="N9">
            <v>1</v>
          </cell>
        </row>
        <row r="10">
          <cell r="A10" t="str">
            <v>VH1625</v>
          </cell>
          <cell r="I10">
            <v>45880</v>
          </cell>
          <cell r="M10">
            <v>1</v>
          </cell>
          <cell r="N10">
            <v>1</v>
          </cell>
        </row>
        <row r="11">
          <cell r="A11" t="str">
            <v>VH1725</v>
          </cell>
          <cell r="I11">
            <v>45880</v>
          </cell>
          <cell r="M11" t="str">
            <v>elo</v>
          </cell>
          <cell r="N11">
            <v>1</v>
          </cell>
        </row>
        <row r="12">
          <cell r="A12" t="str">
            <v>JE1025</v>
          </cell>
          <cell r="I12">
            <v>45968</v>
          </cell>
          <cell r="M12">
            <v>1</v>
          </cell>
          <cell r="N12">
            <v>1</v>
          </cell>
        </row>
        <row r="13">
          <cell r="A13" t="str">
            <v>VH1525</v>
          </cell>
          <cell r="I13">
            <v>45847</v>
          </cell>
          <cell r="M13">
            <v>1</v>
          </cell>
          <cell r="N13">
            <v>1</v>
          </cell>
        </row>
        <row r="14">
          <cell r="A14" t="str">
            <v>DN1025</v>
          </cell>
          <cell r="I14">
            <v>45915</v>
          </cell>
          <cell r="M14">
            <v>0.90909090909090906</v>
          </cell>
          <cell r="N14">
            <v>1</v>
          </cell>
        </row>
        <row r="15">
          <cell r="A15" t="str">
            <v>VH0225</v>
          </cell>
          <cell r="I15">
            <v>45741</v>
          </cell>
          <cell r="M15">
            <v>1</v>
          </cell>
          <cell r="N15">
            <v>1</v>
          </cell>
        </row>
        <row r="16">
          <cell r="A16" t="str">
            <v>LJ0125</v>
          </cell>
          <cell r="I16">
            <v>45659</v>
          </cell>
          <cell r="M16">
            <v>1</v>
          </cell>
          <cell r="N16">
            <v>1</v>
          </cell>
        </row>
        <row r="17">
          <cell r="A17" t="str">
            <v>DN0225</v>
          </cell>
          <cell r="I17">
            <v>45852</v>
          </cell>
          <cell r="M17">
            <v>1</v>
          </cell>
          <cell r="N17">
            <v>1</v>
          </cell>
        </row>
        <row r="18">
          <cell r="A18" t="str">
            <v>EF0125</v>
          </cell>
          <cell r="I18">
            <v>45817</v>
          </cell>
          <cell r="M18">
            <v>1</v>
          </cell>
          <cell r="N18">
            <v>1</v>
          </cell>
        </row>
        <row r="19">
          <cell r="A19" t="str">
            <v>JE0325</v>
          </cell>
          <cell r="I19">
            <v>45757</v>
          </cell>
          <cell r="M19">
            <v>1</v>
          </cell>
          <cell r="N19">
            <v>1</v>
          </cell>
        </row>
        <row r="20">
          <cell r="A20" t="str">
            <v>DN0325</v>
          </cell>
          <cell r="I20">
            <v>45839</v>
          </cell>
          <cell r="M20">
            <v>1</v>
          </cell>
          <cell r="N20">
            <v>1</v>
          </cell>
        </row>
        <row r="21">
          <cell r="A21" t="str">
            <v>EF0225</v>
          </cell>
          <cell r="I21">
            <v>45748</v>
          </cell>
          <cell r="M21">
            <v>1</v>
          </cell>
          <cell r="N21">
            <v>1</v>
          </cell>
        </row>
        <row r="22">
          <cell r="A22" t="str">
            <v>JE0225</v>
          </cell>
          <cell r="I22">
            <v>45763</v>
          </cell>
          <cell r="M22">
            <v>1</v>
          </cell>
          <cell r="N22">
            <v>1</v>
          </cell>
        </row>
        <row r="23">
          <cell r="A23" t="str">
            <v>VH0725</v>
          </cell>
          <cell r="I23">
            <v>45748</v>
          </cell>
          <cell r="M23">
            <v>1</v>
          </cell>
          <cell r="N23">
            <v>1</v>
          </cell>
        </row>
        <row r="24">
          <cell r="A24" t="str">
            <v>VH0625</v>
          </cell>
          <cell r="I24">
            <v>45659</v>
          </cell>
          <cell r="M24">
            <v>1</v>
          </cell>
          <cell r="N24">
            <v>1</v>
          </cell>
        </row>
        <row r="25">
          <cell r="A25" t="str">
            <v>VH0325</v>
          </cell>
          <cell r="I25">
            <v>45810</v>
          </cell>
          <cell r="M25">
            <v>0.8</v>
          </cell>
          <cell r="N25">
            <v>0.72499999999999998</v>
          </cell>
        </row>
        <row r="26">
          <cell r="A26" t="str">
            <v>VH0425</v>
          </cell>
          <cell r="I26">
            <v>45810</v>
          </cell>
          <cell r="M26">
            <v>0.83333333333333337</v>
          </cell>
          <cell r="N26">
            <v>0.77124999999999999</v>
          </cell>
        </row>
        <row r="27">
          <cell r="A27"/>
          <cell r="I27"/>
          <cell r="M27"/>
          <cell r="N27"/>
        </row>
        <row r="28">
          <cell r="A28"/>
          <cell r="I28"/>
          <cell r="M28"/>
          <cell r="N28"/>
        </row>
        <row r="29">
          <cell r="A29"/>
          <cell r="I29"/>
          <cell r="M29"/>
          <cell r="N29"/>
        </row>
        <row r="30">
          <cell r="A30"/>
          <cell r="I30"/>
          <cell r="M30"/>
          <cell r="N30"/>
        </row>
        <row r="31">
          <cell r="A31"/>
          <cell r="I31"/>
          <cell r="M31"/>
          <cell r="N31"/>
        </row>
        <row r="32">
          <cell r="A32"/>
          <cell r="I32"/>
          <cell r="M32"/>
          <cell r="N32"/>
        </row>
        <row r="33">
          <cell r="A33"/>
          <cell r="I33"/>
          <cell r="M33"/>
          <cell r="N33"/>
        </row>
        <row r="34">
          <cell r="A34"/>
          <cell r="I34"/>
          <cell r="M34"/>
          <cell r="N34"/>
        </row>
        <row r="35">
          <cell r="A35"/>
          <cell r="I35"/>
          <cell r="M35"/>
          <cell r="N35"/>
        </row>
        <row r="36">
          <cell r="A36"/>
          <cell r="I36"/>
          <cell r="M36"/>
          <cell r="N36"/>
        </row>
        <row r="37">
          <cell r="A37"/>
          <cell r="I37"/>
          <cell r="M37"/>
          <cell r="N37"/>
        </row>
        <row r="38">
          <cell r="A38"/>
          <cell r="I38"/>
          <cell r="M38"/>
          <cell r="N38"/>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lhamento"/>
      <sheetName val="Aline"/>
      <sheetName val="Diogo"/>
      <sheetName val="Eraldo"/>
      <sheetName val="Jean"/>
      <sheetName val="Elenice"/>
      <sheetName val="Lucas"/>
      <sheetName val="Thiago"/>
      <sheetName val="Vitor"/>
      <sheetName val="CONCLUIDO E IMPLANTADO-CANCELAD"/>
    </sheetNames>
    <sheetDataSet>
      <sheetData sheetId="0" refreshError="1">
        <row r="3">
          <cell r="A3" t="str">
            <v>PROJETO</v>
          </cell>
          <cell r="O3" t="str">
            <v>Início da Implementação de Redução</v>
          </cell>
        </row>
        <row r="4">
          <cell r="A4" t="str">
            <v>AG0125</v>
          </cell>
          <cell r="O4" t="str">
            <v>-</v>
          </cell>
        </row>
        <row r="5">
          <cell r="A5" t="str">
            <v>AG0225</v>
          </cell>
          <cell r="O5">
            <v>46113</v>
          </cell>
        </row>
        <row r="6">
          <cell r="A6" t="str">
            <v>EF0325</v>
          </cell>
          <cell r="O6">
            <v>46157</v>
          </cell>
        </row>
        <row r="7">
          <cell r="A7" t="str">
            <v>JE0625</v>
          </cell>
          <cell r="O7">
            <v>46569</v>
          </cell>
        </row>
        <row r="8">
          <cell r="A8" t="str">
            <v>JE0226</v>
          </cell>
          <cell r="O8">
            <v>46235</v>
          </cell>
        </row>
        <row r="9">
          <cell r="A9" t="str">
            <v>JE0426</v>
          </cell>
          <cell r="O9">
            <v>46568</v>
          </cell>
        </row>
        <row r="10">
          <cell r="A10" t="str">
            <v>LJ0225</v>
          </cell>
          <cell r="O10">
            <v>46174</v>
          </cell>
        </row>
        <row r="11">
          <cell r="A11" t="str">
            <v>EF0326</v>
          </cell>
          <cell r="O11">
            <v>46569</v>
          </cell>
        </row>
        <row r="12">
          <cell r="A12" t="str">
            <v>JE0425</v>
          </cell>
          <cell r="O12">
            <v>46204</v>
          </cell>
        </row>
        <row r="13">
          <cell r="A13" t="str">
            <v>TS0325</v>
          </cell>
          <cell r="O13" t="str">
            <v>-</v>
          </cell>
        </row>
        <row r="14">
          <cell r="A14" t="str">
            <v>TS0126</v>
          </cell>
          <cell r="O14">
            <v>46311</v>
          </cell>
        </row>
        <row r="15">
          <cell r="A15" t="str">
            <v>TS0226</v>
          </cell>
          <cell r="O15">
            <v>46174</v>
          </cell>
        </row>
        <row r="16">
          <cell r="A16" t="str">
            <v>JE0825</v>
          </cell>
          <cell r="O16">
            <v>46174</v>
          </cell>
        </row>
        <row r="17">
          <cell r="A17" t="str">
            <v>EF0426</v>
          </cell>
          <cell r="O17">
            <v>46357</v>
          </cell>
        </row>
        <row r="18">
          <cell r="A18" t="str">
            <v>JE0125</v>
          </cell>
          <cell r="O18">
            <v>46113</v>
          </cell>
        </row>
        <row r="19">
          <cell r="A19" t="str">
            <v>JE0126</v>
          </cell>
          <cell r="O19">
            <v>46204</v>
          </cell>
        </row>
        <row r="20">
          <cell r="A20" t="str">
            <v>JE0326</v>
          </cell>
          <cell r="O20">
            <v>46071</v>
          </cell>
        </row>
        <row r="21">
          <cell r="A21" t="str">
            <v>JE0325</v>
          </cell>
          <cell r="O21">
            <v>46071</v>
          </cell>
        </row>
        <row r="22">
          <cell r="A22" t="str">
            <v>EF0226</v>
          </cell>
          <cell r="O22">
            <v>46174</v>
          </cell>
        </row>
        <row r="23">
          <cell r="A23" t="str">
            <v>EF0526</v>
          </cell>
          <cell r="O23">
            <v>46111</v>
          </cell>
        </row>
        <row r="24">
          <cell r="A24" t="str">
            <v>EF0126</v>
          </cell>
          <cell r="O24">
            <v>46174</v>
          </cell>
        </row>
        <row r="25">
          <cell r="A25" t="str">
            <v>EF0626</v>
          </cell>
          <cell r="O25">
            <v>46143</v>
          </cell>
        </row>
        <row r="26">
          <cell r="A26" t="str">
            <v>JE0925</v>
          </cell>
          <cell r="O26">
            <v>46113</v>
          </cell>
        </row>
        <row r="27">
          <cell r="A27" t="str">
            <v>ES0126</v>
          </cell>
          <cell r="O27">
            <v>46038</v>
          </cell>
        </row>
        <row r="28">
          <cell r="A28" t="str">
            <v>JE1225</v>
          </cell>
          <cell r="O28">
            <v>46082</v>
          </cell>
        </row>
        <row r="29">
          <cell r="A29" t="str">
            <v>JE0526</v>
          </cell>
          <cell r="O29">
            <v>46098</v>
          </cell>
        </row>
        <row r="30">
          <cell r="A30" t="str">
            <v>JE1125</v>
          </cell>
          <cell r="O30">
            <v>46082</v>
          </cell>
        </row>
        <row r="31">
          <cell r="A31" t="str">
            <v>LJ0126</v>
          </cell>
          <cell r="O31">
            <v>46066</v>
          </cell>
        </row>
        <row r="32">
          <cell r="A32" t="str">
            <v>ES0125</v>
          </cell>
          <cell r="O32" t="str">
            <v>-</v>
          </cell>
        </row>
        <row r="33">
          <cell r="A33" t="str">
            <v>ES0226</v>
          </cell>
          <cell r="O33" t="str">
            <v>-</v>
          </cell>
        </row>
        <row r="34">
          <cell r="A34" t="str">
            <v>ES0326</v>
          </cell>
          <cell r="O34" t="str">
            <v>-</v>
          </cell>
        </row>
        <row r="35">
          <cell r="A35" t="str">
            <v>ES0426</v>
          </cell>
          <cell r="O35" t="str">
            <v>-</v>
          </cell>
        </row>
        <row r="36">
          <cell r="A36" t="str">
            <v>ES0225</v>
          </cell>
          <cell r="O36" t="str">
            <v>-</v>
          </cell>
        </row>
        <row r="37">
          <cell r="A37" t="str">
            <v>LJ0226</v>
          </cell>
          <cell r="O37">
            <v>46204</v>
          </cell>
        </row>
        <row r="38">
          <cell r="A38" t="str">
            <v>LJ0726</v>
          </cell>
          <cell r="O38">
            <v>46113</v>
          </cell>
        </row>
        <row r="39">
          <cell r="A39" t="str">
            <v>CR0125</v>
          </cell>
          <cell r="O39">
            <v>45992</v>
          </cell>
        </row>
        <row r="40">
          <cell r="A40" t="str">
            <v>JE0626</v>
          </cell>
          <cell r="O40">
            <v>46266</v>
          </cell>
        </row>
        <row r="41">
          <cell r="A41" t="str">
            <v>JE0725</v>
          </cell>
          <cell r="O41">
            <v>46082</v>
          </cell>
        </row>
        <row r="42">
          <cell r="A42" t="str">
            <v>ES0126</v>
          </cell>
          <cell r="O42">
            <v>46038</v>
          </cell>
        </row>
        <row r="43">
          <cell r="A43" t="str">
            <v>VH0525</v>
          </cell>
          <cell r="O43">
            <v>46113</v>
          </cell>
        </row>
        <row r="44">
          <cell r="A44" t="str">
            <v>VH1225</v>
          </cell>
          <cell r="O44" t="str">
            <v>-</v>
          </cell>
        </row>
        <row r="45">
          <cell r="A45" t="str">
            <v>VH0825</v>
          </cell>
          <cell r="O45" t="str">
            <v>-</v>
          </cell>
        </row>
        <row r="46">
          <cell r="A46" t="str">
            <v>VH1325</v>
          </cell>
          <cell r="O46">
            <v>46327</v>
          </cell>
        </row>
        <row r="47">
          <cell r="A47" t="str">
            <v>VH0125</v>
          </cell>
          <cell r="O47">
            <v>46082</v>
          </cell>
        </row>
        <row r="48">
          <cell r="A48" t="str">
            <v>VH1425</v>
          </cell>
          <cell r="O48">
            <v>45931</v>
          </cell>
        </row>
        <row r="49">
          <cell r="A49" t="str">
            <v>VH0126</v>
          </cell>
          <cell r="O49">
            <v>46296</v>
          </cell>
        </row>
        <row r="50">
          <cell r="A50" t="str">
            <v>VH0226</v>
          </cell>
          <cell r="O50">
            <v>46266</v>
          </cell>
        </row>
        <row r="51">
          <cell r="A51" t="str">
            <v>DN0825</v>
          </cell>
          <cell r="O51">
            <v>46222</v>
          </cell>
        </row>
        <row r="52">
          <cell r="A52" t="str">
            <v>DN1525</v>
          </cell>
          <cell r="O52">
            <v>46097</v>
          </cell>
        </row>
        <row r="53">
          <cell r="A53" t="str">
            <v>DN0625</v>
          </cell>
          <cell r="O53">
            <v>46366</v>
          </cell>
        </row>
        <row r="54">
          <cell r="A54" t="str">
            <v>DN1125</v>
          </cell>
          <cell r="O54">
            <v>46300</v>
          </cell>
        </row>
        <row r="55">
          <cell r="A55" t="str">
            <v>DN0126</v>
          </cell>
          <cell r="O55">
            <v>46279</v>
          </cell>
        </row>
        <row r="56">
          <cell r="A56" t="str">
            <v>DN1325</v>
          </cell>
          <cell r="O56">
            <v>46249</v>
          </cell>
        </row>
        <row r="57">
          <cell r="A57" t="str">
            <v>DN0226</v>
          </cell>
          <cell r="O57">
            <v>46293</v>
          </cell>
        </row>
        <row r="58">
          <cell r="A58" t="str">
            <v>DN0425</v>
          </cell>
          <cell r="O58">
            <v>46072</v>
          </cell>
        </row>
        <row r="59">
          <cell r="A59" t="str">
            <v>DN0426</v>
          </cell>
          <cell r="O59">
            <v>46101</v>
          </cell>
        </row>
        <row r="60">
          <cell r="A60" t="str">
            <v>DN0526</v>
          </cell>
          <cell r="O60">
            <v>46204</v>
          </cell>
        </row>
        <row r="61">
          <cell r="A61" t="str">
            <v>DN0726</v>
          </cell>
          <cell r="O61">
            <v>46148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FD2542D2-7575-431D-B985-7BA70D2330DF}">
    <nsvFilter filterId="{0EA77265-C537-4C9F-8E83-DFC36F6B4475}" ref="A54:AP430" tableId="0">
      <columnFilter colId="12">
        <dxf>
          <x:fill>
            <x:patternFill patternType="solid">
              <x:fgColor rgb="FFFDE9D9"/>
              <x:bgColor rgb="FF000000"/>
            </x:patternFill>
          </x:fill>
        </dxf>
        <filter colId="12">
          <x:colorFilter/>
        </filter>
      </columnFilter>
    </nsvFilter>
  </namedSheetView>
</namedSheetViews>
</file>

<file path=xl/persons/person.xml><?xml version="1.0" encoding="utf-8"?>
<personList xmlns="http://schemas.microsoft.com/office/spreadsheetml/2018/threadedcomments" xmlns:x="http://schemas.openxmlformats.org/spreadsheetml/2006/main">
  <person displayName="Willian Avigni Matos" id="{CA0B0B80-7BA3-4028-8F29-94811BB8FD1A}" userId="willian.matos@delga.com.br" providerId="PeoplePicker"/>
  <person displayName="Jonathan Henrique Alves" id="{E36B4B42-1313-4E54-98DD-8FD1947BDDB1}" userId="jonathan.alves@delga.com.br" providerId="PeoplePicker"/>
  <person displayName="Carolina Reis Machado Rodrigues" id="{5E7F92EB-E611-4CB7-837B-7F6FB24D7B54}" userId="carolina.rodrigues@delga.com.br" providerId="PeoplePicker"/>
  <person displayName="Elio Pereira da Silva" id="{A45066BC-B1A9-4E1C-B993-A135D85F8452}" userId="S::elio.silva@delga.com.br::608502b1-4344-4205-b281-8a691ef26db0" providerId="AD"/>
  <person displayName="Fabiana Francischetti" id="{25509AAA-B16B-409D-9DD9-209657F3C67F}" userId="S::fabiana.fran@delga.com.br::17295806-1b9f-4bea-92e5-33f9800c4b55" providerId="AD"/>
  <person displayName="Joao Carlos Nogueira Cardoso" id="{26ABD6DC-33C5-4BF6-992B-E447033265A7}" userId="S::joao.cardoso@delga.com.br::f65b71d0-4e05-4247-b4ac-41065453ba2e" providerId="AD"/>
  <person displayName="Alex Sandro Monteiro" id="{E44BF8C3-7CC3-4396-8413-BE93DE6EA7C6}" userId="S::alex.monteiro@delga.com.br::bc1feb9f-05a4-45cb-85d7-347bde3622ae" providerId="AD"/>
  <person displayName="Gabriel Gustavo de Souza" id="{B0A81E74-5926-45BD-873A-6F4BF1F3D8BA}" userId="S::gabriel.souza@delga.com.br::47402248-9ce8-4410-9ba9-3800fbd91df1" providerId="AD"/>
  <person displayName="Rafael Kramer de Oliveira" id="{B3884332-42E3-42D7-B010-11D1DA5057BC}" userId="S::rafael.kramer@delga.com.br::a846276b-e899-416c-b84e-e2619adea2a5" providerId="AD"/>
  <person displayName="Humberto Gonçalves Ramos" id="{9AE354B1-51C3-4B85-92AA-572396B73F50}" userId="S::humberto.ramos@delga.com.br::03b96148-8097-4a76-a11e-4cb578cda700" providerId="AD"/>
  <person displayName="Douglas Bassini" id="{BD1CECAE-92B5-4FFC-9A27-B8FA1D076FE7}" userId="S::douglas.bassini@delga.com.br::76768289-0891-4b12-976f-8d111a772a6c" providerId="AD"/>
  <person displayName="Eduardo Fajardo" id="{1D3CBD94-FF0F-4AB2-803D-9292F3540078}" userId="S::eduardo.fajardo@delga.com.br::8a6a433d-069a-48a2-97b2-970a90aa786e" providerId="AD"/>
  <person displayName="Ingrid Cristina Freitas Ferreira" id="{B365987C-0BE7-4D17-B3CD-A2CA61805CD8}" userId="S::ingrid.ferreira@delga.com.br::3fab6ff5-2867-463a-914d-114e2032a55b" providerId="AD"/>
  <person displayName="Isabele Rodrigues Portela" id="{7F3580D4-0F0E-43CE-84F8-43847BFEB8C3}" userId="S::isabele.portela@delga.com.br::e6fae3f7-3a67-47fe-aa8c-176fc56bcbeb" providerId="AD"/>
  <person displayName="Mariane Pacces Bragion" id="{029E17B9-23EF-4366-AA77-B8D0B25CCE34}" userId="S::mariane.bragion@delga.com.br::aa0dc8fb-8e3b-41bc-9567-569a436bcdbd" providerId="AD"/>
  <person displayName="Vinicius Gonçalves Telles" id="{21DB468F-E5CB-42F8-8C9D-89ADF9F5AD64}" userId="S::vinicius.telles@delga.com.br::a8c0c30a-3a10-419b-ba25-ce06a747e52a" providerId="AD"/>
  <person displayName="Leonardo Bazotto Furquim" id="{F1B12E91-4F90-4E4F-8F59-45E767A5AD8E}" userId="S::leonardo.furquim@delga.com.br::1f6d1e5a-9f8c-4c9a-82f2-9a18bb876bbd" providerId="AD"/>
  <person displayName="Carolina Reis Machado Rodrigues" id="{FD083245-586C-4902-9CFA-5FB3EA0451CE}" userId="S::carolina.rodrigues@delga.com.br::86795fe0-79a3-468e-8808-0e44f708cbb9" providerId="AD"/>
  <person displayName="Janderson Bezerra de Oliveira" id="{E4DAA72B-E3A2-44E7-9174-021DC08673AB}" userId="S::janderson.oliveira@delga.com.br::7f447857-fad1-4d34-9517-393db80384d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C20CDD-3B4E-4813-939F-1B1A6FFDEA02}" name="Tabela2" displayName="Tabela2" ref="A28:X52" totalsRowCount="1" headerRowDxfId="326" dataDxfId="324" headerRowBorderDxfId="325" tableBorderDxfId="323" totalsRowBorderDxfId="322">
  <tableColumns count="24">
    <tableColumn id="1" xr3:uid="{BBF326B8-AA0E-46D0-9F03-BC10E07FEC7C}" name="CATEGORIA" dataDxfId="321" totalsRowDxfId="159"/>
    <tableColumn id="2" xr3:uid="{ACEA1E03-1613-4C65-AEC7-B639C3D78AFB}" name="KPI" dataDxfId="320" totalsRowDxfId="158"/>
    <tableColumn id="3" xr3:uid="{54678CFB-04F8-420B-A216-35C5A0D5E7B8}" name="UN" dataDxfId="319" totalsRowDxfId="157"/>
    <tableColumn id="24" xr3:uid="{6B8C5554-D954-46FA-9AF0-232E3BE68782}" name="Frequência " dataDxfId="318" totalsRowDxfId="156"/>
    <tableColumn id="4" xr3:uid="{D7ED2942-DBE1-40C9-9036-5426893D03E6}" name="TIPO" dataDxfId="317" totalsRowDxfId="155"/>
    <tableColumn id="5" xr3:uid="{29661715-DBD3-458A-9189-6E824CE0B24F}" name="BASELINE 2025" dataDxfId="316" totalsRowDxfId="154"/>
    <tableColumn id="6" xr3:uid="{08AC5614-9C65-40BA-A34D-07AB7C1D80E3}" name="META 2026" dataDxfId="315" totalsRowDxfId="153"/>
    <tableColumn id="7" xr3:uid="{4E52F540-FE78-45F4-B3F7-710DAFA602AC}" name="Jan" dataDxfId="314" totalsRowDxfId="152"/>
    <tableColumn id="8" xr3:uid="{C67B67E7-02D7-4564-BA18-A73B56D5E34C}" name="P. Ofensor1" dataDxfId="313" totalsRowDxfId="151"/>
    <tableColumn id="9" xr3:uid="{071889C9-920B-4C65-B405-801E2A0A7643}" name="Fev" dataDxfId="312" totalsRowDxfId="150"/>
    <tableColumn id="10" xr3:uid="{9B9A248B-110D-4049-B104-710CE5D26CEF}" name="P. Ofensor2" dataDxfId="311" totalsRowDxfId="149"/>
    <tableColumn id="11" xr3:uid="{8DD7BE5B-2152-439D-8583-422D953FC47F}" name="Mar" dataDxfId="310" totalsRowDxfId="148"/>
    <tableColumn id="12" xr3:uid="{6D0B27AC-D890-4608-9A75-57B7CBA6691F}" name="P. Ofensor3" dataDxfId="309" totalsRowDxfId="147"/>
    <tableColumn id="13" xr3:uid="{6706F981-946F-4947-8E8C-6A9F1F39B4F7}" name="Abr" dataDxfId="308" totalsRowDxfId="146"/>
    <tableColumn id="14" xr3:uid="{DC4C6FF7-D3BD-42EA-B784-80F395AB0D29}" name="P. Ofensor4" dataDxfId="307" totalsRowDxfId="145"/>
    <tableColumn id="15" xr3:uid="{A24505CE-8C6F-4282-97D9-217FFD2DF7B8}" name="Mai" dataDxfId="306" totalsRowDxfId="144"/>
    <tableColumn id="16" xr3:uid="{B8F366BC-FF5B-421B-B17A-D3D940FB32D7}" name="P. Ofensor5" dataDxfId="305" totalsRowDxfId="143"/>
    <tableColumn id="17" xr3:uid="{F08680C0-D535-4CBB-8491-0D65EFEA3FE1}" name="Jun" dataDxfId="304" totalsRowDxfId="142"/>
    <tableColumn id="18" xr3:uid="{304C6801-A1A3-43E8-AACB-1944675D2428}" name="P. Ofensor6" dataDxfId="303" totalsRowDxfId="141"/>
    <tableColumn id="19" xr3:uid="{367790EA-D6EB-4D6B-AAD3-1E55B7DE9ECB}" name="Jul" dataDxfId="302" totalsRowDxfId="140"/>
    <tableColumn id="20" xr3:uid="{A87DC41D-63AE-4EF2-A44D-2A789BDB8E2C}" name="P. Ofensor7" dataDxfId="301" totalsRowDxfId="139"/>
    <tableColumn id="21" xr3:uid="{47C411E9-A2C2-4356-A059-B50B1BAEFB8A}" name="Ago" dataDxfId="300" totalsRowDxfId="138"/>
    <tableColumn id="22" xr3:uid="{711CAB77-F2B4-46CB-A731-05CE086591A2}" name="P. Ofensor8" dataDxfId="299" totalsRowDxfId="137"/>
    <tableColumn id="23" xr3:uid="{E8450C98-7936-45D7-9B2B-E9370C115DF1}" name="Set" dataDxfId="298" totalsRowDxfId="1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0D21C6-90E4-4B71-A10B-1A239BA2CA8A}" name="Tabela2456" displayName="Tabela2456" ref="A28:AE51" totalsRowShown="0" headerRowDxfId="297" dataDxfId="295" headerRowBorderDxfId="296" tableBorderDxfId="294" totalsRowBorderDxfId="293">
  <tableColumns count="31">
    <tableColumn id="1" xr3:uid="{3B19E3D7-EF3D-40D6-BD28-E6D0AD64D064}" name="CATEGORIA" dataDxfId="292"/>
    <tableColumn id="2" xr3:uid="{1DF5A9B0-273D-4423-A448-A427D290CEDC}" name="KPI" dataDxfId="291"/>
    <tableColumn id="3" xr3:uid="{CDF26A4F-CB2F-44B8-88DE-31730B3AF056}" name="UN" dataDxfId="290"/>
    <tableColumn id="31" xr3:uid="{A70E38BA-D782-48C8-A781-25BF5B4C9011}" name="Frequência " dataDxfId="289"/>
    <tableColumn id="4" xr3:uid="{3E2A6A64-1F76-46C0-BB20-C64A939A2098}" name="TIPO" dataDxfId="288"/>
    <tableColumn id="5" xr3:uid="{9229A1D2-8B3C-4E66-8ADD-5201002680B4}" name="BASELINE 2025" dataDxfId="287"/>
    <tableColumn id="6" xr3:uid="{1FC83439-95E6-40B6-BAC7-D5C096EBD4C8}" name="META 2026" dataDxfId="286"/>
    <tableColumn id="7" xr3:uid="{91CB54E4-CC6F-4020-8A10-E4175AD21A34}" name="Jan" dataDxfId="285"/>
    <tableColumn id="8" xr3:uid="{371D8B78-4E48-472C-B387-363780AF1E30}" name="P. Ofensor1" dataDxfId="284"/>
    <tableColumn id="9" xr3:uid="{BBAF722C-8315-4DC6-80AF-114BEB7E7E09}" name="Fev" dataDxfId="283"/>
    <tableColumn id="10" xr3:uid="{42DA5467-850A-453D-8A8E-E92B1603B3E7}" name="P. Ofensor2" dataDxfId="282"/>
    <tableColumn id="11" xr3:uid="{F197A4AC-2C71-49B3-983B-441EDDC1D9C9}" name="Mar" dataDxfId="281"/>
    <tableColumn id="12" xr3:uid="{114F6BE1-85DD-46F7-9D70-A8AEA2C70ADB}" name="P. Ofensor3" dataDxfId="280"/>
    <tableColumn id="13" xr3:uid="{2A50AC1D-079A-4D98-867F-17BFF0296FD8}" name="Abr" dataDxfId="279"/>
    <tableColumn id="14" xr3:uid="{95D64E74-FC7E-420F-ACE4-E326C6D63154}" name="P. Ofensor4" dataDxfId="278"/>
    <tableColumn id="15" xr3:uid="{432E685D-203C-4D1E-93CE-D7BF6723FF01}" name="Mai" dataDxfId="277"/>
    <tableColumn id="16" xr3:uid="{D4A23F32-8E63-466B-8BE9-CECD5333580E}" name="P. Ofensor5" dataDxfId="276"/>
    <tableColumn id="17" xr3:uid="{E24B0547-11E2-4812-9F3B-FDF0DE3F7292}" name="Jun" dataDxfId="275"/>
    <tableColumn id="18" xr3:uid="{088F912B-9925-441A-9479-57D678139FD8}" name="P. Ofensor6" dataDxfId="274"/>
    <tableColumn id="19" xr3:uid="{DFB6BFA4-238A-4814-B130-85FD123337DB}" name="Jul" dataDxfId="273">
      <calculatedColumnFormula>[14]Indicadores!$AP$11</calculatedColumnFormula>
    </tableColumn>
    <tableColumn id="20" xr3:uid="{78BAEAE7-2BE5-4250-89ED-A9C864EBD44C}" name="P. Ofensor7" dataDxfId="272"/>
    <tableColumn id="21" xr3:uid="{60F793E1-2727-4F29-A2AA-07DB5E0AF0CF}" name="Ago" dataDxfId="271">
      <calculatedColumnFormula>[14]Indicadores!$AQ$46</calculatedColumnFormula>
    </tableColumn>
    <tableColumn id="22" xr3:uid="{BF8284F4-B998-4143-B23A-859C84EBF1CC}" name="P. Ofensor8" dataDxfId="270"/>
    <tableColumn id="23" xr3:uid="{71242733-F443-44D3-9412-2F08BBA22C33}" name="Set" dataDxfId="269">
      <calculatedColumnFormula>[14]Indicadores!$AR$139</calculatedColumnFormula>
    </tableColumn>
    <tableColumn id="24" xr3:uid="{2183498F-9FBE-4138-B3B3-C2DB939C7FDC}" name="P. Ofensor9" dataDxfId="268"/>
    <tableColumn id="25" xr3:uid="{E5813BA1-0182-41B7-B9E7-FB6D83EA1A08}" name="Out" dataDxfId="267">
      <calculatedColumnFormula>[14]Indicadores!$AS$11</calculatedColumnFormula>
    </tableColumn>
    <tableColumn id="26" xr3:uid="{63A78BC6-807A-4561-B0DE-CF09CCC13B43}" name="P. Ofensor10" dataDxfId="266"/>
    <tableColumn id="27" xr3:uid="{C66F84F7-4B21-4A24-A44F-33F35ABBBB39}" name="Nov" dataDxfId="265">
      <calculatedColumnFormula>[14]Indicadores!$AT$11</calculatedColumnFormula>
    </tableColumn>
    <tableColumn id="28" xr3:uid="{0CACFB84-FA81-4FFC-8F7D-F098F9908C06}" name="P. Ofensor11" dataDxfId="264"/>
    <tableColumn id="29" xr3:uid="{7E27828F-EB28-409B-A50A-1DAB52E2A0C7}" name="Dez" dataDxfId="263">
      <calculatedColumnFormula>[14]Indicadores!$AU$139</calculatedColumnFormula>
    </tableColumn>
    <tableColumn id="30" xr3:uid="{78FCAD19-8E25-4195-B5B3-D3091F90DDE0}" name="P. Ofensor12" dataDxfId="26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B89FEB-5C19-4908-81DB-09CABBFC2DDE}" name="Tabela24" displayName="Tabela24" ref="A28:AE51" totalsRowShown="0" headerRowDxfId="261" dataDxfId="259" headerRowBorderDxfId="260" tableBorderDxfId="258" totalsRowBorderDxfId="257">
  <tableColumns count="31">
    <tableColumn id="1" xr3:uid="{3595355E-D3A6-432C-A21C-DE14DF123C4C}" name="CATEGORIA" dataDxfId="256"/>
    <tableColumn id="2" xr3:uid="{0B076919-5816-4D93-9665-4299D27F539A}" name="KPI" dataDxfId="255"/>
    <tableColumn id="3" xr3:uid="{F151C3B2-E973-4483-9722-D632B31CCCE7}" name="UN" dataDxfId="254"/>
    <tableColumn id="31" xr3:uid="{66CF7A1A-790D-4ED8-827E-D5159DEB493D}" name="Frequência " dataDxfId="253"/>
    <tableColumn id="4" xr3:uid="{C1F6FC83-EA9F-4B96-AE6B-7D8AE29C6935}" name="TIPO" dataDxfId="252"/>
    <tableColumn id="5" xr3:uid="{BB24E21D-D45B-420F-9537-366C7C0E829D}" name="BASELINE 2025" dataDxfId="251"/>
    <tableColumn id="6" xr3:uid="{D4C3806C-E874-45B8-987B-61F5A0EA145E}" name="META 2026" dataDxfId="250"/>
    <tableColumn id="7" xr3:uid="{816FB472-3A5A-4D84-8307-BC3FC0F8BD7D}" name="Jan" dataDxfId="249"/>
    <tableColumn id="8" xr3:uid="{8B468D62-0E3D-40F8-B910-A3F007280CFD}" name="P. Ofensor1" dataDxfId="248"/>
    <tableColumn id="9" xr3:uid="{A5E23F0B-22F5-4EF4-BB5E-E56CE7B6C15E}" name="Fev" dataDxfId="247"/>
    <tableColumn id="10" xr3:uid="{2F3A2C41-A52A-46A7-8BC6-891C5D6AC929}" name="P. Ofensor2" dataDxfId="246"/>
    <tableColumn id="11" xr3:uid="{A0B821D5-B0CD-4139-AFA4-734DF91D4C27}" name="Mar" dataDxfId="245"/>
    <tableColumn id="12" xr3:uid="{63B263DA-6987-4288-B851-A04D5DAD470C}" name="P. Ofensor3" dataDxfId="244"/>
    <tableColumn id="13" xr3:uid="{DEABB7AC-BA0B-446F-88A2-14B403CEB237}" name="Abr" dataDxfId="243"/>
    <tableColumn id="14" xr3:uid="{E397A4CC-63D8-46E1-AC82-F898E7F123A4}" name="P. Ofensor4" dataDxfId="242"/>
    <tableColumn id="15" xr3:uid="{1137A8DC-1292-4F50-BE22-E710E106048F}" name="Mai" dataDxfId="241"/>
    <tableColumn id="16" xr3:uid="{271FD523-A29A-4893-B7D9-C64EB7DAF431}" name="P. Ofensor5" dataDxfId="240"/>
    <tableColumn id="17" xr3:uid="{E3507BC0-3E62-4676-BE84-735B5D45C797}" name="Jun" dataDxfId="239"/>
    <tableColumn id="18" xr3:uid="{C3F386BB-8FFB-408C-A365-98096A6EFFB3}" name="P. Ofensor6" dataDxfId="238"/>
    <tableColumn id="19" xr3:uid="{0B880B40-16B0-4725-8E2F-D8037D12A2FB}" name="Jul" dataDxfId="237"/>
    <tableColumn id="20" xr3:uid="{C051233F-EBCA-4060-BF97-567F14C6A560}" name="P. Ofensor7" dataDxfId="236"/>
    <tableColumn id="21" xr3:uid="{94693BF9-0EE8-42DF-8190-141190A65A02}" name="Ago" dataDxfId="235"/>
    <tableColumn id="22" xr3:uid="{BCE6682D-6EDA-4E68-81C1-4802F18C636A}" name="P. Ofensor8" dataDxfId="234"/>
    <tableColumn id="23" xr3:uid="{4D1327DD-4504-4392-BE34-20923189C67E}" name="Set" dataDxfId="233"/>
    <tableColumn id="24" xr3:uid="{980C5398-9AD0-44A9-93A0-DA7EC813C9A8}" name="P. Ofensor9" dataDxfId="232"/>
    <tableColumn id="25" xr3:uid="{9FD07369-097F-4187-BD00-6133D92A514C}" name="Out" dataDxfId="231"/>
    <tableColumn id="26" xr3:uid="{7351A60E-42EF-4B32-BA6F-3B317D33CE09}" name="P. Ofensor10" dataDxfId="230"/>
    <tableColumn id="27" xr3:uid="{237AF5B1-7A79-4888-8292-51BE72F7C683}" name="Nov" dataDxfId="229"/>
    <tableColumn id="28" xr3:uid="{78476C80-7656-44D1-8727-8C77BA4D9D9D}" name="P. Ofensor11" dataDxfId="228"/>
    <tableColumn id="29" xr3:uid="{FCAD369E-4FBA-4908-9A94-1332FF8623C5}" name="Dez" dataDxfId="227"/>
    <tableColumn id="30" xr3:uid="{90F00FB3-7CCE-4655-BF60-BCE2D3B48416}" name="P. Ofensor12" dataDxfId="2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D3F975-3C9E-4577-8969-3136C1570AE9}" name="Tabela22" displayName="Tabela22" ref="A28:X51" totalsRowShown="0" headerRowDxfId="224" dataDxfId="222" headerRowBorderDxfId="223" tableBorderDxfId="221" totalsRowBorderDxfId="220">
  <tableColumns count="24">
    <tableColumn id="1" xr3:uid="{2235549A-F4EE-4851-9957-1FD5A8A32063}" name="CATEGORIA" dataDxfId="219"/>
    <tableColumn id="2" xr3:uid="{3F5E43CA-5864-4641-87DB-1A078698744E}" name="KPI" dataDxfId="218"/>
    <tableColumn id="3" xr3:uid="{BD870F2B-2C66-4C87-B516-49DF13BCC039}" name="UN" dataDxfId="217"/>
    <tableColumn id="24" xr3:uid="{D5518542-AC1C-4BFF-9EC4-2AB3F20B043E}" name="Frequência " dataDxfId="216"/>
    <tableColumn id="4" xr3:uid="{12F3ABC3-872B-4C37-A2D7-24F452BF3C2F}" name="TIPO" dataDxfId="215"/>
    <tableColumn id="5" xr3:uid="{4A6344F7-4359-4C37-8EF2-2C2DB703E216}" name="BASELINE 2025" dataDxfId="214"/>
    <tableColumn id="6" xr3:uid="{EF8E0F1C-3029-4E4C-90BF-19DB610717FA}" name="META 2026" dataDxfId="213"/>
    <tableColumn id="7" xr3:uid="{35CD8B94-36E3-4A03-88ED-6E9DECB1D8A1}" name="Jan" dataDxfId="212"/>
    <tableColumn id="8" xr3:uid="{3CAD6D00-EF47-47E9-ADCE-E0CEA457F39C}" name="P. Ofensor1" dataDxfId="211"/>
    <tableColumn id="9" xr3:uid="{C2FB0429-68E8-4163-99D9-3E1DE77EEF9F}" name="Fev" dataDxfId="210"/>
    <tableColumn id="10" xr3:uid="{7078F7D2-0814-487E-9796-D087622CBBD5}" name="P. Ofensor2" dataDxfId="209"/>
    <tableColumn id="11" xr3:uid="{4F2D10B3-C7DE-4249-8A88-DFCEDB69606D}" name="Mar" dataDxfId="208"/>
    <tableColumn id="12" xr3:uid="{C3DBA7FB-293E-46BA-869E-C948EEC1D304}" name="P. Ofensor3" dataDxfId="207"/>
    <tableColumn id="13" xr3:uid="{29D9CA1D-7B19-46EB-B14C-E4F65C9C3A25}" name="Abr" dataDxfId="206"/>
    <tableColumn id="14" xr3:uid="{D956E815-DBF2-4CFE-A236-C0A23C4860E6}" name="P. Ofensor4" dataDxfId="205"/>
    <tableColumn id="15" xr3:uid="{588D78A1-A477-41E2-ADF2-044DC33CD887}" name="Mai" dataDxfId="204"/>
    <tableColumn id="16" xr3:uid="{FF12980B-4A66-4180-8B06-0E1B0BF91BC0}" name="P. Ofensor5" dataDxfId="203"/>
    <tableColumn id="17" xr3:uid="{2A582D12-E00A-48DF-9A95-AFFB683D2826}" name="Jun" dataDxfId="202"/>
    <tableColumn id="18" xr3:uid="{736566ED-C7FF-4528-97F1-2438EA7101B0}" name="P. Ofensor6" dataDxfId="201"/>
    <tableColumn id="19" xr3:uid="{47733A63-E822-4D57-B582-843FCF3DD0C4}" name="Jul" dataDxfId="200"/>
    <tableColumn id="20" xr3:uid="{48742A23-9580-4219-BC8E-A7FC5FCF00CB}" name="P. Ofensor7" dataDxfId="199"/>
    <tableColumn id="21" xr3:uid="{BD2B7AE3-40FA-4502-80D2-1178D899F3E5}" name="Ago" dataDxfId="198"/>
    <tableColumn id="22" xr3:uid="{93C50BBF-6000-46F3-829F-505AB9EC08E9}" name="P. Ofensor8" dataDxfId="197"/>
    <tableColumn id="23" xr3:uid="{5EE95303-8951-400B-8371-59D1724650BD}" name="Set" dataDxfId="19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91A1FF-881B-46B1-A4CC-08A6006A56D6}" name="Tabela245" displayName="Tabela245" ref="A28:AE52" totalsRowShown="0" headerRowDxfId="195" dataDxfId="193" headerRowBorderDxfId="194" tableBorderDxfId="192" totalsRowBorderDxfId="191">
  <tableColumns count="31">
    <tableColumn id="1" xr3:uid="{5BD0AC64-C1B3-4571-8957-81CE81BD2161}" name="CATEGORIA" dataDxfId="190"/>
    <tableColumn id="2" xr3:uid="{B4329C3B-65F5-4D46-8E71-A23251F9E184}" name="KPI" dataDxfId="189"/>
    <tableColumn id="3" xr3:uid="{3EED8A2A-40A9-40F1-BAA9-C72216711369}" name="UN" dataDxfId="188"/>
    <tableColumn id="31" xr3:uid="{9F672C5F-AD54-4650-92E2-861D62CF186B}" name="Frequência " dataDxfId="187"/>
    <tableColumn id="4" xr3:uid="{3790DD2F-5459-47EC-9597-6965DF2D1F97}" name="TIPO" dataDxfId="186"/>
    <tableColumn id="5" xr3:uid="{A2CC4372-C333-4000-97F5-F3930F1202FD}" name="BASELINE 2025" dataDxfId="185"/>
    <tableColumn id="6" xr3:uid="{8D0B3B43-9717-47F3-A80F-1392E4CA40F1}" name="META 2026" dataDxfId="184"/>
    <tableColumn id="7" xr3:uid="{B2C5AE4A-56A8-4710-A958-00D5F2198605}" name="Jan" dataDxfId="183"/>
    <tableColumn id="8" xr3:uid="{EDE83221-B7CF-4DE7-B1F0-EF14441A1C5D}" name="P. Ofensor1" dataDxfId="182"/>
    <tableColumn id="9" xr3:uid="{24BED53F-C662-47FC-B47E-4291F3DDBBD4}" name="Fev" dataDxfId="181"/>
    <tableColumn id="10" xr3:uid="{DD1543EF-095E-4012-83D6-5A8228231408}" name="P. Ofensor2" dataDxfId="180"/>
    <tableColumn id="11" xr3:uid="{5730BC99-44AE-4AF6-9707-ACA169D05473}" name="Mar" dataDxfId="179"/>
    <tableColumn id="12" xr3:uid="{7DFDBD10-BC06-4C92-A581-01BB0C2C1E21}" name="P. Ofensor3" dataDxfId="178"/>
    <tableColumn id="13" xr3:uid="{5815AFFC-7359-4531-878B-E9CD942E1E1D}" name="Abr" dataDxfId="177" dataCellStyle="Moeda"/>
    <tableColumn id="14" xr3:uid="{BAA29865-754D-4349-B949-E600F36A60EC}" name="P. Ofensor4" dataDxfId="176"/>
    <tableColumn id="15" xr3:uid="{DDE2C386-0A90-4292-B09E-599149B60588}" name="Mai" dataDxfId="175"/>
    <tableColumn id="16" xr3:uid="{80A6E4C5-CC1A-495F-A9B9-396FAE756B59}" name="P. Ofensor5" dataDxfId="174"/>
    <tableColumn id="17" xr3:uid="{8ECFD5ED-DC70-44BB-B6C9-F0CA91C3B8F6}" name="Jun" dataDxfId="173"/>
    <tableColumn id="18" xr3:uid="{035F5BB4-5CE0-4579-A1C1-E931C18ACA35}" name="P. Ofensor6" dataDxfId="172"/>
    <tableColumn id="19" xr3:uid="{114536F5-3185-470D-822A-1385C591D4F4}" name="Jul" dataDxfId="171"/>
    <tableColumn id="20" xr3:uid="{E26B2C3D-DD3B-4030-B831-627401168719}" name="P. Ofensor7" dataDxfId="170"/>
    <tableColumn id="21" xr3:uid="{181EE36F-41F5-42E0-B293-A62FA3A81E96}" name="Ago" dataDxfId="169"/>
    <tableColumn id="22" xr3:uid="{5DB7C887-16B9-4BA2-926B-69B081BFE465}" name="P. Ofensor8" dataDxfId="168"/>
    <tableColumn id="23" xr3:uid="{CA86BC91-257E-4AEF-9EB3-2BE0D25D1306}" name="Set" dataDxfId="167"/>
    <tableColumn id="24" xr3:uid="{B5E4DBE4-CDD8-4E38-926D-335CD0E32695}" name="P. Ofensor9" dataDxfId="166"/>
    <tableColumn id="25" xr3:uid="{279EB2AB-FD60-4AB4-B06F-7A337E52934B}" name="Out" dataDxfId="165"/>
    <tableColumn id="26" xr3:uid="{21178CBF-EFB1-4DC2-8A79-E773348947AC}" name="P. Ofensor10" dataDxfId="164"/>
    <tableColumn id="27" xr3:uid="{F6DF4FD4-63CD-4803-8986-142ECDF89FFD}" name="Nov" dataDxfId="163"/>
    <tableColumn id="28" xr3:uid="{C961DCCA-A10C-4455-A1C9-A237188D757C}" name="P. Ofensor11" dataDxfId="162"/>
    <tableColumn id="29" xr3:uid="{77592EB8-E7FB-4DF5-9D20-1CB5B3422162}" name="Dez" dataDxfId="161"/>
    <tableColumn id="30" xr3:uid="{EF111AF4-EC5D-4BE0-8A57-16E1F581828B}" name="P. Ofensor12" dataDxfId="16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49AD01E-A80A-46AB-B8B9-3E2E5CB10DAA}" name="Tabela24567" displayName="Tabela24567" ref="A28:AE51" totalsRowShown="0" headerRowDxfId="362" dataDxfId="360" headerRowBorderDxfId="361" tableBorderDxfId="359" totalsRowBorderDxfId="358">
  <tableColumns count="31">
    <tableColumn id="1" xr3:uid="{E3D03C3B-F1AE-402A-BF5A-E0A50EC8279B}" name="CATEGORIA" dataDxfId="357"/>
    <tableColumn id="2" xr3:uid="{624293A8-85FD-48AE-82F0-E0FB6266A50B}" name="KPI" dataDxfId="356"/>
    <tableColumn id="3" xr3:uid="{914CE12B-49AB-4316-B764-655C61896CA0}" name="UN" dataDxfId="355"/>
    <tableColumn id="31" xr3:uid="{D3B47020-8603-4136-83D9-FE29EB2D60A5}" name="Frequência " dataDxfId="354"/>
    <tableColumn id="4" xr3:uid="{E1ED4094-4B85-4E9B-BB9D-778B7186BD60}" name="TIPO" dataDxfId="353"/>
    <tableColumn id="5" xr3:uid="{E110D49C-C63B-456A-8532-AF70DD9BAEA9}" name="BASELINE 2025" dataDxfId="352"/>
    <tableColumn id="6" xr3:uid="{74CA509C-3857-4DBD-ACB7-5094033ECC6C}" name="META 2026" dataDxfId="351"/>
    <tableColumn id="7" xr3:uid="{769F98B8-0F23-4E3F-9ABB-AB796FAF9E7D}" name="Jan" dataDxfId="350"/>
    <tableColumn id="8" xr3:uid="{C62F1DF8-8C9F-4627-83EE-D9FAB6A34C7F}" name="P. Ofensor1" dataDxfId="349"/>
    <tableColumn id="9" xr3:uid="{B0121C15-AB0E-4677-A480-0B0B0DA9B5B0}" name="Fev" dataDxfId="348"/>
    <tableColumn id="10" xr3:uid="{FA996CD0-E49B-4E3C-A8F3-B5820791443A}" name="P. Ofensor2" dataDxfId="347"/>
    <tableColumn id="11" xr3:uid="{3109B331-3F36-4E6C-BBF5-EDC21A843E6B}" name="Mar" dataDxfId="346"/>
    <tableColumn id="12" xr3:uid="{28EB4AEF-C732-49C3-A5EC-ABCC2310DBDF}" name="P. Ofensor3" dataDxfId="345"/>
    <tableColumn id="13" xr3:uid="{8C483FFE-2A8D-419C-AF3F-C707D97BF5F9}" name="Abr" dataDxfId="344"/>
    <tableColumn id="14" xr3:uid="{3856A7A0-CA01-4C97-9DAF-03D0C5A827B3}" name="P. Ofensor4" dataDxfId="343"/>
    <tableColumn id="15" xr3:uid="{BBF5DF13-F289-4FA0-963E-95B0C3C50173}" name="Mai" dataDxfId="342"/>
    <tableColumn id="16" xr3:uid="{13547459-F79E-4C6E-BA9E-792A65DD210E}" name="P. Ofensor5" dataDxfId="341"/>
    <tableColumn id="17" xr3:uid="{FA5160ED-8C69-478C-9E26-6BEC6E999883}" name="Jun" dataDxfId="340"/>
    <tableColumn id="18" xr3:uid="{040B0A8C-A868-4463-AAC6-ADDE06D47C3F}" name="P. Ofensor6" dataDxfId="339"/>
    <tableColumn id="19" xr3:uid="{72E01FC6-CFB0-4559-9BB2-3B113D36B4E9}" name="Jul" dataDxfId="338"/>
    <tableColumn id="20" xr3:uid="{50FBF2BE-A893-4402-9087-18A3AD6D0A0E}" name="P. Ofensor7" dataDxfId="337"/>
    <tableColumn id="21" xr3:uid="{21D56AB3-CAA2-42BF-B56C-FE59CF6E8DEA}" name="Ago" dataDxfId="336"/>
    <tableColumn id="22" xr3:uid="{6E7CEE18-0F5F-4885-902A-6EE695F1C2C3}" name="P. Ofensor8" dataDxfId="335"/>
    <tableColumn id="23" xr3:uid="{7EC10602-6F8C-482D-81D2-8B4AB3D277E9}" name="Set" dataDxfId="334"/>
    <tableColumn id="24" xr3:uid="{E3386400-690D-4069-BC79-B970108657C3}" name="P. Ofensor9" dataDxfId="333"/>
    <tableColumn id="25" xr3:uid="{13A7894C-D58F-41F8-A9FB-74BBF1FE04D5}" name="Out" dataDxfId="332"/>
    <tableColumn id="26" xr3:uid="{EB2CB1BE-FCAF-4003-BD17-C698FE94DF9F}" name="P. Ofensor10" dataDxfId="331"/>
    <tableColumn id="27" xr3:uid="{E22F5FA8-CAEC-4BD8-A247-989F555F345E}" name="Nov" dataDxfId="330"/>
    <tableColumn id="28" xr3:uid="{DAEA004F-7538-4066-A977-9CA267214D40}" name="P. Ofensor11" dataDxfId="329"/>
    <tableColumn id="29" xr3:uid="{19DC3F8F-AC00-47E7-84F1-38A4108558AE}" name="Dez" dataDxfId="328"/>
    <tableColumn id="30" xr3:uid="{F44DCC01-BC0E-4BE7-8031-1A483E69F7A7}" name="P. Ofensor12" dataDxfId="32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4" dT="2026-01-30T11:27:03.63" personId="{B0A81E74-5926-45BD-873A-6F4BF1F3D8BA}" id="{28759D42-4F8A-4AC4-B849-79496CC87E09}">
    <text xml:space="preserve">Nota técnica: O ranking considera valores potenciais distintos. Em caso de empate, recomenda-se ajuste mínimo (ex.: 0,001). </text>
  </threadedComment>
  <threadedComment ref="U18" dT="2026-06-01T18:41:09.81" personId="{A45066BC-B1A9-4E1C-B993-A135D85F8452}" id="{4DF03FE9-7CA2-468A-9517-04DEC2B8E99D}">
    <text>Materia Prima ainda não acabou</text>
  </threadedComment>
  <threadedComment ref="B29" dT="2026-02-06T14:39:15.50" personId="{B0A81E74-5926-45BD-873A-6F4BF1F3D8BA}" id="{BB7C98AD-2251-4C44-ACEB-B2DA8D7167B2}">
    <text xml:space="preserve">Atualização da informação sempre no SETIMO dia útil - By Paulo Ribeiro Controladoria  </text>
  </threadedComment>
  <threadedComment ref="B30" dT="2026-02-06T14:51:25.15" personId="{B0A81E74-5926-45BD-873A-6F4BF1F3D8BA}" id="{676CD507-2FE5-4E54-8EFB-77C0B9BCDEA3}">
    <text xml:space="preserve">Atualização da informação sempre no SETIMO dia útil - By Paulo Ribeiro Controladoria  
</text>
  </threadedComment>
  <threadedComment ref="B32" dT="2026-02-06T14:51:38.42" personId="{B0A81E74-5926-45BD-873A-6F4BF1F3D8BA}" id="{E9DC6DE0-6D4F-4D55-8A98-DC1B2389B2DA}">
    <text xml:space="preserve">Atualização da informação sempre no SETIMO dia útil - By Paulo Ribeiro Controladoria  
</text>
  </threadedComment>
  <threadedComment ref="B42" dT="2026-02-06T14:51:52.23" personId="{B0A81E74-5926-45BD-873A-6F4BF1F3D8BA}" id="{AB0D28BA-B3BC-454D-A3F5-89DCE350A700}">
    <text xml:space="preserve">Atualização da informação sempre no SETIMO dia útil - By Paulo Ribeiro Controladoria  </text>
  </threadedComment>
  <threadedComment ref="J49" dT="2026-04-07T17:12:06.26" personId="{1D3CBD94-FF0F-4AB2-803D-9292F3540078}" id="{B90ED909-B286-44F7-8740-283945A902CC}">
    <text xml:space="preserve">GGF melhor em Janeiro R$170000 MOD e MOI controle e Redução de HE nas áreas suportes EBITDA R$360000 Melhor no bimestre contra Budget </text>
  </threadedComment>
  <threadedComment ref="L49" dT="2026-04-20T17:36:40.75" personId="{1D3CBD94-FF0F-4AB2-803D-9292F3540078}" id="{A1B78FEA-2677-4BF5-BB7F-6C9ABA46D0C7}">
    <text xml:space="preserve">EBITDA R$ 16.000,00 Positivo , Faturamento no mês foi maior, melhora na margem VA e GGF conseguiu absorver o aumento de faturamento , proporcionando  margem bruta positivo.  </text>
  </threadedComment>
  <threadedComment ref="W56" dT="2026-04-20T17:08:10.26" personId="{FD083245-586C-4902-9CFA-5FB3EA0451CE}" id="{9C283E7A-D43D-46F7-B1FD-B2EBC09E60A7}">
    <text>O material novo passou a ser cortado e utilizado a partir de 12/03 - desconsiderada as qtds faturadas anteriores a essa data.
Se fosse no mês todo, o ganho real seria cerca de 19k.</text>
  </threadedComment>
  <threadedComment ref="N57" dT="2026-03-19T16:40:21.38" personId="{FD083245-586C-4902-9CFA-5FB3EA0451CE}" id="{D83B51F4-8645-4F56-98F1-531ED4C00E90}">
    <text>Em standby aguardando definição da Diretoria se seguiremos com Kaizens de energia</text>
  </threadedComment>
  <threadedComment ref="N57" dT="2026-05-07T17:17:27.17" personId="{FD083245-586C-4902-9CFA-5FB3EA0451CE}" id="{870666B8-488A-4465-B021-FC7E1D524DA0}" parentId="{D83B51F4-8645-4F56-98F1-531ED4C00E90}">
    <text xml:space="preserve">DEFINIDO que esse tipo de Kaizen deve sair do controle - deve ser considerado nas questões de performance.
</text>
  </threadedComment>
  <threadedComment ref="N57" dT="2026-07-13T14:02:43.14" personId="{FD083245-586C-4902-9CFA-5FB3EA0451CE}" id="{FCB4C5CC-E3FC-4ABA-B132-E42506E0C5D2}" parentId="{D83B51F4-8645-4F56-98F1-531ED4C00E90}">
    <text>Incluso retorno real - baseado no levantamento de valor estimado da planta.</text>
  </threadedComment>
  <threadedComment ref="N63" dT="2026-04-20T17:13:32.24" personId="{FD083245-586C-4902-9CFA-5FB3EA0451CE}" id="{7E8C0128-7755-48B3-91AB-C09B3489A577}">
    <text>Calculo validado, considerando a previsao de ganho inicial que foi de Fev a Dez. 
- ganho real considerado a partir de Março, com a mudança efetica do contrato e dos pagamentos.</text>
  </threadedComment>
  <threadedComment ref="N65" dT="2026-07-06T11:19:55.31" personId="{FD083245-586C-4902-9CFA-5FB3EA0451CE}" id="{FE3278E4-0296-43DA-B9D8-B6B4C0F4EC50}">
    <text>Ganho de 79.673,52 -&gt; Considerando valores de Rescisão levantados.</text>
  </threadedComment>
  <threadedComment ref="Z66" dT="2026-06-08T14:55:37.60" personId="{FD083245-586C-4902-9CFA-5FB3EA0451CE}" id="{9FC3433F-7D84-40E0-B700-7E8537B51233}">
    <text>Considerando rescisões = -31.423,70</text>
  </threadedComment>
  <threadedComment ref="N67" dT="2026-04-29T17:00:30.06" personId="{FD083245-586C-4902-9CFA-5FB3EA0451CE}" id="{5A43565F-B0BF-4D35-94B7-73AE73DFC2AB}">
    <text>Em Standby aguardando definição da Diretoria se seguiremos com Kaizens de Consumo de agua.</text>
  </threadedComment>
  <threadedComment ref="N67" dT="2026-05-07T15:12:04.61" personId="{FD083245-586C-4902-9CFA-5FB3EA0451CE}" id="{8833E4EC-3C37-4DF5-AF5F-B2B5BBC8D6F0}" parentId="{5A43565F-B0BF-4D35-94B7-73AE73DFC2AB}">
    <text>DEFINIDO que esse tipo de Kaizen deve sair do controle - deve ser considerado nas questões de performance.</text>
  </threadedComment>
  <threadedComment ref="Z70" dT="2026-06-08T15:22:13.59" personId="{FD083245-586C-4902-9CFA-5FB3EA0451CE}" id="{2DB277DB-B588-445F-828F-5F6F541C64F1}">
    <text>LT atualizada com pesos menores do que o proposto e também não foi atualizada a chapa proposta (permaneceu a mesma) - CONFIRMAR DADOS.</text>
  </threadedComment>
  <threadedComment ref="N71" dT="2026-05-07T15:12:49.10" personId="{FD083245-586C-4902-9CFA-5FB3EA0451CE}" id="{3C057EED-A86A-4CA6-ACFC-77AC795147FD}">
    <text>DEFINIDO que esse tipo de Kaizen deve sair do controle - deve ser considerado nas questões de performance.</text>
  </threadedComment>
  <threadedComment ref="N73" dT="2026-04-29T17:08:49.76" personId="{FD083245-586C-4902-9CFA-5FB3EA0451CE}" id="{10D38F70-6A31-4741-82BC-070C48D97B29}">
    <text>Aguardando retorno do Izaias - sobre memoria de calculo.
De onde foram retirados os valores e quantidades do arame.
Necessario tb o codigo dos arames.</text>
  </threadedComment>
  <threadedComment ref="M75" dT="2026-07-02T14:50:32.71" personId="{E4DAA72B-E3A2-44E7-9174-021DC08673AB}" id="{757891D3-0E03-4B15-BCEA-6A7FF7E700C1}">
    <text>Foi decidido que estas ferramentas ficarão em São Leopoldo</text>
  </threadedComment>
  <threadedComment ref="M79" dT="2026-07-02T14:53:20.29" personId="{E4DAA72B-E3A2-44E7-9174-021DC08673AB}" id="{269B480C-84A6-48D8-A511-8C20A00D3FF3}">
    <text>Dado o retorno, risco e necessidade de re-submissão de PPAP com a MBB, não seguiremos com este item.</text>
  </threadedComment>
  <threadedComment ref="N79" dT="2026-03-23T12:37:39.57" personId="{FD083245-586C-4902-9CFA-5FB3EA0451CE}" id="{8E8634D2-F205-40BD-9096-E99A464D2CC8}">
    <text xml:space="preserve">Custo da porca = 0,155750 (9 meses de economia) 
última entrada em Diadema - NFs (11/25) </text>
  </threadedComment>
  <threadedComment ref="N79" dT="2026-05-14T01:35:49.51" personId="{FD083245-586C-4902-9CFA-5FB3EA0451CE}" id="{52D6268D-9C07-41BF-AC6D-B24E1366E769}" parentId="{8E8634D2-F205-40BD-9096-E99A464D2CC8}">
    <text>Por favor, enviar em qual codigo Delga realizamos essa reduçao - no A3 tem apenas A9792901919 .</text>
  </threadedComment>
  <threadedComment ref="N79" dT="2026-08-17T12:44:31.16" personId="{FD083245-586C-4902-9CFA-5FB3EA0451CE}" id="{68652502-4B02-4E5A-AB29-CFE54FF26933}" parentId="{8E8634D2-F205-40BD-9096-E99A464D2CC8}">
    <text>Não terá andamento - Julho/26</text>
  </threadedComment>
  <threadedComment ref="Y80" dT="2026-05-14T02:56:28.21" personId="{FD083245-586C-4902-9CFA-5FB3EA0451CE}" id="{71865C6C-167A-4E96-A15A-729816200225}">
    <text>Por favor, enviar em qual codigo Delga realizamos essa reduçao - no A3 tem apenas A9792901919 .</text>
  </threadedComment>
  <threadedComment ref="Z80" dT="2026-05-14T02:56:28.21" personId="{FD083245-586C-4902-9CFA-5FB3EA0451CE}" id="{9AD07D01-7A28-4159-A9C7-0BAA2AB5CE21}">
    <text>Por favor, enviar em qual codigo Delga realizamos essa reduçao - no A3 tem apenas A9792901919 .</text>
  </threadedComment>
  <threadedComment ref="AC80" dT="2026-08-17T12:45:28.59" personId="{FD083245-586C-4902-9CFA-5FB3EA0451CE}" id="{F8F01AE3-0C87-4175-BE2D-E4130E4E353C}">
    <text>Não terá andamento - Julho/26</text>
  </threadedComment>
  <threadedComment ref="V82" dT="2026-03-19T18:57:18.10" personId="{FD083245-586C-4902-9CFA-5FB3EA0451CE}" id="{D96BD6C1-A00E-456E-B5B2-1D72D0329129}">
    <text>Valor associado ao volume de 1259 pcs  faturadas ( contra 1050 projetada em Budget, utilizada no calculo previsto)</text>
  </threadedComment>
  <threadedComment ref="I89" dT="2026-06-02T11:34:52.33" personId="{E4DAA72B-E3A2-44E7-9174-021DC08673AB}" id="{55FE89BC-2213-44FE-A124-56344DA4DBC7}">
    <text>20k referente a venda de lavadora NF589224 01/06/2026</text>
  </threadedComment>
  <threadedComment ref="I89" dT="2026-06-12T12:41:33.31" personId="{E4DAA72B-E3A2-44E7-9174-021DC08673AB}" id="{294B9A8B-DCA2-42ED-BA36-FAB0D67F0CEF}" parentId="{55FE89BC-2213-44FE-A124-56344DA4DBC7}">
    <text>26k referente a venda de sucata NF 589563
10/06/2026</text>
  </threadedComment>
  <threadedComment ref="U94" dT="2026-03-16T17:57:52.48" personId="{FD083245-586C-4902-9CFA-5FB3EA0451CE}" id="{3688039B-B610-4CD3-B2D3-44B6577C54EA}">
    <text xml:space="preserve">A planta possui um Budget de 20k mensal e esse mês gastou 28k - representando -0,05% de "redução real" sobre o faturamento total do mês. Resultando em 6k a mais do que o planejado.
</text>
  </threadedComment>
  <threadedComment ref="V94" dT="2026-03-16T17:55:52.60" personId="{FD083245-586C-4902-9CFA-5FB3EA0451CE}" id="{BBC5978B-3F4E-4AEB-85F5-A7EA1C414133}">
    <text xml:space="preserve">A planta possui um Budget de 40k mensal e esse mês gastou 110k - representando -0,43% de "redução" sobre o faturamento total do mês. Resultando em 67k a mais do que o planejado.
</text>
  </threadedComment>
  <threadedComment ref="N97" dT="2026-04-06T14:04:20.87" personId="{FD083245-586C-4902-9CFA-5FB3EA0451CE}" id="{02E07E83-1B8B-4A6C-97F0-20E0649452F3}">
    <text>Conversado com Bruno na semana passada, ele irá revisitar o projeto, pois tivemos algumas duvidas e precisamos entender como será feito a validação mensal desse kaizen</text>
  </threadedComment>
  <threadedComment ref="N97" dT="2026-05-07T15:14:16.99" personId="{FD083245-586C-4902-9CFA-5FB3EA0451CE}" id="{E51C52DC-49DF-4907-A962-E1021FE67830}" parentId="{02E07E83-1B8B-4A6C-97F0-20E0649452F3}">
    <text>Em revisao com Bruno, confirmar se iremos retirar esse projeto devido a forma de medição incompativel com o sistema</text>
  </threadedComment>
  <threadedComment ref="N97" dT="2026-08-17T12:58:31.14" personId="{FD083245-586C-4902-9CFA-5FB3EA0451CE}" id="{073ABC5F-222F-47E9-AD7C-E1ACE6CA2D08}" parentId="{02E07E83-1B8B-4A6C-97F0-20E0649452F3}">
    <text>Necessario confirmar se manteremos o projeto ou não.</text>
  </threadedComment>
  <threadedComment ref="P99" dT="2026-07-16T14:43:25.02" personId="{E4DAA72B-E3A2-44E7-9174-021DC08673AB}" id="{7A13B847-B627-457B-ACAE-5C13634B108A}">
    <text>03/08 é o prazo para retorno da Usina.</text>
  </threadedComment>
  <threadedComment ref="N103" dT="2026-05-14T18:48:37.09" personId="{FD083245-586C-4902-9CFA-5FB3EA0451CE}" id="{0D74F7D7-93F7-4476-AA1A-3DCB67E0A57C}">
    <text>Revisado em Abril - novo calculo de peso.</text>
  </threadedComment>
  <threadedComment ref="W108" dT="2026-04-20T17:36:51.16" personId="{FD083245-586C-4902-9CFA-5FB3EA0451CE}" id="{D90BA3A0-8033-4827-AC8F-956FBBE4FD65}">
    <text>Em alinhametno com Bruno (22/04) no momento = Sem retorno calculado, LT no sistema ainda consta com o peso antigo do material (8,403 e não 8,242kgs como proposto)</text>
  </threadedComment>
  <threadedComment ref="N109" dT="2026-03-20T13:46:42.27" personId="{FD083245-586C-4902-9CFA-5FB3EA0451CE}" id="{F8F3DFD2-F49E-4D24-BD03-5CAD63688474}">
    <text xml:space="preserve">Diferenças de cadastro - validar em reuniao.
Volume considerando apenas o  SV205Z - pois o 206Z não foi considerado no Budget.
</text>
  </threadedComment>
  <threadedComment ref="N109" dT="2026-05-07T15:15:38.92" personId="{FD083245-586C-4902-9CFA-5FB3EA0451CE}" id="{8359D321-2E52-491A-AC9E-DE10B43799A7}" parentId="{F8F3DFD2-F49E-4D24-BD03-5CAD63688474}">
    <text>Em revisao com Bruno - veirificar historico da LT cadastrada e processo atual (A premissa de validaçao é o Budget e na lista de 11/2025 não constavam esses materiais no cadastro..</text>
  </threadedComment>
  <threadedComment ref="O109" dT="2026-07-02T15:05:16.36" personId="{E4DAA72B-E3A2-44E7-9174-021DC08673AB}" id="{C64FD8F5-5D36-4C1E-81B1-BA8E2C0194DA}">
    <text>Item de baixo voluma. Quando entrar em produção, deve-se apurar os ganhos.</text>
  </threadedComment>
  <threadedComment ref="N111" dT="2026-03-19T20:15:46.40" personId="{FD083245-586C-4902-9CFA-5FB3EA0451CE}" id="{8AD98D8B-ED85-456D-B62C-7276F5911BAA}">
    <text>Ganho previsto considerando as duas peças - o valor de entrada das ultimas MPs está bem inferior ao projetado - compramos mais barato.
De cada blank saem 2pçs.</text>
  </threadedComment>
  <threadedComment ref="P113" dT="2026-07-03T12:50:28.62" personId="{E4DAA72B-E3A2-44E7-9174-021DC08673AB}" id="{8E33037D-9B7B-471C-8323-0C4A235583CA}">
    <text>Precisa consumir o estoque 17ton - 03/07/2026</text>
  </threadedComment>
  <threadedComment ref="N115" dT="2026-03-30T17:31:18.57" personId="{FD083245-586C-4902-9CFA-5FB3EA0451CE}" id="{0B6C7B7A-9CCB-4476-ACC8-7673B822528E}">
    <text>Aguardando Retorno Bruno para validação das informações cadastradas.</text>
  </threadedComment>
  <threadedComment ref="N115" dT="2026-04-06T14:01:10.40" personId="{FD083245-586C-4902-9CFA-5FB3EA0451CE}" id="{A6883C57-112D-42B4-9074-13B6F4B2CEDE}" parentId="{0B6C7B7A-9CCB-4476-ACC8-7673B822528E}">
    <text>Finalizado - volumes atualizados.</text>
  </threadedComment>
  <threadedComment ref="N115" dT="2026-05-07T13:29:07.78" personId="{FD083245-586C-4902-9CFA-5FB3EA0451CE}" id="{04DA306D-3E15-4CCE-B38F-DF7958A048CA}" parentId="{0B6C7B7A-9CCB-4476-ACC8-7673B822528E}">
    <text>Primeira validação = 102.560,41 
Material revisado, aplicado software AlmaCAM, trazendo um melhor aproveitamento da chapa, aumentando o ganho.</text>
  </threadedComment>
  <threadedComment ref="N117" dT="2026-03-17T20:45:27.66" personId="{FD083245-586C-4902-9CFA-5FB3EA0451CE}" id="{260B6D02-4416-45F3-8E82-6812914771FD}">
    <text>O Ganho sinalizado por Diadema no A3 é de 624 reais e não 5.625 como esta no previsto! Checar !!</text>
  </threadedComment>
  <threadedComment ref="W118" dT="2026-04-20T17:51:04.81" personId="{FD083245-586C-4902-9CFA-5FB3EA0451CE}" id="{4BF225A5-F752-4589-B1ED-02C5EEFEBC47}">
    <text>Material ainda não teve a LT alterada (Mar/Abr) - continua com o mesmo peso.</text>
  </threadedComment>
  <threadedComment ref="W120" dT="2026-04-20T17:53:13.21" personId="{FD083245-586C-4902-9CFA-5FB3EA0451CE}" id="{817153C8-6DC8-4DF2-B184-1B97EE56D69E}">
    <text>Item ainda não teve a LT alterada (Mar/Abr) - continuamos com o peso inicial de 0,554</text>
  </threadedComment>
  <threadedComment ref="W122" dT="2026-04-20T17:55:40.72" personId="{FD083245-586C-4902-9CFA-5FB3EA0451CE}" id="{298E6972-510E-4102-B577-CEA45B4F4B91}">
    <text xml:space="preserve">Item ainda não teve a LT alterada (Mar/Abr) - continuamos com o peso inicial de 0,261 e não 0,226 como proposta
</text>
  </threadedComment>
  <threadedComment ref="W124" dT="2026-04-22T11:39:41.61" personId="{FD083245-586C-4902-9CFA-5FB3EA0451CE}" id="{6DDA57E5-3655-4953-9569-CE5945E4F70F}">
    <text xml:space="preserve">Item ainda não teve a LT alterada (Mar/Abr) - continuamos com o peso inicial de 2,117 </text>
  </threadedComment>
  <threadedComment ref="C125" dT="2026-03-17T23:33:43.49" personId="{FD083245-586C-4902-9CFA-5FB3EA0451CE}" id="{AD46BC94-777C-48CC-9292-805537A3EF33}">
    <text>Código = MB003673AL ?</text>
  </threadedComment>
  <threadedComment ref="W126" dT="2026-04-22T11:43:21.75" personId="{FD083245-586C-4902-9CFA-5FB3EA0451CE}" id="{5897A164-4E0C-4EE3-8FA8-CA10A652B9CC}">
    <text>LT não alterada em Mar/Abr.</text>
  </threadedComment>
  <threadedComment ref="Y126" dT="2026-05-14T02:36:52.82" personId="{FD083245-586C-4902-9CFA-5FB3EA0451CE}" id="{7CEEFAAD-1CD5-405D-A68D-4C602F4F79CA}">
    <text>LT alterada para 0,572 e não 0,571 como no A3 previsto (ganho total reduzido de $635 para $611)</text>
  </threadedComment>
  <threadedComment ref="M127" dT="2026-03-17T22:20:34.60" personId="{FD083245-586C-4902-9CFA-5FB3EA0451CE}" id="{33242355-8A05-4206-830A-C59703272FBA}">
    <text>Estrutura não contem MP e a chapa sinalizada esta como subcontratação - ao valor de 100,27 reais. - planta = validar cadastros.</text>
  </threadedComment>
  <threadedComment ref="M127" dT="2026-04-06T14:38:13.77" personId="{FD083245-586C-4902-9CFA-5FB3EA0451CE}" id="{E7C25292-DFA8-4A12-BE65-EC8975A9E161}" parentId="{33242355-8A05-4206-830A-C59703272FBA}">
    <text>Cadastro validado, MP atualizada.
Budget considerado quantidade necessaria em Kgs maior que o utilizado, favorecendo o ganho nesse comparativo.</text>
  </threadedComment>
  <threadedComment ref="Y130" dT="2026-05-14T01:49:08.54" personId="{FD083245-586C-4902-9CFA-5FB3EA0451CE}" id="{809B165B-6796-4DA9-A728-3035529DB397}">
    <text>Validado sobre o peso informado no A3 - 3,217kgs (na lista atualizada esta com 3,205kgs - solicitado confirmaçao da planta.</text>
  </threadedComment>
  <threadedComment ref="I135" dT="2026-07-13T17:29:51.79" personId="{FD083245-586C-4902-9CFA-5FB3EA0451CE}" id="{13954A5D-0E36-4FBC-8226-FF1F513354B0}">
    <text>Revisado em Maio - vlores atualizados.</text>
  </threadedComment>
  <threadedComment ref="W136" dT="2026-04-20T18:00:16.08" personId="{FD083245-586C-4902-9CFA-5FB3EA0451CE}" id="{B8C6082A-1CA3-4C02-8F8C-D1C222F2224C}">
    <text xml:space="preserve">LT sem atualizaçao (Mar/Abr) - material com 5,211 e não com 4,750 como proposto.
</text>
  </threadedComment>
  <threadedComment ref="N139" dT="2026-04-29T17:30:54.06" personId="{FD083245-586C-4902-9CFA-5FB3EA0451CE}" id="{7498A677-8EF2-4F38-8764-AEDC2252145E}">
    <text>Kaizen não tem memoria de calculo - A MO reduzida foir realocada, desligada ?</text>
  </threadedComment>
  <threadedComment ref="N139" dT="2026-06-12T13:04:49.79" personId="{E4DAA72B-E3A2-44E7-9174-021DC08673AB}" id="{95EF0335-B5D5-4072-9D80-8E75046A31E0}" parentId="{7498A677-8EF2-4F38-8764-AEDC2252145E}">
    <text>@Carolina Reis Machado Rodrigues A MOD será desligada após a implementação do kaizen. A gente sempre usa como base o de custo de 10K/mês para a MOD. Quando ocorrer o desligamento, te enviarei a evidência.</text>
    <mentions>
      <mention mentionpersonId="{5E7F92EB-E611-4CB7-837B-7F6FB24D7B54}" mentionId="{8E35A23A-F24D-4B89-8C90-C381B3F0E720}" startIndex="0" length="32"/>
    </mentions>
  </threadedComment>
  <threadedComment ref="N145" dT="2026-04-29T17:21:49.53" personId="{FD083245-586C-4902-9CFA-5FB3EA0451CE}" id="{2E265D4F-8EAE-49CC-B73A-C3FBFA173303}">
    <text>Enviar evidencia do levantamento dos dados - R$650 gasolina utilizada / R$9mil da compra da água.
Para o Deionizador, gastaremos so o investimento ?
Mensalmente quais são os gastos dele ? 
Sera necessario um operador para isso ?</text>
  </threadedComment>
  <threadedComment ref="N147" dT="2026-04-29T17:56:40.16" personId="{FD083245-586C-4902-9CFA-5FB3EA0451CE}" id="{9CE49821-AD90-46C7-B1A0-02794ACF4E10}">
    <text>Considerado apenas o volume dos itens VW940Z_941Z - os demais não foram encontrados historicos</text>
  </threadedComment>
  <threadedComment ref="N149" dT="2026-04-29T19:42:25.31" personId="{FD083245-586C-4902-9CFA-5FB3EA0451CE}" id="{E37ACD5E-DE92-4E10-AC14-E7DA259C61E9}">
    <text>Volume maior Budget maior que o da proposta - considerando todos os itens GMxxxZ de Ago a Dez.
Necessario ainda passar o item vendavel que consome o DJxxxx</text>
  </threadedComment>
  <threadedComment ref="P149" dT="2026-07-16T14:52:01.95" personId="{E4DAA72B-E3A2-44E7-9174-021DC08673AB}" id="{A22FFF6D-5F12-4334-AF5E-3FD66C2B1F41}">
    <text/>
  </threadedComment>
  <threadedComment ref="N151" dT="2026-05-07T14:05:02.14" personId="{FD083245-586C-4902-9CFA-5FB3EA0451CE}" id="{CEB78264-27F6-4317-9E14-AA87CEB25979}">
    <text>Necessario verificar LT cadastrada atualmente, pois já tivemos um Kaizen validado desse mesmo material</text>
  </threadedComment>
  <threadedComment ref="P151" dT="2026-07-02T15:31:50.60" personId="{E4DAA72B-E3A2-44E7-9174-021DC08673AB}" id="{712E16CC-BEB3-49DC-8FF7-CFF5A426F97E}">
    <text>Necessário consumir o estoque</text>
  </threadedComment>
  <threadedComment ref="P153" dT="2026-07-02T15:32:45.55" personId="{E4DAA72B-E3A2-44E7-9174-021DC08673AB}" id="{36E18497-37A9-4FFC-A9EA-FE0140347E5F}">
    <text>Necessário consumir o estoque</text>
  </threadedComment>
  <threadedComment ref="P153" dT="2026-07-16T14:52:41.58" personId="{E4DAA72B-E3A2-44E7-9174-021DC08673AB}" id="{91C783D4-5B84-45DE-A9F3-9DEE21A08B1C}" parentId="{36E18497-37A9-4FFC-A9EA-FE0140347E5F}">
    <text>6ton</text>
  </threadedComment>
  <threadedComment ref="AA154" dT="2026-08-17T14:58:55.05" personId="{FD083245-586C-4902-9CFA-5FB3EA0451CE}" id="{E9F6D9CF-D71C-4AF8-80D2-A3B8117C18BA}">
    <text>LT AINDA NÃO FOI ALTERADA.</text>
  </threadedComment>
  <threadedComment ref="AC154" dT="2026-08-17T14:58:55.05" personId="{FD083245-586C-4902-9CFA-5FB3EA0451CE}" id="{C76A88FB-4592-4F73-BE4A-9FDFB4834478}">
    <text>LT AINDA NÃO FOI ALTERADA.</text>
  </threadedComment>
  <threadedComment ref="P155" dT="2026-07-02T15:33:36.27" personId="{E4DAA72B-E3A2-44E7-9174-021DC08673AB}" id="{D06ACC9D-673E-47C5-95AC-1CE9AEBEB2CD}">
    <text>Falta validação in loco</text>
  </threadedComment>
  <threadedComment ref="N157" dT="2026-08-17T15:05:48.61" personId="{FD083245-586C-4902-9CFA-5FB3EA0451CE}" id="{87E73996-F830-4ADB-AD82-437FE023E25B}">
    <text>LT atualizada com QTD maior do que o proposto (0,465 -&gt; 0,929) PARA (0,492 -&gt; 0,984)
Ganho reduzido já atualizado (Considerando proposta do projeto inicial - Maio a Dezembro)
Ganho inicial R$ de 138k</text>
  </threadedComment>
  <threadedComment ref="AA158" dT="2026-08-17T14:58:55.05" personId="{FD083245-586C-4902-9CFA-5FB3EA0451CE}" id="{ACDBC44D-16FD-4924-BBCA-991A0399B4BC}">
    <text>LT AINDA NÃO FOI ALTERADA PARA JUNHO</text>
  </threadedComment>
  <threadedComment ref="N161" dT="2026-05-27T15:25:58.10" personId="{FD083245-586C-4902-9CFA-5FB3EA0451CE}" id="{1C15A06B-72CF-48D2-ADBD-69452259D7E6}">
    <text>Verificar chapa proposta - não encontrada no sistema. Necessário orçamento, para calcular os valores .</text>
  </threadedComment>
  <threadedComment ref="P161" dT="2026-07-16T15:10:22.75" personId="{E4DAA72B-E3A2-44E7-9174-021DC08673AB}" id="{83E36BC1-12DE-48C1-B699-BA019536783A}">
    <text>A Engenharia precisa criar um cadastro e plano de corte para enviar ao fornecedor.</text>
  </threadedComment>
  <threadedComment ref="P163" dT="2026-07-16T16:54:07.15" personId="{E4DAA72B-E3A2-44E7-9174-021DC08673AB}" id="{BF129A0C-8BDA-408D-B085-925C7B56D91D}">
    <text>14mil blanks em estoque. 28 peças. Temos que reavaliar o ponto de corte.</text>
  </threadedComment>
  <threadedComment ref="F180" dT="2026-07-02T13:47:39.41" personId="{26ABD6DC-33C5-4BF6-992B-E447033265A7}" id="{44052750-9FD1-4646-A3AF-D649FB402189}">
    <text>É realizado o relatório de produção atravez do EGA.</text>
  </threadedComment>
  <threadedComment ref="P224" dT="2026-02-05T14:34:25.09" personId="{B0A81E74-5926-45BD-873A-6F4BF1F3D8BA}" id="{4C844F29-B281-4629-83D1-E7AD1576E12D}">
    <text>Automático conforme preenchimento de datas no controle enviado pelo Elio.</text>
  </threadedComment>
</ThreadedComments>
</file>

<file path=xl/threadedComments/threadedComment2.xml><?xml version="1.0" encoding="utf-8"?>
<ThreadedComments xmlns="http://schemas.microsoft.com/office/spreadsheetml/2018/threadedcomments" xmlns:x="http://schemas.openxmlformats.org/spreadsheetml/2006/main">
  <threadedComment ref="O4" dT="2026-01-30T11:27:03.63" personId="{B0A81E74-5926-45BD-873A-6F4BF1F3D8BA}" id="{6C5D3DFA-3171-4014-A768-5936E9F1A5DC}">
    <text xml:space="preserve">Nota técnica: O ranking considera valores potenciais distintos. Em caso de empate, recomenda-se ajuste mínimo (ex.: 0,001). </text>
  </threadedComment>
  <threadedComment ref="B5" dT="2026-05-04T10:35:56.33" personId="{26ABD6DC-33C5-4BF6-992B-E447033265A7}" id="{05296EBE-5199-457C-BB20-6637F2574CB3}">
    <text>Foi desconsiderado projetos de MOD valor de 1.25M</text>
  </threadedComment>
  <threadedComment ref="N8" dT="2026-03-09T17:55:44.39" personId="{B0A81E74-5926-45BD-873A-6F4BF1F3D8BA}" id="{701FAD2B-41AC-4D18-972F-9E580F4EBF4A}">
    <text>Alinhamento junto ao Plant Manager</text>
  </threadedComment>
  <threadedComment ref="AD10" dT="2026-03-10T10:42:17.82" personId="{26ABD6DC-33C5-4BF6-992B-E447033265A7}" id="{3754B9AF-2423-4845-955C-144BA4799462}">
    <text>Atraso de validação de custos.</text>
  </threadedComment>
  <threadedComment ref="AD11" dT="2026-03-10T10:42:10.71" personId="{26ABD6DC-33C5-4BF6-992B-E447033265A7}" id="{6780A1B4-3784-42DE-964D-65576B57665B}">
    <text>Atraso de validação de custos.</text>
  </threadedComment>
  <threadedComment ref="AD12" dT="2026-03-10T10:41:35.87" personId="{26ABD6DC-33C5-4BF6-992B-E447033265A7}" id="{4C52FC0D-D44C-4E1A-B0B2-472E2A409943}">
    <text>Atraso de validação de custos.</text>
  </threadedComment>
  <threadedComment ref="AD13" dT="2026-03-10T10:42:00.50" personId="{26ABD6DC-33C5-4BF6-992B-E447033265A7}" id="{903C14F0-73A2-424A-A80B-FAFB62E493CC}">
    <text>Atraso de validação de custos.</text>
  </threadedComment>
  <threadedComment ref="AD18" dT="2026-03-10T10:54:32.21" personId="{26ABD6DC-33C5-4BF6-992B-E447033265A7}" id="{AFDD9F63-1752-48FE-8DCC-EB088355A160}">
    <text>Aguardando Compras</text>
  </threadedComment>
  <threadedComment ref="AD24" dT="2026-03-10T10:57:28.59" personId="{26ABD6DC-33C5-4BF6-992B-E447033265A7}" id="{6B9801FA-247A-406C-A2F2-83F94F8BBA09}">
    <text>Pendente compras</text>
  </threadedComment>
  <threadedComment ref="AD25" dT="2026-03-10T10:58:13.59" personId="{26ABD6DC-33C5-4BF6-992B-E447033265A7}" id="{7A5CB152-6C47-4CC7-BA82-79C27187D6FF}">
    <text>Pendente Compras</text>
  </threadedComment>
  <threadedComment ref="G28" dT="2026-02-16T13:14:17.70" personId="{B0A81E74-5926-45BD-873A-6F4BF1F3D8BA}" id="{B72163E5-17FB-420F-9BD8-A7F295B88023}">
    <text xml:space="preserve">Aguardando Sergio 
</text>
  </threadedComment>
  <threadedComment ref="B29" dT="2026-02-06T14:54:27.57" personId="{B0A81E74-5926-45BD-873A-6F4BF1F3D8BA}" id="{07400FC9-6285-4863-9894-0527D1EFE75F}">
    <text xml:space="preserve">Atualização da informação sempre no SETIMO dia útil - By Paulo Ribeiro Controladoria </text>
  </threadedComment>
  <threadedComment ref="B30" dT="2026-02-06T14:54:34.70" personId="{B0A81E74-5926-45BD-873A-6F4BF1F3D8BA}" id="{66F9DF06-A4E7-45D9-AC2A-CBE266FE0DBB}">
    <text xml:space="preserve">Atualização da informação sempre no SETIMO dia útil - By Paulo Ribeiro Controladoria 
</text>
  </threadedComment>
  <threadedComment ref="T30" dT="2026-02-06T14:54:34.70" personId="{B0A81E74-5926-45BD-873A-6F4BF1F3D8BA}" id="{2675FB6E-613E-4E9C-B0EA-37F0E2D38DA1}">
    <text xml:space="preserve">Atualização da informação sempre no SETIMO dia útil - By Paulo Ribeiro Controladoria 
</text>
  </threadedComment>
  <threadedComment ref="B32" dT="2026-02-06T14:54:41.00" personId="{B0A81E74-5926-45BD-873A-6F4BF1F3D8BA}" id="{ECE3338E-1AA7-445A-8EDD-A25F7DB0FA73}">
    <text xml:space="preserve">Atualização da informação sempre no SETIMO dia útil - By Paulo Ribeiro Controladoria </text>
  </threadedComment>
  <threadedComment ref="T32" dT="2026-02-06T14:54:41.00" personId="{B0A81E74-5926-45BD-873A-6F4BF1F3D8BA}" id="{46469C05-6E0E-4A72-8E40-FB9E8003E701}">
    <text xml:space="preserve">Atualização da informação sempre no SETIMO dia útil - By Paulo Ribeiro Controladoria </text>
  </threadedComment>
  <threadedComment ref="B42" dT="2026-02-06T14:54:21.32" personId="{B0A81E74-5926-45BD-873A-6F4BF1F3D8BA}" id="{9A77F069-39DE-4879-A602-314E17DD9562}">
    <text xml:space="preserve">Atualização da informação sempre no SETIMO dia útil - By Paulo Ribeiro Controladoria </text>
  </threadedComment>
  <threadedComment ref="T42" dT="2026-02-06T14:54:21.32" personId="{B0A81E74-5926-45BD-873A-6F4BF1F3D8BA}" id="{97F5D9CD-0C6A-4861-9723-193CBB305BF6}">
    <text xml:space="preserve">Atualização da informação sempre no SETIMO dia útil - By Paulo Ribeiro Controladoria </text>
  </threadedComment>
  <threadedComment ref="I55" dT="2026-06-16T10:42:46.18" personId="{26ABD6DC-33C5-4BF6-992B-E447033265A7}" id="{0531DA1A-FCB5-46D1-B52E-F0D28782D7B3}">
    <text>Era previsto R$ 560.00</text>
  </threadedComment>
  <threadedComment ref="C57" dT="2026-08-12T10:54:29.27" personId="{26ABD6DC-33C5-4BF6-992B-E447033265A7}" id="{9E799D5B-DC65-450B-94C0-8F37F445E3C7}">
    <text xml:space="preserve">@Willian Avigni Matos </text>
    <mentions>
      <mention mentionpersonId="{CA0B0B80-7BA3-4028-8F29-94811BB8FD1A}" mentionId="{44BA5EB9-6110-428C-91F8-68361C7C0341}" startIndex="0" length="21"/>
    </mentions>
  </threadedComment>
  <threadedComment ref="C59" dT="2026-07-07T10:48:41.17" personId="{26ABD6DC-33C5-4BF6-992B-E447033265A7}" id="{EF7C7F25-BC58-45E1-B506-31675D5F1721}">
    <text>Até 13/07</text>
  </threadedComment>
  <threadedComment ref="C61" dT="2026-04-28T10:39:48.05" personId="{26ABD6DC-33C5-4BF6-992B-E447033265A7}" id="{6A086458-C5FC-44FA-A10A-1138F44AB92B}">
    <text>Aguardando retorno de compras</text>
  </threadedComment>
  <threadedComment ref="N63" dT="2026-03-19T18:57:45.46" personId="{FD083245-586C-4902-9CFA-5FB3EA0451CE}" id="{DE666EB3-089E-4E57-966F-BF9D7647287E}">
    <text>Aguardando arquivo final da planta - conversado com Felipe em 19/03..</text>
  </threadedComment>
  <threadedComment ref="C67" dT="2026-05-05T10:34:34.93" personId="{26ABD6DC-33C5-4BF6-992B-E447033265A7}" id="{259014A4-F410-4907-B0C3-378CBE17AD68}">
    <text>946AD não da altura para entrar a ferramenta, 325 rasgo da base superior 06/05</text>
  </threadedComment>
  <threadedComment ref="C67" dT="2026-08-14T10:36:54.11" personId="{9AE354B1-51C3-4B85-92AA-572396B73F50}" id="{D331F672-8196-459E-BD48-6EADFBCBF664}" parentId="{259014A4-F410-4907-B0C3-378CBE17AD68}">
    <text>Cadastro alterado até quarta dia 19/08</text>
  </threadedComment>
  <threadedComment ref="I67" dT="2026-06-11T10:54:22.81" personId="{26ABD6DC-33C5-4BF6-992B-E447033265A7}" id="{70407FA3-5E8E-47B1-A2BD-CFC5BA48DFA1}">
    <text>Não foi validado por custos: R$ 1.459,30</text>
  </threadedComment>
  <threadedComment ref="C69" dT="2026-08-10T10:41:13.11" personId="{26ABD6DC-33C5-4BF6-992B-E447033265A7}" id="{34E7657A-2331-41DF-B89B-1560C533F04A}">
    <text>@Jonathan Henrique Alves Justificar</text>
    <mentions>
      <mention mentionpersonId="{E36B4B42-1313-4E54-98DD-8FD1947BDDB1}" mentionId="{1FB80CBF-16F1-4665-A4AE-697B97DA1543}" startIndex="0" length="24"/>
    </mentions>
  </threadedComment>
  <threadedComment ref="E77" dT="2026-08-10T10:42:52.59" personId="{26ABD6DC-33C5-4BF6-992B-E447033265A7}" id="{30425816-C2A3-4408-A387-DCFB152B133B}">
    <text>Itens transferidos para outra unidade</text>
  </threadedComment>
  <threadedComment ref="C79" dT="2026-04-30T10:52:10.85" personId="{26ABD6DC-33C5-4BF6-992B-E447033265A7}" id="{49ADE79C-0C1C-4AA7-B55B-03DBB53F727F}">
    <text>Novo projeto 08/05</text>
  </threadedComment>
  <threadedComment ref="W80" dT="2026-04-20T18:19:38.01" personId="{FD083245-586C-4902-9CFA-5FB3EA0451CE}" id="{9815DC04-D558-4F0A-BE96-30EE24BA0F2F}">
    <text>LT ainda não foi atuzalizada com o peso proposto (Mar/Abr)</text>
  </threadedComment>
  <threadedComment ref="Y80" dT="2026-04-20T18:19:38.01" personId="{FD083245-586C-4902-9CFA-5FB3EA0451CE}" id="{DD81C8B2-1D10-4424-B2F5-852E89B5B727}">
    <text>LT ainda não foi atuzalizada com o peso proposto (Mar/Abr)</text>
  </threadedComment>
  <threadedComment ref="C81" dT="2026-04-30T10:53:25.66" personId="{26ABD6DC-33C5-4BF6-992B-E447033265A7}" id="{1EBDDAE5-0CEB-4795-A49A-31937CB11171}">
    <text>Validar com a Carol 04/05</text>
  </threadedComment>
  <threadedComment ref="I81" dT="2026-08-17T12:00:16.84" personId="{FD083245-586C-4902-9CFA-5FB3EA0451CE}" id="{D088280A-F6EB-4C7A-9B19-D19A580AC357}">
    <text xml:space="preserve">Revisado, pois reduziu mais que o proposto. DE 1,7kgs PARA 1,655Kgs --&gt; 
R$25.661,61 (Julho a Dezembro)
</text>
  </threadedComment>
  <threadedComment ref="M81" dT="2026-02-25T23:20:16.09" personId="{BD1CECAE-92B5-4FFC-9A27-B8FA1D076FE7}" id="{AB851EF9-8729-47FC-BE49-1F675A6ED8DB}">
    <text>Realizar novo calculo -3,0mm</text>
  </threadedComment>
  <threadedComment ref="N81" dT="2026-03-20T17:18:20.80" personId="{FD083245-586C-4902-9CFA-5FB3EA0451CE}" id="{621E6978-943B-4A0D-8A8C-E80AB318078B}">
    <text>Cadastro no SAP já é menor que o proposto.
REVISÃO dos cadastros e nova analise realizada em Abril/26 - cenarios OK.</text>
  </threadedComment>
  <threadedComment ref="Y82" dT="2026-04-20T18:19:38.01" personId="{FD083245-586C-4902-9CFA-5FB3EA0451CE}" id="{1CE1AE6D-6159-45B5-BBE7-123B5B3A7C3E}">
    <text>LT ainda não foi atuzalizada com o peso proposto (Mar/Abr).</text>
  </threadedComment>
  <threadedComment ref="Z82" dT="2026-04-20T18:19:38.01" personId="{FD083245-586C-4902-9CFA-5FB3EA0451CE}" id="{CDCF625B-19E9-47A4-9E05-24A7F26BAD4D}">
    <text>LT ainda não foi atualizada com o peso proposto (Abr/Mai).</text>
  </threadedComment>
  <threadedComment ref="AA82" dT="2026-04-20T18:19:38.01" personId="{FD083245-586C-4902-9CFA-5FB3EA0451CE}" id="{61091C02-DED5-4768-882D-59AF107376DE}">
    <text>LT ainda não foi atualizada com o peso proposto (Jun).</text>
  </threadedComment>
  <threadedComment ref="I83" dT="2026-08-17T12:07:37.36" personId="{FD083245-586C-4902-9CFA-5FB3EA0451CE}" id="{282B3DC1-0EBC-4EF6-AFCE-B2E0294B8ED4}">
    <text xml:space="preserve">Revisado, pois reduziu mais que o proposto. DE 1,7kgs PARA 1,655Kgs --&gt; 
R$46.796 (Julho a Dezembro)
</text>
  </threadedComment>
  <threadedComment ref="M83" dT="2026-02-25T23:20:16.09" personId="{BD1CECAE-92B5-4FFC-9A27-B8FA1D076FE7}" id="{0693862C-7E65-42C2-BCF0-B931BF946D1C}">
    <text>Realizar novo calculo -3,0mm</text>
  </threadedComment>
  <threadedComment ref="W84" dT="2026-04-20T18:21:46.20" personId="{FD083245-586C-4902-9CFA-5FB3EA0451CE}" id="{F2DD8365-8DDE-42B0-9CEB-03690EA342DC}">
    <text>LT ainda não foi atualizada com o peso proposto (Mar/Abr)</text>
  </threadedComment>
  <threadedComment ref="Y84" dT="2026-04-20T18:19:38.01" personId="{FD083245-586C-4902-9CFA-5FB3EA0451CE}" id="{5F19A1DA-1E40-4ACE-B0D3-DCF9DBA7FB7C}">
    <text>LT ainda não foi atuzalizada com o peso proposto (Mar/Abr).</text>
  </threadedComment>
  <threadedComment ref="M85" dT="2026-02-25T23:23:06.37" personId="{BD1CECAE-92B5-4FFC-9A27-B8FA1D076FE7}" id="{ED06F117-19B0-4A8A-ABB3-E35C1A30CD3C}">
    <text>Invalidado por compras</text>
  </threadedComment>
  <threadedComment ref="M85" dT="2026-02-26T10:49:51.80" personId="{BD1CECAE-92B5-4FFC-9A27-B8FA1D076FE7}" id="{D0270AF4-5D76-4F0B-8240-C6FF7DFB529F}" parentId="{ED06F117-19B0-4A8A-ABB3-E35C1A30CD3C}">
    <text>Bucar refilo</text>
  </threadedComment>
  <threadedComment ref="N85" dT="2026-03-19T12:25:02.01" personId="{FD083245-586C-4902-9CFA-5FB3EA0451CE}" id="{9FA81C51-ECE8-48B8-8E27-AFF118DE533C}">
    <text>Material com PESO cadastrado (3,202 p/peça) já menor do que o proposto (3,36 p/peça)
Aguardando reenvio das informações pela planta</text>
  </threadedComment>
  <threadedComment ref="C87" dT="2026-08-10T10:44:51.83" personId="{26ABD6DC-33C5-4BF6-992B-E447033265A7}" id="{B7646165-9B2A-44FD-B8FC-47DCE5C4A1D3}">
    <text>@Jonathan Henrique Alves  reavaliar projeto com a solução que Ferraz implementou.</text>
    <mentions>
      <mention mentionpersonId="{E36B4B42-1313-4E54-98DD-8FD1947BDDB1}" mentionId="{D46DB159-284C-4D29-93C6-4792C2FBEB25}" startIndex="0" length="24"/>
    </mentions>
  </threadedComment>
  <threadedComment ref="Y88" dT="2026-05-14T12:31:26.37" personId="{FD083245-586C-4902-9CFA-5FB3EA0451CE}" id="{CCA0F6B9-5AEE-4306-A478-DF9D4560BEC9}">
    <text>Aguardando confirmaçaõ das informações  para as consultas de entrada de NFs.</text>
  </threadedComment>
  <threadedComment ref="C93" dT="2026-04-22T10:44:49.14" personId="{26ABD6DC-33C5-4BF6-992B-E447033265A7}" id="{B4DC188F-9E1E-4E0E-9979-8617D9A5C069}">
    <text>Validar com a Carol retorno financeiro</text>
  </threadedComment>
  <threadedComment ref="W94" dT="2026-04-20T18:24:16.37" personId="{FD083245-586C-4902-9CFA-5FB3EA0451CE}" id="{C63BF4A8-873A-40EE-AD07-202C1CD30716}">
    <text>LT ainda não atualizada com o peso proposto (Mr/Abr)</text>
  </threadedComment>
  <threadedComment ref="I99" dT="2026-05-21T10:10:13.63" personId="{26ABD6DC-33C5-4BF6-992B-E447033265A7}" id="{9F02E5C6-DA97-4C79-B2F8-AC5042B4F8AF}">
    <text>Valor foi desconsiderado de 359.000</text>
  </threadedComment>
  <threadedComment ref="M99" dT="2026-04-27T12:18:51.16" personId="{FD083245-586C-4902-9CFA-5FB3EA0451CE}" id="{41E4FF92-F2E4-41A4-9B1A-DD84FA4750DA}">
    <text>Checar memoria de calculo - informações de RT.</text>
  </threadedComment>
  <threadedComment ref="Y106" dT="2026-06-08T12:24:32.15" personId="{FD083245-586C-4902-9CFA-5FB3EA0451CE}" id="{D8B64661-99DB-48BD-B6C0-344BC1B41EF6}">
    <text>LT não atualizada Abril/26</text>
  </threadedComment>
  <threadedComment ref="Z106" dT="2026-06-08T12:24:20.12" personId="{FD083245-586C-4902-9CFA-5FB3EA0451CE}" id="{27F3DDB3-8C28-4B0D-B732-ADE3939E1368}">
    <text>LT não atualizada fechamento Maio/26</text>
  </threadedComment>
  <threadedComment ref="AA106" dT="2026-06-08T12:24:20.12" personId="{FD083245-586C-4902-9CFA-5FB3EA0451CE}" id="{B9552399-BC20-4525-9F5E-3780E901530E}">
    <text>LT não atualizada fechamento Junho/26</text>
  </threadedComment>
  <threadedComment ref="N107" dT="2026-04-10T19:17:57.67" personId="{FD083245-586C-4902-9CFA-5FB3EA0451CE}" id="{B8F54696-81D6-49EF-80CF-D8F1CD636EC4}">
    <text xml:space="preserve">Memoria de calculo para validação real, deve conter as mesmas informações. Itens - qtds de ensaios - vlrs </text>
  </threadedComment>
  <threadedComment ref="N107" dT="2026-05-28T15:03:38.33" personId="{FD083245-586C-4902-9CFA-5FB3EA0451CE}" id="{9928485E-DDB4-4B59-A84D-FF0AEEAEDA8C}" parentId="{B8F54696-81D6-49EF-80CF-D8F1CD636EC4}">
    <text>Alinhado que teremos mais um mês de ensaios nessa frequencia para validar o retorno real (Andreia)</text>
  </threadedComment>
  <threadedComment ref="N109" dT="2026-03-30T17:29:43.78" personId="{FD083245-586C-4902-9CFA-5FB3EA0451CE}" id="{EBC93353-4B0C-4B3F-930F-FA60C97CD8B2}">
    <text>Para que seja possivel validaçao real, importante enviar evidencia do fornecedor com a cobrança de uma impressora a menos na planta.</text>
  </threadedComment>
  <threadedComment ref="D111" dT="2026-08-14T10:47:02.77" personId="{9AE354B1-51C3-4B85-92AA-572396B73F50}" id="{9E672634-97B3-4313-929B-089A6315133B}">
    <text>Confirmação sobre empilhadeira no nosso piso - 17/08</text>
  </threadedComment>
  <threadedComment ref="N111" dT="2026-05-28T13:49:29.29" personId="{FD083245-586C-4902-9CFA-5FB3EA0451CE}" id="{63D0E797-D039-4C54-9332-2E9871DB99B3}">
    <text>Ajustado conforme memoria de calculo da economia de energia enviada pelo Fornecedor e calculo de ganho para 7 meses (em 2026)</text>
  </threadedComment>
  <threadedComment ref="N115" dT="2026-04-27T13:39:38.24" personId="{FD083245-586C-4902-9CFA-5FB3EA0451CE}" id="{80BDD79D-ED9E-406F-8132-4FD5FF6A99AA}">
    <text>Em standby - aguardando definição da Diretoria se seguiremos com projetos de energia.</text>
  </threadedComment>
  <threadedComment ref="N115" dT="2026-05-07T17:17:54.06" personId="{FD083245-586C-4902-9CFA-5FB3EA0451CE}" id="{22F894AE-9B00-4739-97E0-9ED40F3BF821}" parentId="{80BDD79D-ED9E-406F-8132-4FD5FF6A99AA}">
    <text xml:space="preserve">DEFINIDO que esse tipo de Kaizen deve sair do controle - deve ser considerado nas questões de performance.
</text>
  </threadedComment>
  <threadedComment ref="C117" dT="2026-08-14T10:52:08.23" personId="{9AE354B1-51C3-4B85-92AA-572396B73F50}" id="{E0AD14E8-41AE-4604-A357-4587C54D9206}">
    <text>Teste 20 blanks para diadema segunda 17/08</text>
  </threadedComment>
  <threadedComment ref="N119" dT="2026-05-15T16:43:35.95" personId="{FD083245-586C-4902-9CFA-5FB3EA0451CE}" id="{15116070-67E9-4519-BD81-5EDBF2A0FB07}">
    <text>Envio de 3 NFs - duas emitidas por Jarinu e uma de 50k é referente ao ativo da anchieta, já considerado na planta.
Valores entraram no resultado em Janeiro/26 (controladoria)</text>
  </threadedComment>
  <threadedComment ref="U120" dT="2026-05-21T17:01:45.77" personId="{FD083245-586C-4902-9CFA-5FB3EA0451CE}" id="{3F4E69B5-C0FB-4718-AFE7-F2908AC5B96D}">
    <text>Retorno Real esta sendo validado, visto que a contabilidade sinalizou que alguns itens ainda podem ter depreciação.</text>
  </threadedComment>
  <threadedComment ref="F147" dT="2026-07-01T12:45:10.88" personId="{F1B12E91-4F90-4E4F-8F59-45E767A5AD8E}" id="{EE982285-1D51-4BDE-82E3-A224B08CE463}">
    <text>Usam o documento correto, porém, ata de reunião está faltando quem foi o representante onde consta "Reportado". Form.370 sem atrasos, OK.</text>
  </threadedComment>
  <threadedComment ref="F148" dT="2026-07-01T12:45:27.40" personId="{F1B12E91-4F90-4E4F-8F59-45E767A5AD8E}" id="{3BD242C6-30B9-42F1-B432-846BE6239335}">
    <text>Documentação correta / Falta motivo no verso (Ocorrências) da meta programada da hora não realizada - PROG:27 - REAL: 23.</text>
  </threadedComment>
  <threadedComment ref="F150" dT="2026-07-01T14:48:08.02" personId="{F1B12E91-4F90-4E4F-8F59-45E767A5AD8E}" id="{26A86692-3C64-44C1-80ED-24A8A02F21E4}">
    <text xml:space="preserve">Evidenciado somente OEE da Prensa ISGEC, onde o EGA está ausente é acompanhado pelo BI </text>
  </threadedComment>
  <threadedComment ref="F151" dT="2026-07-01T14:48:15.99" personId="{F1B12E91-4F90-4E4F-8F59-45E767A5AD8E}" id="{C7956D39-F6AA-49B3-BB6F-08E81F13CA19}">
    <text xml:space="preserve">Evidenciado somente OEE da Prensa ISGEC, onde o EGA está ausente é acompanhado pelo BI </text>
  </threadedComment>
  <threadedComment ref="F152" dT="2026-07-01T12:45:49.75" personId="{F1B12E91-4F90-4E4F-8F59-45E767A5AD8E}" id="{0CE46F6A-60F1-4617-A37C-9E28F103EE02}">
    <text>Projetos em atraso e/ou falta de acompanhamento nos projetos.</text>
  </threadedComment>
  <threadedComment ref="H157" dT="2026-06-08T13:11:18.19" personId="{A45066BC-B1A9-4E1C-B993-A135D85F8452}" id="{F8D18132-89D2-4774-8CEE-81B22DC1EA1E}">
    <text>Informações do Form 206  como Material utilizado no processo  e tempo diferem do que esta no SAP</text>
  </threadedComment>
  <threadedComment ref="P179" dT="2026-02-05T14:34:25.09" personId="{B0A81E74-5926-45BD-873A-6F4BF1F3D8BA}" id="{841E5A5B-4A15-4C2D-9A2C-331DE4D2F1E7}">
    <text>Automático conforme preenchimento de datas no controle enviado pelo Elio.</text>
  </threadedComment>
</ThreadedComments>
</file>

<file path=xl/threadedComments/threadedComment3.xml><?xml version="1.0" encoding="utf-8"?>
<ThreadedComments xmlns="http://schemas.microsoft.com/office/spreadsheetml/2018/threadedcomments" xmlns:x="http://schemas.openxmlformats.org/spreadsheetml/2006/main">
  <threadedComment ref="O4" dT="2026-01-30T11:27:03.63" personId="{B0A81E74-5926-45BD-873A-6F4BF1F3D8BA}" id="{AD15BF91-1EB0-4ECC-ACCD-AEFFBEFBA4CB}">
    <text xml:space="preserve">Nota técnica: O ranking considera valores potenciais distintos. Em caso de empate, recomenda-se ajuste mínimo (ex.: 0,001). </text>
  </threadedComment>
  <threadedComment ref="U6" dT="2026-06-01T20:11:46.41" personId="{A45066BC-B1A9-4E1C-B993-A135D85F8452}" id="{2ED46F5D-C043-4F15-8C21-F2B393F14266}">
    <text>Desenvolver um formulário mais dinâmico
Emerson e Gleidson</text>
  </threadedComment>
  <threadedComment ref="U7" dT="2026-06-01T20:17:21.46" personId="{A45066BC-B1A9-4E1C-B993-A135D85F8452}" id="{30FE3D46-3BB5-473F-B2BD-B0F3CC2E8E96}">
    <text>Validar com Compras os itens que já tivemos retorno da Usina
Gleidson</text>
  </threadedComment>
  <threadedComment ref="U7" dT="2026-06-10T11:17:51.04" personId="{A45066BC-B1A9-4E1C-B993-A135D85F8452}" id="{7E95C460-2CD3-4CDA-AAD9-ACF9C1B90B1F}" parentId="{30FE3D46-3BB5-473F-B2BD-B0F3CC2E8E96}">
    <text>Retorno de Compras de R$ 772K com Usina - Enviar para Emerson as evidÊncias
Revisar Lista técnica após validação de custo e entrada do novo material</text>
  </threadedComment>
  <threadedComment ref="N8" dT="2026-03-09T17:55:44.39" personId="{B0A81E74-5926-45BD-873A-6F4BF1F3D8BA}" id="{5110C3B8-5C7B-4C9D-91B2-DAC91C1E0F3F}">
    <text>Alinhamento junto ao Plant Manager</text>
  </threadedComment>
  <threadedComment ref="U8" dT="2026-06-10T11:09:47.33" personId="{A45066BC-B1A9-4E1C-B993-A135D85F8452}" id="{578FF154-B75C-4530-9B6E-446E05CA3B64}">
    <text xml:space="preserve">Custos alega que a taxa horária interna esta maior que externa 
Gleidson enviou a crono analise dos itens que são feitos na laser </text>
  </threadedComment>
  <threadedComment ref="U11" dT="2026-06-01T20:19:26.33" personId="{A45066BC-B1A9-4E1C-B993-A135D85F8452}" id="{656AB246-5EE5-417E-BB59-A2F3B64AEEB7}">
    <text>Numero de PNs reduziu, necessidade de validar com o Emerson
Gleidson</text>
  </threadedComment>
  <threadedComment ref="U14" dT="2026-06-10T11:32:05.59" personId="{A45066BC-B1A9-4E1C-B993-A135D85F8452}" id="{169813D5-4589-48ED-9F53-B1864F8B4DCC}">
    <text xml:space="preserve">Verificar com Emerson como esta sendo apurado 
</text>
  </threadedComment>
  <threadedComment ref="U15" dT="2026-06-10T11:32:42.03" personId="{A45066BC-B1A9-4E1C-B993-A135D85F8452}" id="{A41F462D-4B83-4C8D-BF49-F0141BEC7925}">
    <text>Verificar Consumo com Paulo Ribeiro
Conta de Manutenção vem apresentando Saving mensalmente</text>
  </threadedComment>
  <threadedComment ref="U16" dT="2026-06-01T20:34:48.83" personId="{A45066BC-B1A9-4E1C-B993-A135D85F8452}" id="{CFD4E37F-390E-41A8-8D2A-2993982999D3}">
    <text>Falta enviar material para Emerson
Gleidson</text>
  </threadedComment>
  <threadedComment ref="U17" dT="2026-06-01T20:35:00.45" personId="{A45066BC-B1A9-4E1C-B993-A135D85F8452}" id="{3229778D-949F-4E09-8F6E-B88712196FE4}">
    <text xml:space="preserve">Falta enviar material para Emerson
Gleidson
</text>
  </threadedComment>
  <threadedComment ref="U18" dT="2026-06-01T20:35:27.98" personId="{A45066BC-B1A9-4E1C-B993-A135D85F8452}" id="{B2FC7EC7-46E2-4BA1-AD66-7CCB20EECDC5}">
    <text xml:space="preserve">Agendar reunião com Elison e Emerson
Gleidson
</text>
  </threadedComment>
  <threadedComment ref="U21" dT="2026-06-01T20:43:05.05" personId="{A45066BC-B1A9-4E1C-B993-A135D85F8452}" id="{1FB1C2F9-91F8-43AE-A0C1-B4EA3C61298D}">
    <text>Montar Base de Calculo para enviar para Custos
Gleidson</text>
  </threadedComment>
  <threadedComment ref="U22" dT="2026-06-01T20:44:39.39" personId="{A45066BC-B1A9-4E1C-B993-A135D85F8452}" id="{1F6683AB-DBB1-4C00-81CD-35069099378F}">
    <text>Falta validação de Custos
Fabiana</text>
  </threadedComment>
  <threadedComment ref="U23" dT="2026-06-01T20:45:38.02" personId="{A45066BC-B1A9-4E1C-B993-A135D85F8452}" id="{31DCFE99-45E0-4061-BB45-C33C60A32099}">
    <text>Montar A3 
Anderson dos Santos</text>
  </threadedComment>
  <threadedComment ref="U24" dT="2026-06-01T20:47:16.15" personId="{A45066BC-B1A9-4E1C-B993-A135D85F8452}" id="{5BBE9062-337B-4AAD-AE33-2540727DF964}">
    <text>Falta A3
Evangelista</text>
  </threadedComment>
  <threadedComment ref="U25" dT="2026-06-01T20:57:20.83" personId="{A45066BC-B1A9-4E1C-B993-A135D85F8452}" id="{61D7DC84-078C-4C5A-B52D-7AE951F2D15A}">
    <text>Aumentar Escopo considerando mais máquinas
Elio + Gleidson</text>
  </threadedComment>
  <threadedComment ref="B29" dT="2026-02-06T14:54:27.57" personId="{B0A81E74-5926-45BD-873A-6F4BF1F3D8BA}" id="{16FEEFB8-8C4A-4A09-9BAE-B898A306C185}">
    <text xml:space="preserve">Atualização da informação sempre no SETIMO dia útil - By Paulo Ribeiro Controladoria </text>
  </threadedComment>
  <threadedComment ref="B30" dT="2026-02-06T14:54:34.70" personId="{B0A81E74-5926-45BD-873A-6F4BF1F3D8BA}" id="{65247B02-628A-41FC-A3B2-D640AC7382B7}">
    <text xml:space="preserve">Atualização da informação sempre no SETIMO dia útil - By Paulo Ribeiro Controladoria 
</text>
  </threadedComment>
  <threadedComment ref="B32" dT="2026-02-06T14:54:41.00" personId="{B0A81E74-5926-45BD-873A-6F4BF1F3D8BA}" id="{89B734F2-A71F-4AFF-A0C7-5C3471A3AC91}">
    <text xml:space="preserve">Atualização da informação sempre no SETIMO dia útil - By Paulo Ribeiro Controladoria </text>
  </threadedComment>
  <threadedComment ref="B42" dT="2026-02-06T14:54:21.32" personId="{B0A81E74-5926-45BD-873A-6F4BF1F3D8BA}" id="{F47EA6CC-D47B-4B5B-860C-30C50CEB1700}">
    <text xml:space="preserve">Atualização da informação sempre no SETIMO dia útil - By Paulo Ribeiro Controladoria </text>
  </threadedComment>
  <threadedComment ref="N55" dT="2026-05-04T19:50:31.98" personId="{25509AAA-B16B-409D-9DD9-209657F3C67F}" id="{AE18DCE1-2A12-49D5-81E4-82EC07456E31}">
    <text>Inicio validação 05/05</text>
  </threadedComment>
  <threadedComment ref="M63" dT="2026-08-11T18:28:28.64" personId="{029E17B9-23EF-4366-AA77-B8D0B25CCE34}" id="{7DA3EEAD-9122-43E9-8449-D8934619A52B}">
    <text xml:space="preserve">Foi analisado que o custo Taxa horário Delga pra cortar isso nas nossas máquinas laser é superior ao valor de compramos de terceiro </text>
  </threadedComment>
  <threadedComment ref="N63" dT="2026-04-27T20:43:16.31" personId="{25509AAA-B16B-409D-9DD9-209657F3C67F}" id="{90EDE195-5581-45C6-9C49-8E6C552C6AE4}">
    <text>Corte interno no Budget. Corte laser externo estava com saving. Agendei reunião com o Emerson.</text>
  </threadedComment>
  <threadedComment ref="N69" dT="2026-05-04T19:35:27.31" personId="{25509AAA-B16B-409D-9DD9-209657F3C67F}" id="{ADD34DE3-4AA8-4E8D-A8FE-6C0F69E5F426}">
    <text>Códigos SAP dos consumíveis e critérios de consumo</text>
  </threadedComment>
  <threadedComment ref="N75" dT="2026-05-04T19:30:06.87" personId="{25509AAA-B16B-409D-9DD9-209657F3C67F}" id="{C444063D-0925-4C1A-A2DA-236CBC3D1922}">
    <text>Agendando conversa</text>
  </threadedComment>
  <threadedComment ref="M81" dT="2026-04-27T19:15:18.26" personId="{25509AAA-B16B-409D-9DD9-209657F3C67F}" id="{81630990-8F06-4C8E-85A2-EB931C5856BD}">
    <text>Peso Bruto do SAP já está abaixo do peso considerado após a redução da tolerância enviada pela Usina. Emerson e Gleidson levarão para reunião do BSW: não são todos os cenários que estão ok por Compras/Usina.</text>
  </threadedComment>
  <threadedComment ref="M81" dT="2026-08-12T13:11:43.88" personId="{029E17B9-23EF-4366-AA77-B8D0B25CCE34}" id="{A0A70464-E26C-4C0B-BB1E-ACDEDEF05D39}" parentId="{81630990-8F06-4C8E-85A2-EB931C5856BD}">
    <text>Gleidson vai criar varias controle para todos os projetos.</text>
  </threadedComment>
  <threadedComment ref="M81" dT="2026-08-12T13:13:44.47" personId="{B0A81E74-5926-45BD-873A-6F4BF1F3D8BA}" id="{1F80E7FC-C194-4294-AF5D-863CBE24C8C6}" parentId="{81630990-8F06-4C8E-85A2-EB931C5856BD}">
    <text xml:space="preserve">BSW
</text>
  </threadedComment>
  <threadedComment ref="N85" dT="2026-05-04T19:42:02.11" personId="{25509AAA-B16B-409D-9DD9-209657F3C67F}" id="{C50745F1-B8DB-48D0-B9E5-54C2EBC3F791}">
    <text>Agendando reunião. Falta dados: qual é a empresa terceirizada?</text>
  </threadedComment>
  <threadedComment ref="N85" dT="2026-06-12T11:37:27.97" personId="{25509AAA-B16B-409D-9DD9-209657F3C67F}" id="{491D16D4-C12F-41BE-B7FE-E90634AEB888}" parentId="{C50745F1-B8DB-48D0-B9E5-54C2EBC3F791}">
    <text>Cálculo do saving de jul a dez.</text>
  </threadedComment>
  <threadedComment ref="N87" dT="2026-05-04T19:47:35.20" personId="{25509AAA-B16B-409D-9DD9-209657F3C67F}" id="{7656BB5F-9D6D-4AD8-8280-23ABBDC44F69}">
    <text>Previsão 05/05</text>
  </threadedComment>
  <threadedComment ref="N87" dT="2026-06-12T12:54:26.99" personId="{25509AAA-B16B-409D-9DD9-209657F3C67F}" id="{F7CFC1A6-1868-4B92-84AC-B8F2330D087A}" parentId="{7656BB5F-9D6D-4AD8-8280-23ABBDC44F69}">
    <text>Elio pediu para o Gleidsom aumentar escopo</text>
  </threadedComment>
  <threadedComment ref="F383" dT="2026-03-20T12:33:46.87" personId="{F1B12E91-4F90-4E4F-8F59-45E767A5AD8E}" id="{FBE3C3AE-87D8-4E67-9D97-F98F5C282058}">
    <text>Incidente com ponte rolante informado como NOK no dia 19 e 09/03 operador escorregou - não foi encontrado ação no Form.370 e também no Form.506  também não houve registro</text>
  </threadedComment>
  <threadedComment ref="F384" dT="2026-03-20T13:12:08.92" personId="{F1B12E91-4F90-4E4F-8F59-45E767A5AD8E}" id="{CA3ED050-36D3-46D6-89AE-337F37015C6B}">
    <text>Está Ok, mas não tem a lista de quem participou da reunião</text>
  </threadedComment>
  <threadedComment ref="F385" dT="2026-02-10T11:54:15.43" personId="{B365987C-0BE7-4D17-B3CD-A2CA61805CD8}" id="{D183D07B-CADA-4F3C-A242-389EE4C96BA7}">
    <text>Evidência Form.015 Fast Response</text>
  </threadedComment>
  <threadedComment ref="F385" dT="2026-03-20T13:03:53.86" personId="{F1B12E91-4F90-4E4F-8F59-45E767A5AD8E}" id="{00EBC3A5-8E83-4AE4-9C98-B493025C1A85}" parentId="{D183D07B-CADA-4F3C-A242-389EE4C96BA7}">
    <text>Acontece, pois temos fotos e afins, mas não há evidência como alguma ATA</text>
  </threadedComment>
  <threadedComment ref="F386" dT="2026-03-20T13:10:28.97" personId="{F1B12E91-4F90-4E4F-8F59-45E767A5AD8E}" id="{11772B05-24A8-4FD7-B319-3D08F67FF915}">
    <text>Não foram realizadas o preenchimento das atas  de Janeiro e Fevereiro.
Foram feitas reuniões porém não evidência no form.104
Está sendo usado Lista de presença e não está usado a Ata de Analise crítica. 104.</text>
  </threadedComment>
  <threadedComment ref="F387" dT="2026-03-20T13:34:15.95" personId="{F1B12E91-4F90-4E4F-8F59-45E767A5AD8E}" id="{D462F49E-A3C2-4A52-B042-B45F2D5C3F05}">
    <text>A reunião acontece, porém, Item com INC acima de 250 sem ação definida no form.506 e 370.</text>
  </threadedComment>
  <threadedComment ref="F388" dT="2026-03-20T14:01:41.42" personId="{F1B12E91-4F90-4E4F-8F59-45E767A5AD8E}" id="{7ED214CB-A858-4766-AEC7-15F9541260C9}">
    <text>Falta disponibilizar o verso na produção - diário de bordo</text>
  </threadedComment>
  <threadedComment ref="F389" dT="2026-03-20T14:02:57.38" personId="{F1B12E91-4F90-4E4F-8F59-45E767A5AD8E}" id="{77847385-7739-47B0-9D1D-1E90ABC20B0B}">
    <text xml:space="preserve">Está no formato correto, mas não está atualizado janeiro e fevereiro </text>
  </threadedComment>
  <threadedComment ref="F390" dT="2026-03-20T17:05:10.67" personId="{F1B12E91-4F90-4E4F-8F59-45E767A5AD8E}" id="{CA2F144E-0BEC-4D8A-91BE-71058BE6C5CA}">
    <text>Falta preenchimento na segurança, perfomance de entrega preenchimento atraso, Refugo OK, OEE falta preenchimento, Manutenção OK.</text>
  </threadedComment>
  <threadedComment ref="F391" dT="2026-03-20T14:37:19.65" personId="{F1B12E91-4F90-4E4F-8F59-45E767A5AD8E}" id="{1D4E3BC8-5775-444E-8BD5-3CE8FAC262F1}">
    <text xml:space="preserve">Indicadores do 121 estão desatualizados. Ex.: recursos humanos e engenharia. </text>
  </threadedComment>
  <threadedComment ref="F392" dT="2026-03-20T14:37:39.95" personId="{F1B12E91-4F90-4E4F-8F59-45E767A5AD8E}" id="{2389CDB8-E268-4EC0-96D7-533232ADC17B}">
    <text>Falta de adesivos</text>
  </threadedComment>
  <threadedComment ref="F396" dT="2026-03-20T13:14:31.19" personId="{F1B12E91-4F90-4E4F-8F59-45E767A5AD8E}" id="{FA7FB255-7483-42A4-9339-8C4DA2F61E98}">
    <text>Não foram realizadas o preenchimento das atas  de Janeiro e Fevereiro.</text>
  </threadedComment>
  <threadedComment ref="F397" dT="2026-03-20T12:50:47.26" personId="{F1B12E91-4F90-4E4F-8F59-45E767A5AD8E}" id="{1E5DB897-C325-489B-B398-6F045387E383}">
    <text>Os 8D's foram fechados com data anterior da abertura e a planilha não está com as fórmulas travadas de acordo com as do Sharepoint.
Falta também o número de alerta da qualidade
Só há reclamação do cliente</text>
  </threadedComment>
  <threadedComment ref="F398" dT="2026-03-20T12:25:39.00" personId="{F1B12E91-4F90-4E4F-8F59-45E767A5AD8E}" id="{AF04D26F-419D-4609-A566-5981E8FAEF1E}">
    <text>Falta assinatura dos representantes ou titulares e nos demais turnos não houve assinatura. 
Há itens marcados ok, mas NOK no 506 que consta como atraso referente ações de Janeiro e  Fevereiro.</text>
  </threadedComment>
  <threadedComment ref="F399" dT="2026-03-20T12:43:40.57" personId="{F1B12E91-4F90-4E4F-8F59-45E767A5AD8E}" id="{F82A4AE4-4916-4904-852A-59C8650ABC86}">
    <text xml:space="preserve">Está usando formulário correto, porém há ações de Janeiro e Fevereiro em atraso. </text>
  </threadedComment>
  <threadedComment ref="F401" dT="2026-03-20T17:15:46.31" personId="{F1B12E91-4F90-4E4F-8F59-45E767A5AD8E}" id="{A5CCBD2E-07FB-445B-928A-F5C303ACFA91}">
    <text>Falta de aprovação de lider</text>
  </threadedComment>
  <threadedComment ref="F402" dT="2026-03-20T17:22:41.38" personId="{F1B12E91-4F90-4E4F-8F59-45E767A5AD8E}" id="{56161C62-83DC-423F-811B-FCD426A154CF}">
    <text>Falta informações nos campos - está em branco.</text>
  </threadedComment>
  <threadedComment ref="F403" dT="2026-03-20T17:20:56.46" personId="{F1B12E91-4F90-4E4F-8F59-45E767A5AD8E}" id="{2D0BCBE5-4BFF-4717-B308-CCEB44068D6F}">
    <text>Falta próxima operação - roteiro</text>
  </threadedComment>
  <threadedComment ref="F404" dT="2026-03-20T17:03:03.00" personId="{F1B12E91-4F90-4E4F-8F59-45E767A5AD8E}" id="{B4B18A84-BDE4-4F06-872F-F2042A4A82D6}">
    <text xml:space="preserve">Falta roteiro da etiqueta </text>
  </threadedComment>
  <threadedComment ref="F405" dT="2026-03-20T17:49:56.35" personId="{F1B12E91-4F90-4E4F-8F59-45E767A5AD8E}" id="{E8490572-1FF1-422C-8224-28D28427944C}">
    <text>- DA87z Falta informação de preenchiment0 - 25/09</text>
  </threadedComment>
  <threadedComment ref="F406" dT="2026-03-20T17:52:16.69" personId="{F1B12E91-4F90-4E4F-8F59-45E767A5AD8E}" id="{7B771F2D-AF3C-422A-84A9-DD31B3CAE1BA}">
    <text xml:space="preserve">Falta informações - EX.: SV000464AE - DA00077AA. </text>
  </threadedComment>
  <threadedComment ref="F407" dT="2026-02-09T20:07:01.50" personId="{B365987C-0BE7-4D17-B3CD-A2CA61805CD8}" id="{24B4733D-6303-4772-A454-A539E1A5097E}">
    <text>Pontuado como ñok, devido ao consumo da etiqueta antiga que possui no almoxarifado, para evitar desperdício de custos.  Porém evidência da solicitação para os próximos pedidos, chegar com etiqueta nova</text>
  </threadedComment>
  <threadedComment ref="F408" dT="2026-03-20T17:25:43.68" personId="{F1B12E91-4F90-4E4F-8F59-45E767A5AD8E}" id="{EC2505FB-8F0E-4875-AB36-80443AC6510F}">
    <text xml:space="preserve">Foi encontrado material em processo - com roteiro de serviço externo </text>
  </threadedComment>
  <threadedComment ref="F409" dT="2026-03-20T17:37:26.06" personId="{F1B12E91-4F90-4E4F-8F59-45E767A5AD8E}" id="{77A7709B-8E5A-439A-AFB3-76B1906B5629}">
    <text xml:space="preserve">Falta identificação
</text>
  </threadedComment>
  <threadedComment ref="F410" dT="2026-03-20T14:48:25.27" personId="{F1B12E91-4F90-4E4F-8F59-45E767A5AD8E}" id="{D6B64185-BD9F-4099-96B1-E85E25F008C3}">
    <text xml:space="preserve">Usar o que tem disponível no sharepoint </text>
  </threadedComment>
  <threadedComment ref="F411" dT="2026-03-20T14:53:52.20" personId="{F1B12E91-4F90-4E4F-8F59-45E767A5AD8E}" id="{EC652186-73A9-4C66-BF55-23EB07FDE33D}">
    <text>Coloração onde fica a letra "S" está preto e branco e o correto é Fundo amarelo e o "S" Vermelho</text>
  </threadedComment>
  <threadedComment ref="F413" dT="2026-03-20T18:35:04.96" personId="{F1B12E91-4F90-4E4F-8F59-45E767A5AD8E}" id="{5C74C366-5AD5-47BF-B799-C52869E5CAA0}">
    <text>Atualizar para o formato do Sharepoint</text>
  </threadedComment>
  <threadedComment ref="F415" dT="2026-03-20T14:59:32.40" personId="{F1B12E91-4F90-4E4F-8F59-45E767A5AD8E}" id="{B254F233-1A25-492E-9E5C-58843BF0A5B4}">
    <text>Padronizar plano mestre de produtividade</text>
  </threadedComment>
  <threadedComment ref="F416" dT="2026-03-20T16:38:47.66" personId="{F1B12E91-4F90-4E4F-8F59-45E767A5AD8E}" id="{69E9F477-E61F-4E71-AB02-D56863939C1D}">
    <text>Falta evidências atualizadas para 2026 (Produtividade), Falta atualização para 2026 (SMED), não está de acordo OEE.</text>
  </threadedComment>
  <threadedComment ref="F417" dT="2026-02-09T20:08:35.48" personId="{B365987C-0BE7-4D17-B3CD-A2CA61805CD8}" id="{FC0A6762-1B22-4487-81DF-D344DEDB258C}">
    <text>Temos o gerenciamento do programa 5S implementado, porém pontuado como não ok devido auditorias em atraso</text>
  </threadedComment>
  <threadedComment ref="F417" dT="2026-03-20T15:08:31.91" personId="{F1B12E91-4F90-4E4F-8F59-45E767A5AD8E}" id="{5AAA5594-8187-4990-874D-3573F6A12F1E}" parentId="{FC0A6762-1B22-4487-81DF-D344DEDB258C}">
    <text>Possui auditorias em atraso desde o dia 03/03 e auditorias não realizada em Janeiro e Fevereiro.
Auditorias realizada com atraso.
As ações estão sendo acompanhadas pelo Planer e não está atualizando o 506.</text>
  </threadedComment>
  <threadedComment ref="F418" dT="2026-03-20T15:14:10.54" personId="{F1B12E91-4F90-4E4F-8F59-45E767A5AD8E}" id="{8E621660-6E20-44B6-A5FC-D332163AC2D9}">
    <text xml:space="preserve">Matriz não se encontra no local correto no sharepoint - Áreas/Recursos Humanos/ Matriz de versatilidade/ Ferraz e anexa.
Preenchimento da situação dos funcionários NOK.
Atualização do change log. 
</text>
  </threadedComment>
  <threadedComment ref="F419" dT="2026-03-20T17:17:43.03" personId="{F1B12E91-4F90-4E4F-8F59-45E767A5AD8E}" id="{68E558DE-0EB6-4F8F-8FBE-3C6328E929C5}">
    <text>Não atende o formato atual</text>
  </threadedComment>
  <threadedComment ref="F420" dT="2026-03-20T17:12:43.27" personId="{F1B12E91-4F90-4E4F-8F59-45E767A5AD8E}" id="{A78DDE0A-DD35-46D0-89B2-BC3096080A6A}">
    <text>Falta aprovação da inspeção, preenchimento do form não está completo e no verso não está preenchido</text>
  </threadedComment>
  <threadedComment ref="F421" dT="2026-03-20T16:14:55.53" personId="{F1B12E91-4F90-4E4F-8F59-45E767A5AD8E}" id="{2DFA707F-A5BA-454E-91DA-268AE3392955}">
    <text>Falta verso - Diário de bordo / falta informação no preenchimento.</text>
  </threadedComment>
  <threadedComment ref="F422" dT="2026-03-20T16:16:18.91" personId="{F1B12E91-4F90-4E4F-8F59-45E767A5AD8E}" id="{289EEF16-269E-4685-932A-4711EC2E202D}">
    <text>Atualizar para novo</text>
  </threadedComment>
  <threadedComment ref="F423" dT="2026-03-20T16:16:09.47" personId="{F1B12E91-4F90-4E4F-8F59-45E767A5AD8E}" id="{431D6035-2EA2-472D-B3A6-B578EC566C19}">
    <text xml:space="preserve">Atualizar para novo
</text>
  </threadedComment>
  <threadedComment ref="F427" dT="2026-03-20T16:29:48.47" personId="{F1B12E91-4F90-4E4F-8F59-45E767A5AD8E}" id="{5B45FD53-A66A-4926-97EC-D983A579867F}">
    <text xml:space="preserve">Form.618 não está sendo utilizado </text>
  </threadedComment>
  <threadedComment ref="F428" dT="2026-03-20T17:55:27.43" personId="{F1B12E91-4F90-4E4F-8F59-45E767A5AD8E}" id="{D07C8F38-2389-4505-B4A3-27E5E45E8B18}">
    <text xml:space="preserve">Falta identificação no Plasma </text>
  </threadedComment>
  <threadedComment ref="F429" dT="2026-02-09T20:09:01.00" personId="{B365987C-0BE7-4D17-B3CD-A2CA61805CD8}" id="{F1644269-4E14-4409-B819-1862CDDB10FA}">
    <text>Fábrica de Eixos 100% implementado, e está em processo fábrica de Chassis.</text>
  </threadedComment>
</ThreadedComments>
</file>

<file path=xl/threadedComments/threadedComment4.xml><?xml version="1.0" encoding="utf-8"?>
<ThreadedComments xmlns="http://schemas.microsoft.com/office/spreadsheetml/2018/threadedcomments" xmlns:x="http://schemas.openxmlformats.org/spreadsheetml/2006/main">
  <threadedComment ref="O4" dT="2026-01-30T11:27:03.63" personId="{B0A81E74-5926-45BD-873A-6F4BF1F3D8BA}" id="{53340A36-E976-49FC-A577-F4768F339BBD}">
    <text xml:space="preserve">Nota técnica: O ranking considera valores potenciais distintos. Em caso de empate, recomenda-se ajuste mínimo (ex.: 0,001). </text>
  </threadedComment>
  <threadedComment ref="B29" dT="2026-02-06T14:39:15.50" personId="{B0A81E74-5926-45BD-873A-6F4BF1F3D8BA}" id="{DF8D4096-2655-452C-BD3B-DE45DA387D44}">
    <text xml:space="preserve">Atualização da informação sempre no SETIMO dia útil - By Paulo Ribeiro Controladoria  </text>
  </threadedComment>
  <threadedComment ref="B30" dT="2026-02-06T14:51:25.15" personId="{B0A81E74-5926-45BD-873A-6F4BF1F3D8BA}" id="{37DD9B03-E887-44FA-80FC-CA6444C0F425}">
    <text xml:space="preserve">Atualização da informação sempre no SETIMO dia útil - By Paulo Ribeiro Controladoria  
</text>
  </threadedComment>
  <threadedComment ref="B32" dT="2026-02-06T14:51:38.42" personId="{B0A81E74-5926-45BD-873A-6F4BF1F3D8BA}" id="{CF479CBD-6895-4282-912B-EC9F06EC2861}">
    <text xml:space="preserve">Atualização da informação sempre no SETIMO dia útil - By Paulo Ribeiro Controladoria  
</text>
  </threadedComment>
  <threadedComment ref="B42" dT="2026-02-06T14:51:52.23" personId="{B0A81E74-5926-45BD-873A-6F4BF1F3D8BA}" id="{A58C288F-F1EC-47E9-9DF9-915C401DFC83}">
    <text xml:space="preserve">Atualização da informação sempre no SETIMO dia útil - By Paulo Ribeiro Controladoria  </text>
  </threadedComment>
  <threadedComment ref="I173" dT="2026-02-05T14:34:25.09" personId="{B0A81E74-5926-45BD-873A-6F4BF1F3D8BA}" id="{865E8E36-F1B1-4710-83AF-DD113BD40BEF}">
    <text>Automático conforme preenchimento de datas no controle enviado pelo Elio.</text>
  </threadedComment>
</ThreadedComments>
</file>

<file path=xl/threadedComments/threadedComment5.xml><?xml version="1.0" encoding="utf-8"?>
<ThreadedComments xmlns="http://schemas.microsoft.com/office/spreadsheetml/2018/threadedcomments" xmlns:x="http://schemas.openxmlformats.org/spreadsheetml/2006/main">
  <threadedComment ref="O4" dT="2026-01-30T11:27:03.63" personId="{B0A81E74-5926-45BD-873A-6F4BF1F3D8BA}" id="{126A1AE3-E599-4CD3-9467-309950A752AA}">
    <text xml:space="preserve">Nota técnica: O ranking considera valores potenciais distintos. Em caso de empate, recomenda-se ajuste mínimo (ex.: 0,001). </text>
  </threadedComment>
  <threadedComment ref="N8" dT="2026-03-09T17:55:44.39" personId="{B0A81E74-5926-45BD-873A-6F4BF1F3D8BA}" id="{F95887A3-92B1-44F0-B857-4B985D1A88F8}">
    <text>Alinhamento junto ao Plant Manager</text>
  </threadedComment>
  <threadedComment ref="B29" dT="2026-02-06T14:54:27.57" personId="{B0A81E74-5926-45BD-873A-6F4BF1F3D8BA}" id="{1CB3A1B9-5D48-476D-BECF-9056085445CE}">
    <text xml:space="preserve">Atualização da informação sempre no SETIMO dia útil - By Paulo Ribeiro Controladoria </text>
  </threadedComment>
  <threadedComment ref="B30" dT="2026-02-06T14:54:34.70" personId="{B0A81E74-5926-45BD-873A-6F4BF1F3D8BA}" id="{1725BE74-358B-47AF-8F11-6F27724D0A4F}">
    <text xml:space="preserve">Atualização da informação sempre no SETIMO dia útil - By Paulo Ribeiro Controladoria 
</text>
  </threadedComment>
  <threadedComment ref="B32" dT="2026-02-06T14:54:41.00" personId="{B0A81E74-5926-45BD-873A-6F4BF1F3D8BA}" id="{43BFD43C-ACEC-4518-9351-DF468B601361}">
    <text xml:space="preserve">Atualização da informação sempre no SETIMO dia útil - By Paulo Ribeiro Controladoria </text>
  </threadedComment>
  <threadedComment ref="B42" dT="2026-02-06T14:54:21.32" personId="{B0A81E74-5926-45BD-873A-6F4BF1F3D8BA}" id="{7E2B708B-0ECF-4119-8E08-4FFA2FB16650}">
    <text xml:space="preserve">Atualização da informação sempre no SETIMO dia útil - By Paulo Ribeiro Controladoria </text>
  </threadedComment>
  <threadedComment ref="H49" dT="2026-03-23T11:06:00.09" personId="{E44BF8C3-7CC3-4396-8413-BE93DE6EA7C6}" id="{FF1853F4-B4B8-4B9F-A504-A81E6C289619}">
    <text>Gases, alocação, manutenção e outras despesas.</text>
  </threadedComment>
  <threadedComment ref="J49" dT="2026-03-23T11:06:09.96" personId="{E44BF8C3-7CC3-4396-8413-BE93DE6EA7C6}" id="{DF6066D4-EC7D-4328-AA1D-1EF17382536D}">
    <text>Gases, alocação, manutenção e outras despesas.</text>
  </threadedComment>
  <threadedComment ref="L57" dT="2026-08-03T17:08:45.93" personId="{B0A81E74-5926-45BD-873A-6F4BF1F3D8BA}" id="{77B10AEA-3564-48A7-8DC0-074D1CD4AE01}">
    <text xml:space="preserve">8 projetos até 24/8
</text>
  </threadedComment>
  <threadedComment ref="C65" dT="2026-04-13T17:16:55.78" personId="{B0A81E74-5926-45BD-873A-6F4BF1F3D8BA}" id="{D4932226-367D-432C-8A35-BD55C29E9FAC}">
    <text xml:space="preserve">Aguardando devolutiva do cliente
</text>
  </threadedComment>
  <threadedComment ref="V68" dT="2026-03-17T14:29:45.30" personId="{7F3580D4-0F0E-43CE-84F8-43847BFEB8C3}" id="{EC7DEB58-9FE0-4B91-99CE-294339970F0B}">
    <text>Mês de fev. impacto negativo - rescisão</text>
  </threadedComment>
  <threadedComment ref="V68" dT="2026-03-18T20:34:12.45" personId="{B0A81E74-5926-45BD-873A-6F4BF1F3D8BA}" id="{D86391F2-66AF-4B10-959E-4DB2CBBBA010}" parentId="{EC7DEB58-9FE0-4B91-99CE-294339970F0B}">
    <text xml:space="preserve">Despesas com Rescisão 757.777,62  abatidos da provisão (Conforme acordado com o Emerson)
</text>
  </threadedComment>
  <threadedComment ref="Y70" dT="2026-05-22T13:12:11.47" personId="{7F3580D4-0F0E-43CE-84F8-43847BFEB8C3}" id="{C18828FC-2409-45A7-B1F4-AE5868AC9862}">
    <text>Virada oficial realizada para o fornecedor BRASRENTAL. Contudo, houve cobrança referente aos primeiros dias de abril até a devolução do equipamento ao fornecedor anterior, Retrak.</text>
  </threadedComment>
  <threadedComment ref="E75" dT="2026-07-14T19:39:38.87" personId="{7F3580D4-0F0E-43CE-84F8-43847BFEB8C3}" id="{63F6E060-19A7-4522-8187-7F4A8E8CBE50}">
    <text>No cenário validado, houve a desmobilização de apenas uma.</text>
  </threadedComment>
  <threadedComment ref="AA76" dT="2026-07-20T17:11:02.22" personId="{7F3580D4-0F0E-43CE-84F8-43847BFEB8C3}" id="{2D71E14F-EC7E-4AEA-AC2C-8C5B08C9051F}">
    <text>Pago R$ 10.000,00 para a devolução. Considerando a economia obtida com a desmobilização de uma máquina, o custo foi de R$ 8.900,00. O impacto positivo da redução do valor alocado será refletido a partir do próximo mês.</text>
  </threadedComment>
  <threadedComment ref="Y80" dT="2026-05-18T18:46:45.24" personId="{7F3580D4-0F0E-43CE-84F8-43847BFEB8C3}" id="{99F98007-554C-469E-A6DF-1E6B9052EA1A}">
    <text>A economia do valor integral da locação da 3ª empilhadeira não ocorreu, pois ainda houve cobrança proporcional referente aos dias do mês de abril em que o equipamento permaneceu na fábrica até sua devolução.</text>
  </threadedComment>
  <threadedComment ref="M81" dT="2026-05-15T14:53:27.89" personId="{7F3580D4-0F0E-43CE-84F8-43847BFEB8C3}" id="{18E268AD-3EF8-402A-A9A4-492D290FC5CC}">
    <text>Conforme decisão da Diretoria, esse tipo de projeto não será validado por Custos.
Ele deve entrar na linha de performance de gestão.</text>
  </threadedComment>
  <threadedComment ref="C83" dT="2026-04-22T11:38:52.96" personId="{7F3580D4-0F0E-43CE-84F8-43847BFEB8C3}" id="{BA60900C-9454-4AE3-B753-AF8F03389F84}">
    <text>A planta ainda está consolidando as informações.</text>
  </threadedComment>
  <threadedComment ref="C85" dT="2026-08-12T16:50:37.90" personId="{7F3580D4-0F0E-43CE-84F8-43847BFEB8C3}" id="{FA8968D2-4D80-4889-945E-A502337DB423}">
    <text>Acompanhar eliminação do serviço de usinagem.
Importante: SAP deve refletir a melhoria proposta do processo (ainda pendente).</text>
  </threadedComment>
  <threadedComment ref="F110" dT="2026-06-30T13:21:34.82" personId="{B365987C-0BE7-4D17-B3CD-A2CA61805CD8}" id="{14E8087C-B9A4-45A3-8EB0-DDB01648E988}">
    <text>Apontamento linha schuler com pç/h fora pedindo 300 e realizando 370, e PCG 03 com pç/h fora pedindo 240 pç e produzindo 270, correção de cadastros. (Ok ecidênciado o projeto de melhoria de aumento de produtividade)</text>
  </threadedComment>
  <threadedComment ref="H110" dT="2026-05-20T11:01:48.36" personId="{E44BF8C3-7CC3-4396-8413-BE93DE6EA7C6}" id="{92D115C8-58FC-4F30-952E-30A07DE45898}">
    <text xml:space="preserve">Link </text>
  </threadedComment>
  <threadedComment ref="H111" dT="2026-05-20T11:02:18.69" personId="{E44BF8C3-7CC3-4396-8413-BE93DE6EA7C6}" id="{7589B562-73CB-44F8-9EF8-0DC02CC2B515}">
    <text>Link</text>
  </threadedComment>
  <threadedComment ref="F112" dT="2026-06-30T13:22:11.55" personId="{B365987C-0BE7-4D17-B3CD-A2CA61805CD8}" id="{B5426281-D462-4069-9872-1AC4C3CCDE0C}">
    <text>Ausência de Apontamento do dia 02/06 linha schuler</text>
  </threadedComment>
  <threadedComment ref="H112" dT="2026-05-20T11:02:33.92" personId="{E44BF8C3-7CC3-4396-8413-BE93DE6EA7C6}" id="{7FB644CF-A5B3-43BB-A55A-CE33D7810FC1}">
    <text>Link</text>
  </threadedComment>
  <threadedComment ref="H113" dT="2026-05-20T11:02:47.43" personId="{E44BF8C3-7CC3-4396-8413-BE93DE6EA7C6}" id="{76BE9760-1974-43FD-95DC-FEFB062B8A73}">
    <text>Link</text>
  </threadedComment>
  <threadedComment ref="F114" dT="2026-06-30T13:22:25.66" personId="{B365987C-0BE7-4D17-B3CD-A2CA61805CD8}" id="{7160DCAE-6B26-4F2F-931F-5FBC49473817}">
    <text>Projeto de Vazamento de ar comprimido, com ações concluidas sem retorno, ausência de retorno de validação de custos, e ausência de ações em andamento para tingir a meta, ação em atraso não iniciada. </text>
  </threadedComment>
  <threadedComment ref="H114" dT="2026-05-20T11:03:44.11" personId="{E44BF8C3-7CC3-4396-8413-BE93DE6EA7C6}" id="{B692DBE5-4D43-4A97-B5A6-FA3BD096CF0B}">
    <text>Link</text>
  </threadedComment>
  <threadedComment ref="H115" dT="2026-05-20T11:03:52.63" personId="{E44BF8C3-7CC3-4396-8413-BE93DE6EA7C6}" id="{D5D39FF5-35A1-42DE-8948-F9FB9409BE08}">
    <text>Link</text>
  </threadedComment>
  <threadedComment ref="H116" dT="2026-05-20T11:04:10.93" personId="{E44BF8C3-7CC3-4396-8413-BE93DE6EA7C6}" id="{96F71421-C4C6-4D09-830B-FF1203AB5D42}">
    <text>Link</text>
  </threadedComment>
  <threadedComment ref="H117" dT="2026-05-20T11:04:27.89" personId="{E44BF8C3-7CC3-4396-8413-BE93DE6EA7C6}" id="{FF380B8C-BD5C-44FB-8B1C-3360415C5EA4}">
    <text>Link</text>
  </threadedComment>
  <threadedComment ref="H118" dT="2026-02-02T20:47:09.18" personId="{B3884332-42E3-42D7-B010-11D1DA5057BC}" id="{3BD7DF7E-7BD0-4535-BC12-C8E13484897E}">
    <text>Item substitui o CN000021Z que não teve PPAP aprovado e está ON HOLD até segunda ordem.</text>
  </threadedComment>
  <threadedComment ref="H119" dT="2026-05-20T11:04:36.76" personId="{E44BF8C3-7CC3-4396-8413-BE93DE6EA7C6}" id="{D043B60C-B98C-4C39-A0D6-C0778EF6CCC5}">
    <text>Link</text>
  </threadedComment>
  <threadedComment ref="P139" dT="2026-02-05T14:34:25.09" personId="{B0A81E74-5926-45BD-873A-6F4BF1F3D8BA}" id="{2EAB8D5A-1FD4-4840-A0D2-D5AF4B7091AD}">
    <text>Automático conforme preenchimento de datas no controle enviado pelo Elio.</text>
  </threadedComment>
</ThreadedComments>
</file>

<file path=xl/threadedComments/threadedComment6.xml><?xml version="1.0" encoding="utf-8"?>
<ThreadedComments xmlns="http://schemas.microsoft.com/office/spreadsheetml/2018/threadedcomments" xmlns:x="http://schemas.openxmlformats.org/spreadsheetml/2006/main">
  <threadedComment ref="O4" dT="2026-01-30T11:27:03.63" personId="{B0A81E74-5926-45BD-873A-6F4BF1F3D8BA}" id="{0797BA69-B0A1-45BC-A265-02EFA0C95E19}">
    <text xml:space="preserve">Nota técnica: O ranking considera valores potenciais distintos. Em caso de empate, recomenda-se ajuste mínimo (ex.: 0,001). </text>
  </threadedComment>
  <threadedComment ref="N8" dT="2026-03-09T17:55:44.39" personId="{B0A81E74-5926-45BD-873A-6F4BF1F3D8BA}" id="{5A5D13B7-C666-460C-8973-376DD490EFDA}">
    <text>Alinhamento junto ao Plant Manager</text>
  </threadedComment>
  <threadedComment ref="B29" dT="2026-02-06T14:54:27.57" personId="{B0A81E74-5926-45BD-873A-6F4BF1F3D8BA}" id="{57605324-39F9-4960-968B-2EBF6E222A27}">
    <text xml:space="preserve">Atualização da informação sempre no SETIMO dia útil - By Paulo Ribeiro Controladoria </text>
  </threadedComment>
  <threadedComment ref="B30" dT="2026-02-06T14:54:34.70" personId="{B0A81E74-5926-45BD-873A-6F4BF1F3D8BA}" id="{875C35AA-683B-4C62-90E3-E711FA3E87D6}">
    <text xml:space="preserve">Atualização da informação sempre no SETIMO dia útil - By Paulo Ribeiro Controladoria 
</text>
  </threadedComment>
  <threadedComment ref="I30" dT="2026-07-01T10:49:34.15" personId="{21DB468F-E5CB-42F8-8C9D-89ADF9F5AD64}" id="{1319C66C-E7A6-496E-A192-4844F93EEF89}">
    <text xml:space="preserve">Form.231
</text>
  </threadedComment>
  <threadedComment ref="B32" dT="2026-02-06T14:54:41.00" personId="{B0A81E74-5926-45BD-873A-6F4BF1F3D8BA}" id="{CBD3AB78-5AA6-42BC-9B33-C81FA202219F}">
    <text xml:space="preserve">Atualização da informação sempre no SETIMO dia útil - By Paulo Ribeiro Controladoria </text>
  </threadedComment>
  <threadedComment ref="B42" dT="2026-02-06T14:54:21.32" personId="{B0A81E74-5926-45BD-873A-6F4BF1F3D8BA}" id="{83357ED4-4F47-493F-9EB3-A50E9128480E}">
    <text xml:space="preserve">Atualização da informação sempre no SETIMO dia útil - By Paulo Ribeiro Controladoria </text>
  </threadedComment>
  <threadedComment ref="B47" dT="2026-06-01T11:44:09.66" personId="{21DB468F-E5CB-42F8-8C9D-89ADF9F5AD64}" id="{870E3FB5-CAF6-4367-B760-69F1D9EE9774}">
    <text>Fonte: Resultado Financeiro Mensal (GGF e SG&amp;A)</text>
  </threadedComment>
  <threadedComment ref="H47" dT="2026-06-25T11:25:53.88" personId="{21DB468F-E5CB-42F8-8C9D-89ADF9F5AD64}" id="{61A476B8-64F9-45B6-ADD2-FB84F99727A1}">
    <text xml:space="preserve">GGF = R$477.000,00
SG&amp;A = R$11.000,00
</text>
  </threadedComment>
  <threadedComment ref="J47" dT="2026-07-01T19:09:08.34" personId="{21DB468F-E5CB-42F8-8C9D-89ADF9F5AD64}" id="{3BE1DAB7-5A31-493A-8B58-A9206E5871B2}">
    <text xml:space="preserve">GGF = R$247.000,00
SG&amp;A = R$-11.000,00
</text>
  </threadedComment>
  <threadedComment ref="L47" dT="2026-07-01T19:09:14.97" personId="{21DB468F-E5CB-42F8-8C9D-89ADF9F5AD64}" id="{85BB69F7-7268-4028-8634-870DEF40E9BB}">
    <text xml:space="preserve">GGF = R$101.000,00
SG&amp;A = R$-24.000,00
</text>
  </threadedComment>
  <threadedComment ref="N47" dT="2026-07-01T19:09:20.69" personId="{21DB468F-E5CB-42F8-8C9D-89ADF9F5AD64}" id="{F8DB4C59-881D-477F-B21E-A720660EE133}">
    <text xml:space="preserve">GGF = R$215.000,00
SG&amp;A = R$-33.000,00
</text>
  </threadedComment>
  <threadedComment ref="P47" dT="2026-07-01T19:09:26.21" personId="{21DB468F-E5CB-42F8-8C9D-89ADF9F5AD64}" id="{2AAF4E62-5AA9-4B2E-97DA-3E8A8A3F4D58}">
    <text xml:space="preserve">GGF = R$472.000,00
SG&amp;A = R$-11.000,00
</text>
  </threadedComment>
  <threadedComment ref="R47" dT="2026-08-17T13:44:26.88" personId="{21DB468F-E5CB-42F8-8C9D-89ADF9F5AD64}" id="{D4E0CF2F-D725-4C14-8596-7FDB9A5A5E02}">
    <text xml:space="preserve">GGF = R$251.000,00
SG&amp;A = R$-76.000,00
</text>
  </threadedComment>
  <threadedComment ref="M57" dT="2026-05-13T19:20:53.62" personId="{7F3580D4-0F0E-43CE-84F8-43847BFEB8C3}" id="{2A5988A5-472C-4533-8F70-CD7B04BE7A64}">
    <text xml:space="preserve">Analise da proposta em andamento. Planta retornará com algumas informações extras importantes para que seja possível dar sequência. </text>
  </threadedComment>
  <threadedComment ref="N57" dT="2026-08-03T14:10:14.70" personId="{B0A81E74-5926-45BD-873A-6F4BF1F3D8BA}" id="{663BF5DA-E547-41E7-9871-F922F7751F3C}">
    <text>17/08</text>
  </threadedComment>
  <threadedComment ref="U60" dT="2026-03-19T18:02:24.72" personId="{7F3580D4-0F0E-43CE-84F8-43847BFEB8C3}" id="{06D9F538-B08D-40F6-B653-0C6F3B1B45BF}">
    <text>Economia não atingida para o mês de Jan.</text>
  </threadedComment>
  <threadedComment ref="M63" dT="2026-04-22T15:00:32.01" personId="{7F3580D4-0F0E-43CE-84F8-43847BFEB8C3}" id="{7A2A8052-A215-4500-AE7D-9E964829F4AA}">
    <text>A proposta está em stand-by, considerando a necessidade de escalonamento aos gerentes para melhor alinhamento.</text>
  </threadedComment>
  <threadedComment ref="L65" dT="2026-08-03T14:11:21.70" personId="{B0A81E74-5926-45BD-873A-6F4BF1F3D8BA}" id="{266F6EF2-2ADF-4AF2-94F2-BC0BA2DE97FE}">
    <text xml:space="preserve">17/08
</text>
  </threadedComment>
  <threadedComment ref="M65" dT="2026-04-22T14:55:24.76" personId="{7F3580D4-0F0E-43CE-84F8-43847BFEB8C3}" id="{1D314011-92A1-4346-AE0D-62CD453703F9}">
    <text>A planta está responsável por revisar e analisar uma forma alternativa de melhor refletir o controle e a mensuração da redução proposta na pintura a pó.</text>
  </threadedComment>
  <threadedComment ref="M69" dT="2026-04-27T15:14:40.10" personId="{7F3580D4-0F0E-43CE-84F8-43847BFEB8C3}" id="{E18A9F1D-AF22-42DD-8ADB-CE5E6777225C}">
    <text>Conforme decisão da Diretoria, esse tipo de projeto não será validado por Custos.
Ele deve entrar na linha de performance de gestão.</text>
  </threadedComment>
  <threadedComment ref="M69" dT="2026-08-03T13:59:30.60" personId="{B0A81E74-5926-45BD-873A-6F4BF1F3D8BA}" id="{CCF470A3-5DCE-4704-B1A3-F73A89150F57}" parentId="{E18A9F1D-AF22-42DD-8ADB-CE5E6777225C}">
    <text>Conforme decisão do Emerson</text>
  </threadedComment>
  <threadedComment ref="M71" dT="2026-04-27T15:14:48.43" personId="{7F3580D4-0F0E-43CE-84F8-43847BFEB8C3}" id="{EFA97A40-CDEA-4278-9124-E3F0556F9C5D}">
    <text xml:space="preserve">Conforme decisão da Diretoria, esse tipo de projeto não será validado por Custos.
Ele deve entrar na linha de performance de gestão.
</text>
  </threadedComment>
  <threadedComment ref="M71" dT="2026-08-03T13:59:51.57" personId="{B0A81E74-5926-45BD-873A-6F4BF1F3D8BA}" id="{B234BA56-689D-4172-A94F-C7B904472CA2}" parentId="{EFA97A40-CDEA-4278-9124-E3F0556F9C5D}">
    <text>Conforme decisão da Emerson</text>
  </threadedComment>
  <threadedComment ref="N73" dT="2026-03-31T13:02:48.63" personId="{7F3580D4-0F0E-43CE-84F8-43847BFEB8C3}" id="{1D9B8FF9-29D1-4E3B-9F77-F465E72E7D66}">
    <text>Estimativa validada. Acompanharemos mensalmente, iniciando no mês de abril, o reporte da redução, casou houver.</text>
  </threadedComment>
  <threadedComment ref="L83" dT="2026-08-03T14:11:58.87" personId="{B0A81E74-5926-45BD-873A-6F4BF1F3D8BA}" id="{1F106446-4176-473C-8BD2-6802905CE580}">
    <text>17/08</text>
  </threadedComment>
  <threadedComment ref="N85" dT="2026-08-13T17:03:27.84" personId="{7F3580D4-0F0E-43CE-84F8-43847BFEB8C3}" id="{406FCD29-7222-4B84-8217-BC0D98A231D3}">
    <text>Considerado ganho de set. - dez. 2026.</text>
  </threadedComment>
  <threadedComment ref="P137" dT="2026-02-05T14:34:25.09" personId="{B0A81E74-5926-45BD-873A-6F4BF1F3D8BA}" id="{90C35E04-6BBE-4472-A5D5-A08976F1F1A2}">
    <text>Automático conforme preenchimento de datas no controle enviado pelo Elio.</text>
  </threadedComment>
</ThreadedComments>
</file>

<file path=xl/threadedComments/threadedComment7.xml><?xml version="1.0" encoding="utf-8"?>
<ThreadedComments xmlns="http://schemas.microsoft.com/office/spreadsheetml/2018/threadedcomments" xmlns:x="http://schemas.openxmlformats.org/spreadsheetml/2006/main">
  <threadedComment ref="R4" dT="2026-01-30T11:27:03.63" personId="{B0A81E74-5926-45BD-873A-6F4BF1F3D8BA}" id="{850AA130-BC98-4FB1-9A1D-A07A2365AA23}">
    <text xml:space="preserve">Nota técnica: O ranking considera valores potenciais distintos. Em caso de empate, recomenda-se ajuste mínimo (ex.: 0,001). </text>
  </threadedComment>
</ThreadedComments>
</file>

<file path=xl/threadedComments/threadedComment8.xml><?xml version="1.0" encoding="utf-8"?>
<ThreadedComments xmlns="http://schemas.microsoft.com/office/spreadsheetml/2018/threadedcomments" xmlns:x="http://schemas.openxmlformats.org/spreadsheetml/2006/main">
  <threadedComment ref="R8" dT="2026-01-30T11:27:03.63" personId="{B0A81E74-5926-45BD-873A-6F4BF1F3D8BA}" id="{BA37A69C-E1E5-47BB-B2C5-109317351F13}">
    <text xml:space="preserve">Nota técnica: O ranking considera valores potenciais distintos. Em caso de empate, recomenda-se ajuste mínimo (ex.: 0,001). </text>
  </threadedComment>
</ThreadedComments>
</file>

<file path=xl/threadedComments/threadedComment9.xml><?xml version="1.0" encoding="utf-8"?>
<ThreadedComments xmlns="http://schemas.microsoft.com/office/spreadsheetml/2018/threadedcomments" xmlns:x="http://schemas.openxmlformats.org/spreadsheetml/2006/main">
  <threadedComment ref="R3" dT="2026-04-14T20:28:28.75" personId="{B0A81E74-5926-45BD-873A-6F4BF1F3D8BA}" id="{D88A9B23-964D-4147-BA31-C029D418FEC7}">
    <text xml:space="preserve">% eficiência mão de obra - Geral
Downtime - Geral
Hora Extra
Tempo Médio de Setup
Golpes por Minuto
OEE % - Geral
</text>
  </threadedComment>
  <threadedComment ref="S3" dT="2026-04-14T20:34:47.03" personId="{B0A81E74-5926-45BD-873A-6F4BF1F3D8BA}" id="{0FB6B2B9-326A-40F7-8746-ABD1346E42D5}">
    <text xml:space="preserve">%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MAN
Nº de Reclamações	GM - SCS
Nº de Reclamações	GM - Gravatai
Nº de Reclamações	GM - São José dos Campos
Nº de Reclamações	GM - Mogi das Cruzes
Nº de Reclamações	Mercedes Benz
Nº de Reclamações	Renault
Nº de Reclamações	Plascar
Nº de Reclamações	Delga Anchieta
Nº de Reclamações	Delga Ferraz
Nº de Reclamações	Delga Jarinu
Nº de Reclamações	Delga São Leopoldo
N.º de Paradas de Linha (Perturbação no Cliente)
PPM Cliente (Total)	Total
PPM - Cliente	Volkswagem - Anchieta
PPM - Cliente	Volkswagem - São Jose dos Pinhais
PPM - Cliente	Volkswagem - Taubaté
PPM - Cliente	MAN
PPM - Cliente	GM - SCS
PPM - Cliente	GM - Gravatai
PPM - Cliente	GM - São José dos Campos
PPM - Cliente	GM - Mogi das Cruzes
PPM - Cliente	Mercedes Benz
PPM - Cliente	Renault
PPM - Cliente	Plascar
PPM - Cliente	Delga Anchieta
PPM - Cliente	Delga Ferraz
PPM - Cliente	Delga Jarinu
PPM - Cliente	Delga São Leopoldo
N.º de Falhas de Garantia/Campo
Satisfação do Cliente (%) - Total
Nº de Peças em Embarque Controlado
PPM Interno (Total)	Total
PPM - Interno	Estamparia
PPM - Interno	Solda
Form.206 na aprovação do cliente - Fase 5 (%)
Atendimento do desenvolvimento no prazo (%)
Auditorias Escalonadas (% de Conformidade)
Auditoria de 5S (% de Conformidade)
 </text>
  </threadedComment>
  <threadedComment ref="T3" dT="2026-04-14T20:16:02.82" personId="{B0A81E74-5926-45BD-873A-6F4BF1F3D8BA}" id="{CDDEE2F8-CA49-4216-9638-B4F6677B97CA}">
    <text>EBITDA Contábil (%)
Margem Contribuição (%)
Custos Fixos / Faturamento Líquido (%)
Faturamento  Bruto Peças (R$) /1000
Faturamento  Liquido (R$) (Efetivo) /1000
Resultado Operacional</text>
  </threadedComment>
  <threadedComment ref="U3" dT="2026-04-14T20:17:24.76" personId="{B0A81E74-5926-45BD-873A-6F4BF1F3D8BA}" id="{BDA776D3-7FAC-4AAF-BDB2-336D2932535C}">
    <text>Kaizen (Qtde.)
Kaizen (R$)
Orçamento Atendido no Prazo
Custo Realizado x Orçado de Amostras</text>
  </threadedComment>
  <threadedComment ref="V3" dT="2026-04-14T20:33:18.26" personId="{B0A81E74-5926-45BD-873A-6F4BF1F3D8BA}" id="{4EE00267-FF71-4296-9A52-237A8130F91F}">
    <text xml:space="preserve"> % Prazo de entrega - Total
% Prazo de entrega	Volkswagem - Anchieta
% Prazo de entrega	Volkswagem - São Jose dos Pinhais
% Prazo de entrega	Volkswagem - Taubaté
% Prazo de entrega	MAN
% Prazo de entrega	GM - SCS
% Prazo de entrega	GM - Gravatai
% Prazo de entrega	GM - São José dos Campos
% Prazo de entrega	GM - Mogi das Cruzes
% Prazo de entrega	Mercedes Benz
% Prazo de entrega	Renault
% Prazo de entrega	Plascar
% Prazo de entrega	Delga Anchieta
% Prazo de entrega	Delga Ferraz
% Prazo de entrega	Delga Jarinu
% Prazo de entrega	Delga São Leopoldo
% atingimento da meta de faturamento mensal
Frete
Frete Extra
Days on hands ( dias de estoque )
Valor total de estoques
Giro de Estoque
IQF Fornecedores</text>
  </threadedComment>
  <threadedComment ref="W3" dT="2026-04-14T20:24:15.91" personId="{B0A81E74-5926-45BD-873A-6F4BF1F3D8BA}" id="{6A1C380F-6F1A-4C0E-A2E5-FBF3183A15F3}">
    <text>MTTR (Hrs) - Ferramentaria
MTBF (Hrs) - Ferramentaria
Disponibilidade % - Ferramentaria</text>
  </threadedComment>
  <threadedComment ref="X3" dT="2026-04-14T20:20:39.55" personId="{B0A81E74-5926-45BD-873A-6F4BF1F3D8BA}" id="{F7F57100-ACA0-41FB-B257-256556E3EE30}">
    <text>MTTR (Hrs) - Manutenção
MTBF (Hrs) - Manutenção
Disponibilidade % - Manutenção</text>
  </threadedComment>
  <threadedComment ref="Y3" dT="2026-04-14T19:38:47.42" personId="{B0A81E74-5926-45BD-873A-6F4BF1F3D8BA}" id="{273B0949-D6C3-4E55-8029-D15D2DBE9483}">
    <text xml:space="preserve">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ext>
  </threadedComment>
  <threadedComment ref="Z3" dT="2026-04-14T19:45:12.90" personId="{B0A81E74-5926-45BD-873A-6F4BF1F3D8BA}" id="{B2FAF34A-2041-4735-B0E7-7CF011956DBF}">
    <text xml:space="preserve">Indice de Conformidade na Auditoria TISAX
SLA - % de atendimento a incidentes dentro do prazo
% de Ataque Cibernético contido
Tempo de Disp. dos Serviços de TI  - % de Atend. dentro do prazo
RTO (Tempo Max, de Rec.) % de Atend. dentro do prazo
RPO (Perda Maxima de Dados)  % de Atendimentos dentro do prazo </text>
  </threadedComment>
  <threadedComment ref="AA3" dT="2026-04-14T20:24:56.32" personId="{B0A81E74-5926-45BD-873A-6F4BF1F3D8BA}" id="{E68BED9F-337E-4AB7-9AC3-202848CC4820}">
    <text>Horas de Treinamentos x Colaborador
Absenteísmo - Geral
Turnover - Geral
Satisfação dos Colaboradores</text>
  </threadedComment>
  <threadedComment ref="R4" dT="2026-04-14T20:19:26.42" personId="{B0A81E74-5926-45BD-873A-6F4BF1F3D8BA}" id="{5C8F071D-7980-458D-8767-03D40A29B005}">
    <text>% eficiência mão de obra - Geral
Downtime - Geral
Hora Extra
Produtividade
OEE % - Geral</text>
  </threadedComment>
  <threadedComment ref="S4" dT="2026-04-14T20:03:39.59" personId="{B0A81E74-5926-45BD-873A-6F4BF1F3D8BA}" id="{97EE70FF-E4BB-403B-BB95-F6187A414EB2}">
    <text>% custo da não conformidade (CONC)
Notas de Debito (R$)
Refugo / Scrap (R$)
Retrabalho (R$)
Nº de Reclamações de Clientes - Total
Nº de Reclamações	Scania
Nº de Reclamações	VWTB
Nº de Reclamações	Mercedes Benz
Nº de Reclamações	Volvo
Nº de Reclamações	Metalsa
Nº de Reclamações	Sogefi
Nº de Reclamações	Delga Diadema
Nº de Reclamações	Delga Ferraz
Nº de Reclamações	Delga Jarinu
N.º de Paradas de Linha (Perturbação no Cliente)
PPM Cliente (Total)	Total
PPM - Cliente	Scania
PPM - Cliente	VWTB
PPM - Cliente	Mercedes Benz
PPM - Cliente	Volvo
PPM - Cliente	Metalsa
PPM - Cliente	Sogefi
PPM - Cliente	Delga Diadema
PPM - Cliente	Delga Ferraz
PPM - Cliente	Delga Jarinu
N.º de Falhas de Garantia/Campo
Satisfação do Cliente (%) - Total
Nº de Peças em Embarque Controlado
PPM Interno (Total)	Total
PPM - Interno	Pintura
PPM - Interno	Montagem
Form.206 na aprovação do cliente - Fase 5 (%)
Atendimento do desenvolvimento no prazo (%)
Auditorias Escalonadas (% de Conformidade)
Auditoria de 5S (% de Conformidade)</text>
  </threadedComment>
  <threadedComment ref="T4" dT="2026-04-14T20:15:57.33" personId="{B0A81E74-5926-45BD-873A-6F4BF1F3D8BA}" id="{2C1D4407-A02A-45F6-9F3F-6684566D664A}">
    <text>EBITDA Contábil (%)
ROS
Margem Contribuição (%)
Custos Fixos / Faturamento Líquido (%)
Faturamento  Bruto Peças (R$) /1000
Faturamento  Liquido (R$) (Efetivo) /1000
Resultado Operacional</text>
  </threadedComment>
  <threadedComment ref="U4" dT="2026-04-14T20:17:16.59" personId="{B0A81E74-5926-45BD-873A-6F4BF1F3D8BA}" id="{1FC23990-861A-4E72-B7E8-DCF7552A4E8E}">
    <text>Kaizen (Qtde.)
Kaizen (R$)
Orçamento Atendido no Prazo
Custo Realizado x Orçado de Amostras</text>
  </threadedComment>
  <threadedComment ref="V4" dT="2026-04-14T20:06:41.30" personId="{B0A81E74-5926-45BD-873A-6F4BF1F3D8BA}" id="{1ECA232C-B845-478D-B73C-9F9EAFD0DF72}">
    <text>% Prazo de entrega - Total
% Prazo de entrega	Scania
% Prazo de entrega	VWTB
% Prazo de entrega	Mercedes Benz
% Prazo de entrega	Volvo
% Prazo de entrega	Metalsa
% Prazo de entrega	Sogefi
% Prazo de entrega	Delga Diadema
% Prazo de entrega	Delga Ferraz
% Prazo de entrega	Delga Jarinu
% atingimento da meta de faturamento mensal
Frete
Bitmap
Frete Extra
Days on hands ( dias de estoque )
Valor total de estoques
Giro de Estoque
IQF Fornecedores</text>
  </threadedComment>
  <threadedComment ref="X4" dT="2026-04-14T20:20:39.55" personId="{B0A81E74-5926-45BD-873A-6F4BF1F3D8BA}" id="{9422A863-C9FC-4432-915B-5BC659602A65}">
    <text>MTTR (Hrs) - Manutenção
MTBF (Hrs) - Manutenção
Disponibilidade % - Manutenção</text>
  </threadedComment>
  <threadedComment ref="Y4" dT="2026-04-14T19:38:47.42" personId="{B0A81E74-5926-45BD-873A-6F4BF1F3D8BA}" id="{93FF6728-9803-410F-84B0-00C7F3D45D3D}">
    <text xml:space="preserve">Dias sem acidentes
Nº acidentes c/ afastamento/comunicado
Taxa de frequência
Taxa de Gravidade
Dias de Afastamento
Qtde de Reclamações Ambientais
Consumo KWH / Colaborador
Consumo KWH / Matéria Prima
Consumo de água / Tonelada produzida
Resíduo sobre MP
% de resíduo reciclável
% de resíduos destinado para aterro </text>
  </threadedComment>
  <threadedComment ref="Z4" dT="2026-04-14T19:45:12.90" personId="{B0A81E74-5926-45BD-873A-6F4BF1F3D8BA}" id="{2D8BE2C1-81B4-4F55-A0B2-B94A32BC0C1E}">
    <text xml:space="preserve">Indice de Conformidade na Auditoria TISAX
SLA - % de atendimento a incidentes dentro do prazo
% de Ataque Cibernético contido
Tempo de Disp. dos Serviços de TI  - % de Atend. dentro do prazo
RTO (Tempo Max, de Rec.) % de Atend. dentro do prazo
RPO (Perda Maxima de Dados)  % de Atendimentos dentro do prazo </text>
  </threadedComment>
  <threadedComment ref="AA4" dT="2026-04-14T20:21:22.91" personId="{B0A81E74-5926-45BD-873A-6F4BF1F3D8BA}" id="{A100FC49-CB98-42DF-AEA2-CA70F77BB42C}">
    <text>Horas de Treinamentos x Colaborador
Absenteísmo - Geral
Turnover - Geral
Satisfação dos Colaboradores</text>
  </threadedComment>
  <threadedComment ref="R5" dT="2026-04-14T20:18:57.70" personId="{B0A81E74-5926-45BD-873A-6F4BF1F3D8BA}" id="{AD86390B-09FA-48B8-8095-5EBBDBABA72C}">
    <text>% eficiência mão de obra - Geral
% eficiência mão de obra - Chassis
% eficiência mão de obra - Eixos
Refugo / Scrap (%) - Chassis
Refugo / Scrap (%) Eixos
Downtime - Geral
Hora Extra
Tempo Médio de Setup
Golpes por Minuto
OEE % - Geral
OEE % - Chassis
OEE % - Eixos</text>
  </threadedComment>
  <threadedComment ref="S5" dT="2026-04-14T20:04:35.34" personId="{B0A81E74-5926-45BD-873A-6F4BF1F3D8BA}" id="{C9D2B482-EB38-4F63-BBDB-AB3E09C5102D}">
    <text>% custo da não conformidade (CONC)
Notas de Debito (R$)
Refugo / Scrap (R$)
Refugo / Scrap (%)
Retrabalho (R$)
Controle de Material Não Conforme Bloqueados (R$)
Nº de Reclamações de Clientes - Total
Nº de Reclamações	CNH
Nº de Reclamações	Cummins
Nº de Reclamações	Dana
Nº de Reclamações	Man
Nº de Reclamações	Kongsberg
Nº de Reclamações	Maxion
Nº de Reclamações	Mercedes Benz
Nº de Reclamações	Méritor
Nº de Reclamações	MWM
Nº de Reclamações	SCANIA
N.º de Paradas de Linha (Perturbação no Cliente)
PPM Cliente (Total)
PPM - Cliente	CNH
PPM - Cliente	Cummins
PPM - Cliente	Dana
PPM - Cliente	Man
PPM - Cliente	Kongsberg
PPM - Cliente	Maxion
PPM - Cliente	Mercedes Benz
PPM - Cliente	Méritor
PPM - Cliente	MWM
PPM - Cliente	SCANIA
N.º de Falhas de Garantia/Campo
Satisfação do Cliente (%) - Total
Satisfação do Cliente (%)	CNH
Satisfação do Cliente (%)	Cummins
Satisfação do Cliente (%)	Dana
Satisfação do Cliente (%)	Man
Satisfação do Cliente (%)	Kongsberg
Satisfação do Cliente (%)	Maxion
Satisfação do Cliente (%)	Mercedes Benz
Satisfação do Cliente (%)	Méritor
Satisfação do Cliente (%)	MWM
Satisfação do Cliente (%)	SCANIA
Nº de Peças em Embarque Controlado
PPM Interno (Total)
PPM - Interno	Estamparia
PPM - Interno	Solda
PPM - Interno	Pintura
PPM - Interno	Montagem
PPM - Interno	Corte
PPM - Interno	Dobra
Form.206 na aprovação do cliente - Fase 5 (%)
Atendimento do desenvolvimento no prazo (%)
Auditorias Escalonadas (% de Conformidade)
Auditoria de 5S (% de Conformidade)</text>
  </threadedComment>
  <threadedComment ref="T5" dT="2026-04-14T20:16:02.82" personId="{B0A81E74-5926-45BD-873A-6F4BF1F3D8BA}" id="{21E10CF9-8F7E-4975-AD5D-BBC0CE6D5ECD}">
    <text>EBITDA Contábil (%)
Margem Contribuição (%)
Custos Fixos / Faturamento Líquido (%)
Faturamento  Bruto Peças (R$) /1000
Faturamento  Liquido (R$) (Efetivo) /1000
Resultado Operacional</text>
  </threadedComment>
  <threadedComment ref="U5" dT="2026-04-14T20:17:24.76" personId="{B0A81E74-5926-45BD-873A-6F4BF1F3D8BA}" id="{0B0883C1-DDCD-4F8E-91BD-CF5A46875DC3}">
    <text>Kaizen (Qtde.)
Kaizen (R$)
Orçamento Atendido no Prazo
Custo Realizado x Orçado de Amostras</text>
  </threadedComment>
  <threadedComment ref="V5" dT="2026-04-14T20:07:58.49" personId="{B0A81E74-5926-45BD-873A-6F4BF1F3D8BA}" id="{1BC6D244-8AD9-4F2D-A2AD-5A968CF75719}">
    <text>% Prazo de entrega - Total
% Prazo de entrega	CNH
% Prazo de entrega	Cummins
% Prazo de entrega	Dana
% Prazo de entrega	Man
% Prazo de entrega	Kongsberg
% Prazo de entrega	Maxion
% Prazo de entrega	Mercedes Benz
% Prazo de entrega	Méritor
% Prazo de entrega	MWM
% Prazo de entrega	SCANIA
% atingimento da meta de faturamento mensal
Frete
Frete Extra
Days on hands ( dias de estoque )
Valor total de estoques
Giro de Estoque
IQF Fornecedores</text>
  </threadedComment>
  <threadedComment ref="W5" dT="2026-04-14T20:24:15.91" personId="{B0A81E74-5926-45BD-873A-6F4BF1F3D8BA}" id="{3CD98D5D-E808-4EFC-A73E-BDED3E94E160}">
    <text>MTTR (Hrs) - Ferramentaria
MTBF (Hrs) - Ferramentaria
Disponibilidade % - Ferramentaria</text>
  </threadedComment>
  <threadedComment ref="X5" dT="2026-04-14T20:20:39.55" personId="{B0A81E74-5926-45BD-873A-6F4BF1F3D8BA}" id="{1C9E04FE-CFE4-49DD-A320-F0D7A16E5E27}">
    <text>MTTR (Hrs) - Manutenção
MTBF (Hrs) - Manutenção
Disponibilidade % - Manutenção</text>
  </threadedComment>
  <threadedComment ref="Y5" dT="2026-04-14T19:38:47.42" personId="{B0A81E74-5926-45BD-873A-6F4BF1F3D8BA}" id="{2444F3C4-4027-4EA1-B09E-B0D5C7B8AF33}">
    <text xml:space="preserve">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ext>
  </threadedComment>
  <threadedComment ref="Z5" dT="2026-04-14T19:32:07.77" personId="{B0A81E74-5926-45BD-873A-6F4BF1F3D8BA}" id="{81456B4A-7638-4F48-9675-FB52A3C93728}">
    <text>Faltou índice de conformidade na auditoria tisax</text>
  </threadedComment>
  <threadedComment ref="Z5" dT="2026-04-14T19:45:38.94" personId="{B0A81E74-5926-45BD-873A-6F4BF1F3D8BA}" id="{319E6291-885E-4924-B1A5-1D4BDDCCED59}" parentId="{81456B4A-7638-4F48-9675-FB52A3C93728}">
    <text xml:space="preserve">SLA - % de atendimento a incidentes dentro do prazo
% de Ataque Cibernético contido
Tempo de Disp. dos Serviços de TI  - % de Atend. dentro do prazo
RTO (Tempo Max, de Rec.) % de Atend. dentro do prazo
RPO (Perda Maxima de Dados)  % de Atendimentos dentro do prazo </text>
  </threadedComment>
  <threadedComment ref="AA5" dT="2026-04-14T20:24:56.32" personId="{B0A81E74-5926-45BD-873A-6F4BF1F3D8BA}" id="{358D4973-AB28-456F-A640-9856E01C5FE9}">
    <text>Horas de Treinamentos x Colaborador
Absenteísmo - Geral
Turnover - Geral
Satisfação dos Colaboradores</text>
  </threadedComment>
  <threadedComment ref="R6" dT="2026-04-14T20:28:28.75" personId="{B0A81E74-5926-45BD-873A-6F4BF1F3D8BA}" id="{9C425455-D843-4E13-AF70-2A45F253ECD5}">
    <text>% eficiência mão de obra - Geral
Downtime - Geral
Downtime - Estamparia
Downtime - Solda
Hora Extra
Tempo Médio de Setup
Golpes por Minuto
OEE % - Geral
OEE % - Isgec - EST25001
OEE % - Celula 04 - CSR61004
OEE % - Prensa Minster - Est05001
OEE % - Prensa Schuler - Est05002
OEE % - Prensa Gutmann - Est04002
OEE % - Prensa Gutmann - Est04003
OEE % - Prensa Schuler - Est08001</text>
  </threadedComment>
  <threadedComment ref="S6" dT="2026-04-14T20:34:47.03" personId="{B0A81E74-5926-45BD-873A-6F4BF1F3D8BA}" id="{941AD74F-8240-4BB2-A2FE-7F6CC395C4EF}">
    <text xml:space="preserve">%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MAN
Nº de Reclamações	GM - SCS
Nº de Reclamações	GM - Gravatai
Nº de Reclamações	GM - São José dos Campos
Nº de Reclamações	GM - Mogi das Cruzes
Nº de Reclamações	Mercedes Benz
Nº de Reclamações	Renault
Nº de Reclamações	Plascar
Nº de Reclamações	Delga Anchieta
Nº de Reclamações	Delga Ferraz
Nº de Reclamações	Delga Jarinu
Nº de Reclamações	Delga São Leopoldo
N.º de Paradas de Linha (Perturbação no Cliente)
PPM Cliente (Total)	Total
PPM - Cliente	Volkswagem - Anchieta
PPM - Cliente	Volkswagem - São Jose dos Pinhais
PPM - Cliente	Volkswagem - Taubaté
PPM - Cliente	MAN
PPM - Cliente	GM - SCS
PPM - Cliente	GM - Gravatai
PPM - Cliente	GM - São José dos Campos
PPM - Cliente	GM - Mogi % custo da não conformidade (CONC)Notas de Debito (R$)Refugo / Scrap (R$)Retrabalho (R$)Nº de Reclamações de Clientes - TotalNº de ReclamaçõesVolkswagem - AnchietaNº de ReclamaçõesVolkswagem - São Jose dos PinhaisNº de ReclamaçõesVolkswagem - TaubatéNº de ReclamaçõesGM - SCSNº de ReclamaçõesGM - GravataiNº de ReclamaçõesGM - ArgentinaNº de ReclamaçõesGM - % custo da não conformidade (CONC)
Notas de Debito (R$)
Refugo / Scrap (R$)
Retrabalho (R$)
Nº de Reclamações de Clientes - Total
Nº de Reclamações	Volkswagem - Anchieta
Nº de Reclamações	Volkswagem - São Jose dos Pinhais
Nº de Reclamações	Volkswagem - Taubaté
Nº de Reclamações	GM - SCS
Nº de Reclamações	GM - Gravatai
Nº de Reclamações	GM - Argentina
Nº de Reclamações	GM - Uzbequistão
Nº de Reclamações	GM - Colombia
Nº de Reclamações	Gestamp - Santa Isabel
Nº de Reclamações	Gestamp - Paraná
N.º de Paradas de Linha (Perturbação no Cliente)
PPM Cliente (Total)
PPM - Cliente	Volkswagem - Anchieta
PPM - Cliente	Volkswagem - São Jose dos Pinhais
PPM - Cliente	Volkswagem - Taubaté
PPM - Cliente	GM - SCS
PPM - Cliente	GM - Gravatai
PPM - Cliente	GM - Argentina
PPM - Cliente	GM - Uzbequistão
PPM - Cliente	GM - Colombia
PPM - Cliente	Gestamp - Santa Isabel
PPM - Cliente	Gestamp - Paraná
N.º de Falhas de Garantia/Campo
Satisfação do Cliente (%) - Total
Nº de Peças em Embarque Controlado
PPM Interno (Total)
PPM - Interno	Estamparia
PPM - Interno	Solda
Form.206 na aprovação do cliente - Fase 5 (%)
Atendimento do desenvolvimento no prazo (%)
Auditorias Escalonadas (% de Conformidade)
Auditoria de 5S (% de Conformidade)
</text>
  </threadedComment>
  <threadedComment ref="T6" dT="2026-04-14T20:16:02.82" personId="{B0A81E74-5926-45BD-873A-6F4BF1F3D8BA}" id="{1FA16A7E-CE84-44D7-AD2C-1EDBF8270E40}">
    <text>EBITDA Contábil (%)
Margem Contribuição (%)
Custos Fixos / Faturamento Líquido (%)
Faturamento  Bruto Peças (R$) /1000
Faturamento  Liquido (R$) (Efetivo) /1000
Resultado Operacional</text>
  </threadedComment>
  <threadedComment ref="U6" dT="2026-04-14T20:17:24.76" personId="{B0A81E74-5926-45BD-873A-6F4BF1F3D8BA}" id="{4A471903-6BEF-4EE4-8DF8-8721D6A4BCBD}">
    <text>Kaizen (Qtde.)
Kaizen (R$)</text>
  </threadedComment>
  <threadedComment ref="V6" dT="2026-04-14T20:33:18.26" personId="{B0A81E74-5926-45BD-873A-6F4BF1F3D8BA}" id="{315BB803-4484-40F8-9650-4214D3BCB388}">
    <text xml:space="preserve"> 
% Prazo de entrega - Total
% Prazo de entrega	Volkswagem - Anchieta
% Prazo de entrega	Volkswagem - Taubaté
% Prazo de entrega	GM - SCS
% Prazo de entrega	GM - Gravatai
% Prazo de entrega	GM - Argentina
% Prazo de entrega	GM - Uzbequistão
% Prazo de entrega	Gestamp - Santa Isabel
% Prazo de entrega	Gestamp - Paraná
% atingimento da meta de faturamento mensal
Frete
Frete Extra
Days on hands ( dias de estoque )
Valor total de estoques
Giro de Estoque
IQF Fornecedores</text>
  </threadedComment>
  <threadedComment ref="W6" dT="2026-04-14T20:24:15.91" personId="{B0A81E74-5926-45BD-873A-6F4BF1F3D8BA}" id="{CAC2FD96-0BF8-4A1A-AB82-16B95356A42E}">
    <text>MTTR (Hrs) - Ferramentaria
MTTR (Hrs) - Ferramentaria - Estamparia
MTTR (Hrs) - Ferramentaria - Solda
MTBF (Hrs) - Ferramentaria
MTBF (Hrs) - Ferramentaria - Estamparia
MTBF (Hrs) - Ferramentaria - Solda
Disponibilidade % - Ferramentaria
Disponibilidade % - Ferramentaria - Estamparia
Disponibilidade % - Ferramentaria - Solda
Custos - Ferramentaria
Preventivas - Ferramentaria</text>
  </threadedComment>
  <threadedComment ref="X6" dT="2026-04-14T20:20:39.55" personId="{B0A81E74-5926-45BD-873A-6F4BF1F3D8BA}" id="{8A78017D-CAB5-4010-84CD-6B9BC1954DCF}">
    <text>MTTR (Hrs) - Manutenção
MTTR (Hrs) - Manutenção - Estamparia
MTTR (Hrs) - Manutenção - Solda
MTBF (Hrs) - Manutenção
MTBF (Hrs) - Manutenção - Estamparia
MTBF (Hrs) - Manutenção - Solda
Disponibilidade % - Manutenção
Disponibilidade % - Manutenção - Estamparia
Disponibilidade % - Manutenção - Solda
Custos - Manutenção
Preventivas - Manutenção</text>
  </threadedComment>
  <threadedComment ref="Y6" dT="2026-04-14T19:38:47.42" personId="{B0A81E74-5926-45BD-873A-6F4BF1F3D8BA}" id="{27E78490-834C-4EC4-8CC2-3A81E1895CBB}">
    <text xml:space="preserve">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ext>
  </threadedComment>
  <threadedComment ref="Z6" dT="2026-04-14T19:32:07.77" personId="{B0A81E74-5926-45BD-873A-6F4BF1F3D8BA}" id="{0FA8DC18-D388-442A-B7AC-D1D6A26C4E04}">
    <text>Faltou índice de conformidade na auditoria tisax</text>
  </threadedComment>
  <threadedComment ref="Z6" dT="2026-04-14T19:45:38.94" personId="{B0A81E74-5926-45BD-873A-6F4BF1F3D8BA}" id="{4EB69EED-6D2F-40E7-B620-E9D1504BBFE2}" parentId="{0FA8DC18-D388-442A-B7AC-D1D6A26C4E04}">
    <text xml:space="preserve">SLA - % de atendimento a incidentes dentro do prazo
% de Ataque Cibernético contido
Tempo de Disp. dos Serviços de TI  - % de Atend. dentro do prazo
RTO (Tempo Max, de Rec.) % de Atend. dentro do prazo
RPO (Perda Maxima de Dados)  % de Atendimentos dentro do prazo </text>
  </threadedComment>
  <threadedComment ref="AA6" dT="2026-04-14T20:21:22.91" personId="{B0A81E74-5926-45BD-873A-6F4BF1F3D8BA}" id="{085D4A6D-DD5C-47D4-AD93-CFA16A12A40B}">
    <text>Horas de Treinamentos x Colaborador
Absenteísmo - Geral
Absenteísmo - Efetivos
Absenteísmo - Temporarios
Turnover - Geral
Turnover - Efetivos
Turnover - Temporarios
Satisfação dos Colaboradores</text>
  </threadedComment>
  <threadedComment ref="R7" dT="2026-04-14T20:28:28.75" personId="{B0A81E74-5926-45BD-873A-6F4BF1F3D8BA}" id="{1DEBA298-4B30-4DB7-A997-C084AF8B9CBD}">
    <text xml:space="preserve">% eficiência mão de obra - Geral
Downtime - Geral
Hora Extra
Tempo Médio de Setup
Golpes por Minuto
OEE % - Geral
</text>
  </threadedComment>
  <threadedComment ref="S7" dT="2026-04-14T20:03:39.59" personId="{B0A81E74-5926-45BD-873A-6F4BF1F3D8BA}" id="{5ED7A15F-8670-47F2-B65B-3E522AA01FE6}">
    <text>% custo da não conformidade (CONC)
Notas de Debito (R$)
Refugo / Scrap (R$)
Retrabalho (R$)
Nº de Reclamações de Clientes - Total
Nº de Reclamações de Clientes (Total) - Automotivo
Nº de Reclamações de Clientes (Total) - Agricola
Nº de Reclamações	AGCO
Nº de Reclamações	CNH
Nº de Reclamações	Suspensys
Nº de Reclamações	Master
Nº de Reclamações	Delga Diadema
N.º de Paradas de Linha (Perturbação no Cliente)
PPM Cliente (Total)
PPM Cliente (Total)	Automotivo
PPM Cliente (Total)	Agricola
PPM - Cliente	CNH
PPM - Cliente	AGCO
PPM - Cliente	Suspensys
PPM - Cliente	Master
PPM - Cliente	Delga Diadema
N.º de Falhas de Garantia/Campo
Satisfação do Cliente (%) - Total
Satisfação do Cliente (%)	AGCO
Satisfação do Cliente (%)	CNH	 
Satisfação do Cliente (%)	Suspensys	 
Satisfação do Cliente (%)	Master 	 
Satisfação do Cliente (%)	Delga Diadema 
Nº de Peças em Embarque Controlado
PPM Interno (Total)
PPM - Interno	Estamparia
PPM - Interno	Solda
PPM - Interno	Usinagem
PPM - Interno	Dobradeira
PPM - Interno	Lsaer
PPM - Interno	Montagem
Form.206 na aprovação do cliente - Fase 5 (%)
Atendimento do desenvolvimento no prazo (%)
Auditorias Escalonadas (% de Conformidade)
Auditoria de 5S (% de Conformidade)</text>
  </threadedComment>
  <threadedComment ref="T7" dT="2026-04-14T20:16:02.82" personId="{B0A81E74-5926-45BD-873A-6F4BF1F3D8BA}" id="{FD0F00A5-291B-48DF-887C-3E11F99929AE}">
    <text>EBITDA Contábil (%)
Margem Contribuição (%)
Custos Fixos / Faturamento Líquido (%)
Faturamento  Bruto Peças (R$) /1000
Faturamento  Liquido (R$) (Efetivo) /1000
Resultado Operacional</text>
  </threadedComment>
  <threadedComment ref="U7" dT="2026-04-14T20:17:24.76" personId="{B0A81E74-5926-45BD-873A-6F4BF1F3D8BA}" id="{6AB332AC-A64E-4EAC-9744-1EF1E9C5B40F}">
    <text>Kaizen (Qtde.)
Kaizen (R$)
Orçamento Atendido no Prazo
Custo Realizado x Orçado de Amostras</text>
  </threadedComment>
  <threadedComment ref="V7" dT="2026-04-14T20:06:41.30" personId="{B0A81E74-5926-45BD-873A-6F4BF1F3D8BA}" id="{04E19B96-2646-48EC-840A-C52298D37E6B}">
    <text xml:space="preserve"> 
% Prazo de entrega - Total
% Prazo de entrega	Master
% Prazo de entrega	Suspensys
% Prazo de entrega	AGCO
% Prazo de entrega	CNH
% Prazo de entrega	Delga Diadema
% atingimento da meta de faturamento mensal 
Frete
Frete Extra 
Days on hands ( dias de estoque )
Valor total de estoques
Giro de Estoque
IQF Fornecedores</text>
  </threadedComment>
  <threadedComment ref="W7" dT="2026-04-14T20:24:15.91" personId="{B0A81E74-5926-45BD-873A-6F4BF1F3D8BA}" id="{65164BDE-3C08-4FF9-A10B-BE34958A49D3}">
    <text>MTTR (Hrs) - Ferramentaria
MTBF (Hrs) - Ferramentaria
Disponibilidade % - Ferramentaria</text>
  </threadedComment>
  <threadedComment ref="X7" dT="2026-04-14T20:20:39.55" personId="{B0A81E74-5926-45BD-873A-6F4BF1F3D8BA}" id="{A5197233-05AC-46DD-B84A-06C738456CC7}">
    <text>MTTR (Hrs) - Manutenção
MTBF (Hrs) - Manutenção
Disponibilidade % - Manutenção</text>
  </threadedComment>
  <threadedComment ref="Y7" dT="2026-04-14T19:38:47.42" personId="{B0A81E74-5926-45BD-873A-6F4BF1F3D8BA}" id="{0CBFD93A-BF38-47E2-85F6-EDA8B032C8C9}">
    <text xml:space="preserve">Dias sem acidentes
Nº acidentes c/ afastamento/comunicado
Taxa de frequência
Taxa de Gravidade
Dias de Afastamento
Qtde de Reclamações Ambientais
Consumo KWH / Colaborador
Consumo KWH / Matéria Prima
Consumo de água por colaborador
Consumo de água / Tonelada produzida
Resíduo sobre MP% de resíduo reciclável% de resíduos destinado para aterro </text>
  </threadedComment>
  <threadedComment ref="Z7" dT="2026-04-14T19:32:07.77" personId="{B0A81E74-5926-45BD-873A-6F4BF1F3D8BA}" id="{42D7C201-1EBE-44B9-BE3D-EB654D88F1AC}">
    <text>Faltou índice de conformidade na auditoria tisax</text>
  </threadedComment>
  <threadedComment ref="Z7" dT="2026-04-14T19:45:38.94" personId="{B0A81E74-5926-45BD-873A-6F4BF1F3D8BA}" id="{13F4BEFC-30E6-4A42-B438-78EDEB9CF534}" parentId="{42D7C201-1EBE-44B9-BE3D-EB654D88F1AC}">
    <text xml:space="preserve">SLA - % de atendimento a incidentes dentro do prazo
% de Ataque Cibernético contido
Tempo de Disp. dos Serviços de TI  - % de Atend. dentro do prazo
RTO (Tempo Max, de Rec.) % de Atend. dentro do prazo
RPO (Perda Maxima de Dados)  % de Atendimentos dentro do prazo </text>
  </threadedComment>
  <threadedComment ref="AA7" dT="2026-04-14T20:24:56.32" personId="{B0A81E74-5926-45BD-873A-6F4BF1F3D8BA}" id="{CEC12F9E-B5BD-49F7-ACA2-D8088F90F10C}">
    <text>Horas de Treinamentos x Colaborador
Absenteísmo - Geral
Turnover - Geral
Satisfação dos Colaboradores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E20121D-D218-41DB-B94D-11F563B7A5F3}">
  <we:reference id="wa200009404" version="1.0.0.8" store="pt-PT" storeType="OMEX"/>
  <we:alternateReferences>
    <we:reference id="WA200009404" version="1.0.0.8" store="WA200009404" storeType="OMEX"/>
  </we:alternateReferences>
  <we:properties>
    <we:property name="claude.fileId" value="&quot;afb7875b-756a-4a71-99cb-f4beadbea2e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40.xml"/><Relationship Id="rId21" Type="http://schemas.openxmlformats.org/officeDocument/2006/relationships/hyperlink" Target="file:///\\192.168.0.20\DEPARTAMENTOS\Engenharia\0.%20Kaizen%20Diadema\6.%202026\02%20Fevereiro\20%20-%20MB002289LA_MB002290LA%20-%20Bruno%20Manachini_Engenharia\20%20-%20KAIZEN%20-%20Redu&#231;&#227;o%20de%20peso%20bruto_MB002289LA_MB002290LA_Rev00_Bruno%20Manachini.xlsx" TargetMode="External"/><Relationship Id="rId63" Type="http://schemas.openxmlformats.org/officeDocument/2006/relationships/hyperlink" Target="file:///\\192.168.0.20\departamentos\Engenharia\0.%20Kaizen%20Diadema\6.%202026\05%20Maio\59%20-%20Redu&#231;&#227;o_de_MP%20-%20SV001141LA_1142LA%20-%20Bruno%20Manachini_Engenharia\59%20-%20KAIZEN%20-%20SV001141LA_SV001142LA_Rev00_Bruno%20Manachini.xlsx" TargetMode="External"/><Relationship Id="rId159" Type="http://schemas.openxmlformats.org/officeDocument/2006/relationships/ctrlProp" Target="../ctrlProps/ctrlProp82.xml"/><Relationship Id="rId170" Type="http://schemas.openxmlformats.org/officeDocument/2006/relationships/ctrlProp" Target="../ctrlProps/ctrlProp93.xml"/><Relationship Id="rId191" Type="http://schemas.openxmlformats.org/officeDocument/2006/relationships/ctrlProp" Target="../ctrlProps/ctrlProp114.xml"/><Relationship Id="rId205" Type="http://schemas.openxmlformats.org/officeDocument/2006/relationships/ctrlProp" Target="../ctrlProps/ctrlProp128.xml"/><Relationship Id="rId226" Type="http://schemas.openxmlformats.org/officeDocument/2006/relationships/ctrlProp" Target="../ctrlProps/ctrlProp149.xml"/><Relationship Id="rId247" Type="http://schemas.openxmlformats.org/officeDocument/2006/relationships/ctrlProp" Target="../ctrlProps/ctrlProp170.xml"/><Relationship Id="rId107" Type="http://schemas.openxmlformats.org/officeDocument/2006/relationships/ctrlProp" Target="../ctrlProps/ctrlProp30.xml"/><Relationship Id="rId11" Type="http://schemas.openxmlformats.org/officeDocument/2006/relationships/hyperlink" Target="file:///\\192.168.0.20\DEPARTAMENTOS\Engenharia\0.%20Kaizen%20Diadema\6.%202026\03%20Mar&#231;o\27%20-%20MB003610LA%20-%20Bruno%20Manachini_Engenharia" TargetMode="External"/><Relationship Id="rId32" Type="http://schemas.openxmlformats.org/officeDocument/2006/relationships/hyperlink" Target="file:///\\192.168.0.20\DEPARTAMENTOS\Engenharia\0.%20Kaizen%20Diadema\6.%202026\01%20Janeiro\01%20-%20DA000489AB%20-Bruno%20Manachini_Engenharia\01%20-%20KAIZEN%20-%20DA000489AB_Rev00_Bruno%20Manachini.xlsx" TargetMode="External"/><Relationship Id="rId53" Type="http://schemas.openxmlformats.org/officeDocument/2006/relationships/hyperlink" Target="file:///\\192.168.0.20\departamentos\Engenharia\0.%20Kaizen%20Diadema\6.%202026\04%20Abril\44%20-%20Redu&#231;&#227;o%20de%20um%20compressor%20alugado%20planta%20Diadema%202026%20_Mario%20Reami_REV00\44%20-%20Redu&#231;&#227;o%20de%20um%20compressor%20alugado%20planta%20Diadema%202026%20_Mario%20Reami_REV00.xlsx" TargetMode="External"/><Relationship Id="rId74" Type="http://schemas.openxmlformats.org/officeDocument/2006/relationships/hyperlink" Target="Evid&#234;ncias%20Grupo%20Delga%202026/Evid&#234;ncias%20Delga%20Diadema/00%20Evid&#234;ncia%20An&#225;lise%20de%20Margem/00%20Form%20206%20preenchido%20pela%20Engenharia/GM000359Z-%20Form.206.xlsx" TargetMode="External"/><Relationship Id="rId128" Type="http://schemas.openxmlformats.org/officeDocument/2006/relationships/ctrlProp" Target="../ctrlProps/ctrlProp51.xml"/><Relationship Id="rId149" Type="http://schemas.openxmlformats.org/officeDocument/2006/relationships/ctrlProp" Target="../ctrlProps/ctrlProp72.xml"/><Relationship Id="rId5" Type="http://schemas.openxmlformats.org/officeDocument/2006/relationships/hyperlink" Target="file:///\\192.168.0.20\DEPARTAMENTOS\Engenharia\0.%20Kaizen%20Diadema\5.%202025\12%20Dezembro%20-%205\54%20-%20Aproveitamento_de_pe&#231;as_obsoletas.xlsx" TargetMode="External"/><Relationship Id="rId95" Type="http://schemas.openxmlformats.org/officeDocument/2006/relationships/ctrlProp" Target="../ctrlProps/ctrlProp18.xml"/><Relationship Id="rId160" Type="http://schemas.openxmlformats.org/officeDocument/2006/relationships/ctrlProp" Target="../ctrlProps/ctrlProp83.xml"/><Relationship Id="rId181" Type="http://schemas.openxmlformats.org/officeDocument/2006/relationships/ctrlProp" Target="../ctrlProps/ctrlProp104.xml"/><Relationship Id="rId216" Type="http://schemas.openxmlformats.org/officeDocument/2006/relationships/ctrlProp" Target="../ctrlProps/ctrlProp139.xml"/><Relationship Id="rId237" Type="http://schemas.openxmlformats.org/officeDocument/2006/relationships/ctrlProp" Target="../ctrlProps/ctrlProp160.xml"/><Relationship Id="rId258" Type="http://schemas.openxmlformats.org/officeDocument/2006/relationships/ctrlProp" Target="../ctrlProps/ctrlProp181.xml"/><Relationship Id="rId22" Type="http://schemas.openxmlformats.org/officeDocument/2006/relationships/hyperlink" Target="file:///\\192.168.0.20\DEPARTAMENTOS\Engenharia\0.%20Kaizen%20Diadema\6.%202026\03%20Mar&#231;o\25%20-%20CHQ0475ED12502650%20-%20Bruno%20Manachini_Engenharia\25%20-%20KAIZEN%20-%20CHQ0475ED12502650_Rev00_Bruno%20Manachini.xlsx" TargetMode="External"/><Relationship Id="rId43" Type="http://schemas.openxmlformats.org/officeDocument/2006/relationships/hyperlink" Target="file:///\\192.168.0.20\DEPARTAMENTOS\Engenharia\0.%20Kaizen%20Diadema\6.%202026\02%20Fevereiro\23%20-%20MB003601LA%20-%20Bruno%20Manachini_Engenharia\23%20-%20KAIZEN%20-%20Redu&#231;&#227;o%20de%20peso%20bruto_MB003601LA_Rev00_Bruno%20Manachini.xlsx" TargetMode="External"/><Relationship Id="rId64" Type="http://schemas.openxmlformats.org/officeDocument/2006/relationships/hyperlink" Target="file:///\\192.168.0.20\departamentos\Engenharia\0.%20Kaizen%20Diadema\6.%202026\05%20Maio\60%20-%20Redu&#231;&#227;o_do_Peso_Bruto_AlmaCAM%20-%20Bruno%20Manachini_Engenharia\60%20-%20KAIZEN%20-%20AlmaCAM_Redu&#231;&#227;o%20de%20Peso_Rev00_Bruno%20Manachini.xlsx" TargetMode="External"/><Relationship Id="rId118" Type="http://schemas.openxmlformats.org/officeDocument/2006/relationships/ctrlProp" Target="../ctrlProps/ctrlProp41.xml"/><Relationship Id="rId139" Type="http://schemas.openxmlformats.org/officeDocument/2006/relationships/ctrlProp" Target="../ctrlProps/ctrlProp62.xml"/><Relationship Id="rId85" Type="http://schemas.openxmlformats.org/officeDocument/2006/relationships/ctrlProp" Target="../ctrlProps/ctrlProp8.xml"/><Relationship Id="rId150" Type="http://schemas.openxmlformats.org/officeDocument/2006/relationships/ctrlProp" Target="../ctrlProps/ctrlProp73.xml"/><Relationship Id="rId171" Type="http://schemas.openxmlformats.org/officeDocument/2006/relationships/ctrlProp" Target="../ctrlProps/ctrlProp94.xml"/><Relationship Id="rId192" Type="http://schemas.openxmlformats.org/officeDocument/2006/relationships/ctrlProp" Target="../ctrlProps/ctrlProp115.xml"/><Relationship Id="rId206" Type="http://schemas.openxmlformats.org/officeDocument/2006/relationships/ctrlProp" Target="../ctrlProps/ctrlProp129.xml"/><Relationship Id="rId227" Type="http://schemas.openxmlformats.org/officeDocument/2006/relationships/ctrlProp" Target="../ctrlProps/ctrlProp150.xml"/><Relationship Id="rId248" Type="http://schemas.openxmlformats.org/officeDocument/2006/relationships/ctrlProp" Target="../ctrlProps/ctrlProp171.xml"/><Relationship Id="rId12" Type="http://schemas.openxmlformats.org/officeDocument/2006/relationships/hyperlink" Target="file:///\\Deptos\Engenharia\0.%20Kaizen%20Diadema\6.%202026\03%20Mar&#231;o\26%20-%20MB003594LA%20-%20Bruno%20Manachini_Engenharia\26%20-%20KAIZEN%20-%20MB003594LA_Rev00_Bruno%20Manachini.xlsx" TargetMode="External"/><Relationship Id="rId33" Type="http://schemas.openxmlformats.org/officeDocument/2006/relationships/hyperlink" Target="file:///\\192.168.0.20\DEPARTAMENTOS\Engenharia\0.%20Kaizen%20Diadema\6.%202026\02%20Fevereiro\17%20-%20Redu&#231;&#227;o%20do%20contrato%20de%20empilhadeiras_Eduardo%20Fajardo\17%20-%20Redu&#231;&#227;o%20de%20do%20contrato%20de%20empilhadeiras_Eduardo%20Fajardo.xlsx" TargetMode="External"/><Relationship Id="rId108" Type="http://schemas.openxmlformats.org/officeDocument/2006/relationships/ctrlProp" Target="../ctrlProps/ctrlProp31.xml"/><Relationship Id="rId129" Type="http://schemas.openxmlformats.org/officeDocument/2006/relationships/ctrlProp" Target="../ctrlProps/ctrlProp52.xml"/><Relationship Id="rId54" Type="http://schemas.openxmlformats.org/officeDocument/2006/relationships/hyperlink" Target="file:///\\192.168.0.20\departamentos\Engenharia\0.%20Kaizen%20Diadema\6.%202026\04%20Abril\48%20-%20Redu&#231;&#227;o%20de%20MP%20-%20DJ000079Z%20-%2080Z_Rev00_Thiago%20Cardoso\48%20-%20Redu&#231;&#227;o%20de%20MP%20-%20DJ000079Z%20-%2080Z_Rev00_Thiago%20Cardoso.xlsx" TargetMode="External"/><Relationship Id="rId75" Type="http://schemas.openxmlformats.org/officeDocument/2006/relationships/printerSettings" Target="../printerSettings/printerSettings2.bin"/><Relationship Id="rId96" Type="http://schemas.openxmlformats.org/officeDocument/2006/relationships/ctrlProp" Target="../ctrlProps/ctrlProp19.xml"/><Relationship Id="rId140" Type="http://schemas.openxmlformats.org/officeDocument/2006/relationships/ctrlProp" Target="../ctrlProps/ctrlProp63.xml"/><Relationship Id="rId161" Type="http://schemas.openxmlformats.org/officeDocument/2006/relationships/ctrlProp" Target="../ctrlProps/ctrlProp84.xml"/><Relationship Id="rId182" Type="http://schemas.openxmlformats.org/officeDocument/2006/relationships/ctrlProp" Target="../ctrlProps/ctrlProp105.xml"/><Relationship Id="rId217" Type="http://schemas.openxmlformats.org/officeDocument/2006/relationships/ctrlProp" Target="../ctrlProps/ctrlProp140.xml"/><Relationship Id="rId6" Type="http://schemas.openxmlformats.org/officeDocument/2006/relationships/hyperlink" Target="file:///\\192.168.0.20\DEPARTAMENTOS\Engenharia\0.%20Kaizen%20Diadema\6.%202026\02%20Fevereiro\18%20-%20Produtividade_Aumento%20da%20efici&#234;ncia%20para%2073%25_Rua%202-3-4-8_Eduardo%20Fajardo\18%20-%20Produtividade_Aumento%20da%20efici&#234;ncia%20para%2073%25_Rua%202-3-4-8.xlsx" TargetMode="External"/><Relationship Id="rId238" Type="http://schemas.openxmlformats.org/officeDocument/2006/relationships/ctrlProp" Target="../ctrlProps/ctrlProp161.xml"/><Relationship Id="rId259" Type="http://schemas.openxmlformats.org/officeDocument/2006/relationships/table" Target="../tables/table1.xml"/><Relationship Id="rId23" Type="http://schemas.openxmlformats.org/officeDocument/2006/relationships/hyperlink" Target="file:///\\192.168.0.20\DEPARTAMENTOS\Engenharia\0.%20Kaizen%20Diadema\6.%202026\03%20Mar&#231;o\28%20-%20MB003554LA%20-%20Bruno%20Manachini_Engenharia\28%20-%20KAIZEN%20-%20MB003554LA_Rev00_Bruno%20Manachini.xlsx" TargetMode="External"/><Relationship Id="rId119" Type="http://schemas.openxmlformats.org/officeDocument/2006/relationships/ctrlProp" Target="../ctrlProps/ctrlProp42.xml"/><Relationship Id="rId44" Type="http://schemas.openxmlformats.org/officeDocument/2006/relationships/hyperlink" Target="file:///\\192.168.0.20\DEPARTAMENTOS\Engenharia\0.%20Kaizen%20Diadema\6.%202026\03%20Mar&#231;o\37%20-%20DA000459AA%20-%20STC%20Volvo_Sidnei%20Souza_Ferramentaria\37%20-%20DA000459AA%20-%20STC%20Volvo_Sidnei%20Souza_Ferramentaria.xlsx" TargetMode="External"/><Relationship Id="rId65" Type="http://schemas.openxmlformats.org/officeDocument/2006/relationships/hyperlink" Target="Evid&#234;ncias%20Grupo%20Delga%202026/Evid&#234;ncias%20Delga%20Diadema/00%20Evid&#234;ncia%20An&#225;lise%20de%20Margem/00%20Form%20206%20preenchido%20pela%20Engenharia/VW000895Z%20-%20Form.206.xlsx" TargetMode="External"/><Relationship Id="rId86" Type="http://schemas.openxmlformats.org/officeDocument/2006/relationships/ctrlProp" Target="../ctrlProps/ctrlProp9.xml"/><Relationship Id="rId130" Type="http://schemas.openxmlformats.org/officeDocument/2006/relationships/ctrlProp" Target="../ctrlProps/ctrlProp53.xml"/><Relationship Id="rId151" Type="http://schemas.openxmlformats.org/officeDocument/2006/relationships/ctrlProp" Target="../ctrlProps/ctrlProp74.xml"/><Relationship Id="rId172" Type="http://schemas.openxmlformats.org/officeDocument/2006/relationships/ctrlProp" Target="../ctrlProps/ctrlProp95.xml"/><Relationship Id="rId193" Type="http://schemas.openxmlformats.org/officeDocument/2006/relationships/ctrlProp" Target="../ctrlProps/ctrlProp116.xml"/><Relationship Id="rId207" Type="http://schemas.openxmlformats.org/officeDocument/2006/relationships/ctrlProp" Target="../ctrlProps/ctrlProp130.xml"/><Relationship Id="rId228" Type="http://schemas.openxmlformats.org/officeDocument/2006/relationships/ctrlProp" Target="../ctrlProps/ctrlProp151.xml"/><Relationship Id="rId249" Type="http://schemas.openxmlformats.org/officeDocument/2006/relationships/ctrlProp" Target="../ctrlProps/ctrlProp172.xml"/><Relationship Id="rId13" Type="http://schemas.openxmlformats.org/officeDocument/2006/relationships/hyperlink" Target="Evid&#234;ncias%20Grupo%20Delga%202026/Evid&#234;ncias%20Delga%20Diadema/00%20Evid&#234;ncia%20An&#225;lise%20de%20Margem/00%20Form%20206%20preenchido%20pela%20Engenharia/VW000583Z_VW000584Z%20-%20Form.206.xlsx" TargetMode="External"/><Relationship Id="rId109" Type="http://schemas.openxmlformats.org/officeDocument/2006/relationships/ctrlProp" Target="../ctrlProps/ctrlProp32.xml"/><Relationship Id="rId260" Type="http://schemas.openxmlformats.org/officeDocument/2006/relationships/comments" Target="../comments1.xml"/><Relationship Id="rId34" Type="http://schemas.openxmlformats.org/officeDocument/2006/relationships/hyperlink" Target="file:///\\192.168.0.20\DEPARTAMENTOS\Engenharia\0.%20Kaizen%20Diadema\6.%202026\03%20Mar&#231;o\42%20-%20Redu&#231;&#227;o%20do%20Consumo%20de%20&#193;gua_Eduardo%20Fajardo\42%20-%20Redu&#231;&#227;o%20do%20Consumo%20de%20&#193;gua_Eduardo%20Fajardo_REV00.xlsx" TargetMode="External"/><Relationship Id="rId55" Type="http://schemas.openxmlformats.org/officeDocument/2006/relationships/hyperlink" Target="file:///\\192.168.0.20\departamentos\Engenharia\0.%20Kaizen%20Diadema\6.%202026\04%20Abril\49%20-%20Redu&#231;&#227;o%20de%20MP%20-%20BOZ0150HX1000_Rev00_Thiago%20Cardoso\49%20-%20Redu&#231;&#227;o%20de%20MP%20-%20BOZ0150HX1000_Rev00_Thiago%20Cardoso.xlsx" TargetMode="External"/><Relationship Id="rId76" Type="http://schemas.openxmlformats.org/officeDocument/2006/relationships/drawing" Target="../drawings/drawing2.xml"/><Relationship Id="rId97" Type="http://schemas.openxmlformats.org/officeDocument/2006/relationships/ctrlProp" Target="../ctrlProps/ctrlProp20.xml"/><Relationship Id="rId120" Type="http://schemas.openxmlformats.org/officeDocument/2006/relationships/ctrlProp" Target="../ctrlProps/ctrlProp43.xml"/><Relationship Id="rId141" Type="http://schemas.openxmlformats.org/officeDocument/2006/relationships/ctrlProp" Target="../ctrlProps/ctrlProp64.xml"/><Relationship Id="rId7" Type="http://schemas.openxmlformats.org/officeDocument/2006/relationships/hyperlink" Target="Evid&#234;ncias%20Grupo%20Delga%202026/Evid&#234;ncias%20Delga%20Diadema/00%20Evid&#234;ncia%20An&#225;lise%20de%20Margem/00%20Form%20206%20preenchido%20pela%20Engenharia/VW000573Z_VW000574Z%20-%20Form.206.xlsx" TargetMode="External"/><Relationship Id="rId162" Type="http://schemas.openxmlformats.org/officeDocument/2006/relationships/ctrlProp" Target="../ctrlProps/ctrlProp85.xml"/><Relationship Id="rId183" Type="http://schemas.openxmlformats.org/officeDocument/2006/relationships/ctrlProp" Target="../ctrlProps/ctrlProp106.xml"/><Relationship Id="rId218" Type="http://schemas.openxmlformats.org/officeDocument/2006/relationships/ctrlProp" Target="../ctrlProps/ctrlProp141.xml"/><Relationship Id="rId239" Type="http://schemas.openxmlformats.org/officeDocument/2006/relationships/ctrlProp" Target="../ctrlProps/ctrlProp162.xml"/><Relationship Id="rId250" Type="http://schemas.openxmlformats.org/officeDocument/2006/relationships/ctrlProp" Target="../ctrlProps/ctrlProp173.xml"/><Relationship Id="rId24" Type="http://schemas.openxmlformats.org/officeDocument/2006/relationships/hyperlink" Target="file:///\\192.168.0.20\DEPARTAMENTOS\Engenharia\0.%20Kaizen%20Diadema\6.%202026\03%20Mar&#231;o\29%20-%20MB003597LA%20-%20Bruno%20Manachini_Engenharia\29%20-%20KAIZEN%20-%20MB003597LA_Rev00_Bruno%20Manachini.xlsx" TargetMode="External"/><Relationship Id="rId45" Type="http://schemas.openxmlformats.org/officeDocument/2006/relationships/hyperlink" Target="file:///\\192.168.0.20\DEPARTAMENTOS\Engenharia\0.%20Kaizen%20Diadema\6.%202026\03%20Mar&#231;o\38%20-%20DA000487AA_DA000488AA%20-%20STC%20Scania%20P_Sidnei%20Souza_Ferramentaria\38%20-%20DA000487AA_DA000488AA%20-%20STC%20Scania%20P_Sidnei%20Souza_Ferramentaria_REV00.xlsx" TargetMode="External"/><Relationship Id="rId66" Type="http://schemas.openxmlformats.org/officeDocument/2006/relationships/hyperlink" Target="Evid&#234;ncias%20Grupo%20Delga%202026/Evid&#234;ncias%20Delga%20Diadema/00%20Evid&#234;ncia%20An&#225;lise%20de%20Margem/00%20Form%20206%20preenchido%20pela%20Engenharia/VW000896Z%20-%20Form.206.xlsx" TargetMode="External"/><Relationship Id="rId87" Type="http://schemas.openxmlformats.org/officeDocument/2006/relationships/ctrlProp" Target="../ctrlProps/ctrlProp10.xml"/><Relationship Id="rId110" Type="http://schemas.openxmlformats.org/officeDocument/2006/relationships/ctrlProp" Target="../ctrlProps/ctrlProp33.xml"/><Relationship Id="rId131" Type="http://schemas.openxmlformats.org/officeDocument/2006/relationships/ctrlProp" Target="../ctrlProps/ctrlProp54.xml"/><Relationship Id="rId152" Type="http://schemas.openxmlformats.org/officeDocument/2006/relationships/ctrlProp" Target="../ctrlProps/ctrlProp75.xml"/><Relationship Id="rId173" Type="http://schemas.openxmlformats.org/officeDocument/2006/relationships/ctrlProp" Target="../ctrlProps/ctrlProp96.xml"/><Relationship Id="rId194" Type="http://schemas.openxmlformats.org/officeDocument/2006/relationships/ctrlProp" Target="../ctrlProps/ctrlProp117.xml"/><Relationship Id="rId208" Type="http://schemas.openxmlformats.org/officeDocument/2006/relationships/ctrlProp" Target="../ctrlProps/ctrlProp131.xml"/><Relationship Id="rId229" Type="http://schemas.openxmlformats.org/officeDocument/2006/relationships/ctrlProp" Target="../ctrlProps/ctrlProp152.xml"/><Relationship Id="rId240" Type="http://schemas.openxmlformats.org/officeDocument/2006/relationships/ctrlProp" Target="../ctrlProps/ctrlProp163.xml"/><Relationship Id="rId261" Type="http://schemas.microsoft.com/office/2017/10/relationships/threadedComment" Target="../threadedComments/threadedComment1.xml"/><Relationship Id="rId14" Type="http://schemas.openxmlformats.org/officeDocument/2006/relationships/hyperlink" Target="Evid&#234;ncias%20Grupo%20Delga%202026/Evid&#234;ncias%20Delga%20Diadema/00%20Evid&#234;ncia%20An&#225;lise%20de%20Margem/00%20Form%20206%20preenchido%20pela%20Engenharia/VW000583Z_VW000584Z%20-%20Form.206.xlsx" TargetMode="External"/><Relationship Id="rId35" Type="http://schemas.openxmlformats.org/officeDocument/2006/relationships/hyperlink" Target="file:///\\192.168.0.20\DEPARTAMENTOS\Engenharia\0.%20Kaizen%20Diadema\6.%202026\01%20Janeiro\02%20-%20MB2446LA_MB3670LA_MB3671LA_Engenharia_Bruno%20Manachini_Validado%20Pela%20Controladoria\02%20-%20KAIZEN%20-%20MB2446LA_MB3670LA_MB3671LA_Rev00_Bruno%20Manachini.xlsx" TargetMode="External"/><Relationship Id="rId56" Type="http://schemas.openxmlformats.org/officeDocument/2006/relationships/hyperlink" Target="file:///\\192.168.0.20\departamentos\Engenharia\0.%20Kaizen%20Diadema\6.%202026\04%20Abril\50%20-%20Redu&#231;&#227;o%20de%20MP%20-%20GM000408Z_409Z_Bobina_Rev00_Thiago%20Cardoso\50%20-%20Redu&#231;&#227;o%20de%20MP%20-%20GM000408Z_409Z_Bobina_Rev00_Thiago%20Cardoso.xlsx" TargetMode="External"/><Relationship Id="rId77" Type="http://schemas.openxmlformats.org/officeDocument/2006/relationships/vmlDrawing" Target="../drawings/vmlDrawing1.vml"/><Relationship Id="rId100" Type="http://schemas.openxmlformats.org/officeDocument/2006/relationships/ctrlProp" Target="../ctrlProps/ctrlProp23.xml"/><Relationship Id="rId8" Type="http://schemas.openxmlformats.org/officeDocument/2006/relationships/hyperlink" Target="Evid&#234;ncias%20Grupo%20Delga%202026/Evid&#234;ncias%20Delga%20Diadema/00%20Evid&#234;ncia%20An&#225;lise%20de%20Margem/00%20Form%20206%20preenchido%20pela%20Engenharia/VW000573Z_VW000574Z%20-%20Form.206.xlsx" TargetMode="External"/><Relationship Id="rId98" Type="http://schemas.openxmlformats.org/officeDocument/2006/relationships/ctrlProp" Target="../ctrlProps/ctrlProp21.xml"/><Relationship Id="rId121" Type="http://schemas.openxmlformats.org/officeDocument/2006/relationships/ctrlProp" Target="../ctrlProps/ctrlProp44.xml"/><Relationship Id="rId142" Type="http://schemas.openxmlformats.org/officeDocument/2006/relationships/ctrlProp" Target="../ctrlProps/ctrlProp65.xml"/><Relationship Id="rId163" Type="http://schemas.openxmlformats.org/officeDocument/2006/relationships/ctrlProp" Target="../ctrlProps/ctrlProp86.xml"/><Relationship Id="rId184" Type="http://schemas.openxmlformats.org/officeDocument/2006/relationships/ctrlProp" Target="../ctrlProps/ctrlProp107.xml"/><Relationship Id="rId219" Type="http://schemas.openxmlformats.org/officeDocument/2006/relationships/ctrlProp" Target="../ctrlProps/ctrlProp142.xml"/><Relationship Id="rId230" Type="http://schemas.openxmlformats.org/officeDocument/2006/relationships/ctrlProp" Target="../ctrlProps/ctrlProp153.xml"/><Relationship Id="rId251" Type="http://schemas.openxmlformats.org/officeDocument/2006/relationships/ctrlProp" Target="../ctrlProps/ctrlProp174.xml"/><Relationship Id="rId25" Type="http://schemas.openxmlformats.org/officeDocument/2006/relationships/hyperlink" Target="file:///\\192.168.0.20\DEPARTAMENTOS\Engenharia\0.%20Kaizen%20Diadema\6.%202026\03%20Mar&#231;o\30%20-%20MB003673LA%20-%20Bruno%20Manachini_Engenharia\30%20-%20KAIZEN%20-%20MB003673LA_Rev00_Bruno%20Manachini.xlsx" TargetMode="External"/><Relationship Id="rId46" Type="http://schemas.openxmlformats.org/officeDocument/2006/relationships/hyperlink" Target="file:///\\192.168.0.20\DEPARTAMENTOS\Engenharia\0.%20Kaizen%20Diadema\6.%202026\03%20Mar&#231;o\39%20-%20DA000489AA_DA000490AA%20-%20STC%20Scania%20M_Sidnei%20Souza_Ferramentaria\39%20-%20DA000489Z_DE000490Z%20-%20STC%20Scania%20M_Sidnei%20Souza_Ferramentaria_REV00.xlsx" TargetMode="External"/><Relationship Id="rId67" Type="http://schemas.openxmlformats.org/officeDocument/2006/relationships/hyperlink" Target="file:///\\192.168.0.20\DEPARTAMENTOS\Engenharia\0.%20Kaizen%20Diadema\5.%202025\11%20Novembro%20-%205\52%20-%20Kaizen%20Pulm&#227;o.pptx" TargetMode="External"/><Relationship Id="rId88" Type="http://schemas.openxmlformats.org/officeDocument/2006/relationships/ctrlProp" Target="../ctrlProps/ctrlProp11.xml"/><Relationship Id="rId111" Type="http://schemas.openxmlformats.org/officeDocument/2006/relationships/ctrlProp" Target="../ctrlProps/ctrlProp34.xml"/><Relationship Id="rId132" Type="http://schemas.openxmlformats.org/officeDocument/2006/relationships/ctrlProp" Target="../ctrlProps/ctrlProp55.xml"/><Relationship Id="rId153" Type="http://schemas.openxmlformats.org/officeDocument/2006/relationships/ctrlProp" Target="../ctrlProps/ctrlProp76.xml"/><Relationship Id="rId174" Type="http://schemas.openxmlformats.org/officeDocument/2006/relationships/ctrlProp" Target="../ctrlProps/ctrlProp97.xml"/><Relationship Id="rId195" Type="http://schemas.openxmlformats.org/officeDocument/2006/relationships/ctrlProp" Target="../ctrlProps/ctrlProp118.xml"/><Relationship Id="rId209" Type="http://schemas.openxmlformats.org/officeDocument/2006/relationships/ctrlProp" Target="../ctrlProps/ctrlProp132.xml"/><Relationship Id="rId220" Type="http://schemas.openxmlformats.org/officeDocument/2006/relationships/ctrlProp" Target="../ctrlProps/ctrlProp143.xml"/><Relationship Id="rId241" Type="http://schemas.openxmlformats.org/officeDocument/2006/relationships/ctrlProp" Target="../ctrlProps/ctrlProp164.xml"/><Relationship Id="rId15" Type="http://schemas.openxmlformats.org/officeDocument/2006/relationships/hyperlink" Target="file:///\\192.168.0.20\DEPARTAMENTOS\Engenharia\0.%20Kaizen%20Diadema\6.%202026\01%20Janeiro\07%20-%20Kaizen%20Fac&#227;o_Sebasti&#227;o%20Gomes\7%20-%20KAIZEN%20FAC&#195;O%20DA000418Z_JAN%202026.xlsx" TargetMode="External"/><Relationship Id="rId36" Type="http://schemas.openxmlformats.org/officeDocument/2006/relationships/hyperlink" Target="file:///\\192.168.0.20\DEPARTAMENTOS\Engenharia\0.%20Kaizen%20Diadema\6.%202026\01%20Janeiro\06%20-%20Padroniza&#231;&#227;o%20de%20Arame%20de%20Solda_Izaias%20Junior_Engenharia\06_Padroniza&#231;&#227;o%20Arame%20de%20Solda.%20rev01_Izaias%20Junior.xlsx" TargetMode="External"/><Relationship Id="rId57" Type="http://schemas.openxmlformats.org/officeDocument/2006/relationships/hyperlink" Target="file:///\\192.168.0.20\departamentos\Engenharia\0.%20Kaizen%20Diadema\6.%202026\04%20Abril\52%20-%20Suporte%20da%20lanterna%20MB003681_Sidnei%20Souza_Ferramentaria\52%20-%20Suporte%20da%20lanterna%20MB003681_REV00.xlsx" TargetMode="External"/><Relationship Id="rId78" Type="http://schemas.openxmlformats.org/officeDocument/2006/relationships/ctrlProp" Target="../ctrlProps/ctrlProp1.xml"/><Relationship Id="rId99" Type="http://schemas.openxmlformats.org/officeDocument/2006/relationships/ctrlProp" Target="../ctrlProps/ctrlProp22.xml"/><Relationship Id="rId101" Type="http://schemas.openxmlformats.org/officeDocument/2006/relationships/ctrlProp" Target="../ctrlProps/ctrlProp24.xml"/><Relationship Id="rId122" Type="http://schemas.openxmlformats.org/officeDocument/2006/relationships/ctrlProp" Target="../ctrlProps/ctrlProp45.xml"/><Relationship Id="rId143" Type="http://schemas.openxmlformats.org/officeDocument/2006/relationships/ctrlProp" Target="../ctrlProps/ctrlProp66.xml"/><Relationship Id="rId164" Type="http://schemas.openxmlformats.org/officeDocument/2006/relationships/ctrlProp" Target="../ctrlProps/ctrlProp87.xml"/><Relationship Id="rId185" Type="http://schemas.openxmlformats.org/officeDocument/2006/relationships/ctrlProp" Target="../ctrlProps/ctrlProp108.xml"/><Relationship Id="rId9" Type="http://schemas.openxmlformats.org/officeDocument/2006/relationships/hyperlink" Target="Evid&#234;ncias%20Grupo%20Delga%202026/Evid&#234;ncias%20Delga%20Diadema/00%20Evid&#234;ncia%20An&#225;lise%20de%20Margem/00%20Form%20206%20preenchido%20pela%20Engenharia/VW000887Z_VW000888Z%20-%20Form.206.xlsx" TargetMode="External"/><Relationship Id="rId210" Type="http://schemas.openxmlformats.org/officeDocument/2006/relationships/ctrlProp" Target="../ctrlProps/ctrlProp133.xml"/><Relationship Id="rId26" Type="http://schemas.openxmlformats.org/officeDocument/2006/relationships/hyperlink" Target="file:///\\192.168.0.20\DEPARTAMENTOS\Engenharia\0.%20Kaizen%20Diadema\6.%202026\03%20Mar&#231;o\31%20-%20MB003673LD%20-%20Bruno%20Manachini_Engenharia\31%20-%20KAIZEN%20-%20MB003673LD_Rev00_Bruno%20Manachini.xlsx" TargetMode="External"/><Relationship Id="rId231" Type="http://schemas.openxmlformats.org/officeDocument/2006/relationships/ctrlProp" Target="../ctrlProps/ctrlProp154.xml"/><Relationship Id="rId252" Type="http://schemas.openxmlformats.org/officeDocument/2006/relationships/ctrlProp" Target="../ctrlProps/ctrlProp175.xml"/><Relationship Id="rId47" Type="http://schemas.openxmlformats.org/officeDocument/2006/relationships/hyperlink" Target="file:///\\192.168.0.20\DEPARTAMENTOS\Engenharia\0.%20Kaizen%20Diadema\6.%202026\03%20Mar&#231;o\40%20-%20DA000491AA_DA000492AA%20-%20STC%20Scania%20G_Sidnei%20Souza_Ferramentaria\40%20-%20DA000491AA_DA000492AA%20-%20STC%20Scania%20G_Sidnei%20Souza_Ferramentaria_REV00.xlsx" TargetMode="External"/><Relationship Id="rId68" Type="http://schemas.openxmlformats.org/officeDocument/2006/relationships/hyperlink" Target="file:///\\192.168.0.20\DEPARTAMENTOS\Engenharia\0.%20Kaizen%20Diadema\6.%202026\01%20Janeiro\03%20-%20GM000463Z_GM000359AA_Robson%20Luz_Engenharia\3%20-%20Efici&#234;ncia_Operacional%20-%20GM000359AA_GM000463Z_REV01.xlsx" TargetMode="External"/><Relationship Id="rId89" Type="http://schemas.openxmlformats.org/officeDocument/2006/relationships/ctrlProp" Target="../ctrlProps/ctrlProp12.xml"/><Relationship Id="rId112" Type="http://schemas.openxmlformats.org/officeDocument/2006/relationships/ctrlProp" Target="../ctrlProps/ctrlProp35.xml"/><Relationship Id="rId133" Type="http://schemas.openxmlformats.org/officeDocument/2006/relationships/ctrlProp" Target="../ctrlProps/ctrlProp56.xml"/><Relationship Id="rId154" Type="http://schemas.openxmlformats.org/officeDocument/2006/relationships/ctrlProp" Target="../ctrlProps/ctrlProp77.xml"/><Relationship Id="rId175" Type="http://schemas.openxmlformats.org/officeDocument/2006/relationships/ctrlProp" Target="../ctrlProps/ctrlProp98.xml"/><Relationship Id="rId196" Type="http://schemas.openxmlformats.org/officeDocument/2006/relationships/ctrlProp" Target="../ctrlProps/ctrlProp119.xml"/><Relationship Id="rId200" Type="http://schemas.openxmlformats.org/officeDocument/2006/relationships/ctrlProp" Target="../ctrlProps/ctrlProp123.xml"/><Relationship Id="rId16" Type="http://schemas.openxmlformats.org/officeDocument/2006/relationships/hyperlink" Target="file:///\\192.168.0.20\DEPARTAMENTOS\Engenharia\0.%20Kaizen%20Diadema\6.%202026\02%20Fevereiro\24%20-%20Redu&#231;&#227;o_de_MP%20-%20DJ000059Z_DJ000060Z\24%20-%20Redu&#231;&#227;o_de_MP%20-%20DJ000059Z_DJ000060Z.xlsx" TargetMode="External"/><Relationship Id="rId221" Type="http://schemas.openxmlformats.org/officeDocument/2006/relationships/ctrlProp" Target="../ctrlProps/ctrlProp144.xml"/><Relationship Id="rId242" Type="http://schemas.openxmlformats.org/officeDocument/2006/relationships/ctrlProp" Target="../ctrlProps/ctrlProp165.xml"/><Relationship Id="rId37" Type="http://schemas.openxmlformats.org/officeDocument/2006/relationships/hyperlink" Target="file:///\\192.168.0.20\DEPARTAMENTOS\Engenharia\0.%20Kaizen%20Diadema\6.%202026\01%20Janeiro\04%20-%20DA000518Z_Thiago%20Cardoso_Engenharia\4%20-%20KAIZEN%20DA000518Z.xlsx" TargetMode="External"/><Relationship Id="rId58" Type="http://schemas.openxmlformats.org/officeDocument/2006/relationships/hyperlink" Target="file:///\\192.168.0.20\departamentos\Engenharia\0.%20Kaizen%20Diadema\6.%202026\04%20Abril\55%20-%20Redu&#231;&#227;o%20de%20MP%20-%20GM000402Z_403Z_Passo_Rev00_Thiago%20Cardoso\55%20-%20Redu&#231;&#227;o%20de%20MP%20-%20GM000402Z_403Z_Passo_Rev00_Thiago%20Cardoso.xlsx" TargetMode="External"/><Relationship Id="rId79" Type="http://schemas.openxmlformats.org/officeDocument/2006/relationships/ctrlProp" Target="../ctrlProps/ctrlProp2.xml"/><Relationship Id="rId102" Type="http://schemas.openxmlformats.org/officeDocument/2006/relationships/ctrlProp" Target="../ctrlProps/ctrlProp25.xml"/><Relationship Id="rId123" Type="http://schemas.openxmlformats.org/officeDocument/2006/relationships/ctrlProp" Target="../ctrlProps/ctrlProp46.xml"/><Relationship Id="rId144" Type="http://schemas.openxmlformats.org/officeDocument/2006/relationships/ctrlProp" Target="../ctrlProps/ctrlProp67.xml"/><Relationship Id="rId90" Type="http://schemas.openxmlformats.org/officeDocument/2006/relationships/ctrlProp" Target="../ctrlProps/ctrlProp13.xml"/><Relationship Id="rId165" Type="http://schemas.openxmlformats.org/officeDocument/2006/relationships/ctrlProp" Target="../ctrlProps/ctrlProp88.xml"/><Relationship Id="rId186" Type="http://schemas.openxmlformats.org/officeDocument/2006/relationships/ctrlProp" Target="../ctrlProps/ctrlProp109.xml"/><Relationship Id="rId211" Type="http://schemas.openxmlformats.org/officeDocument/2006/relationships/ctrlProp" Target="../ctrlProps/ctrlProp134.xml"/><Relationship Id="rId232" Type="http://schemas.openxmlformats.org/officeDocument/2006/relationships/ctrlProp" Target="../ctrlProps/ctrlProp155.xml"/><Relationship Id="rId253" Type="http://schemas.openxmlformats.org/officeDocument/2006/relationships/ctrlProp" Target="../ctrlProps/ctrlProp176.xml"/><Relationship Id="rId27" Type="http://schemas.openxmlformats.org/officeDocument/2006/relationships/hyperlink" Target="file:///\\192.168.0.20\DEPARTAMENTOS\Engenharia\0.%20Kaizen%20Diadema\6.%202026\03%20Mar&#231;o\32%20-%20SV000205LB%20-%20Bruno%20Manachini_Engenharia\32%20-%20KAIZEN%20-%20SV000205LB_Rev00_Bruno%20Manachini.xlsx" TargetMode="External"/><Relationship Id="rId48" Type="http://schemas.openxmlformats.org/officeDocument/2006/relationships/hyperlink" Target="file:///\\192.168.0.20\departamentos\Engenharia\0.%20Kaizen%20Diadema\6.%202026\04%20Abril\51%20-%20Taxa%20de%20Esgoto_Eduardo%20Fajardo)REV00\51_Taxa%20de%20Esgoto_Eduardo%20Fajardo_Rev00.xlsx" TargetMode="External"/><Relationship Id="rId69" Type="http://schemas.openxmlformats.org/officeDocument/2006/relationships/hyperlink" Target="Evid&#234;ncias%20Grupo%20Delga%202026/Evid&#234;ncias%20Delga%20Diadema/00%20Evid&#234;ncia%20An&#225;lise%20de%20Margem/00%20Form%20206%20preenchido%20pela%20Engenharia/VW000815Z_VW000522AA%20-%20Form.206.xlsx" TargetMode="External"/><Relationship Id="rId113" Type="http://schemas.openxmlformats.org/officeDocument/2006/relationships/ctrlProp" Target="../ctrlProps/ctrlProp36.xml"/><Relationship Id="rId134" Type="http://schemas.openxmlformats.org/officeDocument/2006/relationships/ctrlProp" Target="../ctrlProps/ctrlProp57.xml"/><Relationship Id="rId80" Type="http://schemas.openxmlformats.org/officeDocument/2006/relationships/ctrlProp" Target="../ctrlProps/ctrlProp3.xml"/><Relationship Id="rId155" Type="http://schemas.openxmlformats.org/officeDocument/2006/relationships/ctrlProp" Target="../ctrlProps/ctrlProp78.xml"/><Relationship Id="rId176" Type="http://schemas.openxmlformats.org/officeDocument/2006/relationships/ctrlProp" Target="../ctrlProps/ctrlProp99.xml"/><Relationship Id="rId197" Type="http://schemas.openxmlformats.org/officeDocument/2006/relationships/ctrlProp" Target="../ctrlProps/ctrlProp120.xml"/><Relationship Id="rId201" Type="http://schemas.openxmlformats.org/officeDocument/2006/relationships/ctrlProp" Target="../ctrlProps/ctrlProp124.xml"/><Relationship Id="rId222" Type="http://schemas.openxmlformats.org/officeDocument/2006/relationships/ctrlProp" Target="../ctrlProps/ctrlProp145.xml"/><Relationship Id="rId243" Type="http://schemas.openxmlformats.org/officeDocument/2006/relationships/ctrlProp" Target="../ctrlProps/ctrlProp166.xml"/><Relationship Id="rId17" Type="http://schemas.openxmlformats.org/officeDocument/2006/relationships/hyperlink" Target="file:///\\192.168.0.20\DEPARTAMENTOS\Engenharia\0.%20Kaizen%20Diadema\5.%202025\12%20Dezembro%20-%205\53%20-%20Redu&#231;&#227;o%20de%20Componente%20-%204065%20de%206%20para%204.xlsx" TargetMode="External"/><Relationship Id="rId38" Type="http://schemas.openxmlformats.org/officeDocument/2006/relationships/hyperlink" Target="file:///\\192.168.0.20\DEPARTAMENTOS\Engenharia\0.%20Kaizen%20Diadema\6.%202026\01%20Janeiro\05%20-%20Kaizem%20-%20Bot&#245;es%20BI%20-%20MANUAL_Rafael%20Almeida_Ferramentaria\5%20-%20Kaizem%20-%20Bot&#245;es%20BI%20-%20MANUAL_Rev00.xlsx" TargetMode="External"/><Relationship Id="rId59" Type="http://schemas.openxmlformats.org/officeDocument/2006/relationships/hyperlink" Target="file:///\\192.168.0.20\departamentos\Engenharia\0.%20Kaizen%20Diadema\6.%202026\04%20Abril\56%20-%20Redu&#231;&#227;o_de_MP%20-%20GM000458Z_GM000459Z_Bruno%20Manachini\56%20-%20Redu&#231;&#227;o_de_MP%20-%20GM000458Z_GM000459Z.xlsx" TargetMode="External"/><Relationship Id="rId103" Type="http://schemas.openxmlformats.org/officeDocument/2006/relationships/ctrlProp" Target="../ctrlProps/ctrlProp26.xml"/><Relationship Id="rId124" Type="http://schemas.openxmlformats.org/officeDocument/2006/relationships/ctrlProp" Target="../ctrlProps/ctrlProp47.xml"/><Relationship Id="rId70" Type="http://schemas.openxmlformats.org/officeDocument/2006/relationships/hyperlink" Target="Evid&#234;ncias%20Grupo%20Delga%202026/Evid&#234;ncias%20Delga%20Diadema/00%20Evid&#234;ncia%20An&#225;lise%20de%20Margem/00%20Form%20206%20preenchido%20pela%20Engenharia/VW000589Z_VW000590Z%20-%20Form.206.xlsx" TargetMode="External"/><Relationship Id="rId91" Type="http://schemas.openxmlformats.org/officeDocument/2006/relationships/ctrlProp" Target="../ctrlProps/ctrlProp14.xml"/><Relationship Id="rId145" Type="http://schemas.openxmlformats.org/officeDocument/2006/relationships/ctrlProp" Target="../ctrlProps/ctrlProp68.xml"/><Relationship Id="rId166" Type="http://schemas.openxmlformats.org/officeDocument/2006/relationships/ctrlProp" Target="../ctrlProps/ctrlProp89.xml"/><Relationship Id="rId187" Type="http://schemas.openxmlformats.org/officeDocument/2006/relationships/ctrlProp" Target="../ctrlProps/ctrlProp110.xml"/><Relationship Id="rId1" Type="http://schemas.openxmlformats.org/officeDocument/2006/relationships/hyperlink" Target="01%20Evid&#234;ncias%20Diadema/03%20Otimiza&#231;&#227;o%20de%20processo%20-%20Cavalo%20Marinho/Efici&#234;ncia_Operacional%20-%20GM000359AA_GM000463Z_REV01.xlsx" TargetMode="External"/><Relationship Id="rId212" Type="http://schemas.openxmlformats.org/officeDocument/2006/relationships/ctrlProp" Target="../ctrlProps/ctrlProp135.xml"/><Relationship Id="rId233" Type="http://schemas.openxmlformats.org/officeDocument/2006/relationships/ctrlProp" Target="../ctrlProps/ctrlProp156.xml"/><Relationship Id="rId254" Type="http://schemas.openxmlformats.org/officeDocument/2006/relationships/ctrlProp" Target="../ctrlProps/ctrlProp177.xml"/><Relationship Id="rId28" Type="http://schemas.openxmlformats.org/officeDocument/2006/relationships/hyperlink" Target="file:///\\192.168.0.20\DEPARTAMENTOS\Engenharia\0.%20Kaizen%20Diadema\6.%202026\03%20Mar&#231;o\33%20-%20VB000323LA%20-%20Bruno%20Manachini_Engenharia\33%20-%20KAIZEN%20-%20VB000323LA_Rev00_Bruno%20Manachini.xlsx" TargetMode="External"/><Relationship Id="rId49" Type="http://schemas.openxmlformats.org/officeDocument/2006/relationships/hyperlink" Target="file:///\\192.168.0.20\departamentos\Engenharia\0.%20Kaizen%20Diadema\6.%202026\04%20Abril\47%20-%20KAIZEN%20AGUA%20DESMINERALIZADA%202026%20Diadema%202026%20_Mario%20REAMI\47%20-%20KAIZEN%20AGUA%20DESMINERALIZADA%202026%20Diadema%202026%20_Mario%20REAMI.xlsx" TargetMode="External"/><Relationship Id="rId114" Type="http://schemas.openxmlformats.org/officeDocument/2006/relationships/ctrlProp" Target="../ctrlProps/ctrlProp37.xml"/><Relationship Id="rId60" Type="http://schemas.openxmlformats.org/officeDocument/2006/relationships/hyperlink" Target="file:///\\192.168.0.20\departamentos\Engenharia\0.%20Kaizen%20Diadema\6.%202026\04%20Abril\54%20-%20Redu&#231;&#227;o%20com%20aluguel%20de%20cilindros_Eduardo%20Fajardo\54%20-%20Redu&#231;&#227;o%20com%20aluguel%20de%20cilindros_Eduardo%20Fajardo_REV00.xlsx" TargetMode="External"/><Relationship Id="rId81" Type="http://schemas.openxmlformats.org/officeDocument/2006/relationships/ctrlProp" Target="../ctrlProps/ctrlProp4.xml"/><Relationship Id="rId135" Type="http://schemas.openxmlformats.org/officeDocument/2006/relationships/ctrlProp" Target="../ctrlProps/ctrlProp58.xml"/><Relationship Id="rId156" Type="http://schemas.openxmlformats.org/officeDocument/2006/relationships/ctrlProp" Target="../ctrlProps/ctrlProp79.xml"/><Relationship Id="rId177" Type="http://schemas.openxmlformats.org/officeDocument/2006/relationships/ctrlProp" Target="../ctrlProps/ctrlProp100.xml"/><Relationship Id="rId198" Type="http://schemas.openxmlformats.org/officeDocument/2006/relationships/ctrlProp" Target="../ctrlProps/ctrlProp121.xml"/><Relationship Id="rId202" Type="http://schemas.openxmlformats.org/officeDocument/2006/relationships/ctrlProp" Target="../ctrlProps/ctrlProp125.xml"/><Relationship Id="rId223" Type="http://schemas.openxmlformats.org/officeDocument/2006/relationships/ctrlProp" Target="../ctrlProps/ctrlProp146.xml"/><Relationship Id="rId244" Type="http://schemas.openxmlformats.org/officeDocument/2006/relationships/ctrlProp" Target="../ctrlProps/ctrlProp167.xml"/><Relationship Id="rId18" Type="http://schemas.openxmlformats.org/officeDocument/2006/relationships/hyperlink" Target="file:///\\192.168.0.20\DEPARTAMENTOS\Engenharia\0.%20Kaizen%20Diadema\6.%202026\02%20Fevereiro\Kaizens%2010_11_12_consolidados_%20Redu&#231;&#227;o%20de%202MOD.xlsx" TargetMode="External"/><Relationship Id="rId39" Type="http://schemas.openxmlformats.org/officeDocument/2006/relationships/hyperlink" Target="file:///\\192.168.0.20\DEPARTAMENTOS\Engenharia\0.%20Kaizen%20Diadema\6.%202026\02%20Fevereiro\13%20-%20MB003537LB_MB003538LB%20-%20Bruno%20Manachini_Engenharia\13%20-%20KAIZEN%20-%20MB003537LB_MB003538LB_Rev00_Bruno%20Manachini.xlsx" TargetMode="External"/><Relationship Id="rId50" Type="http://schemas.openxmlformats.org/officeDocument/2006/relationships/hyperlink" Target="file:///\\192.168.0.20\departamentos\Engenharia\0.%20Kaizen%20Diadema\6.%202026\04%20Abril\46%20-%20Redu&#231;&#227;o%20de%20MP%20-%20GM000408Z_409Z_Passo_Rev00_Thiago%20Cardoso\46%20-%20Redu&#231;&#227;o%20de%20MP%20-%20GM000408Z_409Z_Passo_Rev00_Thiago%20Cardoso.xlsx" TargetMode="External"/><Relationship Id="rId104" Type="http://schemas.openxmlformats.org/officeDocument/2006/relationships/ctrlProp" Target="../ctrlProps/ctrlProp27.xml"/><Relationship Id="rId125" Type="http://schemas.openxmlformats.org/officeDocument/2006/relationships/ctrlProp" Target="../ctrlProps/ctrlProp48.xml"/><Relationship Id="rId146" Type="http://schemas.openxmlformats.org/officeDocument/2006/relationships/ctrlProp" Target="../ctrlProps/ctrlProp69.xml"/><Relationship Id="rId167" Type="http://schemas.openxmlformats.org/officeDocument/2006/relationships/ctrlProp" Target="../ctrlProps/ctrlProp90.xml"/><Relationship Id="rId188" Type="http://schemas.openxmlformats.org/officeDocument/2006/relationships/ctrlProp" Target="../ctrlProps/ctrlProp111.xml"/><Relationship Id="rId71" Type="http://schemas.openxmlformats.org/officeDocument/2006/relationships/hyperlink" Target="Evid&#234;ncias%20Grupo%20Delga%202026/Evid&#234;ncias%20Delga%20Diadema/00%20Evid&#234;ncia%20An&#225;lise%20de%20Margem/00%20Form%20206%20preenchido%20pela%20Engenharia/VW000589Z_VW000590Z%20-%20Form.206.xlsx" TargetMode="External"/><Relationship Id="rId92" Type="http://schemas.openxmlformats.org/officeDocument/2006/relationships/ctrlProp" Target="../ctrlProps/ctrlProp15.xml"/><Relationship Id="rId213" Type="http://schemas.openxmlformats.org/officeDocument/2006/relationships/ctrlProp" Target="../ctrlProps/ctrlProp136.xml"/><Relationship Id="rId234" Type="http://schemas.openxmlformats.org/officeDocument/2006/relationships/ctrlProp" Target="../ctrlProps/ctrlProp157.xml"/><Relationship Id="rId2" Type="http://schemas.openxmlformats.org/officeDocument/2006/relationships/hyperlink" Target="01%20Evid&#234;ncias%20Diadema/01%20Kaizen%20Redu&#231;&#227;o%20de%20peso%20bruto%20DA000489A/KAIZEN%20-%20DA000489AB_Rev00.xlsx" TargetMode="External"/><Relationship Id="rId29" Type="http://schemas.openxmlformats.org/officeDocument/2006/relationships/hyperlink" Target="file:///\\192.168.0.20\DEPARTAMENTOS\Engenharia\0.%20Kaizen%20Diadema\6.%202026\03%20Mar&#231;o\34%20-%20VW001138LA%20-%20Bruno%20Manachini_Engenharia\34%20-%20KAIZEN%20-%20VW001138LA_Rev00_Bruno%20Manachini.xlsx" TargetMode="External"/><Relationship Id="rId255" Type="http://schemas.openxmlformats.org/officeDocument/2006/relationships/ctrlProp" Target="../ctrlProps/ctrlProp178.xml"/><Relationship Id="rId40" Type="http://schemas.openxmlformats.org/officeDocument/2006/relationships/hyperlink" Target="file:///\\192.168.0.20\DEPARTAMENTOS\Engenharia\0.%20Kaizen%20Diadema\6.%202026\03%20Mar&#231;o\41%20-%20VENDA%20DE%20ATIVOS%20OBSOLETOS_Paulo%20Algodoal_Produ&#231;&#227;o\41%20-%20VENDA%20DE%20ATIVOS%20OBSOLETOS_REV00.xlsx" TargetMode="External"/><Relationship Id="rId115" Type="http://schemas.openxmlformats.org/officeDocument/2006/relationships/ctrlProp" Target="../ctrlProps/ctrlProp38.xml"/><Relationship Id="rId136" Type="http://schemas.openxmlformats.org/officeDocument/2006/relationships/ctrlProp" Target="../ctrlProps/ctrlProp59.xml"/><Relationship Id="rId157" Type="http://schemas.openxmlformats.org/officeDocument/2006/relationships/ctrlProp" Target="../ctrlProps/ctrlProp80.xml"/><Relationship Id="rId178" Type="http://schemas.openxmlformats.org/officeDocument/2006/relationships/ctrlProp" Target="../ctrlProps/ctrlProp101.xml"/><Relationship Id="rId61" Type="http://schemas.openxmlformats.org/officeDocument/2006/relationships/hyperlink" Target="file:///\\192.168.0.20\departamentos\Engenharia\0.%20Kaizen%20Diadema\6.%202026\04%20Abril\57%20-%20Redu&#231;&#227;o_de_MP%20-%20VW000585Z_586Z_Amauri%20Mantuan\57%20-%20Redu&#231;&#227;o_de_MP%20-%20VW000585Z_586Z_Amauri%20Mantuan_REV00.xlsx" TargetMode="External"/><Relationship Id="rId82" Type="http://schemas.openxmlformats.org/officeDocument/2006/relationships/ctrlProp" Target="../ctrlProps/ctrlProp5.xml"/><Relationship Id="rId199" Type="http://schemas.openxmlformats.org/officeDocument/2006/relationships/ctrlProp" Target="../ctrlProps/ctrlProp122.xml"/><Relationship Id="rId203" Type="http://schemas.openxmlformats.org/officeDocument/2006/relationships/ctrlProp" Target="../ctrlProps/ctrlProp126.xml"/><Relationship Id="rId19" Type="http://schemas.openxmlformats.org/officeDocument/2006/relationships/hyperlink" Target="file:///\\192.168.0.20\DEPARTAMENTOS\Engenharia\0.%20Kaizen%20Diadema\6.%202026\02%20Fevereiro\19%20-%20Redu&#231;&#227;o%20de%20refugo%20em%20rela&#231;&#227;o%20ao%20budget_Rodrigo%20Larrubia\19%20-%20Redu&#231;&#227;o%20de%20refugo%20em%20rela&#231;&#227;o%20ao%20budget%202026.xlsx" TargetMode="External"/><Relationship Id="rId224" Type="http://schemas.openxmlformats.org/officeDocument/2006/relationships/ctrlProp" Target="../ctrlProps/ctrlProp147.xml"/><Relationship Id="rId245" Type="http://schemas.openxmlformats.org/officeDocument/2006/relationships/ctrlProp" Target="../ctrlProps/ctrlProp168.xml"/><Relationship Id="rId30" Type="http://schemas.openxmlformats.org/officeDocument/2006/relationships/hyperlink" Target="file:///\\192.168.0.20\DEPARTAMENTOS\Engenharia\0.%20Kaizen%20Diadema\6.%202026\03%20Mar&#231;o\35%20-%20SV001141LA%20-%20Bruno%20Manachini_Engenharia\35%20-%20KAIZEN%20-%20SV001141LA_Rev00_Bruno%20Manachini.xlsx" TargetMode="External"/><Relationship Id="rId105" Type="http://schemas.openxmlformats.org/officeDocument/2006/relationships/ctrlProp" Target="../ctrlProps/ctrlProp28.xml"/><Relationship Id="rId126" Type="http://schemas.openxmlformats.org/officeDocument/2006/relationships/ctrlProp" Target="../ctrlProps/ctrlProp49.xml"/><Relationship Id="rId147" Type="http://schemas.openxmlformats.org/officeDocument/2006/relationships/ctrlProp" Target="../ctrlProps/ctrlProp70.xml"/><Relationship Id="rId168" Type="http://schemas.openxmlformats.org/officeDocument/2006/relationships/ctrlProp" Target="../ctrlProps/ctrlProp91.xml"/><Relationship Id="rId51" Type="http://schemas.openxmlformats.org/officeDocument/2006/relationships/hyperlink" Target="file:///\\192.168.0.20\DEPARTAMENTOS\Engenharia\0.%20Kaizen%20Diadema\6.%202026\04%20Abril\45%20-%20Mudan&#231;a%20de%20fonte%20de%20Usiminas%20para%20Arcelor%20-%20Robson%20Luz_Engenharia_REV_00.xlsx" TargetMode="External"/><Relationship Id="rId72" Type="http://schemas.openxmlformats.org/officeDocument/2006/relationships/hyperlink" Target="Evid&#234;ncias%20Grupo%20Delga%202026/Evid&#234;ncias%20Delga%20Diadema/00%20Evid&#234;ncia%20An&#225;lise%20de%20Margem/00%20Form%20206%20preenchido%20pela%20Engenharia/VW000578Z%20-%20Form.206.xlsx" TargetMode="External"/><Relationship Id="rId93" Type="http://schemas.openxmlformats.org/officeDocument/2006/relationships/ctrlProp" Target="../ctrlProps/ctrlProp16.xml"/><Relationship Id="rId189" Type="http://schemas.openxmlformats.org/officeDocument/2006/relationships/ctrlProp" Target="../ctrlProps/ctrlProp112.xml"/><Relationship Id="rId3" Type="http://schemas.openxmlformats.org/officeDocument/2006/relationships/hyperlink" Target="Evid&#234;ncias%20Grupo%20Delga%202026/Evid&#234;ncias%20Delga%20Diadema/00%20Evid&#234;ncia%20An&#225;lise%20de%20Margem/00%20Form%20206%20preenchido%20pela%20Engenharia/VW000581Z_VW000582Z%20-%20Form.206.xlsx" TargetMode="External"/><Relationship Id="rId214" Type="http://schemas.openxmlformats.org/officeDocument/2006/relationships/ctrlProp" Target="../ctrlProps/ctrlProp137.xml"/><Relationship Id="rId235" Type="http://schemas.openxmlformats.org/officeDocument/2006/relationships/ctrlProp" Target="../ctrlProps/ctrlProp158.xml"/><Relationship Id="rId256" Type="http://schemas.openxmlformats.org/officeDocument/2006/relationships/ctrlProp" Target="../ctrlProps/ctrlProp179.xml"/><Relationship Id="rId116" Type="http://schemas.openxmlformats.org/officeDocument/2006/relationships/ctrlProp" Target="../ctrlProps/ctrlProp39.xml"/><Relationship Id="rId137" Type="http://schemas.openxmlformats.org/officeDocument/2006/relationships/ctrlProp" Target="../ctrlProps/ctrlProp60.xml"/><Relationship Id="rId158" Type="http://schemas.openxmlformats.org/officeDocument/2006/relationships/ctrlProp" Target="../ctrlProps/ctrlProp81.xml"/><Relationship Id="rId20" Type="http://schemas.openxmlformats.org/officeDocument/2006/relationships/hyperlink" Target="file:///\\192.168.0.20\DEPARTAMENTOS\Engenharia\0.%20Kaizen%20Diadema\6.%202026\02%20Fevereiro\15%20-%20MB002316LA_MB003533LA_MB003673LC%20-%20Bruno%20Manachini_Engenharia\15%20-%20KAIZEN%20-%20MB002316LA_MB003533LA_MB003673LC_Rev00_Bruno%20Manachini.xlsx" TargetMode="External"/><Relationship Id="rId41" Type="http://schemas.openxmlformats.org/officeDocument/2006/relationships/hyperlink" Target="file:///\\192.168.0.20\DEPARTAMENTOS\Engenharia\0.%20Kaizen%20Diadema\6.%202026\02%20Fevereiro\14%20-%20MB003537LA_MB003538LA%20-%20Bruno%20Manachini_Engenharia\14%20-%20KAIZEN%20-%20MB003537LA_MB003538LA_Rev00_Bruno%20Manachini.xlsx" TargetMode="External"/><Relationship Id="rId62" Type="http://schemas.openxmlformats.org/officeDocument/2006/relationships/hyperlink" Target="file:///\\192.168.0.20\departamentos\Engenharia\0.%20Kaizen%20Diadema\6.%202026\05%20Maio\58%20-%20Redu&#231;&#227;o_de_MP%20-%20GM000378Z_379Z_Amauri%20Mantuan\58%20-%20Redu&#231;&#227;o_de_MP%20-%20GM000378Z_GM000379Z.xlsx" TargetMode="External"/><Relationship Id="rId83" Type="http://schemas.openxmlformats.org/officeDocument/2006/relationships/ctrlProp" Target="../ctrlProps/ctrlProp6.xml"/><Relationship Id="rId179" Type="http://schemas.openxmlformats.org/officeDocument/2006/relationships/ctrlProp" Target="../ctrlProps/ctrlProp102.xml"/><Relationship Id="rId190" Type="http://schemas.openxmlformats.org/officeDocument/2006/relationships/ctrlProp" Target="../ctrlProps/ctrlProp113.xml"/><Relationship Id="rId204" Type="http://schemas.openxmlformats.org/officeDocument/2006/relationships/ctrlProp" Target="../ctrlProps/ctrlProp127.xml"/><Relationship Id="rId225" Type="http://schemas.openxmlformats.org/officeDocument/2006/relationships/ctrlProp" Target="../ctrlProps/ctrlProp148.xml"/><Relationship Id="rId246" Type="http://schemas.openxmlformats.org/officeDocument/2006/relationships/ctrlProp" Target="../ctrlProps/ctrlProp169.xml"/><Relationship Id="rId106" Type="http://schemas.openxmlformats.org/officeDocument/2006/relationships/ctrlProp" Target="../ctrlProps/ctrlProp29.xml"/><Relationship Id="rId127" Type="http://schemas.openxmlformats.org/officeDocument/2006/relationships/ctrlProp" Target="../ctrlProps/ctrlProp50.xml"/><Relationship Id="rId10" Type="http://schemas.openxmlformats.org/officeDocument/2006/relationships/hyperlink" Target="Evid&#234;ncias%20Grupo%20Delga%202026/Evid&#234;ncias%20Delga%20Diadema/00%20Evid&#234;ncia%20An&#225;lise%20de%20Margem/00%20Form%20206%20preenchido%20pela%20Engenharia/VW000887Z_VW000888Z%20-%20Form.206.xlsx" TargetMode="External"/><Relationship Id="rId31" Type="http://schemas.openxmlformats.org/officeDocument/2006/relationships/hyperlink" Target="file:///\\192.168.0.20\DEPARTAMENTOS\Engenharia\0.%20Kaizen%20Diadema\6.%202026\02%20Fevereiro\09%20-%20Redu&#231;&#227;o%20de%20lampadas%20acessas%20na%20f&#225;brica_Eduardo%20Fajardo_Conclu&#237;do\9%20-%20Kaizen%20Redu&#231;&#227;o%20de%20lampadas%20acessas%20na%20f&#225;brica_Eduardo%20Fajardo.xlsx" TargetMode="External"/><Relationship Id="rId52" Type="http://schemas.openxmlformats.org/officeDocument/2006/relationships/hyperlink" Target="file:///\\192.168.0.20\departamentos\Engenharia\0.%20Kaizen%20Diadema\6.%202026\04%20Abril\43%20-%20Projeto%20de%20Automa&#231;&#227;o%20Boomerang_Izaias%20Junior_Engenharia_REV00\43%20-%20Projeto%20de%20Automa&#231;&#227;o%20Boomerang_Izaias%20Junior_Engenharia_REV00.xlsx" TargetMode="External"/><Relationship Id="rId73" Type="http://schemas.openxmlformats.org/officeDocument/2006/relationships/hyperlink" Target="file:///\\192.168.0.20\departamentos\Engenharia\0.%20Kaizen%20Diadema\6.%202026\04%20Abril\54%20-%20Redu&#231;&#227;o%20com%20aluguel%20de%20cilindros_Eduardo%20Fajardo\54%20-%20Redu&#231;&#227;o%20com%20aluguel%20de%20cilindros_Eduardo%20Fajardo_REV00.xlsx" TargetMode="External"/><Relationship Id="rId94" Type="http://schemas.openxmlformats.org/officeDocument/2006/relationships/ctrlProp" Target="../ctrlProps/ctrlProp17.xml"/><Relationship Id="rId148" Type="http://schemas.openxmlformats.org/officeDocument/2006/relationships/ctrlProp" Target="../ctrlProps/ctrlProp71.xml"/><Relationship Id="rId169" Type="http://schemas.openxmlformats.org/officeDocument/2006/relationships/ctrlProp" Target="../ctrlProps/ctrlProp92.xml"/><Relationship Id="rId4" Type="http://schemas.openxmlformats.org/officeDocument/2006/relationships/hyperlink" Target="Evid%C3%AAncias%20Grupo%20Delga%202026/Evid%C3%AAncias%20Delga%20Diadema/00%20Evid%C3%AAncia%20An%C3%A1lise%20de%20Margem/00%20Form%20206%20preenchido%20pela%20Engenharia/VW000581Z_VW000582Z%20-%20Form.206.xlsx?web=1" TargetMode="External"/><Relationship Id="rId180" Type="http://schemas.openxmlformats.org/officeDocument/2006/relationships/ctrlProp" Target="../ctrlProps/ctrlProp103.xml"/><Relationship Id="rId215" Type="http://schemas.openxmlformats.org/officeDocument/2006/relationships/ctrlProp" Target="../ctrlProps/ctrlProp138.xml"/><Relationship Id="rId236" Type="http://schemas.openxmlformats.org/officeDocument/2006/relationships/ctrlProp" Target="../ctrlProps/ctrlProp159.xml"/><Relationship Id="rId257" Type="http://schemas.openxmlformats.org/officeDocument/2006/relationships/ctrlProp" Target="../ctrlProps/ctrlProp180.xml"/><Relationship Id="rId42" Type="http://schemas.openxmlformats.org/officeDocument/2006/relationships/hyperlink" Target="file:///\\192.168.0.20\DEPARTAMENTOS\Engenharia\0.%20Kaizen%20Diadema\6.%202026\02%20Fevereiro\16%20-%20VW000581Z_VW000582Z%20-%20Bruno%20Manachini\16%20-%20KAIZEN%20-%20Redu&#231;&#227;o%20do%20peso%20bruto%20VW000581Z%20%20VW000582Z_Rev00_B.%20Manachini.xlsx" TargetMode="External"/><Relationship Id="rId84" Type="http://schemas.openxmlformats.org/officeDocument/2006/relationships/ctrlProp" Target="../ctrlProps/ctrlProp7.xml"/><Relationship Id="rId138" Type="http://schemas.openxmlformats.org/officeDocument/2006/relationships/ctrlProp" Target="../ctrlProps/ctrlProp61.xml"/></Relationships>
</file>

<file path=xl/worksheets/_rels/sheet4.xml.rels><?xml version="1.0" encoding="UTF-8" standalone="yes"?>
<Relationships xmlns="http://schemas.openxmlformats.org/package/2006/relationships"><Relationship Id="rId117" Type="http://schemas.openxmlformats.org/officeDocument/2006/relationships/ctrlProp" Target="../ctrlProps/ctrlProp250.xml"/><Relationship Id="rId21" Type="http://schemas.openxmlformats.org/officeDocument/2006/relationships/hyperlink" Target="file:///\\192.168.5.20\Departamentos\TI\Projetos\Master%202026\06%20-%20Redu&#231;&#227;o%20consumo%20MTP%20aplicando%20toler&#226;ncia%20m&#237;nima\06%20-%20Projeto%20Jarinu.xlsx" TargetMode="External"/><Relationship Id="rId42" Type="http://schemas.openxmlformats.org/officeDocument/2006/relationships/hyperlink" Target="file:///\\192.168.5.20\Departamentos\TI\Projetos\Master%202026\32%20-%20Emplihadeiras%20El&#233;tricas\Planta%20Jarinu%20-%20A3%20Resumo%20de%20Projetos%20(Empilhadeira).xlsx" TargetMode="External"/><Relationship Id="rId63" Type="http://schemas.openxmlformats.org/officeDocument/2006/relationships/ctrlProp" Target="../ctrlProps/ctrlProp196.xml"/><Relationship Id="rId84" Type="http://schemas.openxmlformats.org/officeDocument/2006/relationships/ctrlProp" Target="../ctrlProps/ctrlProp217.xml"/><Relationship Id="rId138" Type="http://schemas.openxmlformats.org/officeDocument/2006/relationships/ctrlProp" Target="../ctrlProps/ctrlProp271.xml"/><Relationship Id="rId159" Type="http://schemas.openxmlformats.org/officeDocument/2006/relationships/ctrlProp" Target="../ctrlProps/ctrlProp292.xml"/><Relationship Id="rId170" Type="http://schemas.openxmlformats.org/officeDocument/2006/relationships/ctrlProp" Target="../ctrlProps/ctrlProp303.xml"/><Relationship Id="rId107" Type="http://schemas.openxmlformats.org/officeDocument/2006/relationships/ctrlProp" Target="../ctrlProps/ctrlProp240.xml"/><Relationship Id="rId11" Type="http://schemas.openxmlformats.org/officeDocument/2006/relationships/hyperlink" Target="../../../../:x:/s/GestoEstratgica/IQCZZWh_dlbwSZ00WysXllzQAXAUEBkpbWvdGQ9tryC5EmI?e=BHWUqC" TargetMode="External"/><Relationship Id="rId32" Type="http://schemas.openxmlformats.org/officeDocument/2006/relationships/hyperlink" Target="file:///\\192.168.5.20\Departamentos\TI\Projetos\Master%202026\27%20-%20Mean%20to-low%20Curva%20B\27%20-%20Mean%20to%20low%20curva%20B.xlsx" TargetMode="External"/><Relationship Id="rId53" Type="http://schemas.openxmlformats.org/officeDocument/2006/relationships/ctrlProp" Target="../ctrlProps/ctrlProp186.xml"/><Relationship Id="rId74" Type="http://schemas.openxmlformats.org/officeDocument/2006/relationships/ctrlProp" Target="../ctrlProps/ctrlProp207.xml"/><Relationship Id="rId128" Type="http://schemas.openxmlformats.org/officeDocument/2006/relationships/ctrlProp" Target="../ctrlProps/ctrlProp261.xml"/><Relationship Id="rId149" Type="http://schemas.openxmlformats.org/officeDocument/2006/relationships/ctrlProp" Target="../ctrlProps/ctrlProp282.xml"/><Relationship Id="rId5" Type="http://schemas.openxmlformats.org/officeDocument/2006/relationships/hyperlink" Target="file:///\\192.168.5.20\Departamentos\TI\Projetos\Master%202026\08%20-%20Individualiza&#231;&#227;o%20de%20zonas%20de%20seguran&#231;a%20da%20m&#225;quina%20Baltec\Planta%20Jarinu-%20Gest&#227;o%20de%20Projetos%20-%20Individualiza&#231;&#227;o%20de%20zonas%20de%20seguran&#231;a.xlsx" TargetMode="External"/><Relationship Id="rId95" Type="http://schemas.openxmlformats.org/officeDocument/2006/relationships/ctrlProp" Target="../ctrlProps/ctrlProp228.xml"/><Relationship Id="rId160" Type="http://schemas.openxmlformats.org/officeDocument/2006/relationships/ctrlProp" Target="../ctrlProps/ctrlProp293.xml"/><Relationship Id="rId181" Type="http://schemas.openxmlformats.org/officeDocument/2006/relationships/ctrlProp" Target="../ctrlProps/ctrlProp314.xml"/><Relationship Id="rId22" Type="http://schemas.openxmlformats.org/officeDocument/2006/relationships/hyperlink" Target="file:///\\192.168.5.20\Departamentos\TI\Projetos\Master%202026\20%20-%20Redu&#231;&#227;o%20do%20custos%20na%20aquisi&#231;&#227;o%20de%20FLAP\20%20-%20Redu&#231;&#227;o%20do%20custos%20na%20aquisi&#231;&#227;o%20de%20FLAP.xlsx" TargetMode="External"/><Relationship Id="rId43" Type="http://schemas.openxmlformats.org/officeDocument/2006/relationships/hyperlink" Target="file:///\\192.168.5.20\Departamentos\TI\Projetos\Master%202026\36%20-%20Venda%20Robos\35%20-%20Venda%20Robos.xlsx" TargetMode="External"/><Relationship Id="rId64" Type="http://schemas.openxmlformats.org/officeDocument/2006/relationships/ctrlProp" Target="../ctrlProps/ctrlProp197.xml"/><Relationship Id="rId118" Type="http://schemas.openxmlformats.org/officeDocument/2006/relationships/ctrlProp" Target="../ctrlProps/ctrlProp251.xml"/><Relationship Id="rId139" Type="http://schemas.openxmlformats.org/officeDocument/2006/relationships/ctrlProp" Target="../ctrlProps/ctrlProp272.xml"/><Relationship Id="rId85" Type="http://schemas.openxmlformats.org/officeDocument/2006/relationships/ctrlProp" Target="../ctrlProps/ctrlProp218.xml"/><Relationship Id="rId150" Type="http://schemas.openxmlformats.org/officeDocument/2006/relationships/ctrlProp" Target="../ctrlProps/ctrlProp283.xml"/><Relationship Id="rId171" Type="http://schemas.openxmlformats.org/officeDocument/2006/relationships/ctrlProp" Target="../ctrlProps/ctrlProp304.xml"/><Relationship Id="rId12" Type="http://schemas.openxmlformats.org/officeDocument/2006/relationships/hyperlink" Target="../../../../:x:/s/GestoEstratgica/IQBn8hlZ64AhRZD0h8gUvf_OAfSc9VI2aToYeGCj2hrFZ9M?e=Gn9fBq" TargetMode="External"/><Relationship Id="rId33" Type="http://schemas.openxmlformats.org/officeDocument/2006/relationships/hyperlink" Target="file:///\\192.168.5.20\Departamentos\TI\Projetos\Master%202026\28%20-%20Mean%20to-low%20Curva%20C\28%20-%20Mean%20to%20low%20curva%20C.xlsx" TargetMode="External"/><Relationship Id="rId108" Type="http://schemas.openxmlformats.org/officeDocument/2006/relationships/ctrlProp" Target="../ctrlProps/ctrlProp241.xml"/><Relationship Id="rId129" Type="http://schemas.openxmlformats.org/officeDocument/2006/relationships/ctrlProp" Target="../ctrlProps/ctrlProp262.xml"/><Relationship Id="rId54" Type="http://schemas.openxmlformats.org/officeDocument/2006/relationships/ctrlProp" Target="../ctrlProps/ctrlProp187.xml"/><Relationship Id="rId75" Type="http://schemas.openxmlformats.org/officeDocument/2006/relationships/ctrlProp" Target="../ctrlProps/ctrlProp208.xml"/><Relationship Id="rId96" Type="http://schemas.openxmlformats.org/officeDocument/2006/relationships/ctrlProp" Target="../ctrlProps/ctrlProp229.xml"/><Relationship Id="rId140" Type="http://schemas.openxmlformats.org/officeDocument/2006/relationships/ctrlProp" Target="../ctrlProps/ctrlProp273.xml"/><Relationship Id="rId161" Type="http://schemas.openxmlformats.org/officeDocument/2006/relationships/ctrlProp" Target="../ctrlProps/ctrlProp294.xml"/><Relationship Id="rId182" Type="http://schemas.openxmlformats.org/officeDocument/2006/relationships/ctrlProp" Target="../ctrlProps/ctrlProp315.xml"/><Relationship Id="rId6" Type="http://schemas.openxmlformats.org/officeDocument/2006/relationships/hyperlink" Target="file:///\\192.168.5.20\Departamentos\TI\Projetos\Master%202026\13%20-%20Redu&#231;&#227;o%20de%20consumo%20no%20passo%20do%20blank%20dos%20itens%20VW000954Z%20955Z\13%20-%20Projeto%20jarinu.XLS" TargetMode="External"/><Relationship Id="rId23" Type="http://schemas.openxmlformats.org/officeDocument/2006/relationships/hyperlink" Target="file:///\\192.168.5.20\Departamentos\TI\Projetos\Master%202026\21%20-%20Melhoria%20no%20fluxo%20do%20processo%20para%20redu&#231;&#227;o%20de%20MOD\21%20-%20Melhoria%20no%20fluxo%20do%20processo%20para%20redu&#231;&#227;o%20de%20MOD.xlsx" TargetMode="External"/><Relationship Id="rId119" Type="http://schemas.openxmlformats.org/officeDocument/2006/relationships/ctrlProp" Target="../ctrlProps/ctrlProp252.xml"/><Relationship Id="rId44" Type="http://schemas.openxmlformats.org/officeDocument/2006/relationships/hyperlink" Target="file:///\\192.168.5.20\Departamentos\TI\Projetos\Master%202026\04%20-%20Redu&#231;&#227;o%20da%20largura%20dos%20slitters\04%20-%20Redu&#231;&#227;o%20da%20largura%20dos%20slitters.xlsx" TargetMode="External"/><Relationship Id="rId65" Type="http://schemas.openxmlformats.org/officeDocument/2006/relationships/ctrlProp" Target="../ctrlProps/ctrlProp198.xml"/><Relationship Id="rId86" Type="http://schemas.openxmlformats.org/officeDocument/2006/relationships/ctrlProp" Target="../ctrlProps/ctrlProp219.xml"/><Relationship Id="rId130" Type="http://schemas.openxmlformats.org/officeDocument/2006/relationships/ctrlProp" Target="../ctrlProps/ctrlProp263.xml"/><Relationship Id="rId151" Type="http://schemas.openxmlformats.org/officeDocument/2006/relationships/ctrlProp" Target="../ctrlProps/ctrlProp284.xml"/><Relationship Id="rId172" Type="http://schemas.openxmlformats.org/officeDocument/2006/relationships/ctrlProp" Target="../ctrlProps/ctrlProp305.xml"/><Relationship Id="rId13" Type="http://schemas.openxmlformats.org/officeDocument/2006/relationships/hyperlink" Target="../../../../:x:/s/GestoEstratgica/IQAgXFz4UgyPSZdVZDmQBljlAclGZpPwQ_dfWsHcylfWCbE?e=2WGM2M" TargetMode="External"/><Relationship Id="rId18" Type="http://schemas.openxmlformats.org/officeDocument/2006/relationships/hyperlink" Target="../../../../:x:/s/GestoEstratgica/IQCcI_E5grQSQJVCi_ogt63QATFIZRWROJwZTv4H47FYRP8?e=jGnqyN" TargetMode="External"/><Relationship Id="rId39" Type="http://schemas.openxmlformats.org/officeDocument/2006/relationships/hyperlink" Target="file:///\\192.168.5.20\Departamentos\TI\Projetos\Master%202026\30%20-%20Redu&#231;&#227;o%20de%20impressora%20Backup\30%20-%20Projeto%20Jarinu.xlsx" TargetMode="External"/><Relationship Id="rId109" Type="http://schemas.openxmlformats.org/officeDocument/2006/relationships/ctrlProp" Target="../ctrlProps/ctrlProp242.xml"/><Relationship Id="rId34" Type="http://schemas.openxmlformats.org/officeDocument/2006/relationships/hyperlink" Target="file:///\\192.168.5.20\Departamentos\TI\Projetos\Master%202026\02%20-%20Aumentar%20a%20produtividade%20da%20estamparia%20atraves%20da%20implementa&#231;&#227;o%20lote%20econ&#244;mico%20e%20multiplos%20de%20MTP\A3%20Aumento%20de%20Produtividade%20por%20Implementa&#231;&#227;o%20de%20Lote%20Econ&#244;mico%20e%20Padroniza&#231;&#227;o%20de%20Embalagens.xlsx" TargetMode="External"/><Relationship Id="rId50" Type="http://schemas.openxmlformats.org/officeDocument/2006/relationships/ctrlProp" Target="../ctrlProps/ctrlProp183.xml"/><Relationship Id="rId55" Type="http://schemas.openxmlformats.org/officeDocument/2006/relationships/ctrlProp" Target="../ctrlProps/ctrlProp188.xml"/><Relationship Id="rId76" Type="http://schemas.openxmlformats.org/officeDocument/2006/relationships/ctrlProp" Target="../ctrlProps/ctrlProp209.xml"/><Relationship Id="rId97" Type="http://schemas.openxmlformats.org/officeDocument/2006/relationships/ctrlProp" Target="../ctrlProps/ctrlProp230.xml"/><Relationship Id="rId104" Type="http://schemas.openxmlformats.org/officeDocument/2006/relationships/ctrlProp" Target="../ctrlProps/ctrlProp237.xml"/><Relationship Id="rId120" Type="http://schemas.openxmlformats.org/officeDocument/2006/relationships/ctrlProp" Target="../ctrlProps/ctrlProp253.xml"/><Relationship Id="rId125" Type="http://schemas.openxmlformats.org/officeDocument/2006/relationships/ctrlProp" Target="../ctrlProps/ctrlProp258.xml"/><Relationship Id="rId141" Type="http://schemas.openxmlformats.org/officeDocument/2006/relationships/ctrlProp" Target="../ctrlProps/ctrlProp274.xml"/><Relationship Id="rId146" Type="http://schemas.openxmlformats.org/officeDocument/2006/relationships/ctrlProp" Target="../ctrlProps/ctrlProp279.xml"/><Relationship Id="rId167" Type="http://schemas.openxmlformats.org/officeDocument/2006/relationships/ctrlProp" Target="../ctrlProps/ctrlProp300.xml"/><Relationship Id="rId7" Type="http://schemas.openxmlformats.org/officeDocument/2006/relationships/hyperlink" Target="file:///\\192.168.5.20\Departamentos\TI\Projetos\Master%202026\14%20-%20Redu&#231;&#227;o%20de%20consumo%20no%20passo%20do%20blank%20dos%20itens%20VW000950AA%20951AA\14%20-%20Redu&#231;&#227;o%20de%20consumo%20no%20passo%20%20VW000950AA%20951AA.xlsx" TargetMode="External"/><Relationship Id="rId71" Type="http://schemas.openxmlformats.org/officeDocument/2006/relationships/ctrlProp" Target="../ctrlProps/ctrlProp204.xml"/><Relationship Id="rId92" Type="http://schemas.openxmlformats.org/officeDocument/2006/relationships/ctrlProp" Target="../ctrlProps/ctrlProp225.xml"/><Relationship Id="rId162" Type="http://schemas.openxmlformats.org/officeDocument/2006/relationships/ctrlProp" Target="../ctrlProps/ctrlProp295.xml"/><Relationship Id="rId183" Type="http://schemas.openxmlformats.org/officeDocument/2006/relationships/table" Target="../tables/table2.xml"/><Relationship Id="rId2" Type="http://schemas.openxmlformats.org/officeDocument/2006/relationships/hyperlink" Target="file:///\\192.168.5.20\Departamentos\TI\Projetos\Master%202026\03%20-%20Redu&#231;&#227;o%20de%20consumo%20de%20MP%20dos%20blanks%20com%20a%20t&#233;cnica%20de%20corte%20Wave\Planta%20Melhoria%20Blank%20Wave%20-%20Gest&#227;o%20de%20Projetos.xlsx" TargetMode="External"/><Relationship Id="rId29" Type="http://schemas.openxmlformats.org/officeDocument/2006/relationships/hyperlink" Target="file:///\\192.168.5.20\Departamentos\TI\Projetos\Master%202026\06%20-%20Redu&#231;&#227;o%20consumo%20MTP%20aplicando%20toler&#226;ncia%20m&#237;nima\06%20-%20Projeto%20Jarinu.xlsx" TargetMode="External"/><Relationship Id="rId24" Type="http://schemas.openxmlformats.org/officeDocument/2006/relationships/hyperlink" Target="file:///\\192.168.5.20\Departamentos\TI\Projetos\Master%202026\22%20-%20Melhoria%20no%20fluxo%20de%20processo%20para%20redu&#231;&#227;o%20de%20MOD\22%20-%20Melhoria%20no%20fluxo%20de%20processo%20para%20redu&#231;&#227;o%20de%20MOD.xlsx" TargetMode="External"/><Relationship Id="rId40" Type="http://schemas.openxmlformats.org/officeDocument/2006/relationships/hyperlink" Target="file:///\\192.168.5.20\Departamentos\TI\Projetos\Master%202026\30%20-%20Redu&#231;&#227;o%20de%20impressora%20Backup\30%20-%20Projeto%20Jarinu.xlsx" TargetMode="External"/><Relationship Id="rId45" Type="http://schemas.openxmlformats.org/officeDocument/2006/relationships/hyperlink" Target="file:///\\192.168.5.20\Departamentos\TI\Projetos\Master%202026\27%20-%20Mean%20to-low%20Curva%20B\27%20-%20Mean%20to%20low%20curva%20B.xlsx" TargetMode="External"/><Relationship Id="rId66" Type="http://schemas.openxmlformats.org/officeDocument/2006/relationships/ctrlProp" Target="../ctrlProps/ctrlProp199.xml"/><Relationship Id="rId87" Type="http://schemas.openxmlformats.org/officeDocument/2006/relationships/ctrlProp" Target="../ctrlProps/ctrlProp220.xml"/><Relationship Id="rId110" Type="http://schemas.openxmlformats.org/officeDocument/2006/relationships/ctrlProp" Target="../ctrlProps/ctrlProp243.xml"/><Relationship Id="rId115" Type="http://schemas.openxmlformats.org/officeDocument/2006/relationships/ctrlProp" Target="../ctrlProps/ctrlProp248.xml"/><Relationship Id="rId131" Type="http://schemas.openxmlformats.org/officeDocument/2006/relationships/ctrlProp" Target="../ctrlProps/ctrlProp264.xml"/><Relationship Id="rId136" Type="http://schemas.openxmlformats.org/officeDocument/2006/relationships/ctrlProp" Target="../ctrlProps/ctrlProp269.xml"/><Relationship Id="rId157" Type="http://schemas.openxmlformats.org/officeDocument/2006/relationships/ctrlProp" Target="../ctrlProps/ctrlProp290.xml"/><Relationship Id="rId178" Type="http://schemas.openxmlformats.org/officeDocument/2006/relationships/ctrlProp" Target="../ctrlProps/ctrlProp311.xml"/><Relationship Id="rId61" Type="http://schemas.openxmlformats.org/officeDocument/2006/relationships/ctrlProp" Target="../ctrlProps/ctrlProp194.xml"/><Relationship Id="rId82" Type="http://schemas.openxmlformats.org/officeDocument/2006/relationships/ctrlProp" Target="../ctrlProps/ctrlProp215.xml"/><Relationship Id="rId152" Type="http://schemas.openxmlformats.org/officeDocument/2006/relationships/ctrlProp" Target="../ctrlProps/ctrlProp285.xml"/><Relationship Id="rId173" Type="http://schemas.openxmlformats.org/officeDocument/2006/relationships/ctrlProp" Target="../ctrlProps/ctrlProp306.xml"/><Relationship Id="rId19" Type="http://schemas.openxmlformats.org/officeDocument/2006/relationships/hyperlink" Target="../../../../:x:/s/GestoEstratgica/IQCK4C6k6wB6SaQGwEvYrCtlAbuboCzP0OKN1KmZPhV5kPk?e=l6pgg7" TargetMode="External"/><Relationship Id="rId14" Type="http://schemas.openxmlformats.org/officeDocument/2006/relationships/hyperlink" Target="../../../../:x:/s/GestoEstratgica/IQADqwFlDmQcRJjd6Rvrjie2ASaUmv9t6gqJyYpuTitVIZs?e=chRsbz" TargetMode="External"/><Relationship Id="rId30" Type="http://schemas.openxmlformats.org/officeDocument/2006/relationships/hyperlink" Target="file:///\\192.168.5.20\Departamentos\TI\Projetos\Master%202026\05-%20Aplicar%20borda%20aparada%20nas%20bobinas\05%20-%20Aplica&#231;&#227;o%20de%20bordas%20aparadas.xlsx" TargetMode="External"/><Relationship Id="rId35" Type="http://schemas.openxmlformats.org/officeDocument/2006/relationships/hyperlink" Target="file:///\\192.168.5.20\Departamentos\TI\Projetos\Master%202026\29%20-%20Redu&#231;&#227;o%20de%20consumo%20de%20MTP%20no%20passo%20do%20Blank%20do%20item%20VW000942AB943AB%20(Passo%20-5%20)\29%20-%20Projeto%20Jarinu.xlsx" TargetMode="External"/><Relationship Id="rId56" Type="http://schemas.openxmlformats.org/officeDocument/2006/relationships/ctrlProp" Target="../ctrlProps/ctrlProp189.xml"/><Relationship Id="rId77" Type="http://schemas.openxmlformats.org/officeDocument/2006/relationships/ctrlProp" Target="../ctrlProps/ctrlProp210.xml"/><Relationship Id="rId100" Type="http://schemas.openxmlformats.org/officeDocument/2006/relationships/ctrlProp" Target="../ctrlProps/ctrlProp233.xml"/><Relationship Id="rId105" Type="http://schemas.openxmlformats.org/officeDocument/2006/relationships/ctrlProp" Target="../ctrlProps/ctrlProp238.xml"/><Relationship Id="rId126" Type="http://schemas.openxmlformats.org/officeDocument/2006/relationships/ctrlProp" Target="../ctrlProps/ctrlProp259.xml"/><Relationship Id="rId147" Type="http://schemas.openxmlformats.org/officeDocument/2006/relationships/ctrlProp" Target="../ctrlProps/ctrlProp280.xml"/><Relationship Id="rId168" Type="http://schemas.openxmlformats.org/officeDocument/2006/relationships/ctrlProp" Target="../ctrlProps/ctrlProp301.xml"/><Relationship Id="rId8" Type="http://schemas.openxmlformats.org/officeDocument/2006/relationships/hyperlink" Target="file:///\\192.168.5.20\Departamentos\TI\Projetos\Master%202026\15%20-%20Redu&#231;&#227;o%20de%20consumo%20no%20slitter%20dos%20itens%20VW000950AA%20951AA\15%20-%20Projeto%20Jarinu.xlsx" TargetMode="External"/><Relationship Id="rId51" Type="http://schemas.openxmlformats.org/officeDocument/2006/relationships/ctrlProp" Target="../ctrlProps/ctrlProp184.xml"/><Relationship Id="rId72" Type="http://schemas.openxmlformats.org/officeDocument/2006/relationships/ctrlProp" Target="../ctrlProps/ctrlProp205.xml"/><Relationship Id="rId93" Type="http://schemas.openxmlformats.org/officeDocument/2006/relationships/ctrlProp" Target="../ctrlProps/ctrlProp226.xml"/><Relationship Id="rId98" Type="http://schemas.openxmlformats.org/officeDocument/2006/relationships/ctrlProp" Target="../ctrlProps/ctrlProp231.xml"/><Relationship Id="rId121" Type="http://schemas.openxmlformats.org/officeDocument/2006/relationships/ctrlProp" Target="../ctrlProps/ctrlProp254.xml"/><Relationship Id="rId142" Type="http://schemas.openxmlformats.org/officeDocument/2006/relationships/ctrlProp" Target="../ctrlProps/ctrlProp275.xml"/><Relationship Id="rId163" Type="http://schemas.openxmlformats.org/officeDocument/2006/relationships/ctrlProp" Target="../ctrlProps/ctrlProp296.xml"/><Relationship Id="rId184" Type="http://schemas.openxmlformats.org/officeDocument/2006/relationships/comments" Target="../comments2.xml"/><Relationship Id="rId3" Type="http://schemas.openxmlformats.org/officeDocument/2006/relationships/hyperlink" Target="file:///\\192.168.5.20\Departamentos\TI\Projetos\Master%202026\04%20-%20Redu&#231;&#227;o%20da%20largura%20dos%20slitters\04%20-%20Redu&#231;&#227;o%20da%20largura%20dos%20slitters.xlsx" TargetMode="External"/><Relationship Id="rId25" Type="http://schemas.openxmlformats.org/officeDocument/2006/relationships/hyperlink" Target="file:///\\192.168.5.20\Departamentos\TI\Projetos\Master%202026\23%20-%20Piloto%20MTP%20VW000938AB%20(-%203%20mm%20no%20passo)\23%20-%20Piloto%20MTP%20VW000938AB%20(-%203%20mm%20no%20passo).xlsx" TargetMode="External"/><Relationship Id="rId46" Type="http://schemas.openxmlformats.org/officeDocument/2006/relationships/printerSettings" Target="../printerSettings/printerSettings3.bin"/><Relationship Id="rId67" Type="http://schemas.openxmlformats.org/officeDocument/2006/relationships/ctrlProp" Target="../ctrlProps/ctrlProp200.xml"/><Relationship Id="rId116" Type="http://schemas.openxmlformats.org/officeDocument/2006/relationships/ctrlProp" Target="../ctrlProps/ctrlProp249.xml"/><Relationship Id="rId137" Type="http://schemas.openxmlformats.org/officeDocument/2006/relationships/ctrlProp" Target="../ctrlProps/ctrlProp270.xml"/><Relationship Id="rId158" Type="http://schemas.openxmlformats.org/officeDocument/2006/relationships/ctrlProp" Target="../ctrlProps/ctrlProp291.xml"/><Relationship Id="rId20" Type="http://schemas.openxmlformats.org/officeDocument/2006/relationships/hyperlink" Target="file:///\\192.168.5.20\Departamentos\TI\Projetos\Master%202026\01%20-%20Desenvolver%20c&#233;lula%20de%20solda%20para%20soldar%20porcas\01%20-%20Desenvolver%20c&#233;lula%20de%20solda%20para%20soldar%20porcas.xlsx" TargetMode="External"/><Relationship Id="rId41" Type="http://schemas.openxmlformats.org/officeDocument/2006/relationships/hyperlink" Target="file:///\\192.168.5.20\Departamentos\TI\Projetos\Master%202026\30%20-%20Redu&#231;&#227;o%20de%20Refugo\Kaizen%20XXX-%20poposta%20redu&#231;&#227;o%20de%20custos%20com%20ensaios%20destrutivos..xlsx" TargetMode="External"/><Relationship Id="rId62" Type="http://schemas.openxmlformats.org/officeDocument/2006/relationships/ctrlProp" Target="../ctrlProps/ctrlProp195.xml"/><Relationship Id="rId83" Type="http://schemas.openxmlformats.org/officeDocument/2006/relationships/ctrlProp" Target="../ctrlProps/ctrlProp216.xml"/><Relationship Id="rId88" Type="http://schemas.openxmlformats.org/officeDocument/2006/relationships/ctrlProp" Target="../ctrlProps/ctrlProp221.xml"/><Relationship Id="rId111" Type="http://schemas.openxmlformats.org/officeDocument/2006/relationships/ctrlProp" Target="../ctrlProps/ctrlProp244.xml"/><Relationship Id="rId132" Type="http://schemas.openxmlformats.org/officeDocument/2006/relationships/ctrlProp" Target="../ctrlProps/ctrlProp265.xml"/><Relationship Id="rId153" Type="http://schemas.openxmlformats.org/officeDocument/2006/relationships/ctrlProp" Target="../ctrlProps/ctrlProp286.xml"/><Relationship Id="rId174" Type="http://schemas.openxmlformats.org/officeDocument/2006/relationships/ctrlProp" Target="../ctrlProps/ctrlProp307.xml"/><Relationship Id="rId179" Type="http://schemas.openxmlformats.org/officeDocument/2006/relationships/ctrlProp" Target="../ctrlProps/ctrlProp312.xml"/><Relationship Id="rId15" Type="http://schemas.openxmlformats.org/officeDocument/2006/relationships/hyperlink" Target="../../../../:x:/s/GestoEstratgica/IQCbWO9lb4DWRoTVi8hP8S3jARAq5TNk-GpwUxG0g6vk-d4?e=18HHjC" TargetMode="External"/><Relationship Id="rId36" Type="http://schemas.openxmlformats.org/officeDocument/2006/relationships/hyperlink" Target="file:///\\192.168.5.20\Departamentos\TI\Projetos\Master%202026\31%20-%20Redu&#231;&#227;o%20de%20Refugo\Kaizen%20XXX-%20poposta%20redu&#231;&#227;o%20de%20custos%20com%20ensaios%20destrutivos..xlsx" TargetMode="External"/><Relationship Id="rId57" Type="http://schemas.openxmlformats.org/officeDocument/2006/relationships/ctrlProp" Target="../ctrlProps/ctrlProp190.xml"/><Relationship Id="rId106" Type="http://schemas.openxmlformats.org/officeDocument/2006/relationships/ctrlProp" Target="../ctrlProps/ctrlProp239.xml"/><Relationship Id="rId127" Type="http://schemas.openxmlformats.org/officeDocument/2006/relationships/ctrlProp" Target="../ctrlProps/ctrlProp260.xml"/><Relationship Id="rId10" Type="http://schemas.openxmlformats.org/officeDocument/2006/relationships/hyperlink" Target="../../../../:x:/s/GestoEstratgica/IQA6tdhbQYLeSr7IRm6LtyO0AeKvFg36YOmstOTPwIEELgc?e=XcwNhe" TargetMode="External"/><Relationship Id="rId31" Type="http://schemas.openxmlformats.org/officeDocument/2006/relationships/hyperlink" Target="Controles%20VA" TargetMode="External"/><Relationship Id="rId52" Type="http://schemas.openxmlformats.org/officeDocument/2006/relationships/ctrlProp" Target="../ctrlProps/ctrlProp185.xml"/><Relationship Id="rId73" Type="http://schemas.openxmlformats.org/officeDocument/2006/relationships/ctrlProp" Target="../ctrlProps/ctrlProp206.xml"/><Relationship Id="rId78" Type="http://schemas.openxmlformats.org/officeDocument/2006/relationships/ctrlProp" Target="../ctrlProps/ctrlProp211.xml"/><Relationship Id="rId94" Type="http://schemas.openxmlformats.org/officeDocument/2006/relationships/ctrlProp" Target="../ctrlProps/ctrlProp227.xml"/><Relationship Id="rId99" Type="http://schemas.openxmlformats.org/officeDocument/2006/relationships/ctrlProp" Target="../ctrlProps/ctrlProp232.xml"/><Relationship Id="rId101" Type="http://schemas.openxmlformats.org/officeDocument/2006/relationships/ctrlProp" Target="../ctrlProps/ctrlProp234.xml"/><Relationship Id="rId122" Type="http://schemas.openxmlformats.org/officeDocument/2006/relationships/ctrlProp" Target="../ctrlProps/ctrlProp255.xml"/><Relationship Id="rId143" Type="http://schemas.openxmlformats.org/officeDocument/2006/relationships/ctrlProp" Target="../ctrlProps/ctrlProp276.xml"/><Relationship Id="rId148" Type="http://schemas.openxmlformats.org/officeDocument/2006/relationships/ctrlProp" Target="../ctrlProps/ctrlProp281.xml"/><Relationship Id="rId164" Type="http://schemas.openxmlformats.org/officeDocument/2006/relationships/ctrlProp" Target="../ctrlProps/ctrlProp297.xml"/><Relationship Id="rId169" Type="http://schemas.openxmlformats.org/officeDocument/2006/relationships/ctrlProp" Target="../ctrlProps/ctrlProp302.xml"/><Relationship Id="rId185" Type="http://schemas.microsoft.com/office/2017/10/relationships/threadedComment" Target="../threadedComments/threadedComment2.xml"/><Relationship Id="rId4" Type="http://schemas.openxmlformats.org/officeDocument/2006/relationships/hyperlink" Target="file:///\\192.168.5.20\Departamentos\TI\Projetos\Master%202026\07%20-%20Balanceamento%20de%20carga%20m&#225;quina%20entre%20a%20prensa%20Gutmnan%20e%20Minster\07%20-%20Balanceamento%20de%20carga%20m&#225;quina%20entre%20a%20prensa%20Gutmnan%20e%20Minster.xlsx" TargetMode="External"/><Relationship Id="rId9" Type="http://schemas.openxmlformats.org/officeDocument/2006/relationships/hyperlink" Target="file:///\\192.168.5.20\Departamentos\TI\Projetos\Master%202026\19%20-%20Redu&#231;&#227;o%20da%20largura%20da%20bobina%20m&#227;e%20do%20Curv&#227;o\19%20-%20Redu&#231;&#227;o%20da%20largura%20da%20bobina%20m&#227;e%20do%20Curv&#227;o.xlsx" TargetMode="External"/><Relationship Id="rId180" Type="http://schemas.openxmlformats.org/officeDocument/2006/relationships/ctrlProp" Target="../ctrlProps/ctrlProp313.xml"/><Relationship Id="rId26" Type="http://schemas.openxmlformats.org/officeDocument/2006/relationships/hyperlink" Target="file:///\\192.168.5.20\Departamentos\TI\Projetos\Master%202026\24%20-%20Redu&#231;&#227;o%20de%20consumo%20de%20MTP%20dos%20%20Redu&#231;&#227;o%20China%201%20porca%20(-10%20mm%20Slitter)\24%20-%20Redu&#231;&#227;o%20de%20consumo%20de%20MTP%20dos%20%20Redu&#231;&#227;o%20China%201%20por.xlsx" TargetMode="External"/><Relationship Id="rId47" Type="http://schemas.openxmlformats.org/officeDocument/2006/relationships/drawing" Target="../drawings/drawing3.xml"/><Relationship Id="rId68" Type="http://schemas.openxmlformats.org/officeDocument/2006/relationships/ctrlProp" Target="../ctrlProps/ctrlProp201.xml"/><Relationship Id="rId89" Type="http://schemas.openxmlformats.org/officeDocument/2006/relationships/ctrlProp" Target="../ctrlProps/ctrlProp222.xml"/><Relationship Id="rId112" Type="http://schemas.openxmlformats.org/officeDocument/2006/relationships/ctrlProp" Target="../ctrlProps/ctrlProp245.xml"/><Relationship Id="rId133" Type="http://schemas.openxmlformats.org/officeDocument/2006/relationships/ctrlProp" Target="../ctrlProps/ctrlProp266.xml"/><Relationship Id="rId154" Type="http://schemas.openxmlformats.org/officeDocument/2006/relationships/ctrlProp" Target="../ctrlProps/ctrlProp287.xml"/><Relationship Id="rId175" Type="http://schemas.openxmlformats.org/officeDocument/2006/relationships/ctrlProp" Target="../ctrlProps/ctrlProp308.xml"/><Relationship Id="rId16" Type="http://schemas.openxmlformats.org/officeDocument/2006/relationships/hyperlink" Target="../../../../:x:/s/GestoEstratgica/IQDGf1rvFT7gQ6if6BKlruawARtQ8pciR28V8b2c3d_WpzE?e=0KXSXH" TargetMode="External"/><Relationship Id="rId37" Type="http://schemas.openxmlformats.org/officeDocument/2006/relationships/hyperlink" Target="../../../../:x:/s/GestoEstratgica/IQDSbR9Pl4kfS45vLq-6zo_PARaJEsXRfhE80Cy5S5j9KS0?e=9u5dIG" TargetMode="External"/><Relationship Id="rId58" Type="http://schemas.openxmlformats.org/officeDocument/2006/relationships/ctrlProp" Target="../ctrlProps/ctrlProp191.xml"/><Relationship Id="rId79" Type="http://schemas.openxmlformats.org/officeDocument/2006/relationships/ctrlProp" Target="../ctrlProps/ctrlProp212.xml"/><Relationship Id="rId102" Type="http://schemas.openxmlformats.org/officeDocument/2006/relationships/ctrlProp" Target="../ctrlProps/ctrlProp235.xml"/><Relationship Id="rId123" Type="http://schemas.openxmlformats.org/officeDocument/2006/relationships/ctrlProp" Target="../ctrlProps/ctrlProp256.xml"/><Relationship Id="rId144" Type="http://schemas.openxmlformats.org/officeDocument/2006/relationships/ctrlProp" Target="../ctrlProps/ctrlProp277.xml"/><Relationship Id="rId90" Type="http://schemas.openxmlformats.org/officeDocument/2006/relationships/ctrlProp" Target="../ctrlProps/ctrlProp223.xml"/><Relationship Id="rId165" Type="http://schemas.openxmlformats.org/officeDocument/2006/relationships/ctrlProp" Target="../ctrlProps/ctrlProp298.xml"/><Relationship Id="rId186" Type="http://schemas.microsoft.com/office/2019/04/relationships/documenttask" Target="../documenttasks/documenttask1.xml"/><Relationship Id="rId27" Type="http://schemas.openxmlformats.org/officeDocument/2006/relationships/hyperlink" Target="file:///\\192.168.5.20\Departamentos\TI\Projetos\Master%202026\25%20-%20Redu&#231;&#227;o%20de%20consumo%20de%20MTP%20dos%20%20Redu&#231;&#227;o%20China%202%20porca%20(-10%20mm%20Slitter)\25%20-%20Redu&#231;&#227;o%20de%20consumo%20de%20MTP%20dos%20%20Redu&#231;&#227;o%20China%202.xlsx" TargetMode="External"/><Relationship Id="rId48" Type="http://schemas.openxmlformats.org/officeDocument/2006/relationships/vmlDrawing" Target="../drawings/vmlDrawing2.vml"/><Relationship Id="rId69" Type="http://schemas.openxmlformats.org/officeDocument/2006/relationships/ctrlProp" Target="../ctrlProps/ctrlProp202.xml"/><Relationship Id="rId113" Type="http://schemas.openxmlformats.org/officeDocument/2006/relationships/ctrlProp" Target="../ctrlProps/ctrlProp246.xml"/><Relationship Id="rId134" Type="http://schemas.openxmlformats.org/officeDocument/2006/relationships/ctrlProp" Target="../ctrlProps/ctrlProp267.xml"/><Relationship Id="rId80" Type="http://schemas.openxmlformats.org/officeDocument/2006/relationships/ctrlProp" Target="../ctrlProps/ctrlProp213.xml"/><Relationship Id="rId155" Type="http://schemas.openxmlformats.org/officeDocument/2006/relationships/ctrlProp" Target="../ctrlProps/ctrlProp288.xml"/><Relationship Id="rId176" Type="http://schemas.openxmlformats.org/officeDocument/2006/relationships/ctrlProp" Target="../ctrlProps/ctrlProp309.xml"/><Relationship Id="rId17" Type="http://schemas.openxmlformats.org/officeDocument/2006/relationships/hyperlink" Target="../../../../:x:/s/GestoEstratgica/IQCxHdtpvRoLQpNBPvRhXTM0AbB8D18zgOaSeCENHG1ASoY?e=PTA2pv" TargetMode="External"/><Relationship Id="rId38" Type="http://schemas.openxmlformats.org/officeDocument/2006/relationships/hyperlink" Target="file:///\\192.168.5.20\Departamentos\TI\Projetos\Master%202026\34%20-%20Ilumina&#231;&#227;o%20Led\Planta%20Jarinu%20-%20A3%20Resumo%20de%20Projetos%20(Lampadas%20de%20Led).xlsx" TargetMode="External"/><Relationship Id="rId59" Type="http://schemas.openxmlformats.org/officeDocument/2006/relationships/ctrlProp" Target="../ctrlProps/ctrlProp192.xml"/><Relationship Id="rId103" Type="http://schemas.openxmlformats.org/officeDocument/2006/relationships/ctrlProp" Target="../ctrlProps/ctrlProp236.xml"/><Relationship Id="rId124" Type="http://schemas.openxmlformats.org/officeDocument/2006/relationships/ctrlProp" Target="../ctrlProps/ctrlProp257.xml"/><Relationship Id="rId70" Type="http://schemas.openxmlformats.org/officeDocument/2006/relationships/ctrlProp" Target="../ctrlProps/ctrlProp203.xml"/><Relationship Id="rId91" Type="http://schemas.openxmlformats.org/officeDocument/2006/relationships/ctrlProp" Target="../ctrlProps/ctrlProp224.xml"/><Relationship Id="rId145" Type="http://schemas.openxmlformats.org/officeDocument/2006/relationships/ctrlProp" Target="../ctrlProps/ctrlProp278.xml"/><Relationship Id="rId166" Type="http://schemas.openxmlformats.org/officeDocument/2006/relationships/ctrlProp" Target="../ctrlProps/ctrlProp299.xml"/><Relationship Id="rId1" Type="http://schemas.openxmlformats.org/officeDocument/2006/relationships/hyperlink" Target="file:///\\192.168.5.20\Departamentos\TI\Projetos\Master%202026\12%20-%20Aumento%20do%20OEE%20do%20equipamento%20ISGEC\OEE%20MUNDIAL%20ISGEC%20-%20Gest&#227;o%20de%20Projetos.xlsx" TargetMode="External"/><Relationship Id="rId28" Type="http://schemas.openxmlformats.org/officeDocument/2006/relationships/hyperlink" Target="file:///\\192.168.5.20\Departamentos\TI\Projetos\Master%202026\26%20-%20Redu&#231;&#227;o%20de%20gastos%20com%20HE\26%20-%20Redu&#231;&#227;o%20de%20gastos%20com%20HE.xlsx" TargetMode="External"/><Relationship Id="rId49" Type="http://schemas.openxmlformats.org/officeDocument/2006/relationships/ctrlProp" Target="../ctrlProps/ctrlProp182.xml"/><Relationship Id="rId114" Type="http://schemas.openxmlformats.org/officeDocument/2006/relationships/ctrlProp" Target="../ctrlProps/ctrlProp247.xml"/><Relationship Id="rId60" Type="http://schemas.openxmlformats.org/officeDocument/2006/relationships/ctrlProp" Target="../ctrlProps/ctrlProp193.xml"/><Relationship Id="rId81" Type="http://schemas.openxmlformats.org/officeDocument/2006/relationships/ctrlProp" Target="../ctrlProps/ctrlProp214.xml"/><Relationship Id="rId135" Type="http://schemas.openxmlformats.org/officeDocument/2006/relationships/ctrlProp" Target="../ctrlProps/ctrlProp268.xml"/><Relationship Id="rId156" Type="http://schemas.openxmlformats.org/officeDocument/2006/relationships/ctrlProp" Target="../ctrlProps/ctrlProp289.xml"/><Relationship Id="rId177" Type="http://schemas.openxmlformats.org/officeDocument/2006/relationships/ctrlProp" Target="../ctrlProps/ctrlProp310.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4.xml"/><Relationship Id="rId21" Type="http://schemas.openxmlformats.org/officeDocument/2006/relationships/hyperlink" Target="file:///\\dfsrvfile01\Departamentos\Engenharia\02.%20Engenharia%20de%20Processo\02%20-%20Projetos\05%20-%20Projetos%20estrat&#233;gicos\13%20-%20Transfer&#234;ncia%20Hasenclaver%20para%20o%20plasma\KAIZEN%20XX%20-%20A3_TRANSFER&#202;NCIA_HASENCLAVER_PLASMA.xlsx" TargetMode="External"/><Relationship Id="rId42" Type="http://schemas.openxmlformats.org/officeDocument/2006/relationships/ctrlProp" Target="../ctrlProps/ctrlProp319.xml"/><Relationship Id="rId63" Type="http://schemas.openxmlformats.org/officeDocument/2006/relationships/ctrlProp" Target="../ctrlProps/ctrlProp340.xml"/><Relationship Id="rId84" Type="http://schemas.openxmlformats.org/officeDocument/2006/relationships/ctrlProp" Target="../ctrlProps/ctrlProp361.xml"/><Relationship Id="rId138" Type="http://schemas.openxmlformats.org/officeDocument/2006/relationships/ctrlProp" Target="../ctrlProps/ctrlProp415.xml"/><Relationship Id="rId159" Type="http://schemas.openxmlformats.org/officeDocument/2006/relationships/ctrlProp" Target="../ctrlProps/ctrlProp436.xml"/><Relationship Id="rId170" Type="http://schemas.openxmlformats.org/officeDocument/2006/relationships/ctrlProp" Target="../ctrlProps/ctrlProp447.xml"/><Relationship Id="rId107" Type="http://schemas.openxmlformats.org/officeDocument/2006/relationships/ctrlProp" Target="../ctrlProps/ctrlProp384.xml"/><Relationship Id="rId11" Type="http://schemas.openxmlformats.org/officeDocument/2006/relationships/hyperlink" Target="file:///\\dfsrvfile01\Departamentos\Engenharia\02.%20Engenharia%20de%20Processo\02%20-%20Projetos\05%20-%20Projetos%20estrat&#233;gicos\01%20-%20Clientes%20com%20baixa%20margem%20de%20contribui&#231;&#227;o\PROJETO%20-%20CLIENTES%20COM%20BAIXA%20MARGEM%20DE%20CONTRIBUI&#199;&#195;O.xlsx" TargetMode="External"/><Relationship Id="rId32" Type="http://schemas.openxmlformats.org/officeDocument/2006/relationships/hyperlink" Target="Evid%C3%AAncias%20Grupo%20Delga%202026/Evid%C3%AAncias%20Delga%20Ferraz/31%20-%20Redu%C3%A7%C3%A3o%20da%20nota%20de%20d%C3%A9bitos%20de%20clientes/A3%20Projeto%20Redu%C3%A7%C3%A3o%20da%20nota%20de%20d%C3%A9bitos%20de%20clientes.xlsx?web=1" TargetMode="External"/><Relationship Id="rId53" Type="http://schemas.openxmlformats.org/officeDocument/2006/relationships/ctrlProp" Target="../ctrlProps/ctrlProp330.xml"/><Relationship Id="rId74" Type="http://schemas.openxmlformats.org/officeDocument/2006/relationships/ctrlProp" Target="../ctrlProps/ctrlProp351.xml"/><Relationship Id="rId128" Type="http://schemas.openxmlformats.org/officeDocument/2006/relationships/ctrlProp" Target="../ctrlProps/ctrlProp405.xml"/><Relationship Id="rId149" Type="http://schemas.openxmlformats.org/officeDocument/2006/relationships/ctrlProp" Target="../ctrlProps/ctrlProp426.xml"/><Relationship Id="rId5" Type="http://schemas.openxmlformats.org/officeDocument/2006/relationships/hyperlink" Target="../../../../:f:/s/GestoEstratgica/IgBExXIYQ7mfQIKLLvp3uL0XAZHvW2H7jUJfdOYwQHAvxHE?e=PlYzHx" TargetMode="External"/><Relationship Id="rId95" Type="http://schemas.openxmlformats.org/officeDocument/2006/relationships/ctrlProp" Target="../ctrlProps/ctrlProp372.xml"/><Relationship Id="rId160" Type="http://schemas.openxmlformats.org/officeDocument/2006/relationships/ctrlProp" Target="../ctrlProps/ctrlProp437.xml"/><Relationship Id="rId22" Type="http://schemas.openxmlformats.org/officeDocument/2006/relationships/hyperlink" Target="file:///\\dfsrvfile01\Departamentos\Engenharia\02.%20Engenharia%20de%20Processo\02%20-%20Projetos\05%20-%20Projetos%20estrat&#233;gicos\14%20-%20Consumo%20de%20EPI's\Planta%20Ferraz%20-%20Projeto%20de%20Redu&#231;&#227;o%20de%20Custos%20-%20EPIS%20-%20%202026%20rev%2001.xlsx" TargetMode="External"/><Relationship Id="rId43" Type="http://schemas.openxmlformats.org/officeDocument/2006/relationships/ctrlProp" Target="../ctrlProps/ctrlProp320.xml"/><Relationship Id="rId64" Type="http://schemas.openxmlformats.org/officeDocument/2006/relationships/ctrlProp" Target="../ctrlProps/ctrlProp341.xml"/><Relationship Id="rId118" Type="http://schemas.openxmlformats.org/officeDocument/2006/relationships/ctrlProp" Target="../ctrlProps/ctrlProp395.xml"/><Relationship Id="rId139" Type="http://schemas.openxmlformats.org/officeDocument/2006/relationships/ctrlProp" Target="../ctrlProps/ctrlProp416.xml"/><Relationship Id="rId85" Type="http://schemas.openxmlformats.org/officeDocument/2006/relationships/ctrlProp" Target="../ctrlProps/ctrlProp362.xml"/><Relationship Id="rId150" Type="http://schemas.openxmlformats.org/officeDocument/2006/relationships/ctrlProp" Target="../ctrlProps/ctrlProp427.xml"/><Relationship Id="rId171" Type="http://schemas.openxmlformats.org/officeDocument/2006/relationships/ctrlProp" Target="../ctrlProps/ctrlProp448.xml"/><Relationship Id="rId12" Type="http://schemas.openxmlformats.org/officeDocument/2006/relationships/hyperlink" Target="file:///\\dfsrvfile01\Departamentos\Engenharia\02.%20Engenharia%20de%20Processo\02%20-%20Projetos\05%20-%20Projetos%20estrat&#233;gicos\02%20-%20Efici&#234;ncia%20dos%20planos%20de%20corte\KAIZEN_A3_MB000291GU_JEANSOLA.xlsx" TargetMode="External"/><Relationship Id="rId33" Type="http://schemas.openxmlformats.org/officeDocument/2006/relationships/hyperlink" Target="Evid%C3%AAncias%20Grupo%20Delga%202026/Evid%C3%AAncias%20Delga%20Ferraz/24%20-%20Aquisi%C3%A7%C3%A3o%20do%20equipamento%20de%20ultrassom/A3_Projeto_Aquisi%C3%A7%C3%A3o%20do%20equipamento%20de%20ultrassom.xlsx?web=1" TargetMode="External"/><Relationship Id="rId108" Type="http://schemas.openxmlformats.org/officeDocument/2006/relationships/ctrlProp" Target="../ctrlProps/ctrlProp385.xml"/><Relationship Id="rId129" Type="http://schemas.openxmlformats.org/officeDocument/2006/relationships/ctrlProp" Target="../ctrlProps/ctrlProp406.xml"/><Relationship Id="rId54" Type="http://schemas.openxmlformats.org/officeDocument/2006/relationships/ctrlProp" Target="../ctrlProps/ctrlProp331.xml"/><Relationship Id="rId75" Type="http://schemas.openxmlformats.org/officeDocument/2006/relationships/ctrlProp" Target="../ctrlProps/ctrlProp352.xml"/><Relationship Id="rId96" Type="http://schemas.openxmlformats.org/officeDocument/2006/relationships/ctrlProp" Target="../ctrlProps/ctrlProp373.xml"/><Relationship Id="rId140" Type="http://schemas.openxmlformats.org/officeDocument/2006/relationships/ctrlProp" Target="../ctrlProps/ctrlProp417.xml"/><Relationship Id="rId161" Type="http://schemas.openxmlformats.org/officeDocument/2006/relationships/ctrlProp" Target="../ctrlProps/ctrlProp438.xml"/><Relationship Id="rId6" Type="http://schemas.openxmlformats.org/officeDocument/2006/relationships/hyperlink" Target="../../../../:f:/s/GestoEstratgica/IgDDyGi9M6ddSqWcu7kH8UaOAb0-z1niFsE3I9EOfeorFUE?e=caj6A0" TargetMode="External"/><Relationship Id="rId23" Type="http://schemas.openxmlformats.org/officeDocument/2006/relationships/hyperlink" Target="file:///\\dfsrvfile01\Departamentos\Engenharia\02.%20Engenharia%20de%20Processo\02%20-%20Projetos\05%20-%20Projetos%20estrat&#233;gicos\15%20-%20Enclausuramento%20do%20jato%20granalha\Redu&#231;&#227;o%20de%20custos%20-%20Enclausuramento%20Jatos%201.xlsx" TargetMode="External"/><Relationship Id="rId28" Type="http://schemas.openxmlformats.org/officeDocument/2006/relationships/hyperlink" Target="Evid%C3%AAncias%20Grupo%20Delga%202026/Evid%C3%AAncias%20Delga%20Ferraz/22%20-%20Tablet%20-%20Dobradeira/KAIZEN_A3%20-%20TABLET%20-%20PROJETO%2022.xlsx?web=1" TargetMode="External"/><Relationship Id="rId49" Type="http://schemas.openxmlformats.org/officeDocument/2006/relationships/ctrlProp" Target="../ctrlProps/ctrlProp326.xml"/><Relationship Id="rId114" Type="http://schemas.openxmlformats.org/officeDocument/2006/relationships/ctrlProp" Target="../ctrlProps/ctrlProp391.xml"/><Relationship Id="rId119" Type="http://schemas.openxmlformats.org/officeDocument/2006/relationships/ctrlProp" Target="../ctrlProps/ctrlProp396.xml"/><Relationship Id="rId44" Type="http://schemas.openxmlformats.org/officeDocument/2006/relationships/ctrlProp" Target="../ctrlProps/ctrlProp321.xml"/><Relationship Id="rId60" Type="http://schemas.openxmlformats.org/officeDocument/2006/relationships/ctrlProp" Target="../ctrlProps/ctrlProp337.xml"/><Relationship Id="rId65" Type="http://schemas.openxmlformats.org/officeDocument/2006/relationships/ctrlProp" Target="../ctrlProps/ctrlProp342.xml"/><Relationship Id="rId81" Type="http://schemas.openxmlformats.org/officeDocument/2006/relationships/ctrlProp" Target="../ctrlProps/ctrlProp358.xml"/><Relationship Id="rId86" Type="http://schemas.openxmlformats.org/officeDocument/2006/relationships/ctrlProp" Target="../ctrlProps/ctrlProp363.xml"/><Relationship Id="rId130" Type="http://schemas.openxmlformats.org/officeDocument/2006/relationships/ctrlProp" Target="../ctrlProps/ctrlProp407.xml"/><Relationship Id="rId135" Type="http://schemas.openxmlformats.org/officeDocument/2006/relationships/ctrlProp" Target="../ctrlProps/ctrlProp412.xml"/><Relationship Id="rId151" Type="http://schemas.openxmlformats.org/officeDocument/2006/relationships/ctrlProp" Target="../ctrlProps/ctrlProp428.xml"/><Relationship Id="rId156" Type="http://schemas.openxmlformats.org/officeDocument/2006/relationships/ctrlProp" Target="../ctrlProps/ctrlProp433.xml"/><Relationship Id="rId177" Type="http://schemas.openxmlformats.org/officeDocument/2006/relationships/table" Target="../tables/table3.xml"/><Relationship Id="rId172" Type="http://schemas.openxmlformats.org/officeDocument/2006/relationships/ctrlProp" Target="../ctrlProps/ctrlProp449.xml"/><Relationship Id="rId13" Type="http://schemas.openxmlformats.org/officeDocument/2006/relationships/hyperlink" Target="file:///\\dfsrvfile01\Departamentos\Engenharia\02.%20Engenharia%20de%20Processo\02%20-%20Projetos\05%20-%20Projetos%20estrat&#233;gicos\04%20-%20Redu&#231;&#227;o%20dos%20retrabalhos\Planta%20Ferraz%20-%20Projeto%20Redu&#231;&#227;o%20Lixamentos%20de%20Retrabalhos.xlsx" TargetMode="External"/><Relationship Id="rId18" Type="http://schemas.openxmlformats.org/officeDocument/2006/relationships/hyperlink" Target="file:///\\dfsrvfile01\Departamentos\Engenharia\02.%20Engenharia%20de%20Processo\02%20-%20Projetos\05%20-%20Projetos%20estrat&#233;gicos\09%20-%20Crit&#233;rio%20para%20descarte%20de%20consum&#237;veis\Redu&#231;&#227;o%20de%20custos%20-%20Crit&#233;rio%20para%20descarte%20de%20consum&#237;veis.xlsx" TargetMode="External"/><Relationship Id="rId39" Type="http://schemas.openxmlformats.org/officeDocument/2006/relationships/ctrlProp" Target="../ctrlProps/ctrlProp316.xml"/><Relationship Id="rId109" Type="http://schemas.openxmlformats.org/officeDocument/2006/relationships/ctrlProp" Target="../ctrlProps/ctrlProp386.xml"/><Relationship Id="rId34" Type="http://schemas.openxmlformats.org/officeDocument/2006/relationships/hyperlink" Target="https://delgadiadema.sharepoint.com/:x:/s/GestoEstratgica/IQALc3XmeozVSodxrf0kaN80AbUCn8p0IKI-SuK0o4aXp0Y?e=EwFyID" TargetMode="External"/><Relationship Id="rId50" Type="http://schemas.openxmlformats.org/officeDocument/2006/relationships/ctrlProp" Target="../ctrlProps/ctrlProp327.xml"/><Relationship Id="rId55" Type="http://schemas.openxmlformats.org/officeDocument/2006/relationships/ctrlProp" Target="../ctrlProps/ctrlProp332.xml"/><Relationship Id="rId76" Type="http://schemas.openxmlformats.org/officeDocument/2006/relationships/ctrlProp" Target="../ctrlProps/ctrlProp353.xml"/><Relationship Id="rId97" Type="http://schemas.openxmlformats.org/officeDocument/2006/relationships/ctrlProp" Target="../ctrlProps/ctrlProp374.xml"/><Relationship Id="rId104" Type="http://schemas.openxmlformats.org/officeDocument/2006/relationships/ctrlProp" Target="../ctrlProps/ctrlProp381.xml"/><Relationship Id="rId120" Type="http://schemas.openxmlformats.org/officeDocument/2006/relationships/ctrlProp" Target="../ctrlProps/ctrlProp397.xml"/><Relationship Id="rId125" Type="http://schemas.openxmlformats.org/officeDocument/2006/relationships/ctrlProp" Target="../ctrlProps/ctrlProp402.xml"/><Relationship Id="rId141" Type="http://schemas.openxmlformats.org/officeDocument/2006/relationships/ctrlProp" Target="../ctrlProps/ctrlProp418.xml"/><Relationship Id="rId146" Type="http://schemas.openxmlformats.org/officeDocument/2006/relationships/ctrlProp" Target="../ctrlProps/ctrlProp423.xml"/><Relationship Id="rId167" Type="http://schemas.openxmlformats.org/officeDocument/2006/relationships/ctrlProp" Target="../ctrlProps/ctrlProp444.xml"/><Relationship Id="rId7" Type="http://schemas.openxmlformats.org/officeDocument/2006/relationships/hyperlink" Target="../../../../:f:/s/GestoEstratgica/IgCCm3Ok15RpTbDhWqE59d4fAdwO56jGtjnV8BlO3A8VJRI?e=w8OV37" TargetMode="External"/><Relationship Id="rId71" Type="http://schemas.openxmlformats.org/officeDocument/2006/relationships/ctrlProp" Target="../ctrlProps/ctrlProp348.xml"/><Relationship Id="rId92" Type="http://schemas.openxmlformats.org/officeDocument/2006/relationships/ctrlProp" Target="../ctrlProps/ctrlProp369.xml"/><Relationship Id="rId162" Type="http://schemas.openxmlformats.org/officeDocument/2006/relationships/ctrlProp" Target="../ctrlProps/ctrlProp439.xml"/><Relationship Id="rId2" Type="http://schemas.openxmlformats.org/officeDocument/2006/relationships/hyperlink" Target="../../../../:f:/s/GestoEstratgica/IgCQznl8qTUMSpaqm9tFn9CkAZFHj8SqZi0akQe97HTTJBg?e=MJ0zng" TargetMode="External"/><Relationship Id="rId29" Type="http://schemas.openxmlformats.org/officeDocument/2006/relationships/hyperlink" Target="Evid%C3%AAncias%20Grupo%20Delga%202026/Evid%C3%AAncias%20Delga%20Ferraz/27%20-%20Transfer%C3%AAncia%20do%20processo%20Volvo%20da%20tampa%20de%20fog%C3%A3o%20-%20Metalsa/KAIZEN%2027%20-%202026%20-%20FERRAZ%20-%20Transfer%C3%AAncia%20do%20processo%20Volvo.xlsx?web=1" TargetMode="External"/><Relationship Id="rId24" Type="http://schemas.openxmlformats.org/officeDocument/2006/relationships/hyperlink" Target="file:///\\dfsrvfile01\Departamentos\Engenharia\02.%20Engenharia%20de%20Processo\02%20-%20Projetos\05%20-%20Projetos%20estrat&#233;gicos\17%20-%20Consumo%20de%20&#225;gua\KAIZEN%2001%20-%20A3_REDU&#199;&#195;O%20CONSUMO%20DE%20&#193;GUA%20REVIS&#195;O%2001.xlsx" TargetMode="External"/><Relationship Id="rId40" Type="http://schemas.openxmlformats.org/officeDocument/2006/relationships/ctrlProp" Target="../ctrlProps/ctrlProp317.xml"/><Relationship Id="rId45" Type="http://schemas.openxmlformats.org/officeDocument/2006/relationships/ctrlProp" Target="../ctrlProps/ctrlProp322.xml"/><Relationship Id="rId66" Type="http://schemas.openxmlformats.org/officeDocument/2006/relationships/ctrlProp" Target="../ctrlProps/ctrlProp343.xml"/><Relationship Id="rId87" Type="http://schemas.openxmlformats.org/officeDocument/2006/relationships/ctrlProp" Target="../ctrlProps/ctrlProp364.xml"/><Relationship Id="rId110" Type="http://schemas.openxmlformats.org/officeDocument/2006/relationships/ctrlProp" Target="../ctrlProps/ctrlProp387.xml"/><Relationship Id="rId115" Type="http://schemas.openxmlformats.org/officeDocument/2006/relationships/ctrlProp" Target="../ctrlProps/ctrlProp392.xml"/><Relationship Id="rId131" Type="http://schemas.openxmlformats.org/officeDocument/2006/relationships/ctrlProp" Target="../ctrlProps/ctrlProp408.xml"/><Relationship Id="rId136" Type="http://schemas.openxmlformats.org/officeDocument/2006/relationships/ctrlProp" Target="../ctrlProps/ctrlProp413.xml"/><Relationship Id="rId157" Type="http://schemas.openxmlformats.org/officeDocument/2006/relationships/ctrlProp" Target="../ctrlProps/ctrlProp434.xml"/><Relationship Id="rId178" Type="http://schemas.openxmlformats.org/officeDocument/2006/relationships/comments" Target="../comments3.xml"/><Relationship Id="rId61" Type="http://schemas.openxmlformats.org/officeDocument/2006/relationships/ctrlProp" Target="../ctrlProps/ctrlProp338.xml"/><Relationship Id="rId82" Type="http://schemas.openxmlformats.org/officeDocument/2006/relationships/ctrlProp" Target="../ctrlProps/ctrlProp359.xml"/><Relationship Id="rId152" Type="http://schemas.openxmlformats.org/officeDocument/2006/relationships/ctrlProp" Target="../ctrlProps/ctrlProp429.xml"/><Relationship Id="rId173" Type="http://schemas.openxmlformats.org/officeDocument/2006/relationships/ctrlProp" Target="../ctrlProps/ctrlProp450.xml"/><Relationship Id="rId19" Type="http://schemas.openxmlformats.org/officeDocument/2006/relationships/hyperlink" Target="file:///\\dfsrvfile01\Departamentos\Engenharia\02.%20Engenharia%20de%20Processo\02%20-%20Projetos\05%20-%20Projetos%20estrat&#233;gicos\10%20-%20Consumo%20de%20energia%20el&#233;trica,%20vazamentos%20de%20ar\Redu&#231;&#227;o%20de%20custos%20-%20Consumo%20de%20energia,%20vazemento%20de%20ar.xlsx" TargetMode="External"/><Relationship Id="rId14" Type="http://schemas.openxmlformats.org/officeDocument/2006/relationships/hyperlink" Target="file:///\\dfsrvfile01\Departamentos\Engenharia\02.%20Engenharia%20de%20Processo\02%20-%20Projetos\05%20-%20Projetos%20estrat&#233;gicos\01%20-%20Clientes%20com%20baixa%20margem%20de%20contribui&#231;&#227;o\PROJETO%20-%20CLIENTES%20COM%20BAIXA%20MARGEM%20DE%20CONTRIBUI&#199;&#195;O.xlsx" TargetMode="External"/><Relationship Id="rId30" Type="http://schemas.openxmlformats.org/officeDocument/2006/relationships/hyperlink" Target="Evid%C3%AAncias%20Grupo%20Delga%202026/Evid%C3%AAncias%20Delga%20Ferraz/28%20-%20Manuten%C3%A7%C3%A3o%20de%20Lixadeiras/A3_Projeto%20Manuten%C3%A7%C3%A3o%20de%20Lixadeiras.xlsx?web=1" TargetMode="External"/><Relationship Id="rId35" Type="http://schemas.openxmlformats.org/officeDocument/2006/relationships/hyperlink" Target="https://delgadiadema.sharepoint.com/:x:/s/GestoEstratgica/IQAdZAOjwJ4VRbJoKCb6lkSbAV2qI9DcvflybNV7wpxl4hk?e=Xth4Kc" TargetMode="External"/><Relationship Id="rId56" Type="http://schemas.openxmlformats.org/officeDocument/2006/relationships/ctrlProp" Target="../ctrlProps/ctrlProp333.xml"/><Relationship Id="rId77" Type="http://schemas.openxmlformats.org/officeDocument/2006/relationships/ctrlProp" Target="../ctrlProps/ctrlProp354.xml"/><Relationship Id="rId100" Type="http://schemas.openxmlformats.org/officeDocument/2006/relationships/ctrlProp" Target="../ctrlProps/ctrlProp377.xml"/><Relationship Id="rId105" Type="http://schemas.openxmlformats.org/officeDocument/2006/relationships/ctrlProp" Target="../ctrlProps/ctrlProp382.xml"/><Relationship Id="rId126" Type="http://schemas.openxmlformats.org/officeDocument/2006/relationships/ctrlProp" Target="../ctrlProps/ctrlProp403.xml"/><Relationship Id="rId147" Type="http://schemas.openxmlformats.org/officeDocument/2006/relationships/ctrlProp" Target="../ctrlProps/ctrlProp424.xml"/><Relationship Id="rId168" Type="http://schemas.openxmlformats.org/officeDocument/2006/relationships/ctrlProp" Target="../ctrlProps/ctrlProp445.xml"/><Relationship Id="rId8" Type="http://schemas.openxmlformats.org/officeDocument/2006/relationships/hyperlink" Target="../../../../:f:/s/GestoEstratgica/IgCE87fmHMd-R6nRbkCzDs-XAQdzB02wpqUd1bVJC4vUht4?e=U7pDCs" TargetMode="External"/><Relationship Id="rId51" Type="http://schemas.openxmlformats.org/officeDocument/2006/relationships/ctrlProp" Target="../ctrlProps/ctrlProp328.xml"/><Relationship Id="rId72" Type="http://schemas.openxmlformats.org/officeDocument/2006/relationships/ctrlProp" Target="../ctrlProps/ctrlProp349.xml"/><Relationship Id="rId93" Type="http://schemas.openxmlformats.org/officeDocument/2006/relationships/ctrlProp" Target="../ctrlProps/ctrlProp370.xml"/><Relationship Id="rId98" Type="http://schemas.openxmlformats.org/officeDocument/2006/relationships/ctrlProp" Target="../ctrlProps/ctrlProp375.xml"/><Relationship Id="rId121" Type="http://schemas.openxmlformats.org/officeDocument/2006/relationships/ctrlProp" Target="../ctrlProps/ctrlProp398.xml"/><Relationship Id="rId142" Type="http://schemas.openxmlformats.org/officeDocument/2006/relationships/ctrlProp" Target="../ctrlProps/ctrlProp419.xml"/><Relationship Id="rId163" Type="http://schemas.openxmlformats.org/officeDocument/2006/relationships/ctrlProp" Target="../ctrlProps/ctrlProp440.xml"/><Relationship Id="rId3" Type="http://schemas.openxmlformats.org/officeDocument/2006/relationships/hyperlink" Target="../../../../:f:/s/GestoEstratgica/IgA6CpoxVyvESL-ENTYxnUiVAbheG_LAqpvLt9A1GQbY4BY?e=1Ymm80" TargetMode="External"/><Relationship Id="rId25" Type="http://schemas.openxmlformats.org/officeDocument/2006/relationships/hyperlink" Target="file:///\\dfsrvfile01\Departamentos\Engenharia\02.%20Engenharia%20de%20Processo\02%20-%20Projetos\05%20-%20Projetos%20estrat&#233;gicos\20%20-%20Limpador%20de%20grelha\KAIZEN%20XX%20-%20A3_LIMPADOR%20DE%20GRELHA.xlsx" TargetMode="External"/><Relationship Id="rId46" Type="http://schemas.openxmlformats.org/officeDocument/2006/relationships/ctrlProp" Target="../ctrlProps/ctrlProp323.xml"/><Relationship Id="rId67" Type="http://schemas.openxmlformats.org/officeDocument/2006/relationships/ctrlProp" Target="../ctrlProps/ctrlProp344.xml"/><Relationship Id="rId116" Type="http://schemas.openxmlformats.org/officeDocument/2006/relationships/ctrlProp" Target="../ctrlProps/ctrlProp393.xml"/><Relationship Id="rId137" Type="http://schemas.openxmlformats.org/officeDocument/2006/relationships/ctrlProp" Target="../ctrlProps/ctrlProp414.xml"/><Relationship Id="rId158" Type="http://schemas.openxmlformats.org/officeDocument/2006/relationships/ctrlProp" Target="../ctrlProps/ctrlProp435.xml"/><Relationship Id="rId20" Type="http://schemas.openxmlformats.org/officeDocument/2006/relationships/hyperlink" Target="file:///\\dfsrvfile01\Departamentos\Engenharia\02.%20Engenharia%20de%20Processo\02%20-%20Projetos\05%20-%20Projetos%20estrat&#233;gicos\12%20-%20Sistema%20hidr&#225;ulico%203500T\KAIZEN%20XX%20-%20A3_SISTEMA%20HIDR&#193;ULICO_3500.xlsx" TargetMode="External"/><Relationship Id="rId41" Type="http://schemas.openxmlformats.org/officeDocument/2006/relationships/ctrlProp" Target="../ctrlProps/ctrlProp318.xml"/><Relationship Id="rId62" Type="http://schemas.openxmlformats.org/officeDocument/2006/relationships/ctrlProp" Target="../ctrlProps/ctrlProp339.xml"/><Relationship Id="rId83" Type="http://schemas.openxmlformats.org/officeDocument/2006/relationships/ctrlProp" Target="../ctrlProps/ctrlProp360.xml"/><Relationship Id="rId88" Type="http://schemas.openxmlformats.org/officeDocument/2006/relationships/ctrlProp" Target="../ctrlProps/ctrlProp365.xml"/><Relationship Id="rId111" Type="http://schemas.openxmlformats.org/officeDocument/2006/relationships/ctrlProp" Target="../ctrlProps/ctrlProp388.xml"/><Relationship Id="rId132" Type="http://schemas.openxmlformats.org/officeDocument/2006/relationships/ctrlProp" Target="../ctrlProps/ctrlProp409.xml"/><Relationship Id="rId153" Type="http://schemas.openxmlformats.org/officeDocument/2006/relationships/ctrlProp" Target="../ctrlProps/ctrlProp430.xml"/><Relationship Id="rId174" Type="http://schemas.openxmlformats.org/officeDocument/2006/relationships/ctrlProp" Target="../ctrlProps/ctrlProp451.xml"/><Relationship Id="rId179" Type="http://schemas.microsoft.com/office/2017/10/relationships/threadedComment" Target="../threadedComments/threadedComment3.xml"/><Relationship Id="rId15" Type="http://schemas.openxmlformats.org/officeDocument/2006/relationships/hyperlink" Target="file:///\\dfsrvfile01\Departamentos\Engenharia\02.%20Engenharia%20de%20Processo\02%20-%20Projetos\05%20-%20Projetos%20estrat&#233;gicos\05%20-%20Nitrog&#234;nio%20da%20m&#225;quina%20laser\KAIZEN%20XX%20-%20A3_NITROGENIO%20LASER" TargetMode="External"/><Relationship Id="rId36" Type="http://schemas.openxmlformats.org/officeDocument/2006/relationships/printerSettings" Target="../printerSettings/printerSettings4.bin"/><Relationship Id="rId57" Type="http://schemas.openxmlformats.org/officeDocument/2006/relationships/ctrlProp" Target="../ctrlProps/ctrlProp334.xml"/><Relationship Id="rId106" Type="http://schemas.openxmlformats.org/officeDocument/2006/relationships/ctrlProp" Target="../ctrlProps/ctrlProp383.xml"/><Relationship Id="rId127" Type="http://schemas.openxmlformats.org/officeDocument/2006/relationships/ctrlProp" Target="../ctrlProps/ctrlProp404.xml"/><Relationship Id="rId10" Type="http://schemas.openxmlformats.org/officeDocument/2006/relationships/hyperlink" Target="../../../../:f:/s/GestoEstratgica/IgBqjJbGolRbSZkhv_Zw-DZnAe0bIqufQekON8m5uSw6vVs?e=8TpJQe" TargetMode="External"/><Relationship Id="rId31" Type="http://schemas.openxmlformats.org/officeDocument/2006/relationships/hyperlink" Target="Evid%C3%AAncias%20Grupo%20Delga%202026/Evid%C3%AAncias%20Delga%20Ferraz/30%20-%20Redu%C3%A7%C3%A3o%20de%20hora%20extra/A3%20Projeto_Redu%C3%A7%C3%A3o%20de%20hora%20extra.xlsx?web=1" TargetMode="External"/><Relationship Id="rId52" Type="http://schemas.openxmlformats.org/officeDocument/2006/relationships/ctrlProp" Target="../ctrlProps/ctrlProp329.xml"/><Relationship Id="rId73" Type="http://schemas.openxmlformats.org/officeDocument/2006/relationships/ctrlProp" Target="../ctrlProps/ctrlProp350.xml"/><Relationship Id="rId78" Type="http://schemas.openxmlformats.org/officeDocument/2006/relationships/ctrlProp" Target="../ctrlProps/ctrlProp355.xml"/><Relationship Id="rId94" Type="http://schemas.openxmlformats.org/officeDocument/2006/relationships/ctrlProp" Target="../ctrlProps/ctrlProp371.xml"/><Relationship Id="rId99" Type="http://schemas.openxmlformats.org/officeDocument/2006/relationships/ctrlProp" Target="../ctrlProps/ctrlProp376.xml"/><Relationship Id="rId101" Type="http://schemas.openxmlformats.org/officeDocument/2006/relationships/ctrlProp" Target="../ctrlProps/ctrlProp378.xml"/><Relationship Id="rId122" Type="http://schemas.openxmlformats.org/officeDocument/2006/relationships/ctrlProp" Target="../ctrlProps/ctrlProp399.xml"/><Relationship Id="rId143" Type="http://schemas.openxmlformats.org/officeDocument/2006/relationships/ctrlProp" Target="../ctrlProps/ctrlProp420.xml"/><Relationship Id="rId148" Type="http://schemas.openxmlformats.org/officeDocument/2006/relationships/ctrlProp" Target="../ctrlProps/ctrlProp425.xml"/><Relationship Id="rId164" Type="http://schemas.openxmlformats.org/officeDocument/2006/relationships/ctrlProp" Target="../ctrlProps/ctrlProp441.xml"/><Relationship Id="rId169" Type="http://schemas.openxmlformats.org/officeDocument/2006/relationships/ctrlProp" Target="../ctrlProps/ctrlProp446.xml"/><Relationship Id="rId4" Type="http://schemas.openxmlformats.org/officeDocument/2006/relationships/hyperlink" Target="../../../../:f:/s/GestoEstratgica/IgAoKApAubMDTpWhZ45LlQjZAVlI3CygFAtITkUKt1Cz0rk?e=E4KrOz" TargetMode="External"/><Relationship Id="rId9" Type="http://schemas.openxmlformats.org/officeDocument/2006/relationships/hyperlink" Target="../../../../:f:/s/GestoEstratgica/IgCKpM1gTT7xSotuz-svvX8CAbv6KgqLosUJplrh8P9MfRQ?e=GGjEmf" TargetMode="External"/><Relationship Id="rId180" Type="http://schemas.microsoft.com/office/2019/04/relationships/namedSheetView" Target="../namedSheetViews/namedSheetView1.xml"/><Relationship Id="rId26" Type="http://schemas.openxmlformats.org/officeDocument/2006/relationships/hyperlink" Target="file:///\\dfsrvfile01\Departamentos\Engenharia\02.%20Engenharia%20de%20Processo\02%20-%20Projetos\05%20-%20Projetos%20estrat&#233;gicos\03%20-%20Consumo%20de%20desmoldante\KAIZEN%2036%20-%20A3_R&#201;GUA%20COM%20BICO%20PULVERIZADOR%20-%20DESMOLDANTE%20-%202000T" TargetMode="External"/><Relationship Id="rId47" Type="http://schemas.openxmlformats.org/officeDocument/2006/relationships/ctrlProp" Target="../ctrlProps/ctrlProp324.xml"/><Relationship Id="rId68" Type="http://schemas.openxmlformats.org/officeDocument/2006/relationships/ctrlProp" Target="../ctrlProps/ctrlProp345.xml"/><Relationship Id="rId89" Type="http://schemas.openxmlformats.org/officeDocument/2006/relationships/ctrlProp" Target="../ctrlProps/ctrlProp366.xml"/><Relationship Id="rId112" Type="http://schemas.openxmlformats.org/officeDocument/2006/relationships/ctrlProp" Target="../ctrlProps/ctrlProp389.xml"/><Relationship Id="rId133" Type="http://schemas.openxmlformats.org/officeDocument/2006/relationships/ctrlProp" Target="../ctrlProps/ctrlProp410.xml"/><Relationship Id="rId154" Type="http://schemas.openxmlformats.org/officeDocument/2006/relationships/ctrlProp" Target="../ctrlProps/ctrlProp431.xml"/><Relationship Id="rId175" Type="http://schemas.openxmlformats.org/officeDocument/2006/relationships/ctrlProp" Target="../ctrlProps/ctrlProp452.xml"/><Relationship Id="rId16" Type="http://schemas.openxmlformats.org/officeDocument/2006/relationships/hyperlink" Target="file:///\\dfsrvfile01\Departamentos\Engenharia\02.%20Engenharia%20de%20Processo\02%20-%20Projetos\05%20-%20Projetos%20estrat&#233;gicos\06%20-%20Reaproveitamento%20de%20lixas\Planta%20Ferraz%20-%20Projeto%20de%20Redu&#231;&#227;o%20de%20Custos%20-%20Lixas%20-%20%202026.xlsx" TargetMode="External"/><Relationship Id="rId37" Type="http://schemas.openxmlformats.org/officeDocument/2006/relationships/drawing" Target="../drawings/drawing4.xml"/><Relationship Id="rId58" Type="http://schemas.openxmlformats.org/officeDocument/2006/relationships/ctrlProp" Target="../ctrlProps/ctrlProp335.xml"/><Relationship Id="rId79" Type="http://schemas.openxmlformats.org/officeDocument/2006/relationships/ctrlProp" Target="../ctrlProps/ctrlProp356.xml"/><Relationship Id="rId102" Type="http://schemas.openxmlformats.org/officeDocument/2006/relationships/ctrlProp" Target="../ctrlProps/ctrlProp379.xml"/><Relationship Id="rId123" Type="http://schemas.openxmlformats.org/officeDocument/2006/relationships/ctrlProp" Target="../ctrlProps/ctrlProp400.xml"/><Relationship Id="rId144" Type="http://schemas.openxmlformats.org/officeDocument/2006/relationships/ctrlProp" Target="../ctrlProps/ctrlProp421.xml"/><Relationship Id="rId90" Type="http://schemas.openxmlformats.org/officeDocument/2006/relationships/ctrlProp" Target="../ctrlProps/ctrlProp367.xml"/><Relationship Id="rId165" Type="http://schemas.openxmlformats.org/officeDocument/2006/relationships/ctrlProp" Target="../ctrlProps/ctrlProp442.xml"/><Relationship Id="rId27" Type="http://schemas.openxmlformats.org/officeDocument/2006/relationships/hyperlink" Target="Evid%C3%AAncias%20Grupo%20Delga%202026/Evid%C3%AAncias%20Delga%20Ferraz/26%20-%20Redu%C3%A7%C3%A3o%20da%20MO%20do%20processo%20do%20Crossmember%20Scania/KAIZEN%2026%20-%202026%20-%20FERRAZ%20-%20Redu%C3%A7%C3%A3o%20da%20MO%20do%20processo%20CM%20Scania.xlsx?web=1" TargetMode="External"/><Relationship Id="rId48" Type="http://schemas.openxmlformats.org/officeDocument/2006/relationships/ctrlProp" Target="../ctrlProps/ctrlProp325.xml"/><Relationship Id="rId69" Type="http://schemas.openxmlformats.org/officeDocument/2006/relationships/ctrlProp" Target="../ctrlProps/ctrlProp346.xml"/><Relationship Id="rId113" Type="http://schemas.openxmlformats.org/officeDocument/2006/relationships/ctrlProp" Target="../ctrlProps/ctrlProp390.xml"/><Relationship Id="rId134" Type="http://schemas.openxmlformats.org/officeDocument/2006/relationships/ctrlProp" Target="../ctrlProps/ctrlProp411.xml"/><Relationship Id="rId80" Type="http://schemas.openxmlformats.org/officeDocument/2006/relationships/ctrlProp" Target="../ctrlProps/ctrlProp357.xml"/><Relationship Id="rId155" Type="http://schemas.openxmlformats.org/officeDocument/2006/relationships/ctrlProp" Target="../ctrlProps/ctrlProp432.xml"/><Relationship Id="rId176" Type="http://schemas.openxmlformats.org/officeDocument/2006/relationships/ctrlProp" Target="../ctrlProps/ctrlProp453.xml"/><Relationship Id="rId17" Type="http://schemas.openxmlformats.org/officeDocument/2006/relationships/hyperlink" Target="file:///\\dfsrvfile01\Departamentos\Engenharia\02.%20Engenharia%20de%20Processo\02%20-%20Projetos\05%20-%20Projetos%20estrat&#233;gicos\07%20-%20Consumo%20de%20g&#225;s\Redu&#231;&#227;o%20de%20custos%20-%20Consumo%20de%20g&#225;s.xlsx" TargetMode="External"/><Relationship Id="rId38" Type="http://schemas.openxmlformats.org/officeDocument/2006/relationships/vmlDrawing" Target="../drawings/vmlDrawing3.vml"/><Relationship Id="rId59" Type="http://schemas.openxmlformats.org/officeDocument/2006/relationships/ctrlProp" Target="../ctrlProps/ctrlProp336.xml"/><Relationship Id="rId103" Type="http://schemas.openxmlformats.org/officeDocument/2006/relationships/ctrlProp" Target="../ctrlProps/ctrlProp380.xml"/><Relationship Id="rId124" Type="http://schemas.openxmlformats.org/officeDocument/2006/relationships/ctrlProp" Target="../ctrlProps/ctrlProp401.xml"/><Relationship Id="rId70" Type="http://schemas.openxmlformats.org/officeDocument/2006/relationships/ctrlProp" Target="../ctrlProps/ctrlProp347.xml"/><Relationship Id="rId91" Type="http://schemas.openxmlformats.org/officeDocument/2006/relationships/ctrlProp" Target="../ctrlProps/ctrlProp368.xml"/><Relationship Id="rId145" Type="http://schemas.openxmlformats.org/officeDocument/2006/relationships/ctrlProp" Target="../ctrlProps/ctrlProp422.xml"/><Relationship Id="rId166" Type="http://schemas.openxmlformats.org/officeDocument/2006/relationships/ctrlProp" Target="../ctrlProps/ctrlProp443.xml"/><Relationship Id="rId1" Type="http://schemas.openxmlformats.org/officeDocument/2006/relationships/hyperlink" Target="../../../../:f:/s/GestoEstratgica/IgDjxny_U9yqTKoNQo27E6JhAbX9ACZrKDJXT07hcF2DV90?e=Ozj2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462.xml"/><Relationship Id="rId21" Type="http://schemas.openxmlformats.org/officeDocument/2006/relationships/ctrlProp" Target="../ctrlProps/ctrlProp457.xml"/><Relationship Id="rId42" Type="http://schemas.openxmlformats.org/officeDocument/2006/relationships/ctrlProp" Target="../ctrlProps/ctrlProp478.xml"/><Relationship Id="rId47" Type="http://schemas.openxmlformats.org/officeDocument/2006/relationships/ctrlProp" Target="../ctrlProps/ctrlProp483.xml"/><Relationship Id="rId63" Type="http://schemas.openxmlformats.org/officeDocument/2006/relationships/ctrlProp" Target="../ctrlProps/ctrlProp499.xml"/><Relationship Id="rId68" Type="http://schemas.openxmlformats.org/officeDocument/2006/relationships/ctrlProp" Target="../ctrlProps/ctrlProp504.xml"/><Relationship Id="rId84" Type="http://schemas.openxmlformats.org/officeDocument/2006/relationships/ctrlProp" Target="../ctrlProps/ctrlProp520.xml"/><Relationship Id="rId89" Type="http://schemas.openxmlformats.org/officeDocument/2006/relationships/ctrlProp" Target="../ctrlProps/ctrlProp525.xml"/><Relationship Id="rId16" Type="http://schemas.openxmlformats.org/officeDocument/2006/relationships/drawing" Target="../drawings/drawing8.xml"/><Relationship Id="rId107" Type="http://schemas.openxmlformats.org/officeDocument/2006/relationships/ctrlProp" Target="../ctrlProps/ctrlProp543.xml"/><Relationship Id="rId11" Type="http://schemas.openxmlformats.org/officeDocument/2006/relationships/hyperlink" Target="file:///\\192.168.0.20\DEPARTAMENTOS\Engenharia\0.%20Kaizen%20Diadema\6.%202026\02%20Fevereiro\18%20-%20Produtividade_Aumento%20da%20efici&#234;ncia%20para%2073%25_Rua%202-3-4-8_Eduardo%20Fajardo\18%20-%20Produtividade_Aumento%20da%20efici&#234;ncia%20para%2073%25_Rua%202-3-4-8.xlsx" TargetMode="External"/><Relationship Id="rId32" Type="http://schemas.openxmlformats.org/officeDocument/2006/relationships/ctrlProp" Target="../ctrlProps/ctrlProp468.xml"/><Relationship Id="rId37" Type="http://schemas.openxmlformats.org/officeDocument/2006/relationships/ctrlProp" Target="../ctrlProps/ctrlProp473.xml"/><Relationship Id="rId53" Type="http://schemas.openxmlformats.org/officeDocument/2006/relationships/ctrlProp" Target="../ctrlProps/ctrlProp489.xml"/><Relationship Id="rId58" Type="http://schemas.openxmlformats.org/officeDocument/2006/relationships/ctrlProp" Target="../ctrlProps/ctrlProp494.xml"/><Relationship Id="rId74" Type="http://schemas.openxmlformats.org/officeDocument/2006/relationships/ctrlProp" Target="../ctrlProps/ctrlProp510.xml"/><Relationship Id="rId79" Type="http://schemas.openxmlformats.org/officeDocument/2006/relationships/ctrlProp" Target="../ctrlProps/ctrlProp515.xml"/><Relationship Id="rId102" Type="http://schemas.openxmlformats.org/officeDocument/2006/relationships/ctrlProp" Target="../ctrlProps/ctrlProp538.xml"/><Relationship Id="rId5" Type="http://schemas.openxmlformats.org/officeDocument/2006/relationships/hyperlink" Target="file:///\\192.168.0.20\Departamentos\Engenharia\0.%20Kaizen%20Diadema\6.%202026\01%20Janeiro\01%20-%20DA000489AB%20-Bruno%20Manachini_Engenharia_Validado%20160K\01%20-%20KAIZEN%20-%20DA000489AB_Rev00_Bruno%20Manachini.xlsx" TargetMode="External"/><Relationship Id="rId90" Type="http://schemas.openxmlformats.org/officeDocument/2006/relationships/ctrlProp" Target="../ctrlProps/ctrlProp526.xml"/><Relationship Id="rId95" Type="http://schemas.openxmlformats.org/officeDocument/2006/relationships/ctrlProp" Target="../ctrlProps/ctrlProp531.xml"/><Relationship Id="rId22" Type="http://schemas.openxmlformats.org/officeDocument/2006/relationships/ctrlProp" Target="../ctrlProps/ctrlProp458.xml"/><Relationship Id="rId27" Type="http://schemas.openxmlformats.org/officeDocument/2006/relationships/ctrlProp" Target="../ctrlProps/ctrlProp463.xml"/><Relationship Id="rId43" Type="http://schemas.openxmlformats.org/officeDocument/2006/relationships/ctrlProp" Target="../ctrlProps/ctrlProp479.xml"/><Relationship Id="rId48" Type="http://schemas.openxmlformats.org/officeDocument/2006/relationships/ctrlProp" Target="../ctrlProps/ctrlProp484.xml"/><Relationship Id="rId64" Type="http://schemas.openxmlformats.org/officeDocument/2006/relationships/ctrlProp" Target="../ctrlProps/ctrlProp500.xml"/><Relationship Id="rId69" Type="http://schemas.openxmlformats.org/officeDocument/2006/relationships/ctrlProp" Target="../ctrlProps/ctrlProp505.xml"/><Relationship Id="rId80" Type="http://schemas.openxmlformats.org/officeDocument/2006/relationships/ctrlProp" Target="../ctrlProps/ctrlProp516.xml"/><Relationship Id="rId85" Type="http://schemas.openxmlformats.org/officeDocument/2006/relationships/ctrlProp" Target="../ctrlProps/ctrlProp521.xml"/><Relationship Id="rId12" Type="http://schemas.openxmlformats.org/officeDocument/2006/relationships/hyperlink" Target="file:///\\192.168.0.20\DEPARTAMENTOS\Engenharia\0.%20Kaizen%20Diadema\6.%202026\02%20Fevereiro\17%20-%20Redu&#231;&#227;o%20do%20contrato%20de%20empilhadeiras_Eduardo%20Fajardo\17%20-%20Redu&#231;&#227;o%20de%20do%20contrato%20de%20empilhadeiras_Eduardo%20Fajardo.xlsx" TargetMode="External"/><Relationship Id="rId17" Type="http://schemas.openxmlformats.org/officeDocument/2006/relationships/vmlDrawing" Target="../drawings/vmlDrawing4.vml"/><Relationship Id="rId33" Type="http://schemas.openxmlformats.org/officeDocument/2006/relationships/ctrlProp" Target="../ctrlProps/ctrlProp469.xml"/><Relationship Id="rId38" Type="http://schemas.openxmlformats.org/officeDocument/2006/relationships/ctrlProp" Target="../ctrlProps/ctrlProp474.xml"/><Relationship Id="rId59" Type="http://schemas.openxmlformats.org/officeDocument/2006/relationships/ctrlProp" Target="../ctrlProps/ctrlProp495.xml"/><Relationship Id="rId103" Type="http://schemas.openxmlformats.org/officeDocument/2006/relationships/ctrlProp" Target="../ctrlProps/ctrlProp539.xml"/><Relationship Id="rId108" Type="http://schemas.openxmlformats.org/officeDocument/2006/relationships/table" Target="../tables/table4.xml"/><Relationship Id="rId54" Type="http://schemas.openxmlformats.org/officeDocument/2006/relationships/ctrlProp" Target="../ctrlProps/ctrlProp490.xml"/><Relationship Id="rId70" Type="http://schemas.openxmlformats.org/officeDocument/2006/relationships/ctrlProp" Target="../ctrlProps/ctrlProp506.xml"/><Relationship Id="rId75" Type="http://schemas.openxmlformats.org/officeDocument/2006/relationships/ctrlProp" Target="../ctrlProps/ctrlProp511.xml"/><Relationship Id="rId91" Type="http://schemas.openxmlformats.org/officeDocument/2006/relationships/ctrlProp" Target="../ctrlProps/ctrlProp527.xml"/><Relationship Id="rId96" Type="http://schemas.openxmlformats.org/officeDocument/2006/relationships/ctrlProp" Target="../ctrlProps/ctrlProp532.xml"/><Relationship Id="rId1" Type="http://schemas.openxmlformats.org/officeDocument/2006/relationships/hyperlink" Target="01%20Evid&#234;ncias%20Diadema/03%20Otimiza&#231;&#227;o%20de%20processo%20-%20Cavalo%20Marinho/Efici&#234;ncia_Operacional%20-%20GM000359AA_GM000463Z_REV01.xlsx" TargetMode="External"/><Relationship Id="rId6" Type="http://schemas.openxmlformats.org/officeDocument/2006/relationships/hyperlink" Target="file:///\\192.168.0.20\DEPARTAMENTOS\Engenharia\0.%20Kaizen%20Diadema\6.%202026\02%20Fevereiro\09%20-%20Redu&#231;&#227;o%20de%20lampadas%20acessas%20na%20f&#225;brica_Eduardo%20Fajardo\9%20-%20Kaizen%20Redu&#231;&#227;o%20de%20lampadas%20acessas%20na%20f&#225;brica_Eduardo%20Fajardo.xlsx" TargetMode="External"/><Relationship Id="rId15" Type="http://schemas.openxmlformats.org/officeDocument/2006/relationships/hyperlink" Target="Evid&#234;ncias%20Grupo%20Delga%202026/Evid&#234;ncias%20Delga%20Diadema/00%20Evid&#234;ncia%20An&#225;lise%20de%20Margem/00%20Form%20206%20preenchido%20pela%20Engenharia/VW000887Z_VW000888Z%20-%20Form.206.xlsx" TargetMode="External"/><Relationship Id="rId23" Type="http://schemas.openxmlformats.org/officeDocument/2006/relationships/ctrlProp" Target="../ctrlProps/ctrlProp459.xml"/><Relationship Id="rId28" Type="http://schemas.openxmlformats.org/officeDocument/2006/relationships/ctrlProp" Target="../ctrlProps/ctrlProp464.xml"/><Relationship Id="rId36" Type="http://schemas.openxmlformats.org/officeDocument/2006/relationships/ctrlProp" Target="../ctrlProps/ctrlProp472.xml"/><Relationship Id="rId49" Type="http://schemas.openxmlformats.org/officeDocument/2006/relationships/ctrlProp" Target="../ctrlProps/ctrlProp485.xml"/><Relationship Id="rId57" Type="http://schemas.openxmlformats.org/officeDocument/2006/relationships/ctrlProp" Target="../ctrlProps/ctrlProp493.xml"/><Relationship Id="rId106" Type="http://schemas.openxmlformats.org/officeDocument/2006/relationships/ctrlProp" Target="../ctrlProps/ctrlProp542.xml"/><Relationship Id="rId10" Type="http://schemas.openxmlformats.org/officeDocument/2006/relationships/hyperlink" Target="file:///\\192.168.0.20\DEPARTAMENTOS\Engenharia\0.%20Kaizen%20Diadema\5.%202025\12%20Dezembro%20-%205\54%20-%20Aproveitamento_de_pe&#231;as_obsoletas.xlsx" TargetMode="External"/><Relationship Id="rId31" Type="http://schemas.openxmlformats.org/officeDocument/2006/relationships/ctrlProp" Target="../ctrlProps/ctrlProp467.xml"/><Relationship Id="rId44" Type="http://schemas.openxmlformats.org/officeDocument/2006/relationships/ctrlProp" Target="../ctrlProps/ctrlProp480.xml"/><Relationship Id="rId52" Type="http://schemas.openxmlformats.org/officeDocument/2006/relationships/ctrlProp" Target="../ctrlProps/ctrlProp488.xml"/><Relationship Id="rId60" Type="http://schemas.openxmlformats.org/officeDocument/2006/relationships/ctrlProp" Target="../ctrlProps/ctrlProp496.xml"/><Relationship Id="rId65" Type="http://schemas.openxmlformats.org/officeDocument/2006/relationships/ctrlProp" Target="../ctrlProps/ctrlProp501.xml"/><Relationship Id="rId73" Type="http://schemas.openxmlformats.org/officeDocument/2006/relationships/ctrlProp" Target="../ctrlProps/ctrlProp509.xml"/><Relationship Id="rId78" Type="http://schemas.openxmlformats.org/officeDocument/2006/relationships/ctrlProp" Target="../ctrlProps/ctrlProp514.xml"/><Relationship Id="rId81" Type="http://schemas.openxmlformats.org/officeDocument/2006/relationships/ctrlProp" Target="../ctrlProps/ctrlProp517.xml"/><Relationship Id="rId86" Type="http://schemas.openxmlformats.org/officeDocument/2006/relationships/ctrlProp" Target="../ctrlProps/ctrlProp522.xml"/><Relationship Id="rId94" Type="http://schemas.openxmlformats.org/officeDocument/2006/relationships/ctrlProp" Target="../ctrlProps/ctrlProp530.xml"/><Relationship Id="rId99" Type="http://schemas.openxmlformats.org/officeDocument/2006/relationships/ctrlProp" Target="../ctrlProps/ctrlProp535.xml"/><Relationship Id="rId101" Type="http://schemas.openxmlformats.org/officeDocument/2006/relationships/ctrlProp" Target="../ctrlProps/ctrlProp537.xml"/><Relationship Id="rId4" Type="http://schemas.openxmlformats.org/officeDocument/2006/relationships/hyperlink" Target="Evid%C3%AAncias%20Grupo%20Delga%202026/Evid%C3%AAncias%20Delga%20Diadema/00%20Evid%C3%AAncia%20An%C3%A1lise%20de%20Margem/00%20Form%20206%20preenchido%20pela%20Engenharia/VW000581Z_VW000582Z%20-%20Form.206.xlsx?web=1" TargetMode="External"/><Relationship Id="rId9" Type="http://schemas.openxmlformats.org/officeDocument/2006/relationships/hyperlink" Target="file:///\\192.168.0.20\departamentos\Engenharia\0.%20Kaizen%20Diadema\6.%202026\01%20Janeiro\02%20-%20MB2446LA_MB3670LA_MB3671LA_Engenharia_Bruno%20Manachini\02%20-%20KAIZEN%20-%20MB2446LA_MB3670LA_MB3671LA_Rev00_Bruno%20Manachini.xlsx" TargetMode="External"/><Relationship Id="rId13" Type="http://schemas.openxmlformats.org/officeDocument/2006/relationships/hyperlink" Target="Evid&#234;ncias%20Grupo%20Delga%202026/Evid&#234;ncias%20Delga%20Diadema/00%20Evid&#234;ncia%20An&#225;lise%20de%20Margem/00%20Form%20206%20preenchido%20pela%20Engenharia/VW000573Z_VW000574Z%20-%20Form.206.xlsx" TargetMode="External"/><Relationship Id="rId18" Type="http://schemas.openxmlformats.org/officeDocument/2006/relationships/ctrlProp" Target="../ctrlProps/ctrlProp454.xml"/><Relationship Id="rId39" Type="http://schemas.openxmlformats.org/officeDocument/2006/relationships/ctrlProp" Target="../ctrlProps/ctrlProp475.xml"/><Relationship Id="rId109" Type="http://schemas.openxmlformats.org/officeDocument/2006/relationships/comments" Target="../comments4.xml"/><Relationship Id="rId34" Type="http://schemas.openxmlformats.org/officeDocument/2006/relationships/ctrlProp" Target="../ctrlProps/ctrlProp470.xml"/><Relationship Id="rId50" Type="http://schemas.openxmlformats.org/officeDocument/2006/relationships/ctrlProp" Target="../ctrlProps/ctrlProp486.xml"/><Relationship Id="rId55" Type="http://schemas.openxmlformats.org/officeDocument/2006/relationships/ctrlProp" Target="../ctrlProps/ctrlProp491.xml"/><Relationship Id="rId76" Type="http://schemas.openxmlformats.org/officeDocument/2006/relationships/ctrlProp" Target="../ctrlProps/ctrlProp512.xml"/><Relationship Id="rId97" Type="http://schemas.openxmlformats.org/officeDocument/2006/relationships/ctrlProp" Target="../ctrlProps/ctrlProp533.xml"/><Relationship Id="rId104" Type="http://schemas.openxmlformats.org/officeDocument/2006/relationships/ctrlProp" Target="../ctrlProps/ctrlProp540.xml"/><Relationship Id="rId7" Type="http://schemas.openxmlformats.org/officeDocument/2006/relationships/hyperlink" Target="file:///\\192.168.5.20\Departamentos\TI\Projetos\Master%202026\03%20-%20Redu&#231;&#227;o%20de%20consumo%20de%20MP%20dos%20blanks%20com%20a%20t&#233;cnica%20de%20corte%20Wave\Planta%20Melhoria%20Blank%20Wave%20-%20Gest&#227;o%20de%20Projetos%20REV01.xlsx" TargetMode="External"/><Relationship Id="rId71" Type="http://schemas.openxmlformats.org/officeDocument/2006/relationships/ctrlProp" Target="../ctrlProps/ctrlProp507.xml"/><Relationship Id="rId92" Type="http://schemas.openxmlformats.org/officeDocument/2006/relationships/ctrlProp" Target="../ctrlProps/ctrlProp528.xml"/><Relationship Id="rId2" Type="http://schemas.openxmlformats.org/officeDocument/2006/relationships/hyperlink" Target="01%20Evid&#234;ncias%20Diadema/01%20Kaizen%20Redu&#231;&#227;o%20de%20peso%20bruto%20DA000489A/KAIZEN%20-%20DA000489AB_Rev00.xlsx" TargetMode="External"/><Relationship Id="rId29" Type="http://schemas.openxmlformats.org/officeDocument/2006/relationships/ctrlProp" Target="../ctrlProps/ctrlProp465.xml"/><Relationship Id="rId24" Type="http://schemas.openxmlformats.org/officeDocument/2006/relationships/ctrlProp" Target="../ctrlProps/ctrlProp460.xml"/><Relationship Id="rId40" Type="http://schemas.openxmlformats.org/officeDocument/2006/relationships/ctrlProp" Target="../ctrlProps/ctrlProp476.xml"/><Relationship Id="rId45" Type="http://schemas.openxmlformats.org/officeDocument/2006/relationships/ctrlProp" Target="../ctrlProps/ctrlProp481.xml"/><Relationship Id="rId66" Type="http://schemas.openxmlformats.org/officeDocument/2006/relationships/ctrlProp" Target="../ctrlProps/ctrlProp502.xml"/><Relationship Id="rId87" Type="http://schemas.openxmlformats.org/officeDocument/2006/relationships/ctrlProp" Target="../ctrlProps/ctrlProp523.xml"/><Relationship Id="rId110" Type="http://schemas.microsoft.com/office/2017/10/relationships/threadedComment" Target="../threadedComments/threadedComment4.xml"/><Relationship Id="rId61" Type="http://schemas.openxmlformats.org/officeDocument/2006/relationships/ctrlProp" Target="../ctrlProps/ctrlProp497.xml"/><Relationship Id="rId82" Type="http://schemas.openxmlformats.org/officeDocument/2006/relationships/ctrlProp" Target="../ctrlProps/ctrlProp518.xml"/><Relationship Id="rId19" Type="http://schemas.openxmlformats.org/officeDocument/2006/relationships/ctrlProp" Target="../ctrlProps/ctrlProp455.xml"/><Relationship Id="rId14" Type="http://schemas.openxmlformats.org/officeDocument/2006/relationships/hyperlink" Target="Evid&#234;ncias%20Grupo%20Delga%202026/Evid&#234;ncias%20Delga%20Diadema/00%20Evid&#234;ncia%20An&#225;lise%20de%20Margem/00%20Form%20206%20preenchido%20pela%20Engenharia/VW000573Z_VW000574Z%20-%20Form.206.xlsx" TargetMode="External"/><Relationship Id="rId30" Type="http://schemas.openxmlformats.org/officeDocument/2006/relationships/ctrlProp" Target="../ctrlProps/ctrlProp466.xml"/><Relationship Id="rId35" Type="http://schemas.openxmlformats.org/officeDocument/2006/relationships/ctrlProp" Target="../ctrlProps/ctrlProp471.xml"/><Relationship Id="rId56" Type="http://schemas.openxmlformats.org/officeDocument/2006/relationships/ctrlProp" Target="../ctrlProps/ctrlProp492.xml"/><Relationship Id="rId77" Type="http://schemas.openxmlformats.org/officeDocument/2006/relationships/ctrlProp" Target="../ctrlProps/ctrlProp513.xml"/><Relationship Id="rId100" Type="http://schemas.openxmlformats.org/officeDocument/2006/relationships/ctrlProp" Target="../ctrlProps/ctrlProp536.xml"/><Relationship Id="rId105" Type="http://schemas.openxmlformats.org/officeDocument/2006/relationships/ctrlProp" Target="../ctrlProps/ctrlProp541.xml"/><Relationship Id="rId8" Type="http://schemas.openxmlformats.org/officeDocument/2006/relationships/hyperlink" Target="file:///\\192.168.0.20\DEPARTAMENTOS\Engenharia\0.%20Kaizen%20Diadema\5.%202025\11%20Novembro%20-%205\52%20-%20Kaizen%20Pulm&#227;o.pptx" TargetMode="External"/><Relationship Id="rId51" Type="http://schemas.openxmlformats.org/officeDocument/2006/relationships/ctrlProp" Target="../ctrlProps/ctrlProp487.xml"/><Relationship Id="rId72" Type="http://schemas.openxmlformats.org/officeDocument/2006/relationships/ctrlProp" Target="../ctrlProps/ctrlProp508.xml"/><Relationship Id="rId93" Type="http://schemas.openxmlformats.org/officeDocument/2006/relationships/ctrlProp" Target="../ctrlProps/ctrlProp529.xml"/><Relationship Id="rId98" Type="http://schemas.openxmlformats.org/officeDocument/2006/relationships/ctrlProp" Target="../ctrlProps/ctrlProp534.xml"/><Relationship Id="rId3" Type="http://schemas.openxmlformats.org/officeDocument/2006/relationships/hyperlink" Target="Evid&#234;ncias%20Grupo%20Delga%202026/Evid&#234;ncias%20Delga%20Diadema/00%20Evid&#234;ncia%20An&#225;lise%20de%20Margem/00%20Form%20206%20preenchido%20pela%20Engenharia/VW000581Z_VW000582Z%20-%20Form.206.xlsx" TargetMode="External"/><Relationship Id="rId25" Type="http://schemas.openxmlformats.org/officeDocument/2006/relationships/ctrlProp" Target="../ctrlProps/ctrlProp461.xml"/><Relationship Id="rId46" Type="http://schemas.openxmlformats.org/officeDocument/2006/relationships/ctrlProp" Target="../ctrlProps/ctrlProp482.xml"/><Relationship Id="rId67" Type="http://schemas.openxmlformats.org/officeDocument/2006/relationships/ctrlProp" Target="../ctrlProps/ctrlProp503.xml"/><Relationship Id="rId20" Type="http://schemas.openxmlformats.org/officeDocument/2006/relationships/ctrlProp" Target="../ctrlProps/ctrlProp456.xml"/><Relationship Id="rId41" Type="http://schemas.openxmlformats.org/officeDocument/2006/relationships/ctrlProp" Target="../ctrlProps/ctrlProp477.xml"/><Relationship Id="rId62" Type="http://schemas.openxmlformats.org/officeDocument/2006/relationships/ctrlProp" Target="../ctrlProps/ctrlProp498.xml"/><Relationship Id="rId83" Type="http://schemas.openxmlformats.org/officeDocument/2006/relationships/ctrlProp" Target="../ctrlProps/ctrlProp519.xml"/><Relationship Id="rId88" Type="http://schemas.openxmlformats.org/officeDocument/2006/relationships/ctrlProp" Target="../ctrlProps/ctrlProp524.xml"/></Relationships>
</file>

<file path=xl/worksheets/_rels/sheet13.xml.rels><?xml version="1.0" encoding="UTF-8" standalone="yes"?>
<Relationships xmlns="http://schemas.openxmlformats.org/package/2006/relationships"><Relationship Id="rId26" Type="http://schemas.openxmlformats.org/officeDocument/2006/relationships/drawing" Target="../drawings/drawing9.xml"/><Relationship Id="rId21" Type="http://schemas.openxmlformats.org/officeDocument/2006/relationships/hyperlink" Target="file:///\\192.168.3.20\Departamentos\Engenharia\Planejamento%20Estrat&#233;gico\A3_09-ACABAMENTO%20CAPO%20CNH.xlsx" TargetMode="External"/><Relationship Id="rId42" Type="http://schemas.openxmlformats.org/officeDocument/2006/relationships/ctrlProp" Target="../ctrlProps/ctrlProp558.xml"/><Relationship Id="rId47" Type="http://schemas.openxmlformats.org/officeDocument/2006/relationships/ctrlProp" Target="../ctrlProps/ctrlProp563.xml"/><Relationship Id="rId63" Type="http://schemas.openxmlformats.org/officeDocument/2006/relationships/ctrlProp" Target="../ctrlProps/ctrlProp579.xml"/><Relationship Id="rId68" Type="http://schemas.openxmlformats.org/officeDocument/2006/relationships/ctrlProp" Target="../ctrlProps/ctrlProp584.xml"/><Relationship Id="rId84" Type="http://schemas.openxmlformats.org/officeDocument/2006/relationships/ctrlProp" Target="../ctrlProps/ctrlProp600.xml"/><Relationship Id="rId89" Type="http://schemas.openxmlformats.org/officeDocument/2006/relationships/ctrlProp" Target="../ctrlProps/ctrlProp605.xml"/><Relationship Id="rId16" Type="http://schemas.openxmlformats.org/officeDocument/2006/relationships/hyperlink" Target="file:///\\192.168.3.20\Departamentos\Engenharia\Planejamento%20Estrat&#233;gico\A3_REDUZIR%20N&#218;MEROS%20DE%20EMPILHADEIRAS%20LOCADA.xlsx" TargetMode="External"/><Relationship Id="rId107" Type="http://schemas.openxmlformats.org/officeDocument/2006/relationships/comments" Target="../comments5.xml"/><Relationship Id="rId11" Type="http://schemas.openxmlformats.org/officeDocument/2006/relationships/hyperlink" Target="file:///\\192.168.3.20\Departamentos\Engenharia\Planejamento%20Estrat&#233;gico\A3_02%20-%20Redu&#231;&#227;o%20de%20mat&#233;ria-prima%20DD000506Z.xlsx" TargetMode="External"/><Relationship Id="rId32" Type="http://schemas.openxmlformats.org/officeDocument/2006/relationships/ctrlProp" Target="../ctrlProps/ctrlProp548.xml"/><Relationship Id="rId37" Type="http://schemas.openxmlformats.org/officeDocument/2006/relationships/ctrlProp" Target="../ctrlProps/ctrlProp553.xml"/><Relationship Id="rId53" Type="http://schemas.openxmlformats.org/officeDocument/2006/relationships/ctrlProp" Target="../ctrlProps/ctrlProp569.xml"/><Relationship Id="rId58" Type="http://schemas.openxmlformats.org/officeDocument/2006/relationships/ctrlProp" Target="../ctrlProps/ctrlProp574.xml"/><Relationship Id="rId74" Type="http://schemas.openxmlformats.org/officeDocument/2006/relationships/ctrlProp" Target="../ctrlProps/ctrlProp590.xml"/><Relationship Id="rId79" Type="http://schemas.openxmlformats.org/officeDocument/2006/relationships/ctrlProp" Target="../ctrlProps/ctrlProp595.xml"/><Relationship Id="rId102" Type="http://schemas.openxmlformats.org/officeDocument/2006/relationships/ctrlProp" Target="../ctrlProps/ctrlProp618.xml"/><Relationship Id="rId5" Type="http://schemas.openxmlformats.org/officeDocument/2006/relationships/hyperlink" Target="file:///\\192.168.3.20\Departamentos\Engenharia\Planejamento%20Estrat&#233;gico\A3_02%20-%20Redu&#231;&#227;o%20de%20mat&#233;ria-prima%20DD000506Z.xlsx" TargetMode="External"/><Relationship Id="rId90" Type="http://schemas.openxmlformats.org/officeDocument/2006/relationships/ctrlProp" Target="../ctrlProps/ctrlProp606.xml"/><Relationship Id="rId95" Type="http://schemas.openxmlformats.org/officeDocument/2006/relationships/ctrlProp" Target="../ctrlProps/ctrlProp611.xml"/><Relationship Id="rId22" Type="http://schemas.openxmlformats.org/officeDocument/2006/relationships/hyperlink" Target="file:///\\192.168.3.20\Departamentos\Engenharia\Planejamento%20Estrat&#233;gico\A3_26%20-%20Aumento%20de%20produtividade%20linha%20schuler.xlsx" TargetMode="External"/><Relationship Id="rId27" Type="http://schemas.openxmlformats.org/officeDocument/2006/relationships/vmlDrawing" Target="../drawings/vmlDrawing5.vml"/><Relationship Id="rId43" Type="http://schemas.openxmlformats.org/officeDocument/2006/relationships/ctrlProp" Target="../ctrlProps/ctrlProp559.xml"/><Relationship Id="rId48" Type="http://schemas.openxmlformats.org/officeDocument/2006/relationships/ctrlProp" Target="../ctrlProps/ctrlProp564.xml"/><Relationship Id="rId64" Type="http://schemas.openxmlformats.org/officeDocument/2006/relationships/ctrlProp" Target="../ctrlProps/ctrlProp580.xml"/><Relationship Id="rId69" Type="http://schemas.openxmlformats.org/officeDocument/2006/relationships/ctrlProp" Target="../ctrlProps/ctrlProp585.xml"/><Relationship Id="rId80" Type="http://schemas.openxmlformats.org/officeDocument/2006/relationships/ctrlProp" Target="../ctrlProps/ctrlProp596.xml"/><Relationship Id="rId85" Type="http://schemas.openxmlformats.org/officeDocument/2006/relationships/ctrlProp" Target="../ctrlProps/ctrlProp601.xml"/><Relationship Id="rId12" Type="http://schemas.openxmlformats.org/officeDocument/2006/relationships/hyperlink" Target="file:///\\192.168.3.20\Departamentos\Engenharia\Planejamento%20Estrat&#233;gico\A3_01-Refugo.xlsx" TargetMode="External"/><Relationship Id="rId17" Type="http://schemas.openxmlformats.org/officeDocument/2006/relationships/hyperlink" Target="file:///\\192.168.3.20\Departamentos\Engenharia\Planejamento%20Estrat&#233;gico\A3%20REDU&#199;&#195;O%20DE%20CUSTO%20DE%20LOCA&#199;&#195;O%20DE%20M&#193;QUINA%20SOLDA%20MIG.xlsx" TargetMode="External"/><Relationship Id="rId33" Type="http://schemas.openxmlformats.org/officeDocument/2006/relationships/ctrlProp" Target="../ctrlProps/ctrlProp549.xml"/><Relationship Id="rId38" Type="http://schemas.openxmlformats.org/officeDocument/2006/relationships/ctrlProp" Target="../ctrlProps/ctrlProp554.xml"/><Relationship Id="rId59" Type="http://schemas.openxmlformats.org/officeDocument/2006/relationships/ctrlProp" Target="../ctrlProps/ctrlProp575.xml"/><Relationship Id="rId103" Type="http://schemas.openxmlformats.org/officeDocument/2006/relationships/ctrlProp" Target="../ctrlProps/ctrlProp619.xml"/><Relationship Id="rId108" Type="http://schemas.microsoft.com/office/2017/10/relationships/threadedComment" Target="../threadedComments/threadedComment5.xml"/><Relationship Id="rId20" Type="http://schemas.openxmlformats.org/officeDocument/2006/relationships/hyperlink" Target="file:///\\192.168.3.20\Departamentos\Engenharia\Planejamento%20Estrat&#233;gico\A3_16%20-%20Redu&#231;&#227;o%20de%20energia%20el&#233;trica.xlsx" TargetMode="External"/><Relationship Id="rId41" Type="http://schemas.openxmlformats.org/officeDocument/2006/relationships/ctrlProp" Target="../ctrlProps/ctrlProp557.xml"/><Relationship Id="rId54" Type="http://schemas.openxmlformats.org/officeDocument/2006/relationships/ctrlProp" Target="../ctrlProps/ctrlProp570.xml"/><Relationship Id="rId62" Type="http://schemas.openxmlformats.org/officeDocument/2006/relationships/ctrlProp" Target="../ctrlProps/ctrlProp578.xml"/><Relationship Id="rId70" Type="http://schemas.openxmlformats.org/officeDocument/2006/relationships/ctrlProp" Target="../ctrlProps/ctrlProp586.xml"/><Relationship Id="rId75" Type="http://schemas.openxmlformats.org/officeDocument/2006/relationships/ctrlProp" Target="../ctrlProps/ctrlProp591.xml"/><Relationship Id="rId83" Type="http://schemas.openxmlformats.org/officeDocument/2006/relationships/ctrlProp" Target="../ctrlProps/ctrlProp599.xml"/><Relationship Id="rId88" Type="http://schemas.openxmlformats.org/officeDocument/2006/relationships/ctrlProp" Target="../ctrlProps/ctrlProp604.xml"/><Relationship Id="rId91" Type="http://schemas.openxmlformats.org/officeDocument/2006/relationships/ctrlProp" Target="../ctrlProps/ctrlProp607.xml"/><Relationship Id="rId96" Type="http://schemas.openxmlformats.org/officeDocument/2006/relationships/ctrlProp" Target="../ctrlProps/ctrlProp612.xml"/><Relationship Id="rId1" Type="http://schemas.openxmlformats.org/officeDocument/2006/relationships/hyperlink" Target="file:///\\192.168.3.20\Departamentos\Engenharia\Planejamento%20Estrat&#233;gico\A3_11%20-%20T&#233;rmino%20turno%20da%20noite.xlsx" TargetMode="External"/><Relationship Id="rId6" Type="http://schemas.openxmlformats.org/officeDocument/2006/relationships/hyperlink" Target="file:///\\192.168.3.20\Departamentos\Engenharia\Planejamento%20Estrat&#233;gico\A3_03-%20Comuniza&#231;&#227;o%20de%20Materiais.xlsx" TargetMode="External"/><Relationship Id="rId15" Type="http://schemas.openxmlformats.org/officeDocument/2006/relationships/hyperlink" Target="file:///\\192.168.3.20\Departamentos\Engenharia\Planejamento%20Estrat&#233;gico\A3_01-%20servi&#231;os%20terceiros.xlsx" TargetMode="External"/><Relationship Id="rId23" Type="http://schemas.openxmlformats.org/officeDocument/2006/relationships/hyperlink" Target="file:///\\192.168.3.20\Departamentos\Engenharia\Planejamento%20Estrat&#233;gico\A3_27%20-%20%20Redu&#231;&#227;o%20de%20tempo%20de%20Setup%20linha%20Schuler.xlsx" TargetMode="External"/><Relationship Id="rId28" Type="http://schemas.openxmlformats.org/officeDocument/2006/relationships/ctrlProp" Target="../ctrlProps/ctrlProp544.xml"/><Relationship Id="rId36" Type="http://schemas.openxmlformats.org/officeDocument/2006/relationships/ctrlProp" Target="../ctrlProps/ctrlProp552.xml"/><Relationship Id="rId49" Type="http://schemas.openxmlformats.org/officeDocument/2006/relationships/ctrlProp" Target="../ctrlProps/ctrlProp565.xml"/><Relationship Id="rId57" Type="http://schemas.openxmlformats.org/officeDocument/2006/relationships/ctrlProp" Target="../ctrlProps/ctrlProp573.xml"/><Relationship Id="rId106" Type="http://schemas.openxmlformats.org/officeDocument/2006/relationships/table" Target="../tables/table5.xml"/><Relationship Id="rId10" Type="http://schemas.openxmlformats.org/officeDocument/2006/relationships/hyperlink" Target="file:///\\192.168.3.20\Departamentos\Engenharia\Planejamento%20Estrat&#233;gico\A3_15%20-%20Redu&#231;&#227;o%20de%20mat&#233;ria-prima%20DD000504-DD000505.xlsx" TargetMode="External"/><Relationship Id="rId31" Type="http://schemas.openxmlformats.org/officeDocument/2006/relationships/ctrlProp" Target="../ctrlProps/ctrlProp547.xml"/><Relationship Id="rId44" Type="http://schemas.openxmlformats.org/officeDocument/2006/relationships/ctrlProp" Target="../ctrlProps/ctrlProp560.xml"/><Relationship Id="rId52" Type="http://schemas.openxmlformats.org/officeDocument/2006/relationships/ctrlProp" Target="../ctrlProps/ctrlProp568.xml"/><Relationship Id="rId60" Type="http://schemas.openxmlformats.org/officeDocument/2006/relationships/ctrlProp" Target="../ctrlProps/ctrlProp576.xml"/><Relationship Id="rId65" Type="http://schemas.openxmlformats.org/officeDocument/2006/relationships/ctrlProp" Target="../ctrlProps/ctrlProp581.xml"/><Relationship Id="rId73" Type="http://schemas.openxmlformats.org/officeDocument/2006/relationships/ctrlProp" Target="../ctrlProps/ctrlProp589.xml"/><Relationship Id="rId78" Type="http://schemas.openxmlformats.org/officeDocument/2006/relationships/ctrlProp" Target="../ctrlProps/ctrlProp594.xml"/><Relationship Id="rId81" Type="http://schemas.openxmlformats.org/officeDocument/2006/relationships/ctrlProp" Target="../ctrlProps/ctrlProp597.xml"/><Relationship Id="rId86" Type="http://schemas.openxmlformats.org/officeDocument/2006/relationships/ctrlProp" Target="../ctrlProps/ctrlProp602.xml"/><Relationship Id="rId94" Type="http://schemas.openxmlformats.org/officeDocument/2006/relationships/ctrlProp" Target="../ctrlProps/ctrlProp610.xml"/><Relationship Id="rId99" Type="http://schemas.openxmlformats.org/officeDocument/2006/relationships/ctrlProp" Target="../ctrlProps/ctrlProp615.xml"/><Relationship Id="rId101" Type="http://schemas.openxmlformats.org/officeDocument/2006/relationships/ctrlProp" Target="../ctrlProps/ctrlProp617.xml"/><Relationship Id="rId4" Type="http://schemas.openxmlformats.org/officeDocument/2006/relationships/hyperlink" Target="file:///\\192.168.3.20\Departamentos\Engenharia\Planejamento%20Estrat&#233;gico\A3_01-Refugo.xlsx" TargetMode="External"/><Relationship Id="rId9" Type="http://schemas.openxmlformats.org/officeDocument/2006/relationships/hyperlink" Target="file:///\\192.168.3.20\Departamentos\Engenharia\Planejamento%20Estrat&#233;gico\A3_15%20-%20Redu&#231;&#227;o%20de%20mat&#233;ria-prima%20DD000504-DD000505.xlsx" TargetMode="External"/><Relationship Id="rId13" Type="http://schemas.openxmlformats.org/officeDocument/2006/relationships/hyperlink" Target="file:///\\192.168.3.20\Departamentos\Engenharia\Planejamento%20Estrat&#233;gico\A3_12-REDU&#199;&#195;O%20DE%20CUSTO%20DE%20LOCA&#199;&#195;O%20DE%20PTA%2012%20METROS%20(002).xlsx" TargetMode="External"/><Relationship Id="rId18" Type="http://schemas.openxmlformats.org/officeDocument/2006/relationships/hyperlink" Target="file:///\\192.168.3.20\Departamentos\Engenharia\Planejamento%20Estrat&#233;gico\A3_18%20-%20Redu&#231;&#227;o%20de%20mat&#233;ria-prima%20DD000507z.xlsx" TargetMode="External"/><Relationship Id="rId39" Type="http://schemas.openxmlformats.org/officeDocument/2006/relationships/ctrlProp" Target="../ctrlProps/ctrlProp555.xml"/><Relationship Id="rId34" Type="http://schemas.openxmlformats.org/officeDocument/2006/relationships/ctrlProp" Target="../ctrlProps/ctrlProp550.xml"/><Relationship Id="rId50" Type="http://schemas.openxmlformats.org/officeDocument/2006/relationships/ctrlProp" Target="../ctrlProps/ctrlProp566.xml"/><Relationship Id="rId55" Type="http://schemas.openxmlformats.org/officeDocument/2006/relationships/ctrlProp" Target="../ctrlProps/ctrlProp571.xml"/><Relationship Id="rId76" Type="http://schemas.openxmlformats.org/officeDocument/2006/relationships/ctrlProp" Target="../ctrlProps/ctrlProp592.xml"/><Relationship Id="rId97" Type="http://schemas.openxmlformats.org/officeDocument/2006/relationships/ctrlProp" Target="../ctrlProps/ctrlProp613.xml"/><Relationship Id="rId104" Type="http://schemas.openxmlformats.org/officeDocument/2006/relationships/ctrlProp" Target="../ctrlProps/ctrlProp620.xml"/><Relationship Id="rId7" Type="http://schemas.openxmlformats.org/officeDocument/2006/relationships/hyperlink" Target="file:///\\192.168.3.20\Departamentos\Engenharia\Planejamento%20Estrat&#233;gico\A3_08%20-%20Redu&#231;&#227;o%20de%20mat&#233;ria-prima%20DD000502-DD000503Z.xlsx" TargetMode="External"/><Relationship Id="rId71" Type="http://schemas.openxmlformats.org/officeDocument/2006/relationships/ctrlProp" Target="../ctrlProps/ctrlProp587.xml"/><Relationship Id="rId92" Type="http://schemas.openxmlformats.org/officeDocument/2006/relationships/ctrlProp" Target="../ctrlProps/ctrlProp608.xml"/><Relationship Id="rId2" Type="http://schemas.openxmlformats.org/officeDocument/2006/relationships/hyperlink" Target="file:///\\192.168.3.20\Departamentos\Engenharia\Planejamento%20Estrat&#233;gico\A3_11%20-%20T&#233;rmino%20turno%20da%20noite.xlsx" TargetMode="External"/><Relationship Id="rId29" Type="http://schemas.openxmlformats.org/officeDocument/2006/relationships/ctrlProp" Target="../ctrlProps/ctrlProp545.xml"/><Relationship Id="rId24" Type="http://schemas.openxmlformats.org/officeDocument/2006/relationships/hyperlink" Target="file:///\\192.168.3.20\Departamentos\Engenharia\Planejamento%20Estrat&#233;gico\A3_26%20-%20Aumento%20de%20produtividade%20linha%20schuler.xlsx" TargetMode="External"/><Relationship Id="rId40" Type="http://schemas.openxmlformats.org/officeDocument/2006/relationships/ctrlProp" Target="../ctrlProps/ctrlProp556.xml"/><Relationship Id="rId45" Type="http://schemas.openxmlformats.org/officeDocument/2006/relationships/ctrlProp" Target="../ctrlProps/ctrlProp561.xml"/><Relationship Id="rId66" Type="http://schemas.openxmlformats.org/officeDocument/2006/relationships/ctrlProp" Target="../ctrlProps/ctrlProp582.xml"/><Relationship Id="rId87" Type="http://schemas.openxmlformats.org/officeDocument/2006/relationships/ctrlProp" Target="../ctrlProps/ctrlProp603.xml"/><Relationship Id="rId61" Type="http://schemas.openxmlformats.org/officeDocument/2006/relationships/ctrlProp" Target="../ctrlProps/ctrlProp577.xml"/><Relationship Id="rId82" Type="http://schemas.openxmlformats.org/officeDocument/2006/relationships/ctrlProp" Target="../ctrlProps/ctrlProp598.xml"/><Relationship Id="rId19" Type="http://schemas.openxmlformats.org/officeDocument/2006/relationships/hyperlink" Target="file:///\\192.168.3.20\Departamentos\Engenharia\Planejamento%20Estrat&#233;gico\A3_22-%20Eliminar%20custo%20com%20usinagem%20externa%20CN%2000016-17.xlsx" TargetMode="External"/><Relationship Id="rId14" Type="http://schemas.openxmlformats.org/officeDocument/2006/relationships/hyperlink" Target="file:///\\192.168.3.20\Departamentos\Engenharia\Planejamento%20Estrat&#233;gico\A3%20REDU&#199;&#195;O%20DE%20CUSTO%20DO%20TUBO%20COMPRADO%20DO%20CAP&#212;.xlsx" TargetMode="External"/><Relationship Id="rId30" Type="http://schemas.openxmlformats.org/officeDocument/2006/relationships/ctrlProp" Target="../ctrlProps/ctrlProp546.xml"/><Relationship Id="rId35" Type="http://schemas.openxmlformats.org/officeDocument/2006/relationships/ctrlProp" Target="../ctrlProps/ctrlProp551.xml"/><Relationship Id="rId56" Type="http://schemas.openxmlformats.org/officeDocument/2006/relationships/ctrlProp" Target="../ctrlProps/ctrlProp572.xml"/><Relationship Id="rId77" Type="http://schemas.openxmlformats.org/officeDocument/2006/relationships/ctrlProp" Target="../ctrlProps/ctrlProp593.xml"/><Relationship Id="rId100" Type="http://schemas.openxmlformats.org/officeDocument/2006/relationships/ctrlProp" Target="../ctrlProps/ctrlProp616.xml"/><Relationship Id="rId105" Type="http://schemas.openxmlformats.org/officeDocument/2006/relationships/ctrlProp" Target="../ctrlProps/ctrlProp621.xml"/><Relationship Id="rId8" Type="http://schemas.openxmlformats.org/officeDocument/2006/relationships/hyperlink" Target="file:///\\192.168.3.20\Departamentos\Engenharia\Planejamento%20Estrat&#233;gico\A3_14-Troca%20de%20empilhaderia%20GLP%20por%20el&#233;trica.xlsx" TargetMode="External"/><Relationship Id="rId51" Type="http://schemas.openxmlformats.org/officeDocument/2006/relationships/ctrlProp" Target="../ctrlProps/ctrlProp567.xml"/><Relationship Id="rId72" Type="http://schemas.openxmlformats.org/officeDocument/2006/relationships/ctrlProp" Target="../ctrlProps/ctrlProp588.xml"/><Relationship Id="rId93" Type="http://schemas.openxmlformats.org/officeDocument/2006/relationships/ctrlProp" Target="../ctrlProps/ctrlProp609.xml"/><Relationship Id="rId98" Type="http://schemas.openxmlformats.org/officeDocument/2006/relationships/ctrlProp" Target="../ctrlProps/ctrlProp614.xml"/><Relationship Id="rId3" Type="http://schemas.openxmlformats.org/officeDocument/2006/relationships/hyperlink" Target="file:///\\192.168.3.20\Departamentos\Engenharia\Planejamento%20Estrat&#233;gico\A3_09-ACABAMENTO%20CAPO%20CNH.xlsx" TargetMode="External"/><Relationship Id="rId25" Type="http://schemas.openxmlformats.org/officeDocument/2006/relationships/printerSettings" Target="../printerSettings/printerSettings5.bin"/><Relationship Id="rId46" Type="http://schemas.openxmlformats.org/officeDocument/2006/relationships/ctrlProp" Target="../ctrlProps/ctrlProp562.xml"/><Relationship Id="rId67" Type="http://schemas.openxmlformats.org/officeDocument/2006/relationships/ctrlProp" Target="../ctrlProps/ctrlProp583.xml"/></Relationships>
</file>

<file path=xl/worksheets/_rels/sheet14.xml.rels><?xml version="1.0" encoding="UTF-8" standalone="yes"?>
<Relationships xmlns="http://schemas.openxmlformats.org/package/2006/relationships"><Relationship Id="rId26" Type="http://schemas.openxmlformats.org/officeDocument/2006/relationships/hyperlink" Target="../../../../:x:/s/GestoEstratgica/IQB9NXblLQ1qR4Q2fJ-euF_sAS-Tr9yZa-9VDgVewc2ru1I?e=pvd6m1" TargetMode="External"/><Relationship Id="rId21" Type="http://schemas.openxmlformats.org/officeDocument/2006/relationships/hyperlink" Target="../../../../:x:/s/GestoEstratgica/IQDTTYm0l057RYdZjn6xmq61AeXithrSYzFsorcO8fQ2dq0?e=ThwdnF" TargetMode="External"/><Relationship Id="rId42" Type="http://schemas.openxmlformats.org/officeDocument/2006/relationships/ctrlProp" Target="../ctrlProps/ctrlProp622.xml"/><Relationship Id="rId47" Type="http://schemas.openxmlformats.org/officeDocument/2006/relationships/ctrlProp" Target="../ctrlProps/ctrlProp627.xml"/><Relationship Id="rId63" Type="http://schemas.openxmlformats.org/officeDocument/2006/relationships/ctrlProp" Target="../ctrlProps/ctrlProp643.xml"/><Relationship Id="rId68" Type="http://schemas.openxmlformats.org/officeDocument/2006/relationships/ctrlProp" Target="../ctrlProps/ctrlProp648.xml"/><Relationship Id="rId84" Type="http://schemas.openxmlformats.org/officeDocument/2006/relationships/ctrlProp" Target="../ctrlProps/ctrlProp664.xml"/><Relationship Id="rId89" Type="http://schemas.openxmlformats.org/officeDocument/2006/relationships/ctrlProp" Target="../ctrlProps/ctrlProp669.xml"/><Relationship Id="rId16" Type="http://schemas.openxmlformats.org/officeDocument/2006/relationships/hyperlink" Target="file:///\\DASRVFILE\Departamentos\ENGENHARIA\1.1%20Projetos%20de%20redu&#231;&#227;o%20custo\03%20-%20PRODUTOS%20QU&#205;MICOS%20KTL\A3%20Projeto%2003%20-%20PRODUTOS%20QU&#205;MICOS%20KTL.xlsx" TargetMode="External"/><Relationship Id="rId11" Type="http://schemas.openxmlformats.org/officeDocument/2006/relationships/hyperlink" Target="file:///\\DASRVFILE\Departamentos\ENGENHARIA\1.1%20Projetos%20de%20redu&#231;&#227;o%20custo\10%20-%20CONSUMO%20PERNA%20DE%20MO&#199;A\A3%20Projeto%2010%20-%20CONSUMO%20PERNA%20DE%20MO&#199;A.xlsx" TargetMode="External"/><Relationship Id="rId32" Type="http://schemas.openxmlformats.org/officeDocument/2006/relationships/hyperlink" Target="file:///\\DASRVFILE\Rede_Geral\Departamentos\ENGENHARIA\1.1%20Projetos%20de%20redu&#231;&#227;o%20custo\15%20-%20Altera&#231;&#227;o%20de%20Layout\Altera&#231;&#227;o%20de%20Layout%20do%20Poka%20Yoke%20das%20Travessas%20Mercedes.xlsx" TargetMode="External"/><Relationship Id="rId37" Type="http://schemas.openxmlformats.org/officeDocument/2006/relationships/hyperlink" Target="file:///\\DDSRVFILE01\Rede_Geral\Departamentos\ENGENHARIA\1.1%20Projetos%20de%20redu&#231;&#227;o%20custo\12%20-%20VENDA%20DE%20DESCART&#193;VEIS\A3%20Projeto%2012%20-%20VENDA%20DE%20DESCART&#193;VEIS.xlsx" TargetMode="External"/><Relationship Id="rId53" Type="http://schemas.openxmlformats.org/officeDocument/2006/relationships/ctrlProp" Target="../ctrlProps/ctrlProp633.xml"/><Relationship Id="rId58" Type="http://schemas.openxmlformats.org/officeDocument/2006/relationships/ctrlProp" Target="../ctrlProps/ctrlProp638.xml"/><Relationship Id="rId74" Type="http://schemas.openxmlformats.org/officeDocument/2006/relationships/ctrlProp" Target="../ctrlProps/ctrlProp654.xml"/><Relationship Id="rId79" Type="http://schemas.openxmlformats.org/officeDocument/2006/relationships/ctrlProp" Target="../ctrlProps/ctrlProp659.xml"/><Relationship Id="rId102" Type="http://schemas.openxmlformats.org/officeDocument/2006/relationships/ctrlProp" Target="../ctrlProps/ctrlProp682.xml"/><Relationship Id="rId5" Type="http://schemas.openxmlformats.org/officeDocument/2006/relationships/hyperlink" Target="file:///\\DASRVFILE\Departamentos\ENGENHARIA\1.1%20Projetos%20de%20redu&#231;&#227;o%20custo\13%20-%20CONSUMO%20DE%20MATERIAIS%20DA%20ETE\A3%20Projeto%2013%20-%20CONSUMO%20DE%20MATERIAIS%20DA%20ETE.xlsx" TargetMode="External"/><Relationship Id="rId90" Type="http://schemas.openxmlformats.org/officeDocument/2006/relationships/ctrlProp" Target="../ctrlProps/ctrlProp670.xml"/><Relationship Id="rId95" Type="http://schemas.openxmlformats.org/officeDocument/2006/relationships/ctrlProp" Target="../ctrlProps/ctrlProp675.xml"/><Relationship Id="rId22" Type="http://schemas.openxmlformats.org/officeDocument/2006/relationships/hyperlink" Target="../../../../:x:/s/GestoEstratgica/IQC52EvIoUySTrb58UgpJ7PXAVz23Xxb9EcCgo6SF1HnNkM?e=uhAPmi" TargetMode="External"/><Relationship Id="rId27" Type="http://schemas.openxmlformats.org/officeDocument/2006/relationships/hyperlink" Target="../../../../:x:/s/GestoEstratgica/IQBvPE_rU4SVRK6VTBH1BcoKAaseST6TXEvmoAOBmvpAE98?e=svxpD3" TargetMode="External"/><Relationship Id="rId43" Type="http://schemas.openxmlformats.org/officeDocument/2006/relationships/ctrlProp" Target="../ctrlProps/ctrlProp623.xml"/><Relationship Id="rId48" Type="http://schemas.openxmlformats.org/officeDocument/2006/relationships/ctrlProp" Target="../ctrlProps/ctrlProp628.xml"/><Relationship Id="rId64" Type="http://schemas.openxmlformats.org/officeDocument/2006/relationships/ctrlProp" Target="../ctrlProps/ctrlProp644.xml"/><Relationship Id="rId69" Type="http://schemas.openxmlformats.org/officeDocument/2006/relationships/ctrlProp" Target="../ctrlProps/ctrlProp649.xml"/><Relationship Id="rId80" Type="http://schemas.openxmlformats.org/officeDocument/2006/relationships/ctrlProp" Target="../ctrlProps/ctrlProp660.xml"/><Relationship Id="rId85" Type="http://schemas.openxmlformats.org/officeDocument/2006/relationships/ctrlProp" Target="../ctrlProps/ctrlProp665.xml"/><Relationship Id="rId12" Type="http://schemas.openxmlformats.org/officeDocument/2006/relationships/hyperlink" Target="file:///\\DASRVFILE\Departamentos\ENGENHARIA\1.1%20Projetos%20de%20redu&#231;&#227;o%20custo\11%20-%20WORKSHOP%20LIXAMENTO%20DD%20%20DF\A3%20Projeto%2011%20-%20WORKSHOP%20LIXAMENTO%20DD%20%20DF.xlsx" TargetMode="External"/><Relationship Id="rId17" Type="http://schemas.openxmlformats.org/officeDocument/2006/relationships/hyperlink" Target="../../../../:x:/r/sites/GestoEstratgica/_layouts/15/Doc.aspx?sourcedoc=%7BFDFD5E91-3120-4F48-AAD1-C304AC2ACC80%7D&amp;file=AUDITORIA%20SDP%20-%2016-03-2026.xlsx&amp;action=default&amp;mobileredirect=true" TargetMode="External"/><Relationship Id="rId33" Type="http://schemas.openxmlformats.org/officeDocument/2006/relationships/hyperlink" Target="file:///\\DDSRVFILE\Rede_Geral\Departamentos\ENGENHARIA\1.1%20Projetos%20de%20redu&#231;&#227;o%20custo\10%20-%20CONSUMO%20PERNA%20DE%20MO&#199;A\A3%20-%2010.%20CONSUMO%20PERNA%20DE%20MO&#199;A.xlsx" TargetMode="External"/><Relationship Id="rId38" Type="http://schemas.openxmlformats.org/officeDocument/2006/relationships/hyperlink" Target="file:///\\DDSRVFILE\Rede_Geral\Departamentos\ENGENHARIA\1.1%20Projetos%20de%20redu&#231;&#227;o%20custo\16%20-%20Empilhadeira%20El&#233;trica\A3%20Empilhadeira%20Eletrica.xlsx" TargetMode="External"/><Relationship Id="rId59" Type="http://schemas.openxmlformats.org/officeDocument/2006/relationships/ctrlProp" Target="../ctrlProps/ctrlProp639.xml"/><Relationship Id="rId103" Type="http://schemas.openxmlformats.org/officeDocument/2006/relationships/ctrlProp" Target="../ctrlProps/ctrlProp683.xml"/><Relationship Id="rId20" Type="http://schemas.openxmlformats.org/officeDocument/2006/relationships/hyperlink" Target="../../../../:x:/s/GestoEstratgica/IQCkBAVm0CseQ56f8FUaa_GGASpmZhys1hVN5mKQ4FC7L1s?e=X6oski" TargetMode="External"/><Relationship Id="rId41" Type="http://schemas.openxmlformats.org/officeDocument/2006/relationships/vmlDrawing" Target="../drawings/vmlDrawing6.vml"/><Relationship Id="rId54" Type="http://schemas.openxmlformats.org/officeDocument/2006/relationships/ctrlProp" Target="../ctrlProps/ctrlProp634.xml"/><Relationship Id="rId62" Type="http://schemas.openxmlformats.org/officeDocument/2006/relationships/ctrlProp" Target="../ctrlProps/ctrlProp642.xml"/><Relationship Id="rId70" Type="http://schemas.openxmlformats.org/officeDocument/2006/relationships/ctrlProp" Target="../ctrlProps/ctrlProp650.xml"/><Relationship Id="rId75" Type="http://schemas.openxmlformats.org/officeDocument/2006/relationships/ctrlProp" Target="../ctrlProps/ctrlProp655.xml"/><Relationship Id="rId83" Type="http://schemas.openxmlformats.org/officeDocument/2006/relationships/ctrlProp" Target="../ctrlProps/ctrlProp663.xml"/><Relationship Id="rId88" Type="http://schemas.openxmlformats.org/officeDocument/2006/relationships/ctrlProp" Target="../ctrlProps/ctrlProp668.xml"/><Relationship Id="rId91" Type="http://schemas.openxmlformats.org/officeDocument/2006/relationships/ctrlProp" Target="../ctrlProps/ctrlProp671.xml"/><Relationship Id="rId96" Type="http://schemas.openxmlformats.org/officeDocument/2006/relationships/ctrlProp" Target="../ctrlProps/ctrlProp676.xml"/><Relationship Id="rId1" Type="http://schemas.openxmlformats.org/officeDocument/2006/relationships/hyperlink" Target="file:///\\DASRVFILE\Departamentos\ENGENHARIA\1.1%20Projetos%20de%20redu&#231;&#227;o%20custo\01%20-%20VENDA%20DE%20ATIVOS\A3%20Projeto%2001%20-%20VENDA%20DE%20ATIVOS.xlsx" TargetMode="External"/><Relationship Id="rId6" Type="http://schemas.openxmlformats.org/officeDocument/2006/relationships/hyperlink" Target="file:///\\DASRVFILE\Departamentos\ENGENHARIA\1.1%20Projetos%20de%20redu&#231;&#227;o%20custo\05%20-%20REDU&#199;&#195;O%20DE%20FRETE\A3%20Projeto%2005%20-%20REDU&#199;&#195;O%20DE%20FRETE.xlsx" TargetMode="External"/><Relationship Id="rId15" Type="http://schemas.openxmlformats.org/officeDocument/2006/relationships/hyperlink" Target="file:///\\DASRVFILE\Departamentos\ENGENHARIA\1.1%20Projetos%20de%20redu&#231;&#227;o%20custo\01%20-%20VENDA%20DE%20ATIVOS\A3%20Projeto%2001%20-%20VENDA%20DE%20ATIVOS.xlsx" TargetMode="External"/><Relationship Id="rId23" Type="http://schemas.openxmlformats.org/officeDocument/2006/relationships/hyperlink" Target="../../../../:x:/s/GestoEstratgica/IQBuGupJ2-0CT6MJYJVtotyeAW2Qw_cLZWJO7m2o_EfTrIc?e=icZFTn" TargetMode="External"/><Relationship Id="rId28" Type="http://schemas.openxmlformats.org/officeDocument/2006/relationships/hyperlink" Target="../../../../:x:/s/GestoEstratgica/IQDoovNTHITWTrAq8zyYJ7b4ASoQqmrBCG5h61Id3l-e570?e=fckjWz" TargetMode="External"/><Relationship Id="rId36" Type="http://schemas.openxmlformats.org/officeDocument/2006/relationships/hyperlink" Target="file:///\\DASRVFILE\Departamentos\ENGENHARIA\1.1%20Projetos%20de%20redu&#231;&#227;o%20custo\11%20-%20WORKSHOP%20LIXAMENTO%20DD%20%20DF\A3%20Projeto%2011%20-%20WORKSHOP%20LIXAMENTO%20DD%20%20DF.xlsx" TargetMode="External"/><Relationship Id="rId49" Type="http://schemas.openxmlformats.org/officeDocument/2006/relationships/ctrlProp" Target="../ctrlProps/ctrlProp629.xml"/><Relationship Id="rId57" Type="http://schemas.openxmlformats.org/officeDocument/2006/relationships/ctrlProp" Target="../ctrlProps/ctrlProp637.xml"/><Relationship Id="rId106" Type="http://schemas.microsoft.com/office/2017/10/relationships/threadedComment" Target="../threadedComments/threadedComment6.xml"/><Relationship Id="rId10" Type="http://schemas.openxmlformats.org/officeDocument/2006/relationships/hyperlink" Target="file:///\\DASRVFILE\Departamentos\ENGENHARIA\1.1%20Projetos%20de%20redu&#231;&#227;o%20custo\09%20-%20ENERGIA%20EL&#201;TRICA\A3%20Projeto%2009%20-%20ENERGIA%20EL&#201;TRICA.xlsx" TargetMode="External"/><Relationship Id="rId31" Type="http://schemas.openxmlformats.org/officeDocument/2006/relationships/hyperlink" Target="file:///\\DASRVFILE\Rede_Geral\Departamentos\ENGENHARIA\1.1%20Projetos%20de%20redu&#231;&#227;o%20custo\14%20-%20Produto%20Qu&#237;mico%20Decapagem\Redu&#231;&#227;o%20de%20Custo%20-%20Produto%20Qu&#237;mico%20Decapagem.xlsx" TargetMode="External"/><Relationship Id="rId44" Type="http://schemas.openxmlformats.org/officeDocument/2006/relationships/ctrlProp" Target="../ctrlProps/ctrlProp624.xml"/><Relationship Id="rId52" Type="http://schemas.openxmlformats.org/officeDocument/2006/relationships/ctrlProp" Target="../ctrlProps/ctrlProp632.xml"/><Relationship Id="rId60" Type="http://schemas.openxmlformats.org/officeDocument/2006/relationships/ctrlProp" Target="../ctrlProps/ctrlProp640.xml"/><Relationship Id="rId65" Type="http://schemas.openxmlformats.org/officeDocument/2006/relationships/ctrlProp" Target="../ctrlProps/ctrlProp645.xml"/><Relationship Id="rId73" Type="http://schemas.openxmlformats.org/officeDocument/2006/relationships/ctrlProp" Target="../ctrlProps/ctrlProp653.xml"/><Relationship Id="rId78" Type="http://schemas.openxmlformats.org/officeDocument/2006/relationships/ctrlProp" Target="../ctrlProps/ctrlProp658.xml"/><Relationship Id="rId81" Type="http://schemas.openxmlformats.org/officeDocument/2006/relationships/ctrlProp" Target="../ctrlProps/ctrlProp661.xml"/><Relationship Id="rId86" Type="http://schemas.openxmlformats.org/officeDocument/2006/relationships/ctrlProp" Target="../ctrlProps/ctrlProp666.xml"/><Relationship Id="rId94" Type="http://schemas.openxmlformats.org/officeDocument/2006/relationships/ctrlProp" Target="../ctrlProps/ctrlProp674.xml"/><Relationship Id="rId99" Type="http://schemas.openxmlformats.org/officeDocument/2006/relationships/ctrlProp" Target="../ctrlProps/ctrlProp679.xml"/><Relationship Id="rId101" Type="http://schemas.openxmlformats.org/officeDocument/2006/relationships/ctrlProp" Target="../ctrlProps/ctrlProp681.xml"/><Relationship Id="rId4" Type="http://schemas.openxmlformats.org/officeDocument/2006/relationships/hyperlink" Target="file:///\\DASRVFILE\Departamentos\ENGENHARIA\1.1%20Projetos%20de%20redu&#231;&#227;o%20custo\06%20-%20CONSUMO%20DE%20TINTA%20P&#211;\A3%20Projeto%2006%20-%20CONSUMO%20DE%20TINTA%20P&#211;.xlsx" TargetMode="External"/><Relationship Id="rId9" Type="http://schemas.openxmlformats.org/officeDocument/2006/relationships/hyperlink" Target="file:///\\DASRVFILE\Departamentos\ENGENHARIA\1.1%20Projetos%20de%20redu&#231;&#227;o%20custo\08%20-%20&#193;GUA\A3%20Projeto%2008%20-%20&#193;GUA.xlsx" TargetMode="External"/><Relationship Id="rId13" Type="http://schemas.openxmlformats.org/officeDocument/2006/relationships/hyperlink" Target="file:///\\DDSRVFILE\Rede_Geral\Departamentos\ENGENHARIA\1.1%20Projetos%20de%20redu&#231;&#227;o%20custo\04%20-%20G&#193;S\A3%20Projeto%2004%20-%20Projeto%20de%20efici&#234;ncia%20do%20G&#225;s.xlsx" TargetMode="External"/><Relationship Id="rId18" Type="http://schemas.openxmlformats.org/officeDocument/2006/relationships/hyperlink" Target="file:///\\DDSRVFILE\Rede_Geral\Departamentos\ENGENHARIA\1.1%20Projetos%20de%20redu&#231;&#227;o%20custo\13%20-%20CONSUMO%20DE%20MATERIAIS%20DA%20ETE\A3%20Projeto%2013%20-%20CONSUMO%20DE%20MATERIAIS%20DA%20ETE.xlsx" TargetMode="External"/><Relationship Id="rId39" Type="http://schemas.openxmlformats.org/officeDocument/2006/relationships/printerSettings" Target="../printerSettings/printerSettings6.bin"/><Relationship Id="rId34" Type="http://schemas.openxmlformats.org/officeDocument/2006/relationships/hyperlink" Target="file:///\\DDSRVFILE\Rede_Geral\Departamentos\ENGENHARIA\1.1%20Projetos%20de%20redu&#231;&#227;o%20custo\09%20-%20ENERGIA%20EL&#201;TRICA\A3%20Projeto%2009%20-%20MELHORAR%20A%20EFICI&#202;NCIA%20DO%20CONSUMO%20DA%20ENERGIA%20EL&#201;TRICA.xlsx" TargetMode="External"/><Relationship Id="rId50" Type="http://schemas.openxmlformats.org/officeDocument/2006/relationships/ctrlProp" Target="../ctrlProps/ctrlProp630.xml"/><Relationship Id="rId55" Type="http://schemas.openxmlformats.org/officeDocument/2006/relationships/ctrlProp" Target="../ctrlProps/ctrlProp635.xml"/><Relationship Id="rId76" Type="http://schemas.openxmlformats.org/officeDocument/2006/relationships/ctrlProp" Target="../ctrlProps/ctrlProp656.xml"/><Relationship Id="rId97" Type="http://schemas.openxmlformats.org/officeDocument/2006/relationships/ctrlProp" Target="../ctrlProps/ctrlProp677.xml"/><Relationship Id="rId104" Type="http://schemas.openxmlformats.org/officeDocument/2006/relationships/table" Target="../tables/table6.xml"/><Relationship Id="rId7" Type="http://schemas.openxmlformats.org/officeDocument/2006/relationships/hyperlink" Target="file:///\\DASRVFILE\Departamentos\ENGENHARIA\1.1%20Projetos%20de%20redu&#231;&#227;o%20custo\06%20-%20CONSUMO%20DE%20TINTA%20P&#211;\A3%20Projeto%2006%20-%20CONSUMO%20DE%20TINTA%20P&#211;.xlsx" TargetMode="External"/><Relationship Id="rId71" Type="http://schemas.openxmlformats.org/officeDocument/2006/relationships/ctrlProp" Target="../ctrlProps/ctrlProp651.xml"/><Relationship Id="rId92" Type="http://schemas.openxmlformats.org/officeDocument/2006/relationships/ctrlProp" Target="../ctrlProps/ctrlProp672.xml"/><Relationship Id="rId2" Type="http://schemas.openxmlformats.org/officeDocument/2006/relationships/hyperlink" Target="file:///\\DASRVFILE\Departamentos\ENGENHARIA\1.1%20Projetos%20de%20redu&#231;&#227;o%20custo\02%20-%20TANQUE%20DE%20DECAPAGEM\A3%20Projeto%2002%20-%20TANQUE%20DE%20DECAPAGEM.xlsx" TargetMode="External"/><Relationship Id="rId29" Type="http://schemas.openxmlformats.org/officeDocument/2006/relationships/hyperlink" Target="../../../../:x:/s/GestoEstratgica/IQDCzmkRPPNdSbo_2ohx4euhAaV7ya7HdX8dr27b4ORrc-A?e=yhBxWf" TargetMode="External"/><Relationship Id="rId24" Type="http://schemas.openxmlformats.org/officeDocument/2006/relationships/hyperlink" Target="../../../../:x:/s/GestoEstratgica/IQBfWpjL1wiwQo8dHQbObYYWAbv49memCm32tTXrYs1PZh8?e=0yfHDl" TargetMode="External"/><Relationship Id="rId40" Type="http://schemas.openxmlformats.org/officeDocument/2006/relationships/drawing" Target="../drawings/drawing10.xml"/><Relationship Id="rId45" Type="http://schemas.openxmlformats.org/officeDocument/2006/relationships/ctrlProp" Target="../ctrlProps/ctrlProp625.xml"/><Relationship Id="rId66" Type="http://schemas.openxmlformats.org/officeDocument/2006/relationships/ctrlProp" Target="../ctrlProps/ctrlProp646.xml"/><Relationship Id="rId87" Type="http://schemas.openxmlformats.org/officeDocument/2006/relationships/ctrlProp" Target="../ctrlProps/ctrlProp667.xml"/><Relationship Id="rId61" Type="http://schemas.openxmlformats.org/officeDocument/2006/relationships/ctrlProp" Target="../ctrlProps/ctrlProp641.xml"/><Relationship Id="rId82" Type="http://schemas.openxmlformats.org/officeDocument/2006/relationships/ctrlProp" Target="../ctrlProps/ctrlProp662.xml"/><Relationship Id="rId19" Type="http://schemas.openxmlformats.org/officeDocument/2006/relationships/hyperlink" Target="../../../../:x:/s/GestoEstratgica/IQBkBXXBLbrPRodQEfQ5o7h3AaN0OKBnbNza3RgfiUOIYfc?e=hf6ibc" TargetMode="External"/><Relationship Id="rId14" Type="http://schemas.openxmlformats.org/officeDocument/2006/relationships/hyperlink" Target="file:///\\DDSRVFILE\Rede_Geral\Departamentos\ENGENHARIA\1.1%20Projetos%20de%20redu&#231;&#227;o%20custo\07%20-%20CONSUMO%20DE%20EPI%20e%20SERVI&#199;OS\A3%20Projeto%2007%20-%20CONSUMO%20DE%20EPI%20e%20SERVI&#199;OS.xlsx" TargetMode="External"/><Relationship Id="rId30" Type="http://schemas.openxmlformats.org/officeDocument/2006/relationships/hyperlink" Target="../../../../:x:/s/GestoEstratgica/IQA2Dx1JPCA9S7OEwx_IiDqqARJzN9KW8Wyw6CMrDHHVdls?e=HlRS2s" TargetMode="External"/><Relationship Id="rId35" Type="http://schemas.openxmlformats.org/officeDocument/2006/relationships/hyperlink" Target="file:///\\DDSRVFILE\Rede_Geral\Departamentos\ENGENHARIA\1.1%20Projetos%20de%20redu&#231;&#227;o%20custo\08%20-%20&#193;GUA\08.%20&#193;GUA%20-%20MELHORAR%20A%20EFICI&#202;NCIA%20DO%20CONSUMO%20DE%20&#192;GUA.xlsx" TargetMode="External"/><Relationship Id="rId56" Type="http://schemas.openxmlformats.org/officeDocument/2006/relationships/ctrlProp" Target="../ctrlProps/ctrlProp636.xml"/><Relationship Id="rId77" Type="http://schemas.openxmlformats.org/officeDocument/2006/relationships/ctrlProp" Target="../ctrlProps/ctrlProp657.xml"/><Relationship Id="rId100" Type="http://schemas.openxmlformats.org/officeDocument/2006/relationships/ctrlProp" Target="../ctrlProps/ctrlProp680.xml"/><Relationship Id="rId105" Type="http://schemas.openxmlformats.org/officeDocument/2006/relationships/comments" Target="../comments6.xml"/><Relationship Id="rId8" Type="http://schemas.openxmlformats.org/officeDocument/2006/relationships/hyperlink" Target="file:///\\DASRVFILE\Departamentos\ENGENHARIA\1.1%20Projetos%20de%20redu&#231;&#227;o%20custo\07%20-%20CONSUMO%20DE%20EPI%20e%20SERVI&#199;OS\A3%20Projeto%2007%20-%20CONSUMO%20DE%20EPI%20e%20SERVI&#199;OS.xlsx" TargetMode="External"/><Relationship Id="rId51" Type="http://schemas.openxmlformats.org/officeDocument/2006/relationships/ctrlProp" Target="../ctrlProps/ctrlProp631.xml"/><Relationship Id="rId72" Type="http://schemas.openxmlformats.org/officeDocument/2006/relationships/ctrlProp" Target="../ctrlProps/ctrlProp652.xml"/><Relationship Id="rId93" Type="http://schemas.openxmlformats.org/officeDocument/2006/relationships/ctrlProp" Target="../ctrlProps/ctrlProp673.xml"/><Relationship Id="rId98" Type="http://schemas.openxmlformats.org/officeDocument/2006/relationships/ctrlProp" Target="../ctrlProps/ctrlProp678.xml"/><Relationship Id="rId3" Type="http://schemas.openxmlformats.org/officeDocument/2006/relationships/hyperlink" Target="file:///\\DASRVFILE\Departamentos\ENGENHARIA\1.1%20Projetos%20de%20redu&#231;&#227;o%20custo\03%20-%20PRODUTOS%20QU&#205;MICOS%20KTL\A3%20Projeto%2003%20-%20PRODUTOS%20QU&#205;MICOS%20KTL.xlsx" TargetMode="External"/><Relationship Id="rId25" Type="http://schemas.openxmlformats.org/officeDocument/2006/relationships/hyperlink" Target="../../../../:x:/s/GestoEstratgica/IQB2PjXGTX6NRIIYUfzik9jGAQ9hD-lHZT1Ok1ryu1WpMNs?e=C3Xgv1" TargetMode="External"/><Relationship Id="rId46" Type="http://schemas.openxmlformats.org/officeDocument/2006/relationships/ctrlProp" Target="../ctrlProps/ctrlProp626.xml"/><Relationship Id="rId67" Type="http://schemas.openxmlformats.org/officeDocument/2006/relationships/ctrlProp" Target="../ctrlProps/ctrlProp647.xml"/></Relationships>
</file>

<file path=xl/worksheets/_rels/sheet15.xml.rels><?xml version="1.0" encoding="UTF-8" standalone="yes"?>
<Relationships xmlns="http://schemas.openxmlformats.org/package/2006/relationships"><Relationship Id="rId117" Type="http://schemas.openxmlformats.org/officeDocument/2006/relationships/ctrlProp" Target="../ctrlProps/ctrlProp749.xml"/><Relationship Id="rId21" Type="http://schemas.openxmlformats.org/officeDocument/2006/relationships/hyperlink" Target="file:///\\DDSRVFILE\Rede_Geral\Deptos\Compras\GESTAO%20DEPARTAMENTO%20SUPRIMENTOS\27-PROJETOS\JE0725\JE0725%20-%20PR%20Carimbos.xlsx" TargetMode="External"/><Relationship Id="rId42" Type="http://schemas.openxmlformats.org/officeDocument/2006/relationships/hyperlink" Target="file:///\\DDSRVFILE\Rede_Geral\Deptos\Compras\GESTAO%20DEPARTAMENTO%20SUPRIMENTOS\27-PROJETOS\DN0826\DN0826%20-%20NACIONALIZA&#199;&#195;O%20RIBE%20-%2075640%20(PINO%20REBITE%20M6%20X%2016).xlsx" TargetMode="External"/><Relationship Id="rId63" Type="http://schemas.openxmlformats.org/officeDocument/2006/relationships/ctrlProp" Target="../ctrlProps/ctrlProp695.xml"/><Relationship Id="rId84" Type="http://schemas.openxmlformats.org/officeDocument/2006/relationships/ctrlProp" Target="../ctrlProps/ctrlProp716.xml"/><Relationship Id="rId138" Type="http://schemas.openxmlformats.org/officeDocument/2006/relationships/ctrlProp" Target="../ctrlProps/ctrlProp770.xml"/><Relationship Id="rId159" Type="http://schemas.openxmlformats.org/officeDocument/2006/relationships/ctrlProp" Target="../ctrlProps/ctrlProp791.xml"/><Relationship Id="rId170" Type="http://schemas.openxmlformats.org/officeDocument/2006/relationships/ctrlProp" Target="../ctrlProps/ctrlProp802.xml"/><Relationship Id="rId191" Type="http://schemas.openxmlformats.org/officeDocument/2006/relationships/ctrlProp" Target="../ctrlProps/ctrlProp823.xml"/><Relationship Id="rId205" Type="http://schemas.openxmlformats.org/officeDocument/2006/relationships/ctrlProp" Target="../ctrlProps/ctrlProp837.xml"/><Relationship Id="rId107" Type="http://schemas.openxmlformats.org/officeDocument/2006/relationships/ctrlProp" Target="../ctrlProps/ctrlProp739.xml"/><Relationship Id="rId11" Type="http://schemas.openxmlformats.org/officeDocument/2006/relationships/hyperlink" Target="file:///\\DDSRVFILE\Rede_Geral\Deptos\Compras\GESTAO%20DEPARTAMENTO%20SUPRIMENTOS\27-PROJETOS\JE0326\JE0326%20-%20Troca%20fornecedor%20decapagem%20gancheiras.xlsx" TargetMode="External"/><Relationship Id="rId32" Type="http://schemas.openxmlformats.org/officeDocument/2006/relationships/hyperlink" Target="file:///\\DDSRVFILE\Rede_Geral\Deptos\Compras\GESTAO%20DEPARTAMENTO%20SUPRIMENTOS\27-PROJETOS\LJ0226\LJ0226%20-%20PROJETO%20DANA%20-%20FORNECIMENTO%20MTL.xlsx" TargetMode="External"/><Relationship Id="rId53" Type="http://schemas.openxmlformats.org/officeDocument/2006/relationships/ctrlProp" Target="../ctrlProps/ctrlProp685.xml"/><Relationship Id="rId74" Type="http://schemas.openxmlformats.org/officeDocument/2006/relationships/ctrlProp" Target="../ctrlProps/ctrlProp706.xml"/><Relationship Id="rId128" Type="http://schemas.openxmlformats.org/officeDocument/2006/relationships/ctrlProp" Target="../ctrlProps/ctrlProp760.xml"/><Relationship Id="rId149" Type="http://schemas.openxmlformats.org/officeDocument/2006/relationships/ctrlProp" Target="../ctrlProps/ctrlProp781.xml"/><Relationship Id="rId5" Type="http://schemas.openxmlformats.org/officeDocument/2006/relationships/hyperlink" Target="file:///\\DDSRVFILE\Rede_Geral\Deptos\Compras\GESTAO%20DEPARTAMENTO%20SUPRIMENTOS\27-PROJETOS\DN1525\DN1525%20-%20Resourcing%20Tubos%20Mercante%20para%20Cartec.xlsx" TargetMode="External"/><Relationship Id="rId95" Type="http://schemas.openxmlformats.org/officeDocument/2006/relationships/ctrlProp" Target="../ctrlProps/ctrlProp727.xml"/><Relationship Id="rId160" Type="http://schemas.openxmlformats.org/officeDocument/2006/relationships/ctrlProp" Target="../ctrlProps/ctrlProp792.xml"/><Relationship Id="rId181" Type="http://schemas.openxmlformats.org/officeDocument/2006/relationships/ctrlProp" Target="../ctrlProps/ctrlProp813.xml"/><Relationship Id="rId216" Type="http://schemas.openxmlformats.org/officeDocument/2006/relationships/ctrlProp" Target="../ctrlProps/ctrlProp848.xml"/><Relationship Id="rId22" Type="http://schemas.openxmlformats.org/officeDocument/2006/relationships/hyperlink" Target="file:///\\DDSRVFILE\Rede_Geral\Deptos\Compras\GESTAO%20DEPARTAMENTO%20SUPRIMENTOS\27-PROJETOS\JE1125\JE1125%20-%20Pun&#231;&#245;es%20Jarinu.xlsx" TargetMode="External"/><Relationship Id="rId43" Type="http://schemas.openxmlformats.org/officeDocument/2006/relationships/hyperlink" Target="file:///\\DDSRVFILE01\Rede_Geral\Deptos\Compras\GESTAO%20DEPARTAMENTO%20SUPRIMENTOS\27-PROJETOS\TS0326\TS0326-Venda%20M&#225;quinas.xlsx" TargetMode="External"/><Relationship Id="rId64" Type="http://schemas.openxmlformats.org/officeDocument/2006/relationships/ctrlProp" Target="../ctrlProps/ctrlProp696.xml"/><Relationship Id="rId118" Type="http://schemas.openxmlformats.org/officeDocument/2006/relationships/ctrlProp" Target="../ctrlProps/ctrlProp750.xml"/><Relationship Id="rId139" Type="http://schemas.openxmlformats.org/officeDocument/2006/relationships/ctrlProp" Target="../ctrlProps/ctrlProp771.xml"/><Relationship Id="rId85" Type="http://schemas.openxmlformats.org/officeDocument/2006/relationships/ctrlProp" Target="../ctrlProps/ctrlProp717.xml"/><Relationship Id="rId150" Type="http://schemas.openxmlformats.org/officeDocument/2006/relationships/ctrlProp" Target="../ctrlProps/ctrlProp782.xml"/><Relationship Id="rId171" Type="http://schemas.openxmlformats.org/officeDocument/2006/relationships/ctrlProp" Target="../ctrlProps/ctrlProp803.xml"/><Relationship Id="rId192" Type="http://schemas.openxmlformats.org/officeDocument/2006/relationships/ctrlProp" Target="../ctrlProps/ctrlProp824.xml"/><Relationship Id="rId206" Type="http://schemas.openxmlformats.org/officeDocument/2006/relationships/ctrlProp" Target="../ctrlProps/ctrlProp838.xml"/><Relationship Id="rId12" Type="http://schemas.openxmlformats.org/officeDocument/2006/relationships/hyperlink" Target="file:///\\DDSRVFILE\Rede_Geral\Deptos\Compras\GESTAO%20DEPARTAMENTO%20SUPRIMENTOS\27-PROJETOS\JE0325\JE0325%20-%20Abrasivos%20Curva%20A%20Ferraz.xlsx" TargetMode="External"/><Relationship Id="rId33" Type="http://schemas.openxmlformats.org/officeDocument/2006/relationships/hyperlink" Target="file:///\\DDSRVFILE\Rede_Geral\Deptos\Compras\GESTAO%20DEPARTAMENTO%20SUPRIMENTOS\27-PROJETOS\DN0526\DN0526%20-%20NEGOCIA&#199;&#195;O%2085290%20(BOELLHOFF).xlsx" TargetMode="External"/><Relationship Id="rId108" Type="http://schemas.openxmlformats.org/officeDocument/2006/relationships/ctrlProp" Target="../ctrlProps/ctrlProp740.xml"/><Relationship Id="rId129" Type="http://schemas.openxmlformats.org/officeDocument/2006/relationships/ctrlProp" Target="../ctrlProps/ctrlProp761.xml"/><Relationship Id="rId54" Type="http://schemas.openxmlformats.org/officeDocument/2006/relationships/ctrlProp" Target="../ctrlProps/ctrlProp686.xml"/><Relationship Id="rId75" Type="http://schemas.openxmlformats.org/officeDocument/2006/relationships/ctrlProp" Target="../ctrlProps/ctrlProp707.xml"/><Relationship Id="rId96" Type="http://schemas.openxmlformats.org/officeDocument/2006/relationships/ctrlProp" Target="../ctrlProps/ctrlProp728.xml"/><Relationship Id="rId140" Type="http://schemas.openxmlformats.org/officeDocument/2006/relationships/ctrlProp" Target="../ctrlProps/ctrlProp772.xml"/><Relationship Id="rId161" Type="http://schemas.openxmlformats.org/officeDocument/2006/relationships/ctrlProp" Target="../ctrlProps/ctrlProp793.xml"/><Relationship Id="rId182" Type="http://schemas.openxmlformats.org/officeDocument/2006/relationships/ctrlProp" Target="../ctrlProps/ctrlProp814.xml"/><Relationship Id="rId217" Type="http://schemas.openxmlformats.org/officeDocument/2006/relationships/ctrlProp" Target="../ctrlProps/ctrlProp849.xml"/><Relationship Id="rId6" Type="http://schemas.openxmlformats.org/officeDocument/2006/relationships/hyperlink" Target="file:///\\DDSRVFILE\Rede_Geral\Deptos\Compras\GESTAO%20DEPARTAMENTO%20SUPRIMENTOS\27-PROJETOS\VH0125\VH0125-Gonvarri%20itens%20Usiminas.xlsx" TargetMode="External"/><Relationship Id="rId23" Type="http://schemas.openxmlformats.org/officeDocument/2006/relationships/hyperlink" Target="file:///\\DDSRVFILE\Rede_Geral\Deptos\Compras\GESTAO%20DEPARTAMENTO%20SUPRIMENTOS\27-PROJETOS\JE1225\JE1225%20-%20BID%20Tamp&#245;es%20Pintura%20Anchieta.xlsx" TargetMode="External"/><Relationship Id="rId119" Type="http://schemas.openxmlformats.org/officeDocument/2006/relationships/ctrlProp" Target="../ctrlProps/ctrlProp751.xml"/><Relationship Id="rId44" Type="http://schemas.openxmlformats.org/officeDocument/2006/relationships/hyperlink" Target="file:///\\DDSRVFILE01\Rede_Geral\Deptos\Compras\GESTAO%20DEPARTAMENTO%20SUPRIMENTOS\27-PROJETOS\TS0426\TS0426-%20Ultrasom.xlsx" TargetMode="External"/><Relationship Id="rId65" Type="http://schemas.openxmlformats.org/officeDocument/2006/relationships/ctrlProp" Target="../ctrlProps/ctrlProp697.xml"/><Relationship Id="rId86" Type="http://schemas.openxmlformats.org/officeDocument/2006/relationships/ctrlProp" Target="../ctrlProps/ctrlProp718.xml"/><Relationship Id="rId130" Type="http://schemas.openxmlformats.org/officeDocument/2006/relationships/ctrlProp" Target="../ctrlProps/ctrlProp762.xml"/><Relationship Id="rId151" Type="http://schemas.openxmlformats.org/officeDocument/2006/relationships/ctrlProp" Target="../ctrlProps/ctrlProp783.xml"/><Relationship Id="rId172" Type="http://schemas.openxmlformats.org/officeDocument/2006/relationships/ctrlProp" Target="../ctrlProps/ctrlProp804.xml"/><Relationship Id="rId193" Type="http://schemas.openxmlformats.org/officeDocument/2006/relationships/ctrlProp" Target="../ctrlProps/ctrlProp825.xml"/><Relationship Id="rId207" Type="http://schemas.openxmlformats.org/officeDocument/2006/relationships/ctrlProp" Target="../ctrlProps/ctrlProp839.xml"/><Relationship Id="rId13" Type="http://schemas.openxmlformats.org/officeDocument/2006/relationships/hyperlink" Target="file:///\\192.168.0.20\departamentos\Compras\GESTAO%20DEPARTAMENTO%20SUPRIMENTOS\27-PROJETOS\EF0226\EF00226_%20MO.xlsx" TargetMode="External"/><Relationship Id="rId109" Type="http://schemas.openxmlformats.org/officeDocument/2006/relationships/ctrlProp" Target="../ctrlProps/ctrlProp741.xml"/><Relationship Id="rId34" Type="http://schemas.openxmlformats.org/officeDocument/2006/relationships/hyperlink" Target="file:///\\DDSRVFILE\Rede_Geral\Deptos\Compras\GESTAO%20DEPARTAMENTO%20SUPRIMENTOS\27-PROJETOS\EF0626\Projetos_EF0626_%20Borra%20Plasma%20Ferraz.xlsx" TargetMode="External"/><Relationship Id="rId55" Type="http://schemas.openxmlformats.org/officeDocument/2006/relationships/ctrlProp" Target="../ctrlProps/ctrlProp687.xml"/><Relationship Id="rId76" Type="http://schemas.openxmlformats.org/officeDocument/2006/relationships/ctrlProp" Target="../ctrlProps/ctrlProp708.xml"/><Relationship Id="rId97" Type="http://schemas.openxmlformats.org/officeDocument/2006/relationships/ctrlProp" Target="../ctrlProps/ctrlProp729.xml"/><Relationship Id="rId120" Type="http://schemas.openxmlformats.org/officeDocument/2006/relationships/ctrlProp" Target="../ctrlProps/ctrlProp752.xml"/><Relationship Id="rId141" Type="http://schemas.openxmlformats.org/officeDocument/2006/relationships/ctrlProp" Target="../ctrlProps/ctrlProp773.xml"/><Relationship Id="rId7" Type="http://schemas.openxmlformats.org/officeDocument/2006/relationships/hyperlink" Target="file:///\\DDSRVFILE\Rede_Geral\Deptos\Compras\GESTAO%20DEPARTAMENTO%20SUPRIMENTOS\27-PROJETOS\DN0625\DN625%20-%20RESOURCING%20ITENS%20PARA%20WURTH.xlsx" TargetMode="External"/><Relationship Id="rId162" Type="http://schemas.openxmlformats.org/officeDocument/2006/relationships/ctrlProp" Target="../ctrlProps/ctrlProp794.xml"/><Relationship Id="rId183" Type="http://schemas.openxmlformats.org/officeDocument/2006/relationships/ctrlProp" Target="../ctrlProps/ctrlProp815.xml"/><Relationship Id="rId218" Type="http://schemas.openxmlformats.org/officeDocument/2006/relationships/ctrlProp" Target="../ctrlProps/ctrlProp850.xml"/><Relationship Id="rId24" Type="http://schemas.openxmlformats.org/officeDocument/2006/relationships/hyperlink" Target="file:///\\DDSRVFILE\Rede_Geral\Deptos\Compras\GESTAO%20DEPARTAMENTO%20SUPRIMENTOS\27-PROJETOS\JE0226\JE0226%20-%20BID%20Consum&#237;veis%20Laser.xlsx" TargetMode="External"/><Relationship Id="rId45" Type="http://schemas.openxmlformats.org/officeDocument/2006/relationships/hyperlink" Target="file:///\\DDSRVFILE01\Rede_Geral\Deptos\Compras\GESTAO%20DEPARTAMENTO%20SUPRIMENTOS\27-PROJETOS\LJ0426\Migra&#231;&#227;o%20de%20itens%20Usiminas%20para%20Arcelor.xlsx" TargetMode="External"/><Relationship Id="rId66" Type="http://schemas.openxmlformats.org/officeDocument/2006/relationships/ctrlProp" Target="../ctrlProps/ctrlProp698.xml"/><Relationship Id="rId87" Type="http://schemas.openxmlformats.org/officeDocument/2006/relationships/ctrlProp" Target="../ctrlProps/ctrlProp719.xml"/><Relationship Id="rId110" Type="http://schemas.openxmlformats.org/officeDocument/2006/relationships/ctrlProp" Target="../ctrlProps/ctrlProp742.xml"/><Relationship Id="rId131" Type="http://schemas.openxmlformats.org/officeDocument/2006/relationships/ctrlProp" Target="../ctrlProps/ctrlProp763.xml"/><Relationship Id="rId152" Type="http://schemas.openxmlformats.org/officeDocument/2006/relationships/ctrlProp" Target="../ctrlProps/ctrlProp784.xml"/><Relationship Id="rId173" Type="http://schemas.openxmlformats.org/officeDocument/2006/relationships/ctrlProp" Target="../ctrlProps/ctrlProp805.xml"/><Relationship Id="rId194" Type="http://schemas.openxmlformats.org/officeDocument/2006/relationships/ctrlProp" Target="../ctrlProps/ctrlProp826.xml"/><Relationship Id="rId208" Type="http://schemas.openxmlformats.org/officeDocument/2006/relationships/ctrlProp" Target="../ctrlProps/ctrlProp840.xml"/><Relationship Id="rId14" Type="http://schemas.openxmlformats.org/officeDocument/2006/relationships/hyperlink" Target="file:///\\DDSRVFILE\Rede_Geral\Deptos\Compras\GESTAO%20DEPARTAMENTO%20SUPRIMENTOS\27-PROJETOS\EF0526\Projetos_EF0526_%20Mod%20Tarif&#225;ria.xlsx" TargetMode="External"/><Relationship Id="rId35" Type="http://schemas.openxmlformats.org/officeDocument/2006/relationships/hyperlink" Target="file:///\\DDSRVFILE\Rede_Geral\Deptos\Compras\GESTAO%20DEPARTAMENTO%20SUPRIMENTOS\27-PROJETOS\TS0126\TS0126-Ex-tarif&#225;rio%20-%20Transfer.xlsx" TargetMode="External"/><Relationship Id="rId56" Type="http://schemas.openxmlformats.org/officeDocument/2006/relationships/ctrlProp" Target="../ctrlProps/ctrlProp688.xml"/><Relationship Id="rId77" Type="http://schemas.openxmlformats.org/officeDocument/2006/relationships/ctrlProp" Target="../ctrlProps/ctrlProp709.xml"/><Relationship Id="rId100" Type="http://schemas.openxmlformats.org/officeDocument/2006/relationships/ctrlProp" Target="../ctrlProps/ctrlProp732.xml"/><Relationship Id="rId8" Type="http://schemas.openxmlformats.org/officeDocument/2006/relationships/hyperlink" Target="file:///\\DDSRVFILE\Rede_Geral\Deptos\Compras\GESTAO%20DEPARTAMENTO%20SUPRIMENTOS\27-PROJETOS\JE0125\JE0125-Fita%20Zebrada%20e%20Etiqueta%20Litografada.xlsx" TargetMode="External"/><Relationship Id="rId98" Type="http://schemas.openxmlformats.org/officeDocument/2006/relationships/ctrlProp" Target="../ctrlProps/ctrlProp730.xml"/><Relationship Id="rId121" Type="http://schemas.openxmlformats.org/officeDocument/2006/relationships/ctrlProp" Target="../ctrlProps/ctrlProp753.xml"/><Relationship Id="rId142" Type="http://schemas.openxmlformats.org/officeDocument/2006/relationships/ctrlProp" Target="../ctrlProps/ctrlProp774.xml"/><Relationship Id="rId163" Type="http://schemas.openxmlformats.org/officeDocument/2006/relationships/ctrlProp" Target="../ctrlProps/ctrlProp795.xml"/><Relationship Id="rId184" Type="http://schemas.openxmlformats.org/officeDocument/2006/relationships/ctrlProp" Target="../ctrlProps/ctrlProp816.xml"/><Relationship Id="rId219" Type="http://schemas.openxmlformats.org/officeDocument/2006/relationships/ctrlProp" Target="../ctrlProps/ctrlProp851.xml"/><Relationship Id="rId3" Type="http://schemas.openxmlformats.org/officeDocument/2006/relationships/hyperlink" Target="file:///\\DDSRVFILE\Rede_Geral\Deptos\Compras\GESTAO%20DEPARTAMENTO%20SUPRIMENTOS\27-PROJETOS\DN0825\DN825%20-%20PORCA%2073189.xlsx" TargetMode="External"/><Relationship Id="rId214" Type="http://schemas.openxmlformats.org/officeDocument/2006/relationships/ctrlProp" Target="../ctrlProps/ctrlProp846.xml"/><Relationship Id="rId25" Type="http://schemas.openxmlformats.org/officeDocument/2006/relationships/hyperlink" Target="file:///\\DDSRVFILE\departamentos\Compras\GESTAO%20DEPARTAMENTO%20SUPRIMENTOS\27-PROJETOS\LJ0225\LJ0225%20-%20Projeto%20DANA%20-%20mudan&#231;a%20de%20CH%20para%20BQ.xlsx" TargetMode="External"/><Relationship Id="rId46" Type="http://schemas.openxmlformats.org/officeDocument/2006/relationships/hyperlink" Target="file:///\\DDSRVFILE01\Rede_Geral\Deptos\Compras\GESTAO%20DEPARTAMENTO%20SUPRIMENTOS\27-PROJETOS\LJ0826\LJ0826%20MIGRA&#199;&#195;O%20DE%20ITENS%20CSN%20E%20USIMINAS%20PARA%20ARCELOR%20MITTAL-%20.xlsx" TargetMode="External"/><Relationship Id="rId67" Type="http://schemas.openxmlformats.org/officeDocument/2006/relationships/ctrlProp" Target="../ctrlProps/ctrlProp699.xml"/><Relationship Id="rId116" Type="http://schemas.openxmlformats.org/officeDocument/2006/relationships/ctrlProp" Target="../ctrlProps/ctrlProp748.xml"/><Relationship Id="rId137" Type="http://schemas.openxmlformats.org/officeDocument/2006/relationships/ctrlProp" Target="../ctrlProps/ctrlProp769.xml"/><Relationship Id="rId158" Type="http://schemas.openxmlformats.org/officeDocument/2006/relationships/ctrlProp" Target="../ctrlProps/ctrlProp790.xml"/><Relationship Id="rId20" Type="http://schemas.openxmlformats.org/officeDocument/2006/relationships/hyperlink" Target="file:///\\DDSRVFILE\Rede_Geral\Deptos\Compras\GESTAO%20DEPARTAMENTO%20SUPRIMENTOS\27-PROJETOS\JE0625\JE0625%20-%20Unifica&#231;&#227;o%20&#243;leos%20de%20processo.xlsx" TargetMode="External"/><Relationship Id="rId41" Type="http://schemas.openxmlformats.org/officeDocument/2006/relationships/hyperlink" Target="file:///\\DDSRVFILE01\Rede_Geral\Deptos\Compras\GESTAO%20DEPARTAMENTO%20SUPRIMENTOS\27-PROJETOS\JE0626\JE0626%20-%20BID%20Poliuretano%20Expansivo.xlsx" TargetMode="External"/><Relationship Id="rId62" Type="http://schemas.openxmlformats.org/officeDocument/2006/relationships/ctrlProp" Target="../ctrlProps/ctrlProp694.xml"/><Relationship Id="rId83" Type="http://schemas.openxmlformats.org/officeDocument/2006/relationships/ctrlProp" Target="../ctrlProps/ctrlProp715.xml"/><Relationship Id="rId88" Type="http://schemas.openxmlformats.org/officeDocument/2006/relationships/ctrlProp" Target="../ctrlProps/ctrlProp720.xml"/><Relationship Id="rId111" Type="http://schemas.openxmlformats.org/officeDocument/2006/relationships/ctrlProp" Target="../ctrlProps/ctrlProp743.xml"/><Relationship Id="rId132" Type="http://schemas.openxmlformats.org/officeDocument/2006/relationships/ctrlProp" Target="../ctrlProps/ctrlProp764.xml"/><Relationship Id="rId153" Type="http://schemas.openxmlformats.org/officeDocument/2006/relationships/ctrlProp" Target="../ctrlProps/ctrlProp785.xml"/><Relationship Id="rId174" Type="http://schemas.openxmlformats.org/officeDocument/2006/relationships/ctrlProp" Target="../ctrlProps/ctrlProp806.xml"/><Relationship Id="rId179" Type="http://schemas.openxmlformats.org/officeDocument/2006/relationships/ctrlProp" Target="../ctrlProps/ctrlProp811.xml"/><Relationship Id="rId195" Type="http://schemas.openxmlformats.org/officeDocument/2006/relationships/ctrlProp" Target="../ctrlProps/ctrlProp827.xml"/><Relationship Id="rId209" Type="http://schemas.openxmlformats.org/officeDocument/2006/relationships/ctrlProp" Target="../ctrlProps/ctrlProp841.xml"/><Relationship Id="rId190" Type="http://schemas.openxmlformats.org/officeDocument/2006/relationships/ctrlProp" Target="../ctrlProps/ctrlProp822.xml"/><Relationship Id="rId204" Type="http://schemas.openxmlformats.org/officeDocument/2006/relationships/ctrlProp" Target="../ctrlProps/ctrlProp836.xml"/><Relationship Id="rId220" Type="http://schemas.openxmlformats.org/officeDocument/2006/relationships/ctrlProp" Target="../ctrlProps/ctrlProp852.xml"/><Relationship Id="rId225" Type="http://schemas.microsoft.com/office/2017/10/relationships/threadedComment" Target="../threadedComments/threadedComment7.xml"/><Relationship Id="rId15" Type="http://schemas.openxmlformats.org/officeDocument/2006/relationships/hyperlink" Target="file:///\\DDSRVFILE\Rede_Geral\Deptos\Compras\GESTAO%20DEPARTAMENTO%20SUPRIMENTOS\27-PROJETOS\DN1125\DN1125%20-%20Resourcing%20Pino%20Esf&#233;rico%20GM.xlsx" TargetMode="External"/><Relationship Id="rId36" Type="http://schemas.openxmlformats.org/officeDocument/2006/relationships/hyperlink" Target="file:///\\DDSRVFILE\Rede_Geral\Deptos\Compras\GESTAO%20DEPARTAMENTO%20SUPRIMENTOS\27-PROJETOS\LJ0726\LJ0127%20-%20USIMINAS%20-%20REDU&#199;&#195;O%20DE%20ITENS%20MBB.xlsx" TargetMode="External"/><Relationship Id="rId57" Type="http://schemas.openxmlformats.org/officeDocument/2006/relationships/ctrlProp" Target="../ctrlProps/ctrlProp689.xml"/><Relationship Id="rId106" Type="http://schemas.openxmlformats.org/officeDocument/2006/relationships/ctrlProp" Target="../ctrlProps/ctrlProp738.xml"/><Relationship Id="rId127" Type="http://schemas.openxmlformats.org/officeDocument/2006/relationships/ctrlProp" Target="../ctrlProps/ctrlProp759.xml"/><Relationship Id="rId10" Type="http://schemas.openxmlformats.org/officeDocument/2006/relationships/hyperlink" Target="file:///\\DDSRVFILE\Rede_Geral\Deptos\Compras\GESTAO%20DEPARTAMENTO%20SUPRIMENTOS\27-PROJETOS\JE0126\JE0126%20-%20Troca%20fornecedor%20usinagem.xlsx" TargetMode="External"/><Relationship Id="rId31" Type="http://schemas.openxmlformats.org/officeDocument/2006/relationships/hyperlink" Target="file:///\\DDSRVFILE\Rede_Geral\Deptos\Compras\GESTAO%20DEPARTAMENTO%20SUPRIMENTOS\27-PROJETOS\DN0426\DN0426%20-%20NEGOCIA&#199;&#195;O%20PORCA%2015341.xlsx" TargetMode="External"/><Relationship Id="rId52" Type="http://schemas.openxmlformats.org/officeDocument/2006/relationships/ctrlProp" Target="../ctrlProps/ctrlProp684.xml"/><Relationship Id="rId73" Type="http://schemas.openxmlformats.org/officeDocument/2006/relationships/ctrlProp" Target="../ctrlProps/ctrlProp705.xml"/><Relationship Id="rId78" Type="http://schemas.openxmlformats.org/officeDocument/2006/relationships/ctrlProp" Target="../ctrlProps/ctrlProp710.xml"/><Relationship Id="rId94" Type="http://schemas.openxmlformats.org/officeDocument/2006/relationships/ctrlProp" Target="../ctrlProps/ctrlProp726.xml"/><Relationship Id="rId99" Type="http://schemas.openxmlformats.org/officeDocument/2006/relationships/ctrlProp" Target="../ctrlProps/ctrlProp731.xml"/><Relationship Id="rId101" Type="http://schemas.openxmlformats.org/officeDocument/2006/relationships/ctrlProp" Target="../ctrlProps/ctrlProp733.xml"/><Relationship Id="rId122" Type="http://schemas.openxmlformats.org/officeDocument/2006/relationships/ctrlProp" Target="../ctrlProps/ctrlProp754.xml"/><Relationship Id="rId143" Type="http://schemas.openxmlformats.org/officeDocument/2006/relationships/ctrlProp" Target="../ctrlProps/ctrlProp775.xml"/><Relationship Id="rId148" Type="http://schemas.openxmlformats.org/officeDocument/2006/relationships/ctrlProp" Target="../ctrlProps/ctrlProp780.xml"/><Relationship Id="rId164" Type="http://schemas.openxmlformats.org/officeDocument/2006/relationships/ctrlProp" Target="../ctrlProps/ctrlProp796.xml"/><Relationship Id="rId169" Type="http://schemas.openxmlformats.org/officeDocument/2006/relationships/ctrlProp" Target="../ctrlProps/ctrlProp801.xml"/><Relationship Id="rId185" Type="http://schemas.openxmlformats.org/officeDocument/2006/relationships/ctrlProp" Target="../ctrlProps/ctrlProp817.xml"/><Relationship Id="rId4" Type="http://schemas.openxmlformats.org/officeDocument/2006/relationships/hyperlink" Target="file:///\\DDSRVFILE\Rede_Geral\Deptos\Compras\GESTAO%20DEPARTAMENTO%20SUPRIMENTOS\27-PROJETOS\EF0426\Projetos_EF0426_%20Agua%20recupera&#231;&#227;o%20de%20valores.xlsx" TargetMode="External"/><Relationship Id="rId9" Type="http://schemas.openxmlformats.org/officeDocument/2006/relationships/hyperlink" Target="file:///\\DDSRVFILE\Rede_Geral\Deptos\Compras\GESTAO%20DEPARTAMENTO%20SUPRIMENTOS\27-PROJETOS\VH1325\VH1325-Viabilizar%20material%20alternativo%20Carca&#231;a%20Scania.xlsx" TargetMode="External"/><Relationship Id="rId180" Type="http://schemas.openxmlformats.org/officeDocument/2006/relationships/ctrlProp" Target="../ctrlProps/ctrlProp812.xml"/><Relationship Id="rId210" Type="http://schemas.openxmlformats.org/officeDocument/2006/relationships/ctrlProp" Target="../ctrlProps/ctrlProp842.xml"/><Relationship Id="rId215" Type="http://schemas.openxmlformats.org/officeDocument/2006/relationships/ctrlProp" Target="../ctrlProps/ctrlProp847.xml"/><Relationship Id="rId26" Type="http://schemas.openxmlformats.org/officeDocument/2006/relationships/hyperlink" Target="file:///\\DDSRVFILE\Rede_Geral\Deptos\Compras\GESTAO%20DEPARTAMENTO%20SUPRIMENTOS\27-PROJETOS\LJ0126\LJ0126%20-%20Negocia&#231;&#227;o%20item%20Viga%20Banana.xlsx" TargetMode="External"/><Relationship Id="rId47" Type="http://schemas.openxmlformats.org/officeDocument/2006/relationships/hyperlink" Target="file:///\\DDSRVFILE01\Departamentos\Compras\GESTAO%20DEPARTAMENTO%20SUPRIMENTOS\27-PROJETOS\JE0726\JE0726%20-%20BID%20Corporativo%20Pun&#231;&#245;es.xlsx" TargetMode="External"/><Relationship Id="rId68" Type="http://schemas.openxmlformats.org/officeDocument/2006/relationships/ctrlProp" Target="../ctrlProps/ctrlProp700.xml"/><Relationship Id="rId89" Type="http://schemas.openxmlformats.org/officeDocument/2006/relationships/ctrlProp" Target="../ctrlProps/ctrlProp721.xml"/><Relationship Id="rId112" Type="http://schemas.openxmlformats.org/officeDocument/2006/relationships/ctrlProp" Target="../ctrlProps/ctrlProp744.xml"/><Relationship Id="rId133" Type="http://schemas.openxmlformats.org/officeDocument/2006/relationships/ctrlProp" Target="../ctrlProps/ctrlProp765.xml"/><Relationship Id="rId154" Type="http://schemas.openxmlformats.org/officeDocument/2006/relationships/ctrlProp" Target="../ctrlProps/ctrlProp786.xml"/><Relationship Id="rId175" Type="http://schemas.openxmlformats.org/officeDocument/2006/relationships/ctrlProp" Target="../ctrlProps/ctrlProp807.xml"/><Relationship Id="rId196" Type="http://schemas.openxmlformats.org/officeDocument/2006/relationships/ctrlProp" Target="../ctrlProps/ctrlProp828.xml"/><Relationship Id="rId200" Type="http://schemas.openxmlformats.org/officeDocument/2006/relationships/ctrlProp" Target="../ctrlProps/ctrlProp832.xml"/><Relationship Id="rId16" Type="http://schemas.openxmlformats.org/officeDocument/2006/relationships/hyperlink" Target="file:///\\DDSRVFILE\Rede_Geral\Deptos\Compras\GESTAO%20DEPARTAMENTO%20SUPRIMENTOS\27-PROJETOS\AG0225\AG0225-Lixadeiras.xlsx" TargetMode="External"/><Relationship Id="rId221" Type="http://schemas.openxmlformats.org/officeDocument/2006/relationships/ctrlProp" Target="../ctrlProps/ctrlProp853.xml"/><Relationship Id="rId37" Type="http://schemas.openxmlformats.org/officeDocument/2006/relationships/hyperlink" Target="file:///\\DDSRVFILE01\Departamentos\Compras\GESTAO%20DEPARTAMENTO%20SUPRIMENTOS\27-PROJETOS\DN0726\DN0726%20-Negocia&#231;&#227;o%20TCC00690-691.xlsx" TargetMode="External"/><Relationship Id="rId58" Type="http://schemas.openxmlformats.org/officeDocument/2006/relationships/ctrlProp" Target="../ctrlProps/ctrlProp690.xml"/><Relationship Id="rId79" Type="http://schemas.openxmlformats.org/officeDocument/2006/relationships/ctrlProp" Target="../ctrlProps/ctrlProp711.xml"/><Relationship Id="rId102" Type="http://schemas.openxmlformats.org/officeDocument/2006/relationships/ctrlProp" Target="../ctrlProps/ctrlProp734.xml"/><Relationship Id="rId123" Type="http://schemas.openxmlformats.org/officeDocument/2006/relationships/ctrlProp" Target="../ctrlProps/ctrlProp755.xml"/><Relationship Id="rId144" Type="http://schemas.openxmlformats.org/officeDocument/2006/relationships/ctrlProp" Target="../ctrlProps/ctrlProp776.xml"/><Relationship Id="rId90" Type="http://schemas.openxmlformats.org/officeDocument/2006/relationships/ctrlProp" Target="../ctrlProps/ctrlProp722.xml"/><Relationship Id="rId165" Type="http://schemas.openxmlformats.org/officeDocument/2006/relationships/ctrlProp" Target="../ctrlProps/ctrlProp797.xml"/><Relationship Id="rId186" Type="http://schemas.openxmlformats.org/officeDocument/2006/relationships/ctrlProp" Target="../ctrlProps/ctrlProp818.xml"/><Relationship Id="rId211" Type="http://schemas.openxmlformats.org/officeDocument/2006/relationships/ctrlProp" Target="../ctrlProps/ctrlProp843.xml"/><Relationship Id="rId27" Type="http://schemas.openxmlformats.org/officeDocument/2006/relationships/hyperlink" Target="file:///\\DDSRVFILE\Rede_Geral\Deptos\Compras\GESTAO%20DEPARTAMENTO%20SUPRIMENTOS\27-PROJETOS\DN0425\DN425%20-%20PARAF%2048002%20(HASSMANN%20PARA%20METALAC).xlsx" TargetMode="External"/><Relationship Id="rId48" Type="http://schemas.openxmlformats.org/officeDocument/2006/relationships/hyperlink" Target="file:///\\DDSRVFILE\Rede_Geral\Deptos\Compras\GESTAO%20DEPARTAMENTO%20SUPRIMENTOS\27-PROJETOS\LJ0926\LJ0926.xlsx" TargetMode="External"/><Relationship Id="rId69" Type="http://schemas.openxmlformats.org/officeDocument/2006/relationships/ctrlProp" Target="../ctrlProps/ctrlProp701.xml"/><Relationship Id="rId113" Type="http://schemas.openxmlformats.org/officeDocument/2006/relationships/ctrlProp" Target="../ctrlProps/ctrlProp745.xml"/><Relationship Id="rId134" Type="http://schemas.openxmlformats.org/officeDocument/2006/relationships/ctrlProp" Target="../ctrlProps/ctrlProp766.xml"/><Relationship Id="rId80" Type="http://schemas.openxmlformats.org/officeDocument/2006/relationships/ctrlProp" Target="../ctrlProps/ctrlProp712.xml"/><Relationship Id="rId155" Type="http://schemas.openxmlformats.org/officeDocument/2006/relationships/ctrlProp" Target="../ctrlProps/ctrlProp787.xml"/><Relationship Id="rId176" Type="http://schemas.openxmlformats.org/officeDocument/2006/relationships/ctrlProp" Target="../ctrlProps/ctrlProp808.xml"/><Relationship Id="rId197" Type="http://schemas.openxmlformats.org/officeDocument/2006/relationships/ctrlProp" Target="../ctrlProps/ctrlProp829.xml"/><Relationship Id="rId201" Type="http://schemas.openxmlformats.org/officeDocument/2006/relationships/ctrlProp" Target="../ctrlProps/ctrlProp833.xml"/><Relationship Id="rId222" Type="http://schemas.openxmlformats.org/officeDocument/2006/relationships/ctrlProp" Target="../ctrlProps/ctrlProp854.xml"/><Relationship Id="rId17" Type="http://schemas.openxmlformats.org/officeDocument/2006/relationships/hyperlink" Target="file:///\\DDSRVFILE\Rede_Geral\Deptos\Compras\GESTAO%20DEPARTAMENTO%20SUPRIMENTOS\27-PROJETOS\EF0126\EF0126_Substitui&#231;&#227;o%20Plano%20M&#233;dico%20-DSL.xlsx" TargetMode="External"/><Relationship Id="rId38" Type="http://schemas.openxmlformats.org/officeDocument/2006/relationships/hyperlink" Target="file:///\\DDSRVFILE01\Departamentos\Compras\GESTAO%20DEPARTAMENTO%20SUPRIMENTOS\27-PROJETOS\TS0226\TS0226-Compressores.xlsx" TargetMode="External"/><Relationship Id="rId59" Type="http://schemas.openxmlformats.org/officeDocument/2006/relationships/ctrlProp" Target="../ctrlProps/ctrlProp691.xml"/><Relationship Id="rId103" Type="http://schemas.openxmlformats.org/officeDocument/2006/relationships/ctrlProp" Target="../ctrlProps/ctrlProp735.xml"/><Relationship Id="rId124" Type="http://schemas.openxmlformats.org/officeDocument/2006/relationships/ctrlProp" Target="../ctrlProps/ctrlProp756.xml"/><Relationship Id="rId70" Type="http://schemas.openxmlformats.org/officeDocument/2006/relationships/ctrlProp" Target="../ctrlProps/ctrlProp702.xml"/><Relationship Id="rId91" Type="http://schemas.openxmlformats.org/officeDocument/2006/relationships/ctrlProp" Target="../ctrlProps/ctrlProp723.xml"/><Relationship Id="rId145" Type="http://schemas.openxmlformats.org/officeDocument/2006/relationships/ctrlProp" Target="../ctrlProps/ctrlProp777.xml"/><Relationship Id="rId166" Type="http://schemas.openxmlformats.org/officeDocument/2006/relationships/ctrlProp" Target="../ctrlProps/ctrlProp798.xml"/><Relationship Id="rId187" Type="http://schemas.openxmlformats.org/officeDocument/2006/relationships/ctrlProp" Target="../ctrlProps/ctrlProp819.xml"/><Relationship Id="rId1" Type="http://schemas.openxmlformats.org/officeDocument/2006/relationships/hyperlink" Target="file:///\\DDSRVFILE\departamentos\Compras\GESTAO%20DEPARTAMENTO%20SUPRIMENTOS\27-PROJETOS\JE0425\JE0425%20-%20Produtos%20Pr&#233;%20Tratamento.xlsx" TargetMode="External"/><Relationship Id="rId212" Type="http://schemas.openxmlformats.org/officeDocument/2006/relationships/ctrlProp" Target="../ctrlProps/ctrlProp844.xml"/><Relationship Id="rId28" Type="http://schemas.openxmlformats.org/officeDocument/2006/relationships/hyperlink" Target="file:///\\DDSRVFILE\Rede_Geral\Deptos\Compras\GESTAO%20DEPARTAMENTO%20SUPRIMENTOS\27-PROJETOS\CR0125\CR0125-Renegocia&#231;&#227;o%20CG%20-%20DANA.xlsx" TargetMode="External"/><Relationship Id="rId49" Type="http://schemas.openxmlformats.org/officeDocument/2006/relationships/printerSettings" Target="../printerSettings/printerSettings7.bin"/><Relationship Id="rId114" Type="http://schemas.openxmlformats.org/officeDocument/2006/relationships/ctrlProp" Target="../ctrlProps/ctrlProp746.xml"/><Relationship Id="rId60" Type="http://schemas.openxmlformats.org/officeDocument/2006/relationships/ctrlProp" Target="../ctrlProps/ctrlProp692.xml"/><Relationship Id="rId81" Type="http://schemas.openxmlformats.org/officeDocument/2006/relationships/ctrlProp" Target="../ctrlProps/ctrlProp713.xml"/><Relationship Id="rId135" Type="http://schemas.openxmlformats.org/officeDocument/2006/relationships/ctrlProp" Target="../ctrlProps/ctrlProp767.xml"/><Relationship Id="rId156" Type="http://schemas.openxmlformats.org/officeDocument/2006/relationships/ctrlProp" Target="../ctrlProps/ctrlProp788.xml"/><Relationship Id="rId177" Type="http://schemas.openxmlformats.org/officeDocument/2006/relationships/ctrlProp" Target="../ctrlProps/ctrlProp809.xml"/><Relationship Id="rId198" Type="http://schemas.openxmlformats.org/officeDocument/2006/relationships/ctrlProp" Target="../ctrlProps/ctrlProp830.xml"/><Relationship Id="rId202" Type="http://schemas.openxmlformats.org/officeDocument/2006/relationships/ctrlProp" Target="../ctrlProps/ctrlProp834.xml"/><Relationship Id="rId223" Type="http://schemas.openxmlformats.org/officeDocument/2006/relationships/ctrlProp" Target="../ctrlProps/ctrlProp855.xml"/><Relationship Id="rId18" Type="http://schemas.openxmlformats.org/officeDocument/2006/relationships/hyperlink" Target="file:///\\DDSRVFILE\Rede_Geral\Deptos\Compras\GESTAO%20DEPARTAMENTO%20SUPRIMENTOS\27-PROJETOS\ES0126\ES0126%20-%20LOCA&#199;&#195;O%20GERADOR.xlsx" TargetMode="External"/><Relationship Id="rId39" Type="http://schemas.openxmlformats.org/officeDocument/2006/relationships/hyperlink" Target="file:///\\DSSRVFILE\Rede_Geral\Deptos\Compras\GESTAO%20DEPARTAMENTO%20SUPRIMENTOS\27-PROJETOS\DN0226\DN0226%20-%20Negocia&#231;&#227;o%20Mercante%20(Corte%20a%20Laser).xlsx" TargetMode="External"/><Relationship Id="rId50" Type="http://schemas.openxmlformats.org/officeDocument/2006/relationships/drawing" Target="../drawings/drawing11.xml"/><Relationship Id="rId104" Type="http://schemas.openxmlformats.org/officeDocument/2006/relationships/ctrlProp" Target="../ctrlProps/ctrlProp736.xml"/><Relationship Id="rId125" Type="http://schemas.openxmlformats.org/officeDocument/2006/relationships/ctrlProp" Target="../ctrlProps/ctrlProp757.xml"/><Relationship Id="rId146" Type="http://schemas.openxmlformats.org/officeDocument/2006/relationships/ctrlProp" Target="../ctrlProps/ctrlProp778.xml"/><Relationship Id="rId167" Type="http://schemas.openxmlformats.org/officeDocument/2006/relationships/ctrlProp" Target="../ctrlProps/ctrlProp799.xml"/><Relationship Id="rId188" Type="http://schemas.openxmlformats.org/officeDocument/2006/relationships/ctrlProp" Target="../ctrlProps/ctrlProp820.xml"/><Relationship Id="rId71" Type="http://schemas.openxmlformats.org/officeDocument/2006/relationships/ctrlProp" Target="../ctrlProps/ctrlProp703.xml"/><Relationship Id="rId92" Type="http://schemas.openxmlformats.org/officeDocument/2006/relationships/ctrlProp" Target="../ctrlProps/ctrlProp724.xml"/><Relationship Id="rId213" Type="http://schemas.openxmlformats.org/officeDocument/2006/relationships/ctrlProp" Target="../ctrlProps/ctrlProp845.xml"/><Relationship Id="rId2" Type="http://schemas.openxmlformats.org/officeDocument/2006/relationships/hyperlink" Target="file:///\\DDSRVFILE\Rede_Geral\Deptos\Compras\GESTAO%20DEPARTAMENTO%20SUPRIMENTOS\27-PROJETOS\JE0825\JE0825%20-%20Arame%20de%20Solda.xlsx" TargetMode="External"/><Relationship Id="rId29" Type="http://schemas.openxmlformats.org/officeDocument/2006/relationships/hyperlink" Target="file:///\\DDSRVFILE\departamentos\Compras\GESTAO%20DEPARTAMENTO%20SUPRIMENTOS\27-PROJETOS\EF0326\EF0326_Energia%20eletrica.xlsx" TargetMode="External"/><Relationship Id="rId40" Type="http://schemas.openxmlformats.org/officeDocument/2006/relationships/hyperlink" Target="file:///\\DSSRVFILE\Rede_Geral\Deptos\Compras\GESTAO%20DEPARTAMENTO%20SUPRIMENTOS\27-PROJETOS\JE0526" TargetMode="External"/><Relationship Id="rId115" Type="http://schemas.openxmlformats.org/officeDocument/2006/relationships/ctrlProp" Target="../ctrlProps/ctrlProp747.xml"/><Relationship Id="rId136" Type="http://schemas.openxmlformats.org/officeDocument/2006/relationships/ctrlProp" Target="../ctrlProps/ctrlProp768.xml"/><Relationship Id="rId157" Type="http://schemas.openxmlformats.org/officeDocument/2006/relationships/ctrlProp" Target="../ctrlProps/ctrlProp789.xml"/><Relationship Id="rId178" Type="http://schemas.openxmlformats.org/officeDocument/2006/relationships/ctrlProp" Target="../ctrlProps/ctrlProp810.xml"/><Relationship Id="rId61" Type="http://schemas.openxmlformats.org/officeDocument/2006/relationships/ctrlProp" Target="../ctrlProps/ctrlProp693.xml"/><Relationship Id="rId82" Type="http://schemas.openxmlformats.org/officeDocument/2006/relationships/ctrlProp" Target="../ctrlProps/ctrlProp714.xml"/><Relationship Id="rId199" Type="http://schemas.openxmlformats.org/officeDocument/2006/relationships/ctrlProp" Target="../ctrlProps/ctrlProp831.xml"/><Relationship Id="rId203" Type="http://schemas.openxmlformats.org/officeDocument/2006/relationships/ctrlProp" Target="../ctrlProps/ctrlProp835.xml"/><Relationship Id="rId19" Type="http://schemas.openxmlformats.org/officeDocument/2006/relationships/hyperlink" Target="file:///\\DDSRVFILE\Rede_Geral\Deptos\Compras\GESTAO%20DEPARTAMENTO%20SUPRIMENTOS\27-PROJETOS\AG0125\AG0125-Compressores.xlsx" TargetMode="External"/><Relationship Id="rId224" Type="http://schemas.openxmlformats.org/officeDocument/2006/relationships/comments" Target="../comments7.xml"/><Relationship Id="rId30" Type="http://schemas.openxmlformats.org/officeDocument/2006/relationships/hyperlink" Target="file:///\\DDSRVFILE\Rede_Geral\Deptos\Compras\GESTAO%20DEPARTAMENTO%20SUPRIMENTOS\27-PROJETOS\VH0226\VH0226-Estrat&#233;gia%20Comercial%20Usinas.xlsx" TargetMode="External"/><Relationship Id="rId105" Type="http://schemas.openxmlformats.org/officeDocument/2006/relationships/ctrlProp" Target="../ctrlProps/ctrlProp737.xml"/><Relationship Id="rId126" Type="http://schemas.openxmlformats.org/officeDocument/2006/relationships/ctrlProp" Target="../ctrlProps/ctrlProp758.xml"/><Relationship Id="rId147" Type="http://schemas.openxmlformats.org/officeDocument/2006/relationships/ctrlProp" Target="../ctrlProps/ctrlProp779.xml"/><Relationship Id="rId168" Type="http://schemas.openxmlformats.org/officeDocument/2006/relationships/ctrlProp" Target="../ctrlProps/ctrlProp800.xml"/><Relationship Id="rId51" Type="http://schemas.openxmlformats.org/officeDocument/2006/relationships/vmlDrawing" Target="../drawings/vmlDrawing7.vml"/><Relationship Id="rId72" Type="http://schemas.openxmlformats.org/officeDocument/2006/relationships/ctrlProp" Target="../ctrlProps/ctrlProp704.xml"/><Relationship Id="rId93" Type="http://schemas.openxmlformats.org/officeDocument/2006/relationships/ctrlProp" Target="../ctrlProps/ctrlProp725.xml"/><Relationship Id="rId189" Type="http://schemas.openxmlformats.org/officeDocument/2006/relationships/ctrlProp" Target="../ctrlProps/ctrlProp821.xml"/></Relationships>
</file>

<file path=xl/worksheets/_rels/sheet16.xml.rels><?xml version="1.0" encoding="UTF-8" standalone="yes"?>
<Relationships xmlns="http://schemas.openxmlformats.org/package/2006/relationships"><Relationship Id="rId26" Type="http://schemas.openxmlformats.org/officeDocument/2006/relationships/ctrlProp" Target="../ctrlProps/ctrlProp877.xml"/><Relationship Id="rId21" Type="http://schemas.openxmlformats.org/officeDocument/2006/relationships/ctrlProp" Target="../ctrlProps/ctrlProp872.xml"/><Relationship Id="rId42" Type="http://schemas.openxmlformats.org/officeDocument/2006/relationships/ctrlProp" Target="../ctrlProps/ctrlProp893.xml"/><Relationship Id="rId47" Type="http://schemas.openxmlformats.org/officeDocument/2006/relationships/ctrlProp" Target="../ctrlProps/ctrlProp898.xml"/><Relationship Id="rId63" Type="http://schemas.openxmlformats.org/officeDocument/2006/relationships/ctrlProp" Target="../ctrlProps/ctrlProp914.xml"/><Relationship Id="rId68" Type="http://schemas.openxmlformats.org/officeDocument/2006/relationships/ctrlProp" Target="../ctrlProps/ctrlProp919.xml"/><Relationship Id="rId16" Type="http://schemas.openxmlformats.org/officeDocument/2006/relationships/ctrlProp" Target="../ctrlProps/ctrlProp867.xml"/><Relationship Id="rId11" Type="http://schemas.openxmlformats.org/officeDocument/2006/relationships/ctrlProp" Target="../ctrlProps/ctrlProp862.xml"/><Relationship Id="rId32" Type="http://schemas.openxmlformats.org/officeDocument/2006/relationships/ctrlProp" Target="../ctrlProps/ctrlProp883.xml"/><Relationship Id="rId37" Type="http://schemas.openxmlformats.org/officeDocument/2006/relationships/ctrlProp" Target="../ctrlProps/ctrlProp888.xml"/><Relationship Id="rId53" Type="http://schemas.openxmlformats.org/officeDocument/2006/relationships/ctrlProp" Target="../ctrlProps/ctrlProp904.xml"/><Relationship Id="rId58" Type="http://schemas.openxmlformats.org/officeDocument/2006/relationships/ctrlProp" Target="../ctrlProps/ctrlProp909.xml"/><Relationship Id="rId74" Type="http://schemas.openxmlformats.org/officeDocument/2006/relationships/ctrlProp" Target="../ctrlProps/ctrlProp925.xml"/><Relationship Id="rId79" Type="http://schemas.openxmlformats.org/officeDocument/2006/relationships/ctrlProp" Target="../ctrlProps/ctrlProp930.xml"/><Relationship Id="rId5" Type="http://schemas.openxmlformats.org/officeDocument/2006/relationships/ctrlProp" Target="../ctrlProps/ctrlProp856.xml"/><Relationship Id="rId61" Type="http://schemas.openxmlformats.org/officeDocument/2006/relationships/ctrlProp" Target="../ctrlProps/ctrlProp912.xml"/><Relationship Id="rId82" Type="http://schemas.microsoft.com/office/2017/10/relationships/threadedComment" Target="../threadedComments/threadedComment8.xml"/><Relationship Id="rId19" Type="http://schemas.openxmlformats.org/officeDocument/2006/relationships/ctrlProp" Target="../ctrlProps/ctrlProp870.xml"/><Relationship Id="rId14" Type="http://schemas.openxmlformats.org/officeDocument/2006/relationships/ctrlProp" Target="../ctrlProps/ctrlProp865.xml"/><Relationship Id="rId22" Type="http://schemas.openxmlformats.org/officeDocument/2006/relationships/ctrlProp" Target="../ctrlProps/ctrlProp873.xml"/><Relationship Id="rId27" Type="http://schemas.openxmlformats.org/officeDocument/2006/relationships/ctrlProp" Target="../ctrlProps/ctrlProp878.xml"/><Relationship Id="rId30" Type="http://schemas.openxmlformats.org/officeDocument/2006/relationships/ctrlProp" Target="../ctrlProps/ctrlProp881.xml"/><Relationship Id="rId35" Type="http://schemas.openxmlformats.org/officeDocument/2006/relationships/ctrlProp" Target="../ctrlProps/ctrlProp886.xml"/><Relationship Id="rId43" Type="http://schemas.openxmlformats.org/officeDocument/2006/relationships/ctrlProp" Target="../ctrlProps/ctrlProp894.xml"/><Relationship Id="rId48" Type="http://schemas.openxmlformats.org/officeDocument/2006/relationships/ctrlProp" Target="../ctrlProps/ctrlProp899.xml"/><Relationship Id="rId56" Type="http://schemas.openxmlformats.org/officeDocument/2006/relationships/ctrlProp" Target="../ctrlProps/ctrlProp907.xml"/><Relationship Id="rId64" Type="http://schemas.openxmlformats.org/officeDocument/2006/relationships/ctrlProp" Target="../ctrlProps/ctrlProp915.xml"/><Relationship Id="rId69" Type="http://schemas.openxmlformats.org/officeDocument/2006/relationships/ctrlProp" Target="../ctrlProps/ctrlProp920.xml"/><Relationship Id="rId77" Type="http://schemas.openxmlformats.org/officeDocument/2006/relationships/ctrlProp" Target="../ctrlProps/ctrlProp928.xml"/><Relationship Id="rId8" Type="http://schemas.openxmlformats.org/officeDocument/2006/relationships/ctrlProp" Target="../ctrlProps/ctrlProp859.xml"/><Relationship Id="rId51" Type="http://schemas.openxmlformats.org/officeDocument/2006/relationships/ctrlProp" Target="../ctrlProps/ctrlProp902.xml"/><Relationship Id="rId72" Type="http://schemas.openxmlformats.org/officeDocument/2006/relationships/ctrlProp" Target="../ctrlProps/ctrlProp923.xml"/><Relationship Id="rId80" Type="http://schemas.openxmlformats.org/officeDocument/2006/relationships/ctrlProp" Target="../ctrlProps/ctrlProp931.xml"/><Relationship Id="rId3" Type="http://schemas.openxmlformats.org/officeDocument/2006/relationships/drawing" Target="../drawings/drawing12.xml"/><Relationship Id="rId12" Type="http://schemas.openxmlformats.org/officeDocument/2006/relationships/ctrlProp" Target="../ctrlProps/ctrlProp863.xml"/><Relationship Id="rId17" Type="http://schemas.openxmlformats.org/officeDocument/2006/relationships/ctrlProp" Target="../ctrlProps/ctrlProp868.xml"/><Relationship Id="rId25" Type="http://schemas.openxmlformats.org/officeDocument/2006/relationships/ctrlProp" Target="../ctrlProps/ctrlProp876.xml"/><Relationship Id="rId33" Type="http://schemas.openxmlformats.org/officeDocument/2006/relationships/ctrlProp" Target="../ctrlProps/ctrlProp884.xml"/><Relationship Id="rId38" Type="http://schemas.openxmlformats.org/officeDocument/2006/relationships/ctrlProp" Target="../ctrlProps/ctrlProp889.xml"/><Relationship Id="rId46" Type="http://schemas.openxmlformats.org/officeDocument/2006/relationships/ctrlProp" Target="../ctrlProps/ctrlProp897.xml"/><Relationship Id="rId59" Type="http://schemas.openxmlformats.org/officeDocument/2006/relationships/ctrlProp" Target="../ctrlProps/ctrlProp910.xml"/><Relationship Id="rId67" Type="http://schemas.openxmlformats.org/officeDocument/2006/relationships/ctrlProp" Target="../ctrlProps/ctrlProp918.xml"/><Relationship Id="rId20" Type="http://schemas.openxmlformats.org/officeDocument/2006/relationships/ctrlProp" Target="../ctrlProps/ctrlProp871.xml"/><Relationship Id="rId41" Type="http://schemas.openxmlformats.org/officeDocument/2006/relationships/ctrlProp" Target="../ctrlProps/ctrlProp892.xml"/><Relationship Id="rId54" Type="http://schemas.openxmlformats.org/officeDocument/2006/relationships/ctrlProp" Target="../ctrlProps/ctrlProp905.xml"/><Relationship Id="rId62" Type="http://schemas.openxmlformats.org/officeDocument/2006/relationships/ctrlProp" Target="../ctrlProps/ctrlProp913.xml"/><Relationship Id="rId70" Type="http://schemas.openxmlformats.org/officeDocument/2006/relationships/ctrlProp" Target="../ctrlProps/ctrlProp921.xml"/><Relationship Id="rId75" Type="http://schemas.openxmlformats.org/officeDocument/2006/relationships/ctrlProp" Target="../ctrlProps/ctrlProp926.xml"/><Relationship Id="rId1" Type="http://schemas.openxmlformats.org/officeDocument/2006/relationships/hyperlink" Target="file:///\\192.168.0.20\departamentos\Engenharia\0.%20Kaizen%20Diadema\6.%202026\04%20Abril\43%20-%20Projeto%20de%20Automa&#231;&#227;o%20Boomerang_Izaias%20Junior_Engenharia_REV00\43%20-%20Projeto%20de%20Automa&#231;&#227;o%20Boomerang_Izaias%20Junior_Engenharia_REV00.xlsx" TargetMode="External"/><Relationship Id="rId6" Type="http://schemas.openxmlformats.org/officeDocument/2006/relationships/ctrlProp" Target="../ctrlProps/ctrlProp857.xml"/><Relationship Id="rId15" Type="http://schemas.openxmlformats.org/officeDocument/2006/relationships/ctrlProp" Target="../ctrlProps/ctrlProp866.xml"/><Relationship Id="rId23" Type="http://schemas.openxmlformats.org/officeDocument/2006/relationships/ctrlProp" Target="../ctrlProps/ctrlProp874.xml"/><Relationship Id="rId28" Type="http://schemas.openxmlformats.org/officeDocument/2006/relationships/ctrlProp" Target="../ctrlProps/ctrlProp879.xml"/><Relationship Id="rId36" Type="http://schemas.openxmlformats.org/officeDocument/2006/relationships/ctrlProp" Target="../ctrlProps/ctrlProp887.xml"/><Relationship Id="rId49" Type="http://schemas.openxmlformats.org/officeDocument/2006/relationships/ctrlProp" Target="../ctrlProps/ctrlProp900.xml"/><Relationship Id="rId57" Type="http://schemas.openxmlformats.org/officeDocument/2006/relationships/ctrlProp" Target="../ctrlProps/ctrlProp908.xml"/><Relationship Id="rId10" Type="http://schemas.openxmlformats.org/officeDocument/2006/relationships/ctrlProp" Target="../ctrlProps/ctrlProp861.xml"/><Relationship Id="rId31" Type="http://schemas.openxmlformats.org/officeDocument/2006/relationships/ctrlProp" Target="../ctrlProps/ctrlProp882.xml"/><Relationship Id="rId44" Type="http://schemas.openxmlformats.org/officeDocument/2006/relationships/ctrlProp" Target="../ctrlProps/ctrlProp895.xml"/><Relationship Id="rId52" Type="http://schemas.openxmlformats.org/officeDocument/2006/relationships/ctrlProp" Target="../ctrlProps/ctrlProp903.xml"/><Relationship Id="rId60" Type="http://schemas.openxmlformats.org/officeDocument/2006/relationships/ctrlProp" Target="../ctrlProps/ctrlProp911.xml"/><Relationship Id="rId65" Type="http://schemas.openxmlformats.org/officeDocument/2006/relationships/ctrlProp" Target="../ctrlProps/ctrlProp916.xml"/><Relationship Id="rId73" Type="http://schemas.openxmlformats.org/officeDocument/2006/relationships/ctrlProp" Target="../ctrlProps/ctrlProp924.xml"/><Relationship Id="rId78" Type="http://schemas.openxmlformats.org/officeDocument/2006/relationships/ctrlProp" Target="../ctrlProps/ctrlProp929.xml"/><Relationship Id="rId81" Type="http://schemas.openxmlformats.org/officeDocument/2006/relationships/comments" Target="../comments8.xml"/><Relationship Id="rId4" Type="http://schemas.openxmlformats.org/officeDocument/2006/relationships/vmlDrawing" Target="../drawings/vmlDrawing8.vml"/><Relationship Id="rId9" Type="http://schemas.openxmlformats.org/officeDocument/2006/relationships/ctrlProp" Target="../ctrlProps/ctrlProp860.xml"/><Relationship Id="rId13" Type="http://schemas.openxmlformats.org/officeDocument/2006/relationships/ctrlProp" Target="../ctrlProps/ctrlProp864.xml"/><Relationship Id="rId18" Type="http://schemas.openxmlformats.org/officeDocument/2006/relationships/ctrlProp" Target="../ctrlProps/ctrlProp869.xml"/><Relationship Id="rId39" Type="http://schemas.openxmlformats.org/officeDocument/2006/relationships/ctrlProp" Target="../ctrlProps/ctrlProp890.xml"/><Relationship Id="rId34" Type="http://schemas.openxmlformats.org/officeDocument/2006/relationships/ctrlProp" Target="../ctrlProps/ctrlProp885.xml"/><Relationship Id="rId50" Type="http://schemas.openxmlformats.org/officeDocument/2006/relationships/ctrlProp" Target="../ctrlProps/ctrlProp901.xml"/><Relationship Id="rId55" Type="http://schemas.openxmlformats.org/officeDocument/2006/relationships/ctrlProp" Target="../ctrlProps/ctrlProp906.xml"/><Relationship Id="rId76" Type="http://schemas.openxmlformats.org/officeDocument/2006/relationships/ctrlProp" Target="../ctrlProps/ctrlProp927.xml"/><Relationship Id="rId7" Type="http://schemas.openxmlformats.org/officeDocument/2006/relationships/ctrlProp" Target="../ctrlProps/ctrlProp858.xml"/><Relationship Id="rId71" Type="http://schemas.openxmlformats.org/officeDocument/2006/relationships/ctrlProp" Target="../ctrlProps/ctrlProp922.xml"/><Relationship Id="rId2" Type="http://schemas.openxmlformats.org/officeDocument/2006/relationships/printerSettings" Target="../printerSettings/printerSettings8.bin"/><Relationship Id="rId29" Type="http://schemas.openxmlformats.org/officeDocument/2006/relationships/ctrlProp" Target="../ctrlProps/ctrlProp880.xml"/><Relationship Id="rId24" Type="http://schemas.openxmlformats.org/officeDocument/2006/relationships/ctrlProp" Target="../ctrlProps/ctrlProp875.xml"/><Relationship Id="rId40" Type="http://schemas.openxmlformats.org/officeDocument/2006/relationships/ctrlProp" Target="../ctrlProps/ctrlProp891.xml"/><Relationship Id="rId45" Type="http://schemas.openxmlformats.org/officeDocument/2006/relationships/ctrlProp" Target="../ctrlProps/ctrlProp896.xml"/><Relationship Id="rId66" Type="http://schemas.openxmlformats.org/officeDocument/2006/relationships/ctrlProp" Target="../ctrlProps/ctrlProp917.xml"/></Relationships>
</file>

<file path=xl/worksheets/_rels/sheet17.xml.rels><?xml version="1.0" encoding="UTF-8" standalone="yes"?>
<Relationships xmlns="http://schemas.openxmlformats.org/package/2006/relationships"><Relationship Id="rId26" Type="http://schemas.openxmlformats.org/officeDocument/2006/relationships/ctrlProp" Target="../ctrlProps/ctrlProp954.xml"/><Relationship Id="rId21" Type="http://schemas.openxmlformats.org/officeDocument/2006/relationships/ctrlProp" Target="../ctrlProps/ctrlProp949.xml"/><Relationship Id="rId42" Type="http://schemas.openxmlformats.org/officeDocument/2006/relationships/ctrlProp" Target="../ctrlProps/ctrlProp970.xml"/><Relationship Id="rId47" Type="http://schemas.openxmlformats.org/officeDocument/2006/relationships/ctrlProp" Target="../ctrlProps/ctrlProp975.xml"/><Relationship Id="rId63" Type="http://schemas.openxmlformats.org/officeDocument/2006/relationships/ctrlProp" Target="../ctrlProps/ctrlProp991.xml"/><Relationship Id="rId68" Type="http://schemas.openxmlformats.org/officeDocument/2006/relationships/ctrlProp" Target="../ctrlProps/ctrlProp996.xml"/><Relationship Id="rId16" Type="http://schemas.openxmlformats.org/officeDocument/2006/relationships/ctrlProp" Target="../ctrlProps/ctrlProp944.xml"/><Relationship Id="rId11" Type="http://schemas.openxmlformats.org/officeDocument/2006/relationships/ctrlProp" Target="../ctrlProps/ctrlProp939.xml"/><Relationship Id="rId24" Type="http://schemas.openxmlformats.org/officeDocument/2006/relationships/ctrlProp" Target="../ctrlProps/ctrlProp952.xml"/><Relationship Id="rId32" Type="http://schemas.openxmlformats.org/officeDocument/2006/relationships/ctrlProp" Target="../ctrlProps/ctrlProp960.xml"/><Relationship Id="rId37" Type="http://schemas.openxmlformats.org/officeDocument/2006/relationships/ctrlProp" Target="../ctrlProps/ctrlProp965.xml"/><Relationship Id="rId40" Type="http://schemas.openxmlformats.org/officeDocument/2006/relationships/ctrlProp" Target="../ctrlProps/ctrlProp968.xml"/><Relationship Id="rId45" Type="http://schemas.openxmlformats.org/officeDocument/2006/relationships/ctrlProp" Target="../ctrlProps/ctrlProp973.xml"/><Relationship Id="rId53" Type="http://schemas.openxmlformats.org/officeDocument/2006/relationships/ctrlProp" Target="../ctrlProps/ctrlProp981.xml"/><Relationship Id="rId58" Type="http://schemas.openxmlformats.org/officeDocument/2006/relationships/ctrlProp" Target="../ctrlProps/ctrlProp986.xml"/><Relationship Id="rId66" Type="http://schemas.openxmlformats.org/officeDocument/2006/relationships/ctrlProp" Target="../ctrlProps/ctrlProp994.xml"/><Relationship Id="rId74" Type="http://schemas.openxmlformats.org/officeDocument/2006/relationships/ctrlProp" Target="../ctrlProps/ctrlProp1002.xml"/><Relationship Id="rId79" Type="http://schemas.openxmlformats.org/officeDocument/2006/relationships/ctrlProp" Target="../ctrlProps/ctrlProp1007.xml"/><Relationship Id="rId5" Type="http://schemas.openxmlformats.org/officeDocument/2006/relationships/ctrlProp" Target="../ctrlProps/ctrlProp933.xml"/><Relationship Id="rId61" Type="http://schemas.openxmlformats.org/officeDocument/2006/relationships/ctrlProp" Target="../ctrlProps/ctrlProp989.xml"/><Relationship Id="rId19" Type="http://schemas.openxmlformats.org/officeDocument/2006/relationships/ctrlProp" Target="../ctrlProps/ctrlProp947.xml"/><Relationship Id="rId14" Type="http://schemas.openxmlformats.org/officeDocument/2006/relationships/ctrlProp" Target="../ctrlProps/ctrlProp942.xml"/><Relationship Id="rId22" Type="http://schemas.openxmlformats.org/officeDocument/2006/relationships/ctrlProp" Target="../ctrlProps/ctrlProp950.xml"/><Relationship Id="rId27" Type="http://schemas.openxmlformats.org/officeDocument/2006/relationships/ctrlProp" Target="../ctrlProps/ctrlProp955.xml"/><Relationship Id="rId30" Type="http://schemas.openxmlformats.org/officeDocument/2006/relationships/ctrlProp" Target="../ctrlProps/ctrlProp958.xml"/><Relationship Id="rId35" Type="http://schemas.openxmlformats.org/officeDocument/2006/relationships/ctrlProp" Target="../ctrlProps/ctrlProp963.xml"/><Relationship Id="rId43" Type="http://schemas.openxmlformats.org/officeDocument/2006/relationships/ctrlProp" Target="../ctrlProps/ctrlProp971.xml"/><Relationship Id="rId48" Type="http://schemas.openxmlformats.org/officeDocument/2006/relationships/ctrlProp" Target="../ctrlProps/ctrlProp976.xml"/><Relationship Id="rId56" Type="http://schemas.openxmlformats.org/officeDocument/2006/relationships/ctrlProp" Target="../ctrlProps/ctrlProp984.xml"/><Relationship Id="rId64" Type="http://schemas.openxmlformats.org/officeDocument/2006/relationships/ctrlProp" Target="../ctrlProps/ctrlProp992.xml"/><Relationship Id="rId69" Type="http://schemas.openxmlformats.org/officeDocument/2006/relationships/ctrlProp" Target="../ctrlProps/ctrlProp997.xml"/><Relationship Id="rId77" Type="http://schemas.openxmlformats.org/officeDocument/2006/relationships/ctrlProp" Target="../ctrlProps/ctrlProp1005.xml"/><Relationship Id="rId8" Type="http://schemas.openxmlformats.org/officeDocument/2006/relationships/ctrlProp" Target="../ctrlProps/ctrlProp936.xml"/><Relationship Id="rId51" Type="http://schemas.openxmlformats.org/officeDocument/2006/relationships/ctrlProp" Target="../ctrlProps/ctrlProp979.xml"/><Relationship Id="rId72" Type="http://schemas.openxmlformats.org/officeDocument/2006/relationships/ctrlProp" Target="../ctrlProps/ctrlProp1000.xml"/><Relationship Id="rId3" Type="http://schemas.openxmlformats.org/officeDocument/2006/relationships/vmlDrawing" Target="../drawings/vmlDrawing9.vml"/><Relationship Id="rId12" Type="http://schemas.openxmlformats.org/officeDocument/2006/relationships/ctrlProp" Target="../ctrlProps/ctrlProp940.xml"/><Relationship Id="rId17" Type="http://schemas.openxmlformats.org/officeDocument/2006/relationships/ctrlProp" Target="../ctrlProps/ctrlProp945.xml"/><Relationship Id="rId25" Type="http://schemas.openxmlformats.org/officeDocument/2006/relationships/ctrlProp" Target="../ctrlProps/ctrlProp953.xml"/><Relationship Id="rId33" Type="http://schemas.openxmlformats.org/officeDocument/2006/relationships/ctrlProp" Target="../ctrlProps/ctrlProp961.xml"/><Relationship Id="rId38" Type="http://schemas.openxmlformats.org/officeDocument/2006/relationships/ctrlProp" Target="../ctrlProps/ctrlProp966.xml"/><Relationship Id="rId46" Type="http://schemas.openxmlformats.org/officeDocument/2006/relationships/ctrlProp" Target="../ctrlProps/ctrlProp974.xml"/><Relationship Id="rId59" Type="http://schemas.openxmlformats.org/officeDocument/2006/relationships/ctrlProp" Target="../ctrlProps/ctrlProp987.xml"/><Relationship Id="rId67" Type="http://schemas.openxmlformats.org/officeDocument/2006/relationships/ctrlProp" Target="../ctrlProps/ctrlProp995.xml"/><Relationship Id="rId20" Type="http://schemas.openxmlformats.org/officeDocument/2006/relationships/ctrlProp" Target="../ctrlProps/ctrlProp948.xml"/><Relationship Id="rId41" Type="http://schemas.openxmlformats.org/officeDocument/2006/relationships/ctrlProp" Target="../ctrlProps/ctrlProp969.xml"/><Relationship Id="rId54" Type="http://schemas.openxmlformats.org/officeDocument/2006/relationships/ctrlProp" Target="../ctrlProps/ctrlProp982.xml"/><Relationship Id="rId62" Type="http://schemas.openxmlformats.org/officeDocument/2006/relationships/ctrlProp" Target="../ctrlProps/ctrlProp990.xml"/><Relationship Id="rId70" Type="http://schemas.openxmlformats.org/officeDocument/2006/relationships/ctrlProp" Target="../ctrlProps/ctrlProp998.xml"/><Relationship Id="rId75" Type="http://schemas.openxmlformats.org/officeDocument/2006/relationships/ctrlProp" Target="../ctrlProps/ctrlProp1003.xml"/><Relationship Id="rId1" Type="http://schemas.openxmlformats.org/officeDocument/2006/relationships/hyperlink" Target="../../../../:x:/s/Projetos2026-TI/IQC_yV9ikrW9TK6-2jhg5oGSAW9esT-rsBeRvfDaLXrUzm8?e=UjrdcT" TargetMode="External"/><Relationship Id="rId6" Type="http://schemas.openxmlformats.org/officeDocument/2006/relationships/ctrlProp" Target="../ctrlProps/ctrlProp934.xml"/><Relationship Id="rId15" Type="http://schemas.openxmlformats.org/officeDocument/2006/relationships/ctrlProp" Target="../ctrlProps/ctrlProp943.xml"/><Relationship Id="rId23" Type="http://schemas.openxmlformats.org/officeDocument/2006/relationships/ctrlProp" Target="../ctrlProps/ctrlProp951.xml"/><Relationship Id="rId28" Type="http://schemas.openxmlformats.org/officeDocument/2006/relationships/ctrlProp" Target="../ctrlProps/ctrlProp956.xml"/><Relationship Id="rId36" Type="http://schemas.openxmlformats.org/officeDocument/2006/relationships/ctrlProp" Target="../ctrlProps/ctrlProp964.xml"/><Relationship Id="rId49" Type="http://schemas.openxmlformats.org/officeDocument/2006/relationships/ctrlProp" Target="../ctrlProps/ctrlProp977.xml"/><Relationship Id="rId57" Type="http://schemas.openxmlformats.org/officeDocument/2006/relationships/ctrlProp" Target="../ctrlProps/ctrlProp985.xml"/><Relationship Id="rId10" Type="http://schemas.openxmlformats.org/officeDocument/2006/relationships/ctrlProp" Target="../ctrlProps/ctrlProp938.xml"/><Relationship Id="rId31" Type="http://schemas.openxmlformats.org/officeDocument/2006/relationships/ctrlProp" Target="../ctrlProps/ctrlProp959.xml"/><Relationship Id="rId44" Type="http://schemas.openxmlformats.org/officeDocument/2006/relationships/ctrlProp" Target="../ctrlProps/ctrlProp972.xml"/><Relationship Id="rId52" Type="http://schemas.openxmlformats.org/officeDocument/2006/relationships/ctrlProp" Target="../ctrlProps/ctrlProp980.xml"/><Relationship Id="rId60" Type="http://schemas.openxmlformats.org/officeDocument/2006/relationships/ctrlProp" Target="../ctrlProps/ctrlProp988.xml"/><Relationship Id="rId65" Type="http://schemas.openxmlformats.org/officeDocument/2006/relationships/ctrlProp" Target="../ctrlProps/ctrlProp993.xml"/><Relationship Id="rId73" Type="http://schemas.openxmlformats.org/officeDocument/2006/relationships/ctrlProp" Target="../ctrlProps/ctrlProp1001.xml"/><Relationship Id="rId78" Type="http://schemas.openxmlformats.org/officeDocument/2006/relationships/ctrlProp" Target="../ctrlProps/ctrlProp1006.xml"/><Relationship Id="rId4" Type="http://schemas.openxmlformats.org/officeDocument/2006/relationships/ctrlProp" Target="../ctrlProps/ctrlProp932.xml"/><Relationship Id="rId9" Type="http://schemas.openxmlformats.org/officeDocument/2006/relationships/ctrlProp" Target="../ctrlProps/ctrlProp937.xml"/><Relationship Id="rId13" Type="http://schemas.openxmlformats.org/officeDocument/2006/relationships/ctrlProp" Target="../ctrlProps/ctrlProp941.xml"/><Relationship Id="rId18" Type="http://schemas.openxmlformats.org/officeDocument/2006/relationships/ctrlProp" Target="../ctrlProps/ctrlProp946.xml"/><Relationship Id="rId39" Type="http://schemas.openxmlformats.org/officeDocument/2006/relationships/ctrlProp" Target="../ctrlProps/ctrlProp967.xml"/><Relationship Id="rId34" Type="http://schemas.openxmlformats.org/officeDocument/2006/relationships/ctrlProp" Target="../ctrlProps/ctrlProp962.xml"/><Relationship Id="rId50" Type="http://schemas.openxmlformats.org/officeDocument/2006/relationships/ctrlProp" Target="../ctrlProps/ctrlProp978.xml"/><Relationship Id="rId55" Type="http://schemas.openxmlformats.org/officeDocument/2006/relationships/ctrlProp" Target="../ctrlProps/ctrlProp983.xml"/><Relationship Id="rId76" Type="http://schemas.openxmlformats.org/officeDocument/2006/relationships/ctrlProp" Target="../ctrlProps/ctrlProp1004.xml"/><Relationship Id="rId7" Type="http://schemas.openxmlformats.org/officeDocument/2006/relationships/ctrlProp" Target="../ctrlProps/ctrlProp935.xml"/><Relationship Id="rId71" Type="http://schemas.openxmlformats.org/officeDocument/2006/relationships/ctrlProp" Target="../ctrlProps/ctrlProp999.xml"/><Relationship Id="rId2" Type="http://schemas.openxmlformats.org/officeDocument/2006/relationships/drawing" Target="../drawings/drawing13.xml"/><Relationship Id="rId29" Type="http://schemas.openxmlformats.org/officeDocument/2006/relationships/ctrlProp" Target="../ctrlProps/ctrlProp957.xml"/></Relationships>
</file>

<file path=xl/worksheets/_rels/sheet19.xml.rels><?xml version="1.0" encoding="UTF-8" standalone="yes"?>
<Relationships xmlns="http://schemas.openxmlformats.org/package/2006/relationships"><Relationship Id="rId1" Type="http://schemas.openxmlformats.org/officeDocument/2006/relationships/hyperlink" Target="mailto:M@ster" TargetMode="Externa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
  <sheetViews>
    <sheetView topLeftCell="A6" workbookViewId="0">
      <selection activeCell="K6" sqref="K6:L6"/>
    </sheetView>
  </sheetViews>
  <sheetFormatPr defaultRowHeight="14.4" x14ac:dyDescent="0.3"/>
  <cols>
    <col min="1" max="1" width="12" customWidth="1"/>
    <col min="2" max="2" width="16.5546875" bestFit="1" customWidth="1"/>
    <col min="3" max="4" width="12" customWidth="1"/>
    <col min="5" max="5" width="18.5546875" customWidth="1"/>
    <col min="6" max="6" width="12" customWidth="1"/>
    <col min="7" max="7" width="19" customWidth="1"/>
    <col min="8" max="14" width="12" customWidth="1"/>
  </cols>
  <sheetData>
    <row r="1" spans="1:14" ht="36.6" customHeight="1" x14ac:dyDescent="0.3">
      <c r="A1" s="1570" t="s">
        <v>0</v>
      </c>
      <c r="B1" s="1571"/>
      <c r="C1" s="1571"/>
      <c r="D1" s="1571"/>
      <c r="E1" s="1571"/>
      <c r="F1" s="1571"/>
      <c r="G1" s="1571"/>
      <c r="H1" s="1571"/>
      <c r="I1" s="1571"/>
      <c r="J1" s="1571"/>
      <c r="K1" s="1571"/>
      <c r="L1" s="1571"/>
      <c r="M1" s="1571"/>
      <c r="N1" s="1571"/>
    </row>
    <row r="2" spans="1:14" x14ac:dyDescent="0.3">
      <c r="A2" t="s">
        <v>1</v>
      </c>
      <c r="B2" t="s">
        <v>2</v>
      </c>
      <c r="D2" t="s">
        <v>3</v>
      </c>
    </row>
    <row r="4" spans="1:14" ht="18" x14ac:dyDescent="0.35">
      <c r="A4" s="1578" t="s">
        <v>4</v>
      </c>
      <c r="B4" s="1571"/>
      <c r="C4" s="1571"/>
      <c r="D4" s="1571"/>
      <c r="E4" s="1571"/>
      <c r="F4" s="1571"/>
      <c r="G4" s="1571"/>
      <c r="H4" s="1571"/>
      <c r="I4" s="1571"/>
      <c r="J4" s="1571"/>
      <c r="K4" s="1571"/>
      <c r="L4" s="1571"/>
      <c r="M4" s="1571"/>
      <c r="N4" s="1571"/>
    </row>
    <row r="5" spans="1:14" ht="41.85" customHeight="1" x14ac:dyDescent="0.3">
      <c r="A5" s="1572" t="s">
        <v>5</v>
      </c>
      <c r="B5" s="1573"/>
      <c r="C5" s="1572" t="s">
        <v>6</v>
      </c>
      <c r="D5" s="1573"/>
      <c r="E5" s="1572" t="s">
        <v>7</v>
      </c>
      <c r="F5" s="1573"/>
      <c r="G5" s="1572" t="s">
        <v>8</v>
      </c>
      <c r="H5" s="1573"/>
      <c r="I5" s="1572" t="s">
        <v>9</v>
      </c>
      <c r="J5" s="1573"/>
      <c r="K5" s="1572" t="s">
        <v>10</v>
      </c>
      <c r="L5" s="1576"/>
    </row>
    <row r="6" spans="1:14" ht="63" customHeight="1" x14ac:dyDescent="0.3">
      <c r="A6" s="1574" t="s">
        <v>11</v>
      </c>
      <c r="B6" s="1575"/>
      <c r="C6" s="1574" t="s">
        <v>12</v>
      </c>
      <c r="D6" s="1575"/>
      <c r="E6" s="1574" t="s">
        <v>13</v>
      </c>
      <c r="F6" s="1575"/>
      <c r="G6" s="1574" t="s">
        <v>11</v>
      </c>
      <c r="H6" s="1575"/>
      <c r="I6" s="1574" t="s">
        <v>14</v>
      </c>
      <c r="J6" s="1575"/>
      <c r="K6" s="1574" t="s">
        <v>14</v>
      </c>
      <c r="L6" s="1577"/>
    </row>
    <row r="8" spans="1:14" ht="15.6" x14ac:dyDescent="0.3">
      <c r="A8" s="1581" t="s">
        <v>15</v>
      </c>
      <c r="B8" s="1581"/>
      <c r="C8" s="1581"/>
      <c r="D8" s="1581"/>
      <c r="E8" s="1581"/>
      <c r="F8" s="1581"/>
    </row>
    <row r="9" spans="1:14" x14ac:dyDescent="0.3">
      <c r="A9" s="1" t="s">
        <v>16</v>
      </c>
      <c r="B9" s="1" t="s">
        <v>17</v>
      </c>
      <c r="C9" s="1" t="s">
        <v>18</v>
      </c>
      <c r="D9" s="1" t="s">
        <v>19</v>
      </c>
      <c r="E9" s="1" t="s">
        <v>8</v>
      </c>
      <c r="F9" s="1" t="s">
        <v>20</v>
      </c>
    </row>
    <row r="10" spans="1:14" x14ac:dyDescent="0.3">
      <c r="A10" s="2" t="s">
        <v>21</v>
      </c>
      <c r="B10" s="11">
        <v>6947000</v>
      </c>
      <c r="C10" s="11">
        <v>0</v>
      </c>
      <c r="D10" s="3">
        <f t="shared" ref="D10:D18" si="0">IF(B10=0,0,C10/B10)</f>
        <v>0</v>
      </c>
      <c r="E10" s="11">
        <f t="shared" ref="E10:E18" si="1">B10-C10</f>
        <v>6947000</v>
      </c>
      <c r="F10" s="2"/>
    </row>
    <row r="11" spans="1:14" x14ac:dyDescent="0.3">
      <c r="A11" s="2" t="s">
        <v>22</v>
      </c>
      <c r="B11" s="11">
        <v>13367000</v>
      </c>
      <c r="C11" s="11">
        <v>0</v>
      </c>
      <c r="D11" s="3">
        <f t="shared" si="0"/>
        <v>0</v>
      </c>
      <c r="E11" s="11">
        <f t="shared" si="1"/>
        <v>13367000</v>
      </c>
      <c r="F11" s="2"/>
    </row>
    <row r="12" spans="1:14" x14ac:dyDescent="0.3">
      <c r="A12" s="2" t="s">
        <v>23</v>
      </c>
      <c r="B12" s="11">
        <v>2100000</v>
      </c>
      <c r="C12" s="11">
        <v>0</v>
      </c>
      <c r="D12" s="3">
        <f t="shared" si="0"/>
        <v>0</v>
      </c>
      <c r="E12" s="11">
        <f t="shared" si="1"/>
        <v>2100000</v>
      </c>
      <c r="F12" s="2"/>
    </row>
    <row r="13" spans="1:14" x14ac:dyDescent="0.3">
      <c r="A13" s="2" t="s">
        <v>24</v>
      </c>
      <c r="B13" s="11">
        <v>5356000</v>
      </c>
      <c r="C13" s="11">
        <v>0</v>
      </c>
      <c r="D13" s="3">
        <f t="shared" si="0"/>
        <v>0</v>
      </c>
      <c r="E13" s="11">
        <f t="shared" si="1"/>
        <v>5356000</v>
      </c>
      <c r="F13" s="2"/>
    </row>
    <row r="14" spans="1:14" x14ac:dyDescent="0.3">
      <c r="A14" s="2" t="s">
        <v>25</v>
      </c>
      <c r="B14" s="11">
        <v>3841000</v>
      </c>
      <c r="C14" s="11">
        <v>0</v>
      </c>
      <c r="D14" s="3">
        <f t="shared" si="0"/>
        <v>0</v>
      </c>
      <c r="E14" s="11">
        <f t="shared" si="1"/>
        <v>3841000</v>
      </c>
      <c r="F14" s="2"/>
    </row>
    <row r="15" spans="1:14" x14ac:dyDescent="0.3">
      <c r="A15" s="2" t="s">
        <v>26</v>
      </c>
      <c r="B15" s="11">
        <v>7000000</v>
      </c>
      <c r="C15" s="11">
        <v>0</v>
      </c>
      <c r="D15" s="3">
        <f t="shared" si="0"/>
        <v>0</v>
      </c>
      <c r="E15" s="11">
        <f t="shared" si="1"/>
        <v>7000000</v>
      </c>
      <c r="F15" s="2"/>
    </row>
    <row r="16" spans="1:14" x14ac:dyDescent="0.3">
      <c r="A16" s="2" t="s">
        <v>27</v>
      </c>
      <c r="B16" s="11">
        <v>10000000</v>
      </c>
      <c r="C16" s="11">
        <v>0</v>
      </c>
      <c r="D16" s="3">
        <f t="shared" si="0"/>
        <v>0</v>
      </c>
      <c r="E16" s="11">
        <f t="shared" si="1"/>
        <v>10000000</v>
      </c>
      <c r="F16" s="2"/>
    </row>
    <row r="17" spans="1:9" x14ac:dyDescent="0.3">
      <c r="A17" s="2" t="s">
        <v>28</v>
      </c>
      <c r="B17" s="11">
        <v>1709000</v>
      </c>
      <c r="C17" s="11"/>
      <c r="D17" s="3"/>
      <c r="E17" s="11"/>
      <c r="F17" s="2"/>
    </row>
    <row r="18" spans="1:9" x14ac:dyDescent="0.3">
      <c r="A18" s="4" t="s">
        <v>29</v>
      </c>
      <c r="B18" s="12">
        <f>SUM(B10:B16)</f>
        <v>48611000</v>
      </c>
      <c r="C18" s="12">
        <f>SUM(C10:C16)</f>
        <v>0</v>
      </c>
      <c r="D18" s="3">
        <f t="shared" si="0"/>
        <v>0</v>
      </c>
      <c r="E18" s="11">
        <f t="shared" si="1"/>
        <v>48611000</v>
      </c>
      <c r="G18" s="6"/>
      <c r="H18" s="6"/>
    </row>
    <row r="20" spans="1:9" ht="15.6" x14ac:dyDescent="0.3">
      <c r="A20" s="1583" t="s">
        <v>30</v>
      </c>
      <c r="B20" s="1571"/>
      <c r="C20" s="1571"/>
      <c r="D20" s="1571"/>
      <c r="E20" s="1571"/>
      <c r="F20" s="1571"/>
      <c r="G20" s="1571"/>
      <c r="H20" s="1571"/>
      <c r="I20" s="1571"/>
    </row>
    <row r="21" spans="1:9" x14ac:dyDescent="0.3">
      <c r="A21" s="5" t="s">
        <v>31</v>
      </c>
      <c r="B21" s="5" t="s">
        <v>17</v>
      </c>
      <c r="C21" s="5" t="s">
        <v>32</v>
      </c>
      <c r="D21" s="5" t="s">
        <v>33</v>
      </c>
      <c r="E21" s="5" t="s">
        <v>34</v>
      </c>
      <c r="F21" s="5" t="s">
        <v>35</v>
      </c>
      <c r="G21" s="5" t="s">
        <v>36</v>
      </c>
      <c r="H21" s="5" t="s">
        <v>37</v>
      </c>
      <c r="I21" s="5" t="s">
        <v>20</v>
      </c>
    </row>
    <row r="22" spans="1:9" x14ac:dyDescent="0.3">
      <c r="A22" s="2"/>
      <c r="B22" s="2"/>
      <c r="C22" s="2"/>
      <c r="D22" s="2"/>
      <c r="E22" s="2"/>
      <c r="F22" s="2"/>
      <c r="G22" s="2"/>
      <c r="H22" s="2" t="e">
        <f t="shared" ref="H22:H37" si="2">AVERAGE(C22:G22)</f>
        <v>#DIV/0!</v>
      </c>
      <c r="I22" s="2"/>
    </row>
    <row r="23" spans="1:9" x14ac:dyDescent="0.3">
      <c r="A23" s="2"/>
      <c r="B23" s="2"/>
      <c r="C23" s="2"/>
      <c r="D23" s="2"/>
      <c r="E23" s="2"/>
      <c r="F23" s="2"/>
      <c r="G23" s="2"/>
      <c r="H23" s="2" t="e">
        <f t="shared" si="2"/>
        <v>#DIV/0!</v>
      </c>
      <c r="I23" s="2"/>
    </row>
    <row r="24" spans="1:9" x14ac:dyDescent="0.3">
      <c r="A24" s="2"/>
      <c r="B24" s="2"/>
      <c r="C24" s="2"/>
      <c r="D24" s="2"/>
      <c r="E24" s="2"/>
      <c r="F24" s="2"/>
      <c r="G24" s="2"/>
      <c r="H24" s="2" t="e">
        <f t="shared" si="2"/>
        <v>#DIV/0!</v>
      </c>
      <c r="I24" s="2"/>
    </row>
    <row r="25" spans="1:9" x14ac:dyDescent="0.3">
      <c r="A25" s="2"/>
      <c r="B25" s="2"/>
      <c r="C25" s="2"/>
      <c r="D25" s="2"/>
      <c r="E25" s="2"/>
      <c r="F25" s="2"/>
      <c r="G25" s="2"/>
      <c r="H25" s="2" t="e">
        <f t="shared" si="2"/>
        <v>#DIV/0!</v>
      </c>
      <c r="I25" s="2"/>
    </row>
    <row r="26" spans="1:9" x14ac:dyDescent="0.3">
      <c r="A26" s="2"/>
      <c r="B26" s="2"/>
      <c r="C26" s="2"/>
      <c r="D26" s="2"/>
      <c r="E26" s="2"/>
      <c r="F26" s="2"/>
      <c r="G26" s="2"/>
      <c r="H26" s="2" t="e">
        <f t="shared" si="2"/>
        <v>#DIV/0!</v>
      </c>
      <c r="I26" s="2"/>
    </row>
    <row r="27" spans="1:9" x14ac:dyDescent="0.3">
      <c r="A27" s="2"/>
      <c r="B27" s="2"/>
      <c r="C27" s="2"/>
      <c r="D27" s="2"/>
      <c r="E27" s="2"/>
      <c r="F27" s="2"/>
      <c r="G27" s="2"/>
      <c r="H27" s="2" t="e">
        <f t="shared" si="2"/>
        <v>#DIV/0!</v>
      </c>
      <c r="I27" s="2"/>
    </row>
    <row r="28" spans="1:9" x14ac:dyDescent="0.3">
      <c r="A28" s="2"/>
      <c r="B28" s="2"/>
      <c r="C28" s="2"/>
      <c r="D28" s="2"/>
      <c r="E28" s="2"/>
      <c r="F28" s="2"/>
      <c r="G28" s="2"/>
      <c r="H28" s="2" t="e">
        <f t="shared" si="2"/>
        <v>#DIV/0!</v>
      </c>
      <c r="I28" s="2"/>
    </row>
    <row r="29" spans="1:9" x14ac:dyDescent="0.3">
      <c r="A29" s="2"/>
      <c r="B29" s="2"/>
      <c r="C29" s="2"/>
      <c r="D29" s="2"/>
      <c r="E29" s="2"/>
      <c r="F29" s="2"/>
      <c r="G29" s="2"/>
      <c r="H29" s="2" t="e">
        <f t="shared" si="2"/>
        <v>#DIV/0!</v>
      </c>
      <c r="I29" s="2"/>
    </row>
    <row r="30" spans="1:9" x14ac:dyDescent="0.3">
      <c r="A30" s="2"/>
      <c r="B30" s="2"/>
      <c r="C30" s="2"/>
      <c r="D30" s="2"/>
      <c r="E30" s="2"/>
      <c r="F30" s="2"/>
      <c r="G30" s="2"/>
      <c r="H30" s="2" t="e">
        <f t="shared" si="2"/>
        <v>#DIV/0!</v>
      </c>
      <c r="I30" s="2"/>
    </row>
    <row r="31" spans="1:9" x14ac:dyDescent="0.3">
      <c r="A31" s="2"/>
      <c r="B31" s="2"/>
      <c r="C31" s="2"/>
      <c r="D31" s="2"/>
      <c r="E31" s="2"/>
      <c r="F31" s="2"/>
      <c r="G31" s="2"/>
      <c r="H31" s="2" t="e">
        <f t="shared" si="2"/>
        <v>#DIV/0!</v>
      </c>
      <c r="I31" s="2"/>
    </row>
    <row r="32" spans="1:9" x14ac:dyDescent="0.3">
      <c r="A32" s="2"/>
      <c r="B32" s="2"/>
      <c r="C32" s="2"/>
      <c r="D32" s="2"/>
      <c r="E32" s="2"/>
      <c r="F32" s="2"/>
      <c r="G32" s="2"/>
      <c r="H32" s="2" t="e">
        <f t="shared" si="2"/>
        <v>#DIV/0!</v>
      </c>
      <c r="I32" s="2"/>
    </row>
    <row r="33" spans="1:14" x14ac:dyDescent="0.3">
      <c r="A33" s="2"/>
      <c r="B33" s="2"/>
      <c r="C33" s="2"/>
      <c r="D33" s="2"/>
      <c r="E33" s="2"/>
      <c r="F33" s="2"/>
      <c r="G33" s="2"/>
      <c r="H33" s="2" t="e">
        <f t="shared" si="2"/>
        <v>#DIV/0!</v>
      </c>
      <c r="I33" s="2"/>
    </row>
    <row r="34" spans="1:14" x14ac:dyDescent="0.3">
      <c r="A34" s="2"/>
      <c r="B34" s="2"/>
      <c r="C34" s="2"/>
      <c r="D34" s="2"/>
      <c r="E34" s="2"/>
      <c r="F34" s="2"/>
      <c r="G34" s="2"/>
      <c r="H34" s="2" t="e">
        <f t="shared" si="2"/>
        <v>#DIV/0!</v>
      </c>
      <c r="I34" s="2"/>
    </row>
    <row r="35" spans="1:14" x14ac:dyDescent="0.3">
      <c r="A35" s="2"/>
      <c r="B35" s="2"/>
      <c r="C35" s="2"/>
      <c r="D35" s="2"/>
      <c r="E35" s="2"/>
      <c r="F35" s="2"/>
      <c r="G35" s="2"/>
      <c r="H35" s="2" t="e">
        <f t="shared" si="2"/>
        <v>#DIV/0!</v>
      </c>
      <c r="I35" s="2"/>
    </row>
    <row r="36" spans="1:14" x14ac:dyDescent="0.3">
      <c r="A36" s="2"/>
      <c r="B36" s="2"/>
      <c r="C36" s="2"/>
      <c r="D36" s="2"/>
      <c r="E36" s="2"/>
      <c r="F36" s="2"/>
      <c r="G36" s="2"/>
      <c r="H36" s="2" t="e">
        <f t="shared" si="2"/>
        <v>#DIV/0!</v>
      </c>
      <c r="I36" s="2"/>
    </row>
    <row r="37" spans="1:14" x14ac:dyDescent="0.3">
      <c r="A37" s="2"/>
      <c r="B37" s="2"/>
      <c r="C37" s="2"/>
      <c r="D37" s="2"/>
      <c r="E37" s="2"/>
      <c r="F37" s="2"/>
      <c r="G37" s="2"/>
      <c r="H37" s="2" t="e">
        <f t="shared" si="2"/>
        <v>#DIV/0!</v>
      </c>
      <c r="I37" s="2"/>
    </row>
    <row r="40" spans="1:14" ht="15.6" x14ac:dyDescent="0.3">
      <c r="A40" s="1582" t="s">
        <v>38</v>
      </c>
      <c r="B40" s="1571"/>
      <c r="C40" s="1571"/>
      <c r="D40" s="1571"/>
      <c r="E40" s="1571"/>
      <c r="F40" s="1571"/>
      <c r="G40" s="1571"/>
      <c r="H40" s="1580" t="s">
        <v>39</v>
      </c>
      <c r="I40" s="1571"/>
      <c r="J40" s="1571"/>
      <c r="K40" s="1571"/>
      <c r="L40" s="1571"/>
      <c r="M40" s="1571"/>
      <c r="N40" s="1571"/>
    </row>
    <row r="41" spans="1:14" x14ac:dyDescent="0.3">
      <c r="A41" s="2" t="s">
        <v>40</v>
      </c>
      <c r="B41" s="1579"/>
      <c r="C41" s="1571"/>
      <c r="D41" s="1571"/>
      <c r="E41" s="1571"/>
      <c r="F41" s="1571"/>
      <c r="G41" s="1571"/>
      <c r="H41" s="2" t="s">
        <v>40</v>
      </c>
      <c r="I41" s="1579"/>
      <c r="J41" s="1571"/>
      <c r="K41" s="1571"/>
      <c r="L41" s="1571"/>
      <c r="M41" s="1571"/>
      <c r="N41" s="1571"/>
    </row>
    <row r="42" spans="1:14" x14ac:dyDescent="0.3">
      <c r="A42" s="2" t="s">
        <v>41</v>
      </c>
      <c r="B42" s="1579"/>
      <c r="C42" s="1571"/>
      <c r="D42" s="1571"/>
      <c r="E42" s="1571"/>
      <c r="F42" s="1571"/>
      <c r="G42" s="1571"/>
      <c r="H42" s="2" t="s">
        <v>41</v>
      </c>
      <c r="I42" s="1579"/>
      <c r="J42" s="1571"/>
      <c r="K42" s="1571"/>
      <c r="L42" s="1571"/>
      <c r="M42" s="1571"/>
      <c r="N42" s="1571"/>
    </row>
    <row r="43" spans="1:14" x14ac:dyDescent="0.3">
      <c r="A43" s="2" t="s">
        <v>42</v>
      </c>
      <c r="B43" s="1579"/>
      <c r="C43" s="1571"/>
      <c r="D43" s="1571"/>
      <c r="E43" s="1571"/>
      <c r="F43" s="1571"/>
      <c r="G43" s="1571"/>
      <c r="H43" s="2" t="s">
        <v>42</v>
      </c>
      <c r="I43" s="1579"/>
      <c r="J43" s="1571"/>
      <c r="K43" s="1571"/>
      <c r="L43" s="1571"/>
      <c r="M43" s="1571"/>
      <c r="N43" s="1571"/>
    </row>
    <row r="44" spans="1:14" x14ac:dyDescent="0.3">
      <c r="A44" s="2" t="s">
        <v>43</v>
      </c>
      <c r="B44" s="1579"/>
      <c r="C44" s="1571"/>
      <c r="D44" s="1571"/>
      <c r="E44" s="1571"/>
      <c r="F44" s="1571"/>
      <c r="G44" s="1571"/>
      <c r="H44" s="2" t="s">
        <v>43</v>
      </c>
      <c r="I44" s="1579"/>
      <c r="J44" s="1571"/>
      <c r="K44" s="1571"/>
      <c r="L44" s="1571"/>
      <c r="M44" s="1571"/>
      <c r="N44" s="1571"/>
    </row>
    <row r="45" spans="1:14" x14ac:dyDescent="0.3">
      <c r="A45" s="2" t="s">
        <v>44</v>
      </c>
      <c r="B45" s="1579"/>
      <c r="C45" s="1571"/>
      <c r="D45" s="1571"/>
      <c r="E45" s="1571"/>
      <c r="F45" s="1571"/>
      <c r="G45" s="1571"/>
      <c r="H45" s="2" t="s">
        <v>44</v>
      </c>
      <c r="I45" s="1579"/>
      <c r="J45" s="1571"/>
      <c r="K45" s="1571"/>
      <c r="L45" s="1571"/>
      <c r="M45" s="1571"/>
      <c r="N45" s="1571"/>
    </row>
  </sheetData>
  <mergeCells count="28">
    <mergeCell ref="I42:N42"/>
    <mergeCell ref="H40:N40"/>
    <mergeCell ref="B41:G41"/>
    <mergeCell ref="A8:F8"/>
    <mergeCell ref="A40:G40"/>
    <mergeCell ref="B42:G42"/>
    <mergeCell ref="A20:I20"/>
    <mergeCell ref="I41:N41"/>
    <mergeCell ref="B45:G45"/>
    <mergeCell ref="I44:N44"/>
    <mergeCell ref="I45:N45"/>
    <mergeCell ref="B43:G43"/>
    <mergeCell ref="I43:N43"/>
    <mergeCell ref="B44:G44"/>
    <mergeCell ref="A1:N1"/>
    <mergeCell ref="A5:B5"/>
    <mergeCell ref="A6:B6"/>
    <mergeCell ref="C5:D5"/>
    <mergeCell ref="C6:D6"/>
    <mergeCell ref="E5:F5"/>
    <mergeCell ref="E6:F6"/>
    <mergeCell ref="G5:H5"/>
    <mergeCell ref="G6:H6"/>
    <mergeCell ref="I5:J5"/>
    <mergeCell ref="I6:J6"/>
    <mergeCell ref="K5:L5"/>
    <mergeCell ref="K6:L6"/>
    <mergeCell ref="A4:N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8386B-FF62-4363-8709-53270BF3324E}">
  <sheetPr filterMode="1"/>
  <dimension ref="A1:AI358"/>
  <sheetViews>
    <sheetView tabSelected="1" topLeftCell="B1" zoomScale="70" zoomScaleNormal="70" workbookViewId="0">
      <selection activeCell="D4" sqref="D4:S4"/>
    </sheetView>
  </sheetViews>
  <sheetFormatPr defaultRowHeight="15" customHeight="1" x14ac:dyDescent="0.3"/>
  <cols>
    <col min="1" max="1" width="5.44140625" hidden="1" customWidth="1"/>
    <col min="2" max="2" width="3.5546875" style="20" customWidth="1"/>
    <col min="3" max="3" width="1.44140625" customWidth="1"/>
    <col min="4" max="5" width="36.44140625" customWidth="1"/>
    <col min="6" max="6" width="33.44140625" bestFit="1" customWidth="1"/>
    <col min="7" max="7" width="30.44140625" bestFit="1" customWidth="1"/>
    <col min="8" max="8" width="23.5546875" customWidth="1"/>
    <col min="9" max="9" width="18.5546875" customWidth="1"/>
    <col min="10" max="10" width="37.44140625" bestFit="1" customWidth="1"/>
    <col min="11" max="11" width="41" customWidth="1"/>
    <col min="12" max="12" width="18.5546875" customWidth="1"/>
    <col min="13" max="13" width="24" customWidth="1"/>
    <col min="14" max="14" width="16.44140625" customWidth="1"/>
    <col min="15" max="15" width="1" customWidth="1"/>
    <col min="16" max="16" width="23.5546875" customWidth="1"/>
    <col min="17" max="17" width="16" customWidth="1"/>
    <col min="18" max="18" width="12.5546875" customWidth="1"/>
    <col min="19" max="19" width="15.5546875" customWidth="1"/>
    <col min="20" max="20" width="1.44140625" customWidth="1"/>
    <col min="22" max="22" width="26.44140625" bestFit="1" customWidth="1"/>
    <col min="23" max="23" width="18.44140625" bestFit="1" customWidth="1"/>
    <col min="24" max="24" width="18.5546875" bestFit="1" customWidth="1"/>
    <col min="25" max="25" width="19.44140625" bestFit="1" customWidth="1"/>
    <col min="26" max="26" width="18.5546875" bestFit="1" customWidth="1"/>
    <col min="27" max="27" width="19.44140625" bestFit="1" customWidth="1"/>
    <col min="28" max="28" width="19.5546875" bestFit="1" customWidth="1"/>
    <col min="29" max="29" width="19.44140625" bestFit="1" customWidth="1"/>
    <col min="30" max="30" width="19.5546875" bestFit="1" customWidth="1"/>
    <col min="31" max="31" width="20.44140625" bestFit="1" customWidth="1"/>
    <col min="32" max="35" width="20.5546875" bestFit="1" customWidth="1"/>
  </cols>
  <sheetData>
    <row r="1" spans="3:35" s="20" customFormat="1" ht="4.3499999999999996" customHeight="1" thickBot="1" x14ac:dyDescent="0.35"/>
    <row r="2" spans="3:35" ht="6" customHeight="1" thickTop="1" thickBot="1" x14ac:dyDescent="0.35">
      <c r="C2" s="43"/>
      <c r="D2" s="44"/>
      <c r="E2" s="44"/>
      <c r="F2" s="44"/>
      <c r="G2" s="44"/>
      <c r="H2" s="44"/>
      <c r="I2" s="44"/>
      <c r="J2" s="44"/>
      <c r="K2" s="44"/>
      <c r="L2" s="44"/>
      <c r="M2" s="44"/>
      <c r="N2" s="44"/>
      <c r="O2" s="44"/>
      <c r="P2" s="44"/>
      <c r="Q2" s="44"/>
      <c r="R2" s="44"/>
      <c r="S2" s="44"/>
      <c r="T2" s="45"/>
      <c r="V2" s="20"/>
      <c r="W2" s="20"/>
      <c r="X2" s="20"/>
      <c r="Y2" s="20"/>
      <c r="Z2" s="20"/>
      <c r="AA2" s="20"/>
      <c r="AB2" s="20"/>
      <c r="AC2" s="20"/>
      <c r="AD2" s="20"/>
      <c r="AE2" s="20"/>
      <c r="AF2" s="20"/>
      <c r="AG2" s="20"/>
      <c r="AH2" s="20"/>
      <c r="AI2" s="20"/>
    </row>
    <row r="3" spans="3:35" ht="50.85" customHeight="1" thickTop="1" x14ac:dyDescent="1.1000000000000001">
      <c r="C3" s="36"/>
      <c r="D3" s="1584" t="s">
        <v>45</v>
      </c>
      <c r="E3" s="1585"/>
      <c r="F3" s="1585"/>
      <c r="G3" s="1585"/>
      <c r="H3" s="1585"/>
      <c r="I3" s="1585"/>
      <c r="J3" s="1585"/>
      <c r="K3" s="1585"/>
      <c r="L3" s="1585"/>
      <c r="M3" s="1585"/>
      <c r="N3" s="1585"/>
      <c r="O3" s="1585"/>
      <c r="P3" s="1585"/>
      <c r="Q3" s="1585"/>
      <c r="R3" s="1585"/>
      <c r="S3" s="46"/>
      <c r="T3" s="27"/>
      <c r="U3" s="20"/>
      <c r="V3" s="20"/>
      <c r="W3" s="20"/>
      <c r="X3" s="20"/>
      <c r="Y3" s="20"/>
      <c r="Z3" s="20"/>
      <c r="AA3" s="20"/>
      <c r="AB3" s="20"/>
      <c r="AC3" s="20"/>
      <c r="AD3" s="20"/>
      <c r="AE3" s="20"/>
      <c r="AF3" s="20"/>
      <c r="AG3" s="20"/>
      <c r="AH3" s="20"/>
      <c r="AI3" s="20"/>
    </row>
    <row r="4" spans="3:35" ht="25.35" customHeight="1" thickBot="1" x14ac:dyDescent="0.35">
      <c r="C4" s="37"/>
      <c r="D4" s="1586" t="s">
        <v>46</v>
      </c>
      <c r="E4" s="1587"/>
      <c r="F4" s="1587"/>
      <c r="G4" s="1587"/>
      <c r="H4" s="1587"/>
      <c r="I4" s="1587"/>
      <c r="J4" s="1587"/>
      <c r="K4" s="1587"/>
      <c r="L4" s="1587"/>
      <c r="M4" s="1587"/>
      <c r="N4" s="1587"/>
      <c r="O4" s="1587"/>
      <c r="P4" s="1587"/>
      <c r="Q4" s="1587"/>
      <c r="R4" s="1587"/>
      <c r="S4" s="1588"/>
      <c r="T4" s="33"/>
      <c r="U4" s="20"/>
      <c r="V4" s="20"/>
      <c r="W4" s="20"/>
      <c r="X4" s="20"/>
      <c r="Y4" s="20"/>
      <c r="Z4" s="20"/>
      <c r="AA4" s="20"/>
      <c r="AB4" s="20"/>
      <c r="AC4" s="20"/>
      <c r="AD4" s="20"/>
      <c r="AE4" s="20"/>
      <c r="AF4" s="20"/>
      <c r="AG4" s="20"/>
      <c r="AH4" s="20"/>
      <c r="AI4" s="20"/>
    </row>
    <row r="5" spans="3:35" ht="8.1" customHeight="1" thickTop="1" x14ac:dyDescent="0.3">
      <c r="C5" s="36"/>
      <c r="D5" s="47"/>
      <c r="E5" s="47"/>
      <c r="F5" s="47"/>
      <c r="G5" s="47"/>
      <c r="H5" s="47"/>
      <c r="I5" s="47"/>
      <c r="J5" s="47"/>
      <c r="K5" s="47"/>
      <c r="L5" s="47"/>
      <c r="M5" s="47"/>
      <c r="N5" s="47"/>
      <c r="O5" s="47"/>
      <c r="P5" s="47"/>
      <c r="Q5" s="47"/>
      <c r="R5" s="47"/>
      <c r="S5" s="47"/>
      <c r="T5" s="27"/>
      <c r="U5" s="20"/>
      <c r="V5" s="20"/>
      <c r="W5" s="20"/>
      <c r="X5" s="20"/>
      <c r="Y5" s="20"/>
      <c r="Z5" s="20"/>
      <c r="AA5" s="20"/>
      <c r="AB5" s="20"/>
      <c r="AC5" s="20"/>
      <c r="AD5" s="20"/>
      <c r="AE5" s="20"/>
      <c r="AF5" s="20"/>
      <c r="AG5" s="20"/>
      <c r="AH5" s="20"/>
      <c r="AI5" s="20"/>
    </row>
    <row r="6" spans="3:35" ht="15.6" customHeight="1" x14ac:dyDescent="0.3">
      <c r="C6" s="36"/>
      <c r="D6" s="978" t="s">
        <v>47</v>
      </c>
      <c r="E6" s="979" t="s">
        <v>48</v>
      </c>
      <c r="F6" s="980" t="s">
        <v>49</v>
      </c>
      <c r="G6" s="981" t="s">
        <v>50</v>
      </c>
      <c r="H6" s="1589" t="s">
        <v>51</v>
      </c>
      <c r="I6" s="1589"/>
      <c r="J6" s="918" t="s">
        <v>52</v>
      </c>
      <c r="K6" s="919" t="s">
        <v>53</v>
      </c>
      <c r="L6" s="1590" t="s">
        <v>54</v>
      </c>
      <c r="M6" s="1590"/>
      <c r="N6" s="1590" t="s">
        <v>55</v>
      </c>
      <c r="O6" s="1591"/>
      <c r="P6" s="1592" t="s">
        <v>56</v>
      </c>
      <c r="Q6" s="1593"/>
      <c r="R6" s="1593"/>
      <c r="S6" s="1594"/>
      <c r="T6" s="27"/>
      <c r="U6" s="20"/>
      <c r="V6" s="20" t="s">
        <v>57</v>
      </c>
      <c r="W6" s="20" t="s">
        <v>58</v>
      </c>
      <c r="X6" s="20"/>
      <c r="Y6" s="20"/>
      <c r="Z6" s="20"/>
      <c r="AA6" s="20"/>
      <c r="AB6" s="20"/>
      <c r="AC6" s="20"/>
      <c r="AD6" s="20"/>
      <c r="AE6" s="20"/>
      <c r="AF6" s="20"/>
      <c r="AG6" s="20"/>
      <c r="AH6" s="20"/>
      <c r="AI6" s="20"/>
    </row>
    <row r="7" spans="3:35" ht="24.6" customHeight="1" x14ac:dyDescent="0.3">
      <c r="C7" s="36"/>
      <c r="D7" s="1598">
        <f>Diadema!A5+Ferraz!A5+'São Leopoldo'!A5+Jarinu!A5+Anchieta!A5+Corporativo!A5+'Compras '!A5+Vendas!A5+'Diretoria Financeira'!A5+'Head Qualidade&amp;Dir. Industrial'!A5</f>
        <v>50320000</v>
      </c>
      <c r="E7" s="1628">
        <f>Diadema!B5+Jarinu!B5+Ferraz!B5+Anchieta!B5+'São Leopoldo'!B5+'Compras '!C5+Vendas!C5+Corporativo!C5</f>
        <v>54030314.122736141</v>
      </c>
      <c r="F7" s="1601">
        <f>Diadema!C5+Jarinu!C5+Ferraz!C5+Anchieta!C5+'São Leopoldo'!C5+'Compras '!D5</f>
        <v>24988664.664441295</v>
      </c>
      <c r="G7" s="1631">
        <f>Diadema!D5+Jarinu!D5+Ferraz!D5+Anchieta!D5+'São Leopoldo'!D5+'Compras '!E5+Vendas!E5</f>
        <v>33811406.87597391</v>
      </c>
      <c r="H7" s="1616">
        <f>Diadema!E5+Jarinu!E5+Ferraz!E5+Anchieta!E5+'São Leopoldo'!E5+'Compras '!G5+Vendas!G5</f>
        <v>15697315.135948174</v>
      </c>
      <c r="I7" s="1617"/>
      <c r="J7" s="1634">
        <f ca="1">Diadema!G5+Ferraz!G5+Jarinu!G5+'São Leopoldo'!G5+Anchieta!G5+'Compras '!I5+Vendas!I5+Corporativo!G5</f>
        <v>5623569.7600761652</v>
      </c>
      <c r="K7" s="1637">
        <f>Diadema!I5+Ferraz!I5+Jarinu!I5+'São Leopoldo'!I5+Anchieta!I5+Vendas!I7</f>
        <v>3579261.784089</v>
      </c>
      <c r="L7" s="1622">
        <f ca="1">J7/D7</f>
        <v>0.1117561558043753</v>
      </c>
      <c r="M7" s="1623"/>
      <c r="N7" s="1604">
        <f>E21</f>
        <v>216</v>
      </c>
      <c r="O7" s="1605"/>
      <c r="P7" s="766">
        <f ca="1">K56</f>
        <v>1546534.6866666665</v>
      </c>
      <c r="Q7" s="1610" t="str">
        <f ca="1">F56</f>
        <v>Negociação de preços materiais carcaça Dana</v>
      </c>
      <c r="R7" s="1611"/>
      <c r="S7" s="768" t="str">
        <f ca="1">E56</f>
        <v>Compras</v>
      </c>
      <c r="T7" s="27"/>
      <c r="U7" s="20"/>
      <c r="V7" s="20" t="s">
        <v>59</v>
      </c>
      <c r="W7" s="20" t="s">
        <v>60</v>
      </c>
      <c r="X7" s="20"/>
      <c r="Y7" s="20"/>
      <c r="Z7" s="20"/>
      <c r="AA7" s="20"/>
      <c r="AB7" s="20"/>
      <c r="AC7" s="20"/>
      <c r="AD7" s="20"/>
      <c r="AE7" s="20"/>
      <c r="AF7" s="20"/>
      <c r="AG7" s="20"/>
      <c r="AH7" s="20"/>
      <c r="AI7" s="20"/>
    </row>
    <row r="8" spans="3:35" ht="24.6" customHeight="1" x14ac:dyDescent="0.3">
      <c r="C8" s="36"/>
      <c r="D8" s="1599"/>
      <c r="E8" s="1629"/>
      <c r="F8" s="1602"/>
      <c r="G8" s="1632"/>
      <c r="H8" s="1618"/>
      <c r="I8" s="1619"/>
      <c r="J8" s="1635"/>
      <c r="K8" s="1638"/>
      <c r="L8" s="1624"/>
      <c r="M8" s="1625"/>
      <c r="N8" s="1606"/>
      <c r="O8" s="1607"/>
      <c r="P8" s="767">
        <f ca="1">J57</f>
        <v>520985.22899999993</v>
      </c>
      <c r="Q8" s="1612" t="str">
        <f ca="1">F57</f>
        <v>07- Reestruturação</v>
      </c>
      <c r="R8" s="1613"/>
      <c r="S8" s="769" t="str">
        <f ca="1">E57</f>
        <v>São leopoldo</v>
      </c>
      <c r="T8" s="27"/>
      <c r="U8" s="20"/>
      <c r="V8" s="20" t="s">
        <v>61</v>
      </c>
      <c r="W8" s="20" t="s">
        <v>62</v>
      </c>
      <c r="X8" s="20"/>
      <c r="Y8" s="20"/>
      <c r="Z8" s="20"/>
      <c r="AA8" s="20"/>
      <c r="AB8" s="20"/>
      <c r="AC8" s="20"/>
      <c r="AD8" s="20"/>
      <c r="AE8" s="20"/>
      <c r="AF8" s="20"/>
      <c r="AG8" s="20"/>
      <c r="AH8" s="20"/>
      <c r="AI8" s="20"/>
    </row>
    <row r="9" spans="3:35" ht="24.6" customHeight="1" x14ac:dyDescent="0.3">
      <c r="C9" s="36"/>
      <c r="D9" s="1600"/>
      <c r="E9" s="1630"/>
      <c r="F9" s="1603"/>
      <c r="G9" s="1633"/>
      <c r="H9" s="1620"/>
      <c r="I9" s="1621"/>
      <c r="J9" s="1636"/>
      <c r="K9" s="1639"/>
      <c r="L9" s="1626"/>
      <c r="M9" s="1627"/>
      <c r="N9" s="1608"/>
      <c r="O9" s="1609"/>
      <c r="P9" s="766">
        <f ca="1">K58</f>
        <v>412708.20857142855</v>
      </c>
      <c r="Q9" s="1614" t="str">
        <f ca="1">F58</f>
        <v>Projeto DANA - Mudança de CH para BQ</v>
      </c>
      <c r="R9" s="1615"/>
      <c r="S9" s="768" t="str">
        <f ca="1">E58</f>
        <v>Compras</v>
      </c>
      <c r="T9" s="27"/>
      <c r="U9" s="20"/>
      <c r="V9" s="20"/>
      <c r="W9" s="20"/>
      <c r="X9" s="20"/>
      <c r="Y9" s="20"/>
      <c r="Z9" s="20"/>
      <c r="AA9" s="20"/>
      <c r="AB9" s="20"/>
      <c r="AC9" s="20"/>
      <c r="AD9" s="20"/>
      <c r="AE9" s="20"/>
      <c r="AF9" s="20"/>
      <c r="AG9" s="20"/>
      <c r="AH9" s="20"/>
      <c r="AI9" s="20"/>
    </row>
    <row r="10" spans="3:35" ht="8.1" customHeight="1" x14ac:dyDescent="0.3">
      <c r="C10" s="36"/>
      <c r="D10" s="47"/>
      <c r="E10" s="47"/>
      <c r="F10" s="47"/>
      <c r="G10" s="47"/>
      <c r="H10" s="47"/>
      <c r="I10" s="47"/>
      <c r="J10" s="47"/>
      <c r="K10" s="47"/>
      <c r="L10" s="47"/>
      <c r="M10" s="47"/>
      <c r="N10" s="47"/>
      <c r="O10" s="47"/>
      <c r="P10" s="47"/>
      <c r="Q10" s="47"/>
      <c r="R10" s="47"/>
      <c r="S10" s="47"/>
      <c r="T10" s="27"/>
      <c r="U10" s="20"/>
      <c r="V10" s="20"/>
      <c r="W10" s="20"/>
      <c r="X10" s="20"/>
      <c r="Y10" s="20"/>
      <c r="Z10" s="20"/>
      <c r="AA10" s="20"/>
      <c r="AB10" s="20"/>
      <c r="AC10" s="20"/>
      <c r="AD10" s="20"/>
      <c r="AE10" s="20"/>
      <c r="AF10" s="20"/>
      <c r="AG10" s="20"/>
      <c r="AH10" s="20"/>
      <c r="AI10" s="20"/>
    </row>
    <row r="11" spans="3:35" ht="22.35" customHeight="1" x14ac:dyDescent="0.3">
      <c r="C11" s="165"/>
      <c r="D11" s="756" t="s">
        <v>63</v>
      </c>
      <c r="E11" s="757"/>
      <c r="F11" s="757"/>
      <c r="G11" s="757"/>
      <c r="H11" s="757"/>
      <c r="I11" s="1597" t="s">
        <v>64</v>
      </c>
      <c r="J11" s="1597"/>
      <c r="K11" s="1597"/>
      <c r="L11" s="1597" t="s">
        <v>65</v>
      </c>
      <c r="M11" s="1597"/>
      <c r="N11" s="1597"/>
      <c r="O11" s="1597"/>
      <c r="P11" s="1597" t="s">
        <v>66</v>
      </c>
      <c r="Q11" s="1597"/>
      <c r="R11" s="1597"/>
      <c r="S11" s="214"/>
      <c r="T11" s="164"/>
      <c r="U11" s="20"/>
      <c r="V11" s="20"/>
      <c r="W11" s="20"/>
      <c r="X11" s="20"/>
      <c r="Y11" s="20"/>
      <c r="Z11" s="20"/>
      <c r="AA11" s="20"/>
      <c r="AB11" s="20"/>
      <c r="AC11" s="20"/>
      <c r="AD11" s="20"/>
      <c r="AE11" s="20"/>
      <c r="AF11" s="20"/>
      <c r="AG11" s="20"/>
      <c r="AH11" s="20"/>
      <c r="AI11" s="20"/>
    </row>
    <row r="12" spans="3:35" ht="18" customHeight="1" x14ac:dyDescent="0.3">
      <c r="C12" s="38"/>
      <c r="D12" s="49" t="s">
        <v>67</v>
      </c>
      <c r="E12" s="49" t="s">
        <v>68</v>
      </c>
      <c r="F12" s="49" t="s">
        <v>69</v>
      </c>
      <c r="G12" s="49" t="s">
        <v>70</v>
      </c>
      <c r="H12" s="49" t="s">
        <v>71</v>
      </c>
      <c r="I12" s="211" t="s">
        <v>72</v>
      </c>
      <c r="J12" s="211" t="s">
        <v>68</v>
      </c>
      <c r="K12" s="211" t="s">
        <v>73</v>
      </c>
      <c r="L12" s="1595" t="s">
        <v>74</v>
      </c>
      <c r="M12" s="1595" t="s">
        <v>75</v>
      </c>
      <c r="N12" s="1595" t="s">
        <v>76</v>
      </c>
      <c r="O12" s="1595"/>
      <c r="P12" s="56" t="s">
        <v>77</v>
      </c>
      <c r="Q12" s="57" t="s">
        <v>78</v>
      </c>
      <c r="R12" s="57" t="s">
        <v>79</v>
      </c>
      <c r="S12" s="57" t="s">
        <v>80</v>
      </c>
      <c r="T12" s="34"/>
      <c r="U12" s="20"/>
      <c r="V12" s="20"/>
      <c r="W12" s="20"/>
      <c r="X12" s="20"/>
      <c r="Y12" s="20"/>
      <c r="Z12" s="20"/>
      <c r="AA12" s="20"/>
      <c r="AB12" s="20"/>
      <c r="AC12" s="20"/>
      <c r="AD12" s="20"/>
      <c r="AE12" s="20"/>
      <c r="AF12" s="20"/>
      <c r="AG12" s="20"/>
      <c r="AH12" s="20"/>
      <c r="AI12" s="20"/>
    </row>
    <row r="13" spans="3:35" ht="18" customHeight="1" x14ac:dyDescent="0.3">
      <c r="C13" s="38"/>
      <c r="D13" s="48" t="s">
        <v>57</v>
      </c>
      <c r="E13" s="884">
        <f>Diadema!B8+Ferraz!B8+Jarinu!B8+'São Leopoldo'!B8+Anchieta!B8</f>
        <v>1</v>
      </c>
      <c r="F13" s="921">
        <f>Diadema!C8+Ferraz!C8+Jarinu!C8+'São Leopoldo'!C8+Anchieta!C8</f>
        <v>195011</v>
      </c>
      <c r="G13" s="921">
        <f>Diadema!D8+Ferraz!D8+Jarinu!D8+'São Leopoldo'!D8+Anchieta!D8</f>
        <v>0</v>
      </c>
      <c r="H13" s="921">
        <f>Diadema!E8+Ferraz!E8+Jarinu!E8+'São Leopoldo'!E8+Anchieta!E8</f>
        <v>195000</v>
      </c>
      <c r="I13" s="215" t="s">
        <v>81</v>
      </c>
      <c r="J13" s="216">
        <f ca="1">Diadema!G8+Ferraz!G8+Jarinu!G8+'São Leopoldo'!G8+Anchieta!G8+'Compras '!H9+Vendas!M11+Vendas!P11</f>
        <v>107</v>
      </c>
      <c r="K13" s="812">
        <f ca="1">SUM(Diadema!H8,Ferraz!H8,'São Leopoldo'!H8,Jarinu!H8,Anchieta!H8,Corporativo!I9,'Compras '!I9,Vendas!N11,'Diretoria Financeira'!I9,'Head Qualidade&amp;Dir. Industrial'!I9)</f>
        <v>19638792.035041243</v>
      </c>
      <c r="L13" s="1596"/>
      <c r="M13" s="1596"/>
      <c r="N13" s="1596"/>
      <c r="O13" s="1596"/>
      <c r="P13" s="58" t="s">
        <v>82</v>
      </c>
      <c r="Q13" s="697">
        <f>SUM(Diadema!L219,Anchieta!L132,Ferraz!L174,Jarinu!L174,'São Leopoldo'!L134)/5</f>
        <v>0.95</v>
      </c>
      <c r="R13" s="697">
        <f>SUM(Diadema!M219,Anchieta!M132,Ferraz!M174,Jarinu!M174,'São Leopoldo'!M134)/5</f>
        <v>0.9</v>
      </c>
      <c r="S13" s="217">
        <v>1</v>
      </c>
      <c r="T13" s="34"/>
      <c r="U13" s="20"/>
      <c r="V13" s="20"/>
      <c r="W13" s="20"/>
      <c r="X13" s="20"/>
      <c r="Y13" s="20"/>
      <c r="Z13" s="20"/>
      <c r="AA13" s="20"/>
      <c r="AB13" s="20"/>
      <c r="AC13" s="20"/>
      <c r="AD13" s="20"/>
      <c r="AE13" s="20"/>
      <c r="AF13" s="20"/>
      <c r="AG13" s="20"/>
      <c r="AH13" s="20"/>
      <c r="AI13" s="20"/>
    </row>
    <row r="14" spans="3:35" ht="15.6" customHeight="1" x14ac:dyDescent="0.3">
      <c r="C14" s="39"/>
      <c r="D14" s="48" t="s">
        <v>59</v>
      </c>
      <c r="E14" s="884">
        <f>Diadema!B9+Ferraz!B9+Jarinu!B9+'São Leopoldo'!B9+Anchieta!B9</f>
        <v>30</v>
      </c>
      <c r="F14" s="921">
        <f>Diadema!C9+Ferraz!C9+Jarinu!C9+'São Leopoldo'!C9+Anchieta!C9</f>
        <v>3114920.1056198846</v>
      </c>
      <c r="G14" s="921">
        <f>Diadema!D9+Ferraz!D9+Jarinu!D9+'São Leopoldo'!D9+Anchieta!D9</f>
        <v>2409427.62</v>
      </c>
      <c r="H14" s="921">
        <f>Diadema!E9+Ferraz!E9+Jarinu!E9+'São Leopoldo'!E9+Anchieta!E9</f>
        <v>1266744.9224999999</v>
      </c>
      <c r="I14" s="218" t="s">
        <v>83</v>
      </c>
      <c r="J14" s="219">
        <f ca="1">SUM(Diadema!G9,Ferraz!G9,'São Leopoldo'!G9,Jarinu!G9,Anchieta!G9,Corporativo!H10,'Compras '!H10,Vendas!M12,'Diretoria Financeira'!H10,'Head Qualidade&amp;Dir. Industrial'!H10,Vendas!P12)</f>
        <v>82</v>
      </c>
      <c r="K14" s="813">
        <f ca="1">SUM(Diadema!H9,Ferraz!H9,'São Leopoldo'!H9,Jarinu!H9,Anchieta!H9,Corporativo!I10,'Compras '!I10,Vendas!N12,'Diretoria Financeira'!I10,'Head Qualidade&amp;Dir. Industrial'!I10)</f>
        <v>18061985.92280082</v>
      </c>
      <c r="L14" s="1642">
        <f>AVERAGE(Diadema!I9,Ferraz!I9,'São Leopoldo'!I9:I10,Jarinu!I9,Anchieta!I9)</f>
        <v>0.98333333333333317</v>
      </c>
      <c r="M14" s="1642">
        <f>AVERAGE(Diadema!J9,Ferraz!J9,'São Leopoldo'!J9:J10,Jarinu!J9,Anchieta!J9)</f>
        <v>0.94166666666666665</v>
      </c>
      <c r="N14" s="1645">
        <f>AVERAGE(Diadema!K9,Ferraz!K9,'São Leopoldo'!K9,Jarinu!K9,Anchieta!K9)</f>
        <v>0.26601786835769231</v>
      </c>
      <c r="O14" s="1646"/>
      <c r="P14" s="213" t="s">
        <v>84</v>
      </c>
      <c r="Q14" s="698">
        <f>SUM(Diadema!L220,Anchieta!L133,Ferraz!L175,Jarinu!L175,'São Leopoldo'!L135)/5</f>
        <v>0.95</v>
      </c>
      <c r="R14" s="698">
        <f>SUM(Diadema!M220,Anchieta!M133,Ferraz!M175,Jarinu!M175,'São Leopoldo'!M135)/5</f>
        <v>0.85</v>
      </c>
      <c r="S14" s="220">
        <v>1</v>
      </c>
      <c r="T14" s="35"/>
      <c r="U14" s="20"/>
      <c r="V14" s="20"/>
      <c r="W14" s="20"/>
      <c r="X14" s="20"/>
      <c r="Y14" s="20"/>
      <c r="Z14" s="20"/>
      <c r="AA14" s="20"/>
      <c r="AB14" s="20"/>
      <c r="AC14" s="20"/>
      <c r="AD14" s="20"/>
      <c r="AE14" s="20"/>
      <c r="AF14" s="20"/>
      <c r="AG14" s="20"/>
      <c r="AH14" s="20"/>
      <c r="AI14" s="20"/>
    </row>
    <row r="15" spans="3:35" ht="15.6" customHeight="1" x14ac:dyDescent="0.3">
      <c r="C15" s="39"/>
      <c r="D15" s="48" t="s">
        <v>61</v>
      </c>
      <c r="E15" s="884">
        <f>Diadema!B10+Ferraz!B10+Jarinu!B10+'São Leopoldo'!B10+Anchieta!B10</f>
        <v>21</v>
      </c>
      <c r="F15" s="921">
        <f>Diadema!C10+Ferraz!C10+Jarinu!C10+'São Leopoldo'!C10+Anchieta!C10</f>
        <v>6718186.2025544001</v>
      </c>
      <c r="G15" s="921">
        <f>Diadema!D10+Ferraz!D10+Jarinu!D10+'São Leopoldo'!D10+Anchieta!D10</f>
        <v>0</v>
      </c>
      <c r="H15" s="921">
        <f>Diadema!E10+Ferraz!E10+Jarinu!E10+'São Leopoldo'!E10+Anchieta!E10</f>
        <v>3373042.0460890001</v>
      </c>
      <c r="I15" s="221" t="s">
        <v>85</v>
      </c>
      <c r="J15" s="222">
        <f ca="1">SUM(Diadema!G10,Ferraz!G10,'São Leopoldo'!G10,Jarinu!G10,Anchieta!G10,Corporativo!H11,'Compras '!H11,Vendas!M13,'Diretoria Financeira'!H11,'Head Qualidade&amp;Dir. Industrial'!H11,Vendas!P13)</f>
        <v>17</v>
      </c>
      <c r="K15" s="814">
        <f ca="1">SUM(Diadema!H10,Ferraz!H10,'São Leopoldo'!H10,Jarinu!H10,Anchieta!H10,Corporativo!I11,'Compras '!I11,Vendas!N13,'Diretoria Financeira'!I11,'Head Qualidade&amp;Dir. Industrial'!I11)</f>
        <v>1397973.0077740201</v>
      </c>
      <c r="L15" s="1643"/>
      <c r="M15" s="1643"/>
      <c r="N15" s="1647"/>
      <c r="O15" s="1648"/>
      <c r="P15" s="212" t="s">
        <v>86</v>
      </c>
      <c r="Q15" s="697">
        <f>SUM(Diadema!L221,Anchieta!L134,Ferraz!L176,Jarinu!L176,'São Leopoldo'!L136)/5</f>
        <v>0.98333333333333317</v>
      </c>
      <c r="R15" s="697">
        <f>SUM(Diadema!M221,Anchieta!M134,Ferraz!M176,Jarinu!M176,'São Leopoldo'!M136)/5</f>
        <v>0.96666666666666656</v>
      </c>
      <c r="S15" s="217">
        <v>1</v>
      </c>
      <c r="T15" s="35"/>
      <c r="U15" s="20"/>
      <c r="V15" s="20"/>
      <c r="W15" s="20"/>
      <c r="X15" s="20"/>
      <c r="Y15" s="20"/>
      <c r="Z15" s="20"/>
      <c r="AA15" s="20"/>
      <c r="AB15" s="20"/>
      <c r="AC15" s="20"/>
      <c r="AD15" s="20"/>
      <c r="AE15" s="20"/>
      <c r="AF15" s="20"/>
      <c r="AG15" s="20"/>
      <c r="AH15" s="20"/>
      <c r="AI15" s="20"/>
    </row>
    <row r="16" spans="3:35" ht="15.6" customHeight="1" x14ac:dyDescent="0.3">
      <c r="C16" s="39"/>
      <c r="D16" s="48" t="s">
        <v>87</v>
      </c>
      <c r="E16" s="884">
        <f>Ferraz!B11+Jarinu!B11+'São Leopoldo'!B11+Anchieta!B11+'Compras '!B9+Vendas!B11+Corporativo!B9</f>
        <v>21</v>
      </c>
      <c r="F16" s="921">
        <f>Ferraz!C11+Jarinu!C11+'São Leopoldo'!C11+Anchieta!C11+'Compras '!C9+Vendas!C11</f>
        <v>3087374.2315346543</v>
      </c>
      <c r="G16" s="921">
        <f>Ferraz!D11+Jarinu!D11+'São Leopoldo'!D11+Anchieta!D11+'Compras '!D9</f>
        <v>2082433.44</v>
      </c>
      <c r="H16" s="921">
        <f>Ferraz!E11+Jarinu!E11+'São Leopoldo'!E11+Anchieta!E11+'Compras '!E9+Vendas!E11</f>
        <v>970520.53999999992</v>
      </c>
      <c r="I16" s="47"/>
      <c r="J16" s="47"/>
      <c r="K16" s="47"/>
      <c r="L16" s="1644"/>
      <c r="M16" s="1643"/>
      <c r="N16" s="1647"/>
      <c r="O16" s="1648"/>
      <c r="P16" s="851" t="s">
        <v>88</v>
      </c>
      <c r="Q16" s="852">
        <f>SUM(Diadema!L222,Anchieta!L135,Ferraz!L177,Jarinu!L177,'São Leopoldo'!L137)/5</f>
        <v>1</v>
      </c>
      <c r="R16" s="852">
        <f>SUM(Diadema!M222,Anchieta!M135,Ferraz!M177,Jarinu!M177,'São Leopoldo'!M137)/5</f>
        <v>1</v>
      </c>
      <c r="S16" s="853">
        <v>1</v>
      </c>
      <c r="T16" s="35"/>
      <c r="U16" s="20"/>
      <c r="V16" s="20"/>
      <c r="W16" s="20"/>
      <c r="X16" s="20"/>
      <c r="Y16" s="20"/>
      <c r="Z16" s="20"/>
      <c r="AA16" s="20"/>
      <c r="AB16" s="20"/>
      <c r="AC16" s="20"/>
      <c r="AD16" s="20"/>
      <c r="AE16" s="20"/>
      <c r="AF16" s="20"/>
      <c r="AG16" s="20"/>
      <c r="AH16" s="20"/>
      <c r="AI16" s="20"/>
    </row>
    <row r="17" spans="3:35" ht="18" x14ac:dyDescent="0.35">
      <c r="C17" s="40"/>
      <c r="D17" s="48" t="s">
        <v>89</v>
      </c>
      <c r="E17" s="884">
        <f>Diadema!B11+Ferraz!B12+Jarinu!B12+'São Leopoldo'!B12+Anchieta!B12+'Compras '!B10+Vendas!B12+Corporativo!B10</f>
        <v>85</v>
      </c>
      <c r="F17" s="921">
        <f>Diadema!C11+Ferraz!C12+Jarinu!C12+'São Leopoldo'!C12+Anchieta!C12+'Compras '!C10+Vendas!C12</f>
        <v>23699907.071332321</v>
      </c>
      <c r="G17" s="921">
        <f>Diadema!D11+Ferraz!D12+Jarinu!D12+'São Leopoldo'!D12+Anchieta!D12+'Compras '!D10+Vendas!D12+Corporativo!D10</f>
        <v>6769731.522208333</v>
      </c>
      <c r="H17" s="921">
        <f>Diadema!E11+Ferraz!E12+Jarinu!E12+'São Leopoldo'!E12+Anchieta!E12+'Compras '!E10+Vendas!E12</f>
        <v>2600128.3304064781</v>
      </c>
      <c r="I17" s="47"/>
      <c r="J17" s="47"/>
      <c r="K17" s="47"/>
      <c r="L17" s="47"/>
      <c r="M17" s="854"/>
      <c r="N17" s="855"/>
      <c r="O17" s="855"/>
      <c r="P17" s="856"/>
      <c r="Q17" s="856"/>
      <c r="R17" s="856"/>
      <c r="S17" s="857"/>
      <c r="T17" s="28"/>
      <c r="U17" s="20"/>
      <c r="V17" s="20"/>
      <c r="W17" s="20"/>
      <c r="X17" s="20"/>
      <c r="Y17" s="20"/>
      <c r="Z17" s="20"/>
      <c r="AA17" s="20"/>
      <c r="AB17" s="20"/>
      <c r="AC17" s="20"/>
      <c r="AD17" s="20"/>
      <c r="AE17" s="20"/>
      <c r="AF17" s="20"/>
      <c r="AG17" s="20"/>
      <c r="AH17" s="20"/>
      <c r="AI17" s="20"/>
    </row>
    <row r="18" spans="3:35" ht="18" x14ac:dyDescent="0.35">
      <c r="C18" s="40"/>
      <c r="D18" s="48" t="s">
        <v>90</v>
      </c>
      <c r="E18" s="884">
        <f>Diadema!B12+Ferraz!B13+Jarinu!B13+'São Leopoldo'!B13+Anchieta!B13+'Compras '!B12+Vendas!B13+Corporativo!B11</f>
        <v>1</v>
      </c>
      <c r="F18" s="921">
        <f>Diadema!C12+Ferraz!C13+Jarinu!C13+'São Leopoldo'!C13+Anchieta!C13+'Compras '!C11+Vendas!C13</f>
        <v>1000000</v>
      </c>
      <c r="G18" s="921">
        <f>Diadema!D12+Ferraz!D13+Jarinu!D13+'São Leopoldo'!D13+Anchieta!D13+'Compras '!D11+Vendas!D13</f>
        <v>240000</v>
      </c>
      <c r="H18" s="921">
        <f>Diadema!E12+Ferraz!E13+Jarinu!E13+'São Leopoldo'!E13+Anchieta!E13+'Compras '!E11+Vendas!E13</f>
        <v>0</v>
      </c>
      <c r="I18" s="47"/>
      <c r="J18" s="47"/>
      <c r="K18" s="47"/>
      <c r="L18" s="47"/>
      <c r="M18" s="858"/>
      <c r="N18" s="841"/>
      <c r="O18" s="840"/>
      <c r="P18" s="584"/>
      <c r="Q18" s="584"/>
      <c r="R18" s="584"/>
      <c r="S18" s="859"/>
      <c r="T18" s="28"/>
      <c r="U18" s="20"/>
      <c r="V18" s="20"/>
      <c r="W18" s="20"/>
      <c r="X18" s="20"/>
      <c r="Y18" s="20"/>
      <c r="Z18" s="20"/>
      <c r="AA18" s="20"/>
      <c r="AB18" s="20"/>
      <c r="AC18" s="20"/>
      <c r="AD18" s="20"/>
      <c r="AE18" s="20"/>
      <c r="AF18" s="20"/>
      <c r="AG18" s="20"/>
      <c r="AH18" s="20"/>
      <c r="AI18" s="20"/>
    </row>
    <row r="19" spans="3:35" ht="18" customHeight="1" x14ac:dyDescent="0.3">
      <c r="C19" s="36"/>
      <c r="D19" s="48" t="s">
        <v>91</v>
      </c>
      <c r="E19" s="884">
        <f>Diadema!B13+Ferraz!B14+Jarinu!B14+'São Leopoldo'!B14+Anchieta!B14+'Compras '!B12+Vendas!B14+Corporativo!B12</f>
        <v>57</v>
      </c>
      <c r="F19" s="921">
        <f>Diadema!C13+Ferraz!C14+Jarinu!C14+'São Leopoldo'!C14+Anchieta!C14+'Compras '!C12+Vendas!C14</f>
        <v>6558514.1716948785</v>
      </c>
      <c r="G19" s="921">
        <f>Diadema!D13+Ferraz!D14+Jarinu!D14+'São Leopoldo'!D14+Anchieta!D14+'Compras '!D13</f>
        <v>4414449.3337398386</v>
      </c>
      <c r="H19" s="921">
        <f>Diadema!E13+Ferraz!E14+Jarinu!E14+'São Leopoldo'!E14+Anchieta!E14+'Compras '!E12+Vendas!E14</f>
        <v>774956.22916968714</v>
      </c>
      <c r="I19" s="47"/>
      <c r="J19" s="47"/>
      <c r="K19" s="47"/>
      <c r="L19" s="47"/>
      <c r="M19" s="858"/>
      <c r="N19" s="840"/>
      <c r="O19" s="840"/>
      <c r="P19" s="584"/>
      <c r="Q19" s="584"/>
      <c r="R19" s="584"/>
      <c r="S19" s="859"/>
      <c r="T19" s="27"/>
      <c r="U19" s="20"/>
      <c r="V19" s="20"/>
      <c r="W19" s="20"/>
      <c r="X19" s="20"/>
      <c r="Y19" s="20"/>
      <c r="Z19" s="20"/>
      <c r="AA19" s="20"/>
      <c r="AB19" s="20"/>
      <c r="AC19" s="20"/>
      <c r="AD19" s="20"/>
      <c r="AE19" s="20"/>
      <c r="AF19" s="20"/>
      <c r="AG19" s="20"/>
      <c r="AH19" s="20"/>
      <c r="AI19" s="20"/>
    </row>
    <row r="20" spans="3:35" ht="18" customHeight="1" x14ac:dyDescent="0.3">
      <c r="C20" s="36"/>
      <c r="D20" s="481" t="s">
        <v>92</v>
      </c>
      <c r="E20" s="17">
        <f>Vendas!B15</f>
        <v>1</v>
      </c>
      <c r="F20" s="924">
        <f>Vendas!C15</f>
        <v>9996000</v>
      </c>
      <c r="G20" s="924">
        <f>Vendas!D15</f>
        <v>0</v>
      </c>
      <c r="H20" s="924">
        <f>Vendas!E15</f>
        <v>0</v>
      </c>
      <c r="I20" s="47"/>
      <c r="J20" s="47"/>
      <c r="K20" s="47"/>
      <c r="L20" s="47"/>
      <c r="M20" s="858"/>
      <c r="N20" s="840"/>
      <c r="O20" s="840"/>
      <c r="P20" s="584"/>
      <c r="Q20" s="584"/>
      <c r="R20" s="584"/>
      <c r="S20" s="859"/>
      <c r="T20" s="27"/>
      <c r="U20" s="20"/>
      <c r="V20" s="20"/>
      <c r="W20" s="20"/>
      <c r="X20" s="20"/>
      <c r="Y20" s="20"/>
      <c r="Z20" s="20"/>
      <c r="AA20" s="20"/>
      <c r="AB20" s="20"/>
      <c r="AC20" s="20"/>
      <c r="AD20" s="20"/>
      <c r="AE20" s="20"/>
      <c r="AF20" s="20"/>
      <c r="AG20" s="20"/>
      <c r="AH20" s="20"/>
      <c r="AI20" s="20"/>
    </row>
    <row r="21" spans="3:35" ht="18" x14ac:dyDescent="0.35">
      <c r="C21" s="165"/>
      <c r="D21" s="166" t="s">
        <v>29</v>
      </c>
      <c r="E21" s="922">
        <f>SUM(E13:E19)</f>
        <v>216</v>
      </c>
      <c r="F21" s="923">
        <f>SUM(F13:F20)</f>
        <v>54369912.782736138</v>
      </c>
      <c r="G21" s="923">
        <f>SUM(G13:G20)</f>
        <v>15916041.915948171</v>
      </c>
      <c r="H21" s="923">
        <f>SUM(H13:H20)</f>
        <v>9180392.0681651663</v>
      </c>
      <c r="I21" s="47"/>
      <c r="J21" s="47"/>
      <c r="K21" s="47"/>
      <c r="L21" s="47"/>
      <c r="M21" s="866"/>
      <c r="N21" s="867"/>
      <c r="O21" s="840"/>
      <c r="P21" s="584"/>
      <c r="Q21" s="584"/>
      <c r="R21" s="584"/>
      <c r="S21" s="859"/>
      <c r="T21" s="28"/>
      <c r="U21" s="20"/>
      <c r="V21" s="20"/>
      <c r="W21" s="20"/>
      <c r="X21" s="20"/>
      <c r="Y21" s="20"/>
      <c r="Z21" s="20"/>
      <c r="AA21" s="20"/>
      <c r="AB21" s="20"/>
      <c r="AC21" s="20"/>
      <c r="AD21" s="20"/>
      <c r="AE21" s="20"/>
      <c r="AF21" s="20"/>
      <c r="AG21" s="20"/>
      <c r="AH21" s="20"/>
      <c r="AI21" s="20"/>
    </row>
    <row r="22" spans="3:35" ht="15.6" customHeight="1" x14ac:dyDescent="0.3">
      <c r="C22" s="41"/>
      <c r="D22" s="126" t="s">
        <v>93</v>
      </c>
      <c r="E22" s="127" t="s">
        <v>21</v>
      </c>
      <c r="F22" s="127" t="s">
        <v>22</v>
      </c>
      <c r="G22" s="127" t="s">
        <v>23</v>
      </c>
      <c r="H22" s="127" t="s">
        <v>24</v>
      </c>
      <c r="I22" s="127" t="s">
        <v>25</v>
      </c>
      <c r="J22" s="127" t="s">
        <v>28</v>
      </c>
      <c r="K22" s="127" t="s">
        <v>26</v>
      </c>
      <c r="L22" s="843" t="s">
        <v>27</v>
      </c>
      <c r="M22" s="866"/>
      <c r="N22" s="867"/>
      <c r="O22" s="840"/>
      <c r="P22" s="584"/>
      <c r="Q22" s="584"/>
      <c r="R22" s="584"/>
      <c r="S22" s="859"/>
      <c r="T22" s="27"/>
      <c r="U22" s="20"/>
      <c r="V22" s="20"/>
      <c r="W22" s="20"/>
      <c r="X22" s="20"/>
      <c r="Y22" s="20"/>
      <c r="Z22" s="20"/>
      <c r="AA22" s="20"/>
      <c r="AB22" s="20"/>
      <c r="AC22" s="20"/>
      <c r="AD22" s="20"/>
      <c r="AE22" s="20"/>
      <c r="AF22" s="20"/>
      <c r="AG22" s="20"/>
      <c r="AH22" s="20"/>
      <c r="AI22" s="20"/>
    </row>
    <row r="23" spans="3:35" ht="16.350000000000001" customHeight="1" x14ac:dyDescent="0.35">
      <c r="C23" s="42"/>
      <c r="D23" s="128" t="s">
        <v>94</v>
      </c>
      <c r="E23" s="135">
        <f>Diadema!A5</f>
        <v>6947000</v>
      </c>
      <c r="F23" s="135">
        <f>Ferraz!A5</f>
        <v>13367000</v>
      </c>
      <c r="G23" s="135">
        <f>'São Leopoldo'!A5</f>
        <v>2100000</v>
      </c>
      <c r="H23" s="135">
        <f>Jarinu!A5</f>
        <v>5356000</v>
      </c>
      <c r="I23" s="136">
        <f>Anchieta!A5</f>
        <v>3841000</v>
      </c>
      <c r="J23" s="137">
        <f>Corporativo!A5</f>
        <v>1709000</v>
      </c>
      <c r="K23" s="137">
        <f>'Compras '!A5</f>
        <v>7000000</v>
      </c>
      <c r="L23" s="844">
        <f>Vendas!A5</f>
        <v>10000000</v>
      </c>
      <c r="M23" s="868" t="s">
        <v>95</v>
      </c>
      <c r="N23" s="934">
        <f>Diadema!G15+Jarinu!G15+Ferraz!G15+'São Leopoldo'!G15+Anchieta!G15+'Compras '!P17</f>
        <v>8370195.7537398376</v>
      </c>
      <c r="O23" s="840"/>
      <c r="P23" s="584"/>
      <c r="Q23" s="584"/>
      <c r="R23" s="584"/>
      <c r="S23" s="859"/>
      <c r="T23" s="28"/>
      <c r="U23" s="20"/>
      <c r="V23" s="20"/>
      <c r="W23" s="20"/>
      <c r="X23" s="20"/>
      <c r="Y23" s="20"/>
      <c r="Z23" s="20"/>
      <c r="AA23" s="20"/>
      <c r="AB23" s="20"/>
      <c r="AC23" s="20"/>
      <c r="AD23" s="20"/>
      <c r="AE23" s="20"/>
      <c r="AF23" s="20"/>
      <c r="AG23" s="20"/>
      <c r="AH23" s="20"/>
      <c r="AI23" s="20"/>
    </row>
    <row r="24" spans="3:35" ht="16.350000000000001" customHeight="1" x14ac:dyDescent="0.3">
      <c r="C24" s="42"/>
      <c r="D24" s="129" t="s">
        <v>96</v>
      </c>
      <c r="E24" s="138">
        <f>Diadema!C5</f>
        <v>4424279.5789672695</v>
      </c>
      <c r="F24" s="138">
        <f>Ferraz!B5</f>
        <v>13813000.17497622</v>
      </c>
      <c r="G24" s="138">
        <f>'São Leopoldo'!B5</f>
        <v>2230520.7000000002</v>
      </c>
      <c r="H24" s="138">
        <f>Jarinu!B5</f>
        <v>5582548.0165650407</v>
      </c>
      <c r="I24" s="139">
        <f>Anchieta!B5</f>
        <v>1612623.6401</v>
      </c>
      <c r="J24" s="140">
        <f>Corporativo!C5</f>
        <v>0</v>
      </c>
      <c r="K24" s="140">
        <f>'Compras '!C5</f>
        <v>15589000.420000002</v>
      </c>
      <c r="L24" s="845">
        <f>Vendas!C5</f>
        <v>10541563</v>
      </c>
      <c r="M24" s="868" t="s">
        <v>97</v>
      </c>
      <c r="N24" s="934">
        <f>Diadema!G16+Jarinu!G16+Ferraz!G16+'São Leopoldo'!G16+Anchieta!G16+'Compras '!P18</f>
        <v>4317459.2243333338</v>
      </c>
      <c r="O24" s="841"/>
      <c r="P24" s="584"/>
      <c r="Q24" s="584"/>
      <c r="R24" s="584"/>
      <c r="S24" s="859"/>
      <c r="T24" s="27"/>
      <c r="U24" s="20"/>
      <c r="V24" s="20"/>
      <c r="W24" s="20"/>
      <c r="X24" s="20"/>
      <c r="Y24" s="20"/>
      <c r="Z24" s="20"/>
      <c r="AA24" s="20"/>
      <c r="AB24" s="20"/>
      <c r="AC24" s="20"/>
      <c r="AD24" s="20"/>
      <c r="AE24" s="20"/>
    </row>
    <row r="25" spans="3:35" ht="24.6" customHeight="1" x14ac:dyDescent="0.3">
      <c r="C25" s="42"/>
      <c r="D25" s="283" t="s">
        <v>98</v>
      </c>
      <c r="E25" s="284">
        <f ca="1">Diadema!H8</f>
        <v>3446352.1700960789</v>
      </c>
      <c r="F25" s="284">
        <f>Ferraz!H8</f>
        <v>3632600.0118561648</v>
      </c>
      <c r="G25" s="284">
        <f>'São Leopoldo'!H8</f>
        <v>1422892.7699999998</v>
      </c>
      <c r="H25" s="284">
        <f>Jarinu!H8</f>
        <v>1395112.003089</v>
      </c>
      <c r="I25" s="285">
        <f ca="1">Anchieta!H8</f>
        <v>212144</v>
      </c>
      <c r="J25" s="286">
        <f>Corporativo!I9</f>
        <v>0</v>
      </c>
      <c r="K25" s="286">
        <f>'Compras '!I9</f>
        <v>9529691.0800000019</v>
      </c>
      <c r="L25" s="846">
        <f>Vendas!N11</f>
        <v>0</v>
      </c>
      <c r="M25" s="868" t="s">
        <v>99</v>
      </c>
      <c r="N25" s="934">
        <f>Diadema!G17+Jarinu!G17+Ferraz!G17+'São Leopoldo'!G17+Anchieta!G17+'Compras '!P19</f>
        <v>2303528.157875</v>
      </c>
      <c r="O25" s="841"/>
      <c r="P25" s="584"/>
      <c r="Q25" s="584"/>
      <c r="R25" s="584"/>
      <c r="S25" s="859"/>
      <c r="T25" s="27"/>
      <c r="U25" s="20"/>
      <c r="V25" s="20"/>
      <c r="W25" s="20"/>
      <c r="X25" s="20"/>
      <c r="Y25" s="20"/>
      <c r="Z25" s="20"/>
      <c r="AA25" s="20"/>
      <c r="AB25" s="20"/>
      <c r="AC25" s="20"/>
      <c r="AD25" s="20"/>
      <c r="AE25" s="20"/>
    </row>
    <row r="26" spans="3:35" ht="16.350000000000001" customHeight="1" x14ac:dyDescent="0.35">
      <c r="C26" s="42"/>
      <c r="D26" s="503" t="s">
        <v>100</v>
      </c>
      <c r="E26" s="504">
        <f>Diadema!E5</f>
        <v>2877285.2020731708</v>
      </c>
      <c r="F26" s="504">
        <f>Ferraz!E5</f>
        <v>2448486.8000000003</v>
      </c>
      <c r="G26" s="504">
        <f>'São Leopoldo'!E5</f>
        <v>2196413.4</v>
      </c>
      <c r="H26" s="504">
        <f>Jarinu!E5</f>
        <v>2945612.6026666672</v>
      </c>
      <c r="I26" s="504">
        <f>Anchieta!E5</f>
        <v>464467.83120833331</v>
      </c>
      <c r="J26" s="504">
        <f>Corporativo!E5</f>
        <v>0</v>
      </c>
      <c r="K26" s="504">
        <f>'Compras '!G5</f>
        <v>4765049.3</v>
      </c>
      <c r="L26" s="847">
        <f>Vendas!G5</f>
        <v>0</v>
      </c>
      <c r="M26" s="868" t="s">
        <v>101</v>
      </c>
      <c r="N26" s="934">
        <f>Diadema!G18+Jarinu!G18+Ferraz!G18+'São Leopoldo'!G18+Anchieta!G18+'Compras '!P20</f>
        <v>706132</v>
      </c>
      <c r="O26" s="840"/>
      <c r="P26" s="584"/>
      <c r="Q26" s="584"/>
      <c r="R26" s="584"/>
      <c r="S26" s="859"/>
      <c r="T26" s="28"/>
      <c r="U26" s="20"/>
      <c r="V26" s="20"/>
      <c r="W26" s="20"/>
      <c r="X26" s="20"/>
      <c r="Y26" s="20"/>
      <c r="Z26" s="20"/>
      <c r="AA26" s="20"/>
      <c r="AB26" s="20"/>
      <c r="AC26" s="20"/>
      <c r="AD26" s="20"/>
      <c r="AE26" s="20"/>
      <c r="AF26" s="20"/>
      <c r="AG26" s="20"/>
      <c r="AH26" s="20"/>
      <c r="AI26" s="20"/>
    </row>
    <row r="27" spans="3:35" ht="16.350000000000001" customHeight="1" x14ac:dyDescent="0.3">
      <c r="C27" s="42"/>
      <c r="D27" s="130" t="s">
        <v>102</v>
      </c>
      <c r="E27" s="141">
        <f>Diadema!G5</f>
        <v>1008795.9945070647</v>
      </c>
      <c r="F27" s="141">
        <f>Ferraz!G5</f>
        <v>1367465.64</v>
      </c>
      <c r="G27" s="141">
        <f>'São Leopoldo'!G5</f>
        <v>1158700.68</v>
      </c>
      <c r="H27" s="141">
        <f>Jarinu!G5</f>
        <v>463507.44888796966</v>
      </c>
      <c r="I27" s="142">
        <f>Anchieta!G5</f>
        <v>331443.94717433047</v>
      </c>
      <c r="J27" s="143">
        <f>Corporativo!G5</f>
        <v>0</v>
      </c>
      <c r="K27" s="143">
        <f>'Compras '!I5</f>
        <v>1282436.3115068004</v>
      </c>
      <c r="L27" s="848">
        <f>Vendas!G5</f>
        <v>0</v>
      </c>
      <c r="M27" s="858"/>
      <c r="N27" s="933"/>
      <c r="O27" s="840"/>
      <c r="P27" s="584"/>
      <c r="Q27" s="584"/>
      <c r="R27" s="584"/>
      <c r="S27" s="859"/>
      <c r="T27" s="27"/>
      <c r="U27" s="20"/>
      <c r="V27" s="20"/>
      <c r="W27" s="20"/>
      <c r="X27" s="20"/>
      <c r="Y27" s="20"/>
      <c r="Z27" s="20"/>
      <c r="AA27" s="20"/>
      <c r="AB27" s="20"/>
      <c r="AC27" s="20"/>
      <c r="AD27" s="20"/>
      <c r="AE27" s="20"/>
      <c r="AF27" s="20"/>
      <c r="AG27" s="20"/>
      <c r="AH27" s="20"/>
      <c r="AI27" s="20"/>
    </row>
    <row r="28" spans="3:35" ht="16.350000000000001" customHeight="1" x14ac:dyDescent="0.3">
      <c r="C28" s="36"/>
      <c r="D28" s="131" t="s">
        <v>54</v>
      </c>
      <c r="E28" s="618">
        <f>Diadema!J5</f>
        <v>0.14521318475702674</v>
      </c>
      <c r="F28" s="618">
        <f>Ferraz!J5</f>
        <v>0.10230161143113638</v>
      </c>
      <c r="G28" s="724">
        <f>'São Leopoldo'!J5</f>
        <v>0.55176222857142854</v>
      </c>
      <c r="H28" s="618">
        <f>Jarinu!J5</f>
        <v>8.6539852294243769E-2</v>
      </c>
      <c r="I28" s="619">
        <f>Anchieta!J5</f>
        <v>8.6291056280742115E-2</v>
      </c>
      <c r="J28" s="620">
        <f>Corporativo!J5</f>
        <v>0</v>
      </c>
      <c r="K28" s="620">
        <f>'Compras '!L5</f>
        <v>0.18320518735811434</v>
      </c>
      <c r="L28" s="849">
        <f>Vendas!J5</f>
        <v>0</v>
      </c>
      <c r="M28" s="858"/>
      <c r="N28" s="842"/>
      <c r="O28" s="840"/>
      <c r="P28" s="584"/>
      <c r="Q28" s="584"/>
      <c r="R28" s="584"/>
      <c r="S28" s="859"/>
      <c r="T28" s="27"/>
      <c r="U28" s="20"/>
      <c r="V28" s="20"/>
      <c r="W28" s="20"/>
      <c r="X28" s="20"/>
      <c r="Y28" s="20"/>
      <c r="Z28" s="20"/>
      <c r="AA28" s="20"/>
      <c r="AB28" s="20"/>
      <c r="AC28" s="20"/>
      <c r="AD28" s="20"/>
      <c r="AE28" s="20"/>
      <c r="AF28" s="20"/>
      <c r="AG28" s="20"/>
      <c r="AH28" s="20"/>
      <c r="AI28" s="20"/>
    </row>
    <row r="29" spans="3:35" ht="16.350000000000001" customHeight="1" x14ac:dyDescent="0.3">
      <c r="C29" s="36"/>
      <c r="D29" s="131" t="s">
        <v>103</v>
      </c>
      <c r="E29" s="948">
        <f>Diadema!I5</f>
        <v>137181.16</v>
      </c>
      <c r="F29" s="948">
        <f>Ferraz!I5</f>
        <v>2135000.0060000001</v>
      </c>
      <c r="G29" s="948">
        <f>'São Leopoldo'!I5</f>
        <v>120860.87999999999</v>
      </c>
      <c r="H29" s="948">
        <f>Jarinu!I5</f>
        <v>1009000.000089</v>
      </c>
      <c r="I29" s="948">
        <f>Anchieta!I5</f>
        <v>166000</v>
      </c>
      <c r="J29" s="948">
        <f>Diadema!N5</f>
        <v>0</v>
      </c>
      <c r="K29" s="948"/>
      <c r="L29" s="948">
        <f>Vendas!E7</f>
        <v>137632.63</v>
      </c>
      <c r="M29" s="858"/>
      <c r="N29" s="842"/>
      <c r="O29" s="840"/>
      <c r="P29" s="584"/>
      <c r="Q29" s="584"/>
      <c r="R29" s="584"/>
      <c r="S29" s="859"/>
      <c r="T29" s="27"/>
      <c r="U29" s="20"/>
      <c r="V29" s="20"/>
      <c r="W29" s="20"/>
      <c r="X29" s="20"/>
      <c r="Y29" s="20"/>
      <c r="Z29" s="20"/>
      <c r="AA29" s="20"/>
      <c r="AB29" s="20"/>
      <c r="AC29" s="20"/>
      <c r="AD29" s="20"/>
      <c r="AE29" s="20"/>
      <c r="AF29" s="20"/>
      <c r="AG29" s="20"/>
      <c r="AH29" s="20"/>
      <c r="AI29" s="20"/>
    </row>
    <row r="30" spans="3:35" ht="16.350000000000001" customHeight="1" x14ac:dyDescent="0.3">
      <c r="C30" s="36"/>
      <c r="D30" s="132" t="s">
        <v>55</v>
      </c>
      <c r="E30" s="144">
        <f ca="1">Diadema!L5</f>
        <v>57</v>
      </c>
      <c r="F30" s="144">
        <f>Ferraz!L5</f>
        <v>21</v>
      </c>
      <c r="G30" s="144">
        <f>'São Leopoldo'!L5</f>
        <v>18</v>
      </c>
      <c r="H30" s="144">
        <f>Jarinu!L5</f>
        <v>37</v>
      </c>
      <c r="I30" s="145">
        <f ca="1">Anchieta!L5</f>
        <v>16</v>
      </c>
      <c r="J30" s="146">
        <f>Corporativo!M5</f>
        <v>0</v>
      </c>
      <c r="K30" s="146">
        <f>'Compras '!O5</f>
        <v>50</v>
      </c>
      <c r="L30" s="850">
        <f>Vendas!M5</f>
        <v>0</v>
      </c>
      <c r="M30" s="858"/>
      <c r="N30" s="842"/>
      <c r="O30" s="840"/>
      <c r="P30" s="584"/>
      <c r="Q30" s="584"/>
      <c r="R30" s="584"/>
      <c r="S30" s="859"/>
      <c r="T30" s="27"/>
      <c r="U30" s="20"/>
      <c r="V30" s="20"/>
      <c r="W30" s="20"/>
      <c r="X30" s="20"/>
      <c r="Y30" s="20"/>
      <c r="Z30" s="20"/>
      <c r="AA30" s="20"/>
      <c r="AB30" s="20"/>
      <c r="AC30" s="20"/>
      <c r="AD30" s="20"/>
      <c r="AE30" s="20"/>
      <c r="AF30" s="20"/>
      <c r="AG30" s="20"/>
      <c r="AH30" s="20"/>
      <c r="AI30" s="20"/>
    </row>
    <row r="31" spans="3:35" ht="16.350000000000001" customHeight="1" x14ac:dyDescent="0.3">
      <c r="C31" s="36"/>
      <c r="D31" s="133" t="s">
        <v>104</v>
      </c>
      <c r="E31" s="196">
        <f>Diadema!I9</f>
        <v>1</v>
      </c>
      <c r="F31" s="196">
        <f>Ferraz!I9</f>
        <v>1</v>
      </c>
      <c r="G31" s="196">
        <f>'São Leopoldo'!I9</f>
        <v>1</v>
      </c>
      <c r="H31" s="196">
        <f>Jarinu!I9</f>
        <v>0.91666666666666663</v>
      </c>
      <c r="I31" s="196">
        <f>Anchieta!I9</f>
        <v>1</v>
      </c>
      <c r="J31" s="148"/>
      <c r="K31" s="148"/>
      <c r="L31" s="148"/>
      <c r="M31" s="858"/>
      <c r="N31" s="842"/>
      <c r="O31" s="840"/>
      <c r="P31" s="584"/>
      <c r="Q31" s="584"/>
      <c r="R31" s="584"/>
      <c r="S31" s="859"/>
      <c r="T31" s="27"/>
      <c r="U31" s="20"/>
      <c r="V31" s="20"/>
      <c r="W31" s="20"/>
      <c r="X31" s="20"/>
      <c r="Y31" s="20"/>
      <c r="Z31" s="20"/>
      <c r="AA31" s="20"/>
      <c r="AB31" s="20"/>
      <c r="AC31" s="20"/>
      <c r="AD31" s="20"/>
      <c r="AE31" s="20"/>
      <c r="AF31" s="20"/>
      <c r="AG31" s="20"/>
      <c r="AH31" s="20"/>
      <c r="AI31" s="20"/>
    </row>
    <row r="32" spans="3:35" ht="16.350000000000001" customHeight="1" x14ac:dyDescent="0.3">
      <c r="C32" s="36"/>
      <c r="D32" s="133" t="s">
        <v>105</v>
      </c>
      <c r="E32" s="147">
        <f>Diadema!J9</f>
        <v>0.91666666666666663</v>
      </c>
      <c r="F32" s="147">
        <f>Ferraz!J9</f>
        <v>0.95833333333333337</v>
      </c>
      <c r="G32" s="147">
        <f>'São Leopoldo'!J9</f>
        <v>0.95833333333333337</v>
      </c>
      <c r="H32" s="147">
        <f>Jarinu!J9</f>
        <v>0.91666666666666663</v>
      </c>
      <c r="I32" s="147">
        <f>Anchieta!J9</f>
        <v>0.95833333333333337</v>
      </c>
      <c r="K32" s="148"/>
      <c r="L32" s="148"/>
      <c r="M32" s="860"/>
      <c r="N32" s="842"/>
      <c r="O32" s="840"/>
      <c r="P32" s="584"/>
      <c r="Q32" s="584"/>
      <c r="R32" s="584"/>
      <c r="S32" s="859"/>
      <c r="T32" s="27"/>
      <c r="U32" s="20"/>
      <c r="V32" s="20"/>
      <c r="W32" s="20"/>
      <c r="X32" s="20"/>
      <c r="Y32" s="20"/>
      <c r="Z32" s="20"/>
      <c r="AA32" s="20"/>
      <c r="AB32" s="20"/>
      <c r="AC32" s="20"/>
      <c r="AD32" s="20"/>
      <c r="AE32" s="20"/>
      <c r="AF32" s="20"/>
      <c r="AG32" s="20"/>
      <c r="AH32" s="20"/>
      <c r="AI32" s="20"/>
    </row>
    <row r="33" spans="3:35" ht="16.350000000000001" customHeight="1" x14ac:dyDescent="0.3">
      <c r="C33" s="36"/>
      <c r="D33" s="134" t="s">
        <v>76</v>
      </c>
      <c r="E33" s="149">
        <f>N14</f>
        <v>0.26601786835769231</v>
      </c>
      <c r="F33" s="149">
        <f>Ferraz!K9</f>
        <v>0.20833333125</v>
      </c>
      <c r="G33" s="149">
        <f>'São Leopoldo'!K9</f>
        <v>0.10256410153846154</v>
      </c>
      <c r="H33" s="149">
        <f>Jarinu!K9</f>
        <v>0.43333332900000004</v>
      </c>
      <c r="I33" s="149">
        <f>Anchieta!K9</f>
        <v>0.33333332999999998</v>
      </c>
      <c r="J33" s="148"/>
      <c r="K33" s="148"/>
      <c r="L33" s="148"/>
      <c r="M33" s="861"/>
      <c r="N33" s="862"/>
      <c r="O33" s="863"/>
      <c r="P33" s="864"/>
      <c r="Q33" s="864"/>
      <c r="R33" s="864"/>
      <c r="S33" s="865"/>
      <c r="T33" s="27"/>
      <c r="U33" s="20"/>
      <c r="V33" s="20"/>
      <c r="W33" s="20"/>
      <c r="X33" s="20"/>
      <c r="Y33" s="20"/>
      <c r="Z33" s="20"/>
      <c r="AA33" s="20"/>
      <c r="AB33" s="20"/>
      <c r="AC33" s="20"/>
      <c r="AD33" s="20"/>
      <c r="AE33" s="20"/>
      <c r="AF33" s="20"/>
      <c r="AG33" s="20"/>
      <c r="AH33" s="20"/>
      <c r="AI33" s="20"/>
    </row>
    <row r="34" spans="3:35" ht="18.600000000000001" customHeight="1" x14ac:dyDescent="0.3">
      <c r="C34" s="36"/>
      <c r="D34" s="47"/>
      <c r="E34" s="47"/>
      <c r="F34" s="47"/>
      <c r="G34" s="47"/>
      <c r="H34" s="47"/>
      <c r="I34" s="59"/>
      <c r="J34" s="59"/>
      <c r="K34" s="59"/>
      <c r="L34" s="59"/>
      <c r="M34" s="59"/>
      <c r="N34" s="59"/>
      <c r="O34" s="59"/>
      <c r="P34" s="148"/>
      <c r="Q34" s="148"/>
      <c r="R34" s="148"/>
      <c r="S34" s="148"/>
      <c r="T34" s="27"/>
      <c r="U34" s="20"/>
      <c r="V34" s="20"/>
      <c r="W34" s="20"/>
      <c r="X34" s="20"/>
      <c r="Y34" s="20"/>
      <c r="Z34" s="20"/>
      <c r="AA34" s="20"/>
      <c r="AB34" s="20"/>
      <c r="AC34" s="20"/>
      <c r="AD34" s="20"/>
      <c r="AE34" s="20"/>
      <c r="AF34" s="20"/>
      <c r="AG34" s="20"/>
      <c r="AH34" s="20"/>
      <c r="AI34" s="20"/>
    </row>
    <row r="35" spans="3:35" ht="15.6" x14ac:dyDescent="0.3">
      <c r="C35" s="36"/>
      <c r="D35" s="59"/>
      <c r="E35" s="59"/>
      <c r="F35" s="59"/>
      <c r="G35" s="59"/>
      <c r="H35" s="59"/>
      <c r="I35" s="47"/>
      <c r="J35" s="47"/>
      <c r="K35" s="47"/>
      <c r="L35" s="47"/>
      <c r="M35" s="47"/>
      <c r="N35" s="47"/>
      <c r="O35" s="47"/>
      <c r="P35" s="148"/>
      <c r="Q35" s="148"/>
      <c r="R35" s="148"/>
      <c r="S35" s="148"/>
      <c r="T35" s="27"/>
      <c r="U35" s="20"/>
      <c r="V35" s="20"/>
      <c r="W35" s="20"/>
      <c r="X35" s="20"/>
      <c r="Y35" s="20"/>
      <c r="Z35" s="20"/>
      <c r="AA35" s="20"/>
      <c r="AB35" s="20"/>
      <c r="AC35" s="20"/>
      <c r="AD35" s="20"/>
      <c r="AE35" s="20"/>
      <c r="AF35" s="20"/>
      <c r="AG35" s="20"/>
      <c r="AH35" s="20"/>
      <c r="AI35" s="20"/>
    </row>
    <row r="36" spans="3:35" ht="15" customHeight="1" x14ac:dyDescent="0.3">
      <c r="C36" s="36"/>
      <c r="D36" s="47"/>
      <c r="E36" s="47"/>
      <c r="F36" s="47"/>
      <c r="G36" s="47"/>
      <c r="H36" s="47"/>
      <c r="I36" s="47"/>
      <c r="J36" s="47"/>
      <c r="K36" s="47"/>
      <c r="L36" s="47"/>
      <c r="M36" s="47"/>
      <c r="N36" s="47"/>
      <c r="O36" s="47"/>
      <c r="P36" s="148"/>
      <c r="Q36" s="148"/>
      <c r="R36" s="148"/>
      <c r="S36" s="148"/>
      <c r="T36" s="27"/>
      <c r="U36" s="20"/>
      <c r="V36" s="20"/>
      <c r="W36" s="20"/>
      <c r="X36" s="20"/>
      <c r="Y36" s="20"/>
      <c r="Z36" s="20"/>
      <c r="AA36" s="20"/>
      <c r="AB36" s="20"/>
      <c r="AC36" s="20"/>
      <c r="AD36" s="20"/>
      <c r="AE36" s="20"/>
      <c r="AF36" s="20"/>
      <c r="AG36" s="20"/>
      <c r="AH36" s="20"/>
      <c r="AI36" s="20"/>
    </row>
    <row r="37" spans="3:35" ht="14.85" customHeight="1" x14ac:dyDescent="0.3">
      <c r="C37" s="36"/>
      <c r="D37" s="47"/>
      <c r="E37" s="47"/>
      <c r="F37" s="47"/>
      <c r="G37" s="47"/>
      <c r="H37" s="47"/>
      <c r="I37" s="47"/>
      <c r="J37" s="47"/>
      <c r="K37" s="47"/>
      <c r="L37" s="47"/>
      <c r="M37" s="47"/>
      <c r="N37" s="47"/>
      <c r="O37" s="47"/>
      <c r="P37" s="148"/>
      <c r="Q37" s="47"/>
      <c r="R37" s="148"/>
      <c r="S37" s="148"/>
      <c r="T37" s="27"/>
      <c r="U37" s="20"/>
      <c r="V37" s="20"/>
      <c r="W37" s="20"/>
      <c r="X37" s="20"/>
      <c r="Y37" s="20"/>
      <c r="Z37" s="20"/>
      <c r="AA37" s="20"/>
      <c r="AB37" s="20"/>
      <c r="AC37" s="20"/>
      <c r="AD37" s="20"/>
      <c r="AE37" s="20"/>
      <c r="AF37" s="20"/>
      <c r="AG37" s="20"/>
      <c r="AH37" s="20"/>
      <c r="AI37" s="20"/>
    </row>
    <row r="38" spans="3:35" ht="3.6" customHeight="1" x14ac:dyDescent="0.3">
      <c r="C38" s="36"/>
      <c r="D38" s="47"/>
      <c r="E38" s="47"/>
      <c r="F38" s="47"/>
      <c r="G38" s="47"/>
      <c r="H38" s="47"/>
      <c r="I38" s="47"/>
      <c r="J38" s="47"/>
      <c r="K38" s="47"/>
      <c r="L38" s="47"/>
      <c r="M38" s="47"/>
      <c r="N38" s="47"/>
      <c r="O38" s="47"/>
      <c r="P38" s="148"/>
      <c r="Q38" s="148"/>
      <c r="R38" s="148"/>
      <c r="S38" s="148"/>
      <c r="T38" s="27"/>
      <c r="U38" s="20"/>
      <c r="V38" s="20"/>
      <c r="W38" s="20"/>
      <c r="X38" s="20"/>
      <c r="Y38" s="20"/>
      <c r="Z38" s="20"/>
      <c r="AA38" s="20"/>
      <c r="AB38" s="20"/>
      <c r="AC38" s="20"/>
      <c r="AD38" s="20"/>
      <c r="AE38" s="20"/>
      <c r="AF38" s="20"/>
      <c r="AG38" s="20"/>
      <c r="AH38" s="20"/>
      <c r="AI38" s="20"/>
    </row>
    <row r="39" spans="3:35" ht="4.3499999999999996" customHeight="1" x14ac:dyDescent="0.3">
      <c r="C39" s="36"/>
      <c r="D39" s="47"/>
      <c r="E39" s="47"/>
      <c r="F39" s="47"/>
      <c r="G39" s="47"/>
      <c r="H39" s="47"/>
      <c r="I39" s="47"/>
      <c r="J39" s="47"/>
      <c r="K39" s="47"/>
      <c r="L39" s="47"/>
      <c r="M39" s="47"/>
      <c r="N39" s="47"/>
      <c r="O39" s="47"/>
      <c r="P39" s="148"/>
      <c r="Q39" s="148"/>
      <c r="R39" s="148"/>
      <c r="S39" s="148"/>
      <c r="T39" s="27"/>
      <c r="U39" s="32"/>
      <c r="V39" s="20"/>
      <c r="W39" s="20"/>
      <c r="X39" s="20"/>
      <c r="Y39" s="20"/>
      <c r="Z39" s="20"/>
      <c r="AA39" s="20"/>
      <c r="AB39" s="20"/>
      <c r="AC39" s="20"/>
      <c r="AD39" s="20"/>
      <c r="AE39" s="20"/>
      <c r="AF39" s="20"/>
      <c r="AG39" s="20"/>
      <c r="AH39" s="20"/>
      <c r="AI39" s="20"/>
    </row>
    <row r="40" spans="3:35" ht="14.85" hidden="1" customHeight="1" x14ac:dyDescent="0.3">
      <c r="C40" s="36"/>
      <c r="D40" s="47"/>
      <c r="E40" s="47"/>
      <c r="F40" s="47"/>
      <c r="G40" s="47"/>
      <c r="H40" s="47"/>
      <c r="I40" s="47"/>
      <c r="J40" s="47"/>
      <c r="K40" s="47"/>
      <c r="L40" s="47"/>
      <c r="M40" s="47"/>
      <c r="N40" s="47"/>
      <c r="O40" s="47"/>
      <c r="P40" s="148"/>
      <c r="Q40" s="148"/>
      <c r="R40" s="148"/>
      <c r="S40" s="148"/>
      <c r="T40" s="27"/>
      <c r="U40" s="32"/>
      <c r="V40" s="20"/>
      <c r="W40" s="20"/>
      <c r="X40" s="20"/>
      <c r="Y40" s="20"/>
      <c r="Z40" s="20"/>
      <c r="AA40" s="20"/>
      <c r="AB40" s="20"/>
      <c r="AC40" s="20"/>
      <c r="AD40" s="20"/>
      <c r="AE40" s="20"/>
      <c r="AF40" s="20"/>
      <c r="AG40" s="20"/>
      <c r="AH40" s="20"/>
      <c r="AI40" s="20"/>
    </row>
    <row r="41" spans="3:35" ht="14.85" customHeight="1" x14ac:dyDescent="0.3">
      <c r="C41" s="36"/>
      <c r="D41" s="47"/>
      <c r="E41" s="47"/>
      <c r="F41" s="47"/>
      <c r="G41" s="47"/>
      <c r="H41" s="47"/>
      <c r="I41" s="47"/>
      <c r="J41" s="47"/>
      <c r="K41" s="47"/>
      <c r="L41" s="47"/>
      <c r="M41" s="47"/>
      <c r="N41" s="47"/>
      <c r="O41" s="47"/>
      <c r="P41" s="148"/>
      <c r="Q41" s="148"/>
      <c r="R41" s="148"/>
      <c r="S41" s="148"/>
      <c r="T41" s="27"/>
      <c r="U41" s="31"/>
      <c r="V41" s="20"/>
      <c r="W41" s="20"/>
      <c r="X41" s="20"/>
      <c r="Y41" s="20"/>
      <c r="Z41" s="20"/>
      <c r="AA41" s="20"/>
      <c r="AB41" s="20"/>
      <c r="AC41" s="20"/>
      <c r="AD41" s="20"/>
      <c r="AE41" s="20"/>
      <c r="AF41" s="20"/>
      <c r="AG41" s="20"/>
      <c r="AH41" s="20"/>
      <c r="AI41" s="20"/>
    </row>
    <row r="42" spans="3:35" ht="14.85" customHeight="1" x14ac:dyDescent="0.3">
      <c r="C42" s="36"/>
      <c r="D42" s="47"/>
      <c r="E42" s="47"/>
      <c r="F42" s="47"/>
      <c r="G42" s="47"/>
      <c r="H42" s="47"/>
      <c r="I42" s="47"/>
      <c r="J42" s="47"/>
      <c r="K42" s="47"/>
      <c r="L42" s="47"/>
      <c r="M42" s="47"/>
      <c r="N42" s="47"/>
      <c r="O42" s="47"/>
      <c r="P42" s="148"/>
      <c r="Q42" s="148"/>
      <c r="R42" s="148"/>
      <c r="S42" s="148"/>
      <c r="T42" s="27"/>
      <c r="U42" s="20"/>
      <c r="V42" s="20"/>
      <c r="W42" s="20"/>
      <c r="X42" s="20"/>
      <c r="Y42" s="20"/>
      <c r="Z42" s="20"/>
      <c r="AA42" s="20"/>
      <c r="AB42" s="20"/>
      <c r="AC42" s="20"/>
      <c r="AD42" s="20"/>
      <c r="AE42" s="20"/>
      <c r="AF42" s="20"/>
      <c r="AG42" s="20"/>
      <c r="AH42" s="20"/>
      <c r="AI42" s="20"/>
    </row>
    <row r="43" spans="3:35" ht="14.85" customHeight="1" x14ac:dyDescent="0.3">
      <c r="C43" s="36"/>
      <c r="D43" s="47"/>
      <c r="E43" s="47"/>
      <c r="F43" s="47"/>
      <c r="G43" s="47"/>
      <c r="H43" s="47"/>
      <c r="I43" s="47"/>
      <c r="J43" s="47"/>
      <c r="K43" s="47"/>
      <c r="L43" s="47"/>
      <c r="M43" s="47"/>
      <c r="N43" s="47"/>
      <c r="O43" s="47"/>
      <c r="P43" s="148"/>
      <c r="Q43" s="148"/>
      <c r="R43" s="148"/>
      <c r="S43" s="148"/>
      <c r="T43" s="27"/>
      <c r="U43" s="20"/>
      <c r="V43" s="20"/>
      <c r="W43" s="20"/>
      <c r="X43" s="20"/>
      <c r="Y43" s="20"/>
      <c r="Z43" s="20"/>
      <c r="AA43" s="20"/>
      <c r="AB43" s="20"/>
      <c r="AC43" s="20"/>
      <c r="AD43" s="20"/>
      <c r="AE43" s="20"/>
      <c r="AF43" s="20"/>
      <c r="AG43" s="20"/>
      <c r="AH43" s="20"/>
      <c r="AI43" s="20"/>
    </row>
    <row r="44" spans="3:35" ht="14.85" customHeight="1" x14ac:dyDescent="0.3">
      <c r="C44" s="36"/>
      <c r="D44" s="47"/>
      <c r="E44" s="47"/>
      <c r="F44" s="47"/>
      <c r="G44" s="47"/>
      <c r="H44" s="47"/>
      <c r="I44" s="47"/>
      <c r="J44" s="47"/>
      <c r="K44" s="47"/>
      <c r="L44" s="47"/>
      <c r="M44" s="47"/>
      <c r="N44" s="47"/>
      <c r="O44" s="47"/>
      <c r="P44" s="148"/>
      <c r="Q44" s="148"/>
      <c r="R44" s="148"/>
      <c r="S44" s="148"/>
      <c r="T44" s="27"/>
      <c r="U44" s="20"/>
      <c r="V44" s="20"/>
      <c r="W44" s="20"/>
      <c r="X44" s="20"/>
      <c r="Y44" s="20"/>
      <c r="Z44" s="20"/>
      <c r="AA44" s="20"/>
      <c r="AB44" s="20"/>
      <c r="AC44" s="20"/>
      <c r="AD44" s="20"/>
      <c r="AE44" s="20"/>
      <c r="AF44" s="20"/>
      <c r="AG44" s="20"/>
      <c r="AH44" s="20"/>
      <c r="AI44" s="20"/>
    </row>
    <row r="45" spans="3:35" ht="14.85" customHeight="1" x14ac:dyDescent="0.3">
      <c r="C45" s="36"/>
      <c r="D45" s="47"/>
      <c r="E45" s="47"/>
      <c r="F45" s="47"/>
      <c r="G45" s="47"/>
      <c r="H45" s="47"/>
      <c r="I45" s="47"/>
      <c r="J45" s="47"/>
      <c r="K45" s="47"/>
      <c r="L45" s="47"/>
      <c r="M45" s="47"/>
      <c r="N45" s="47"/>
      <c r="O45" s="47"/>
      <c r="P45" s="148"/>
      <c r="Q45" s="148"/>
      <c r="R45" s="148"/>
      <c r="S45" s="148"/>
      <c r="T45" s="27"/>
      <c r="U45" s="20"/>
      <c r="V45" s="20"/>
      <c r="W45" s="20"/>
      <c r="X45" s="20"/>
      <c r="Y45" s="20"/>
      <c r="Z45" s="20"/>
      <c r="AA45" s="20"/>
      <c r="AB45" s="20"/>
      <c r="AC45" s="20"/>
      <c r="AD45" s="20"/>
      <c r="AE45" s="20"/>
      <c r="AF45" s="20"/>
      <c r="AG45" s="20"/>
      <c r="AH45" s="20"/>
      <c r="AI45" s="20"/>
    </row>
    <row r="46" spans="3:35" ht="14.85" customHeight="1" x14ac:dyDescent="0.3">
      <c r="C46" s="36"/>
      <c r="D46" s="47"/>
      <c r="E46" s="47"/>
      <c r="F46" s="47"/>
      <c r="G46" s="47"/>
      <c r="H46" s="47"/>
      <c r="I46" s="47"/>
      <c r="J46" s="47"/>
      <c r="K46" s="47"/>
      <c r="L46" s="47"/>
      <c r="M46" s="47"/>
      <c r="N46" s="47"/>
      <c r="O46" s="47"/>
      <c r="P46" s="148"/>
      <c r="Q46" s="148"/>
      <c r="R46" s="148"/>
      <c r="S46" s="148"/>
      <c r="T46" s="27"/>
      <c r="U46" s="20"/>
      <c r="V46" s="20"/>
      <c r="W46" s="20"/>
      <c r="X46" s="20"/>
      <c r="Y46" s="20"/>
      <c r="Z46" s="20"/>
      <c r="AA46" s="20"/>
      <c r="AB46" s="20"/>
      <c r="AC46" s="20"/>
      <c r="AD46" s="20"/>
      <c r="AE46" s="20"/>
      <c r="AF46" s="20"/>
      <c r="AG46" s="20"/>
      <c r="AH46" s="20"/>
      <c r="AI46" s="20"/>
    </row>
    <row r="47" spans="3:35" ht="14.85" customHeight="1" x14ac:dyDescent="0.3">
      <c r="C47" s="36"/>
      <c r="D47" s="47"/>
      <c r="E47" s="47"/>
      <c r="F47" s="47"/>
      <c r="G47" s="47"/>
      <c r="H47" s="47"/>
      <c r="I47" s="47"/>
      <c r="J47" s="47"/>
      <c r="K47" s="47"/>
      <c r="L47" s="47"/>
      <c r="M47" s="47"/>
      <c r="N47" s="47"/>
      <c r="O47" s="47"/>
      <c r="P47" s="148"/>
      <c r="Q47" s="148"/>
      <c r="R47" s="148"/>
      <c r="S47" s="148"/>
      <c r="T47" s="27"/>
      <c r="U47" s="20"/>
      <c r="V47" s="20"/>
      <c r="W47" s="20"/>
      <c r="X47" s="20"/>
      <c r="Y47" s="20"/>
      <c r="Z47" s="20"/>
      <c r="AA47" s="20"/>
      <c r="AB47" s="20"/>
      <c r="AC47" s="20"/>
      <c r="AD47" s="20"/>
      <c r="AE47" s="20"/>
      <c r="AF47" s="20"/>
      <c r="AG47" s="20"/>
      <c r="AH47" s="20"/>
      <c r="AI47" s="20"/>
    </row>
    <row r="48" spans="3:35" ht="14.85" customHeight="1" x14ac:dyDescent="0.3">
      <c r="C48" s="36"/>
      <c r="D48" s="47"/>
      <c r="E48" s="47"/>
      <c r="F48" s="47"/>
      <c r="G48" s="47"/>
      <c r="H48" s="47"/>
      <c r="I48" s="47"/>
      <c r="J48" s="47"/>
      <c r="K48" s="47"/>
      <c r="L48" s="47"/>
      <c r="M48" s="47"/>
      <c r="N48" s="47"/>
      <c r="O48" s="47"/>
      <c r="P48" s="148"/>
      <c r="Q48" s="148"/>
      <c r="R48" s="148"/>
      <c r="S48" s="148"/>
      <c r="T48" s="27"/>
      <c r="U48" s="20"/>
      <c r="V48" s="20"/>
      <c r="W48" s="20"/>
      <c r="X48" s="20"/>
      <c r="Y48" s="20"/>
      <c r="Z48" s="20"/>
      <c r="AA48" s="20"/>
      <c r="AB48" s="20"/>
      <c r="AC48" s="20"/>
      <c r="AD48" s="20"/>
      <c r="AE48" s="20"/>
      <c r="AF48" s="20"/>
      <c r="AG48" s="20"/>
      <c r="AH48" s="20"/>
      <c r="AI48" s="20"/>
    </row>
    <row r="49" spans="3:35" ht="44.1" customHeight="1" x14ac:dyDescent="0.3">
      <c r="C49" s="36"/>
      <c r="D49" s="47"/>
      <c r="E49" s="47"/>
      <c r="F49" s="47"/>
      <c r="G49" s="47"/>
      <c r="H49" s="47"/>
      <c r="I49" s="47"/>
      <c r="J49" s="47"/>
      <c r="K49" s="47"/>
      <c r="L49" s="47"/>
      <c r="M49" s="47"/>
      <c r="N49" s="47"/>
      <c r="O49" s="47"/>
      <c r="P49" s="148"/>
      <c r="Q49" s="148"/>
      <c r="R49" s="148"/>
      <c r="S49" s="148"/>
      <c r="T49" s="27"/>
      <c r="U49" s="20"/>
      <c r="V49" s="20"/>
      <c r="W49" s="20"/>
      <c r="X49" s="20"/>
      <c r="Y49" s="20"/>
      <c r="Z49" s="20"/>
      <c r="AA49" s="20"/>
      <c r="AB49" s="20"/>
      <c r="AC49" s="20"/>
      <c r="AD49" s="20"/>
      <c r="AE49" s="20"/>
      <c r="AF49" s="20"/>
      <c r="AG49" s="20"/>
      <c r="AH49" s="20"/>
      <c r="AI49" s="20"/>
    </row>
    <row r="50" spans="3:35" ht="14.85" customHeight="1" x14ac:dyDescent="0.3">
      <c r="C50" s="36"/>
      <c r="D50" s="47"/>
      <c r="E50" s="47"/>
      <c r="F50" s="47"/>
      <c r="G50" s="47"/>
      <c r="H50" s="47"/>
      <c r="I50" s="47"/>
      <c r="J50" s="47"/>
      <c r="K50" s="47"/>
      <c r="L50" s="47"/>
      <c r="M50" s="47"/>
      <c r="N50" s="47"/>
      <c r="O50" s="47"/>
      <c r="P50" s="148"/>
      <c r="Q50" s="148"/>
      <c r="R50" s="148"/>
      <c r="S50" s="148"/>
      <c r="T50" s="27"/>
      <c r="U50" s="20"/>
      <c r="V50" s="20"/>
      <c r="W50" s="20"/>
      <c r="X50" s="20"/>
      <c r="Y50" s="20"/>
      <c r="Z50" s="20"/>
      <c r="AA50" s="20"/>
      <c r="AB50" s="20"/>
      <c r="AC50" s="20"/>
      <c r="AD50" s="20"/>
      <c r="AE50" s="20"/>
      <c r="AF50" s="20"/>
      <c r="AG50" s="20"/>
      <c r="AH50" s="20"/>
      <c r="AI50" s="20"/>
    </row>
    <row r="51" spans="3:35" ht="146.85" customHeight="1" thickBot="1" x14ac:dyDescent="0.35">
      <c r="C51" s="177"/>
      <c r="D51" s="178"/>
      <c r="E51" s="178"/>
      <c r="F51" s="178"/>
      <c r="G51" s="178"/>
      <c r="H51" s="178"/>
      <c r="I51" s="178"/>
      <c r="J51" s="178"/>
      <c r="K51" s="178"/>
      <c r="L51" s="178"/>
      <c r="M51" s="178"/>
      <c r="N51" s="178"/>
      <c r="O51" s="178"/>
      <c r="P51" s="178"/>
      <c r="Q51" s="178"/>
      <c r="R51" s="178"/>
      <c r="S51" s="178"/>
      <c r="T51" s="179"/>
      <c r="U51" s="20"/>
      <c r="V51" s="20"/>
      <c r="W51" s="20"/>
      <c r="X51" s="20"/>
      <c r="Y51" s="20"/>
      <c r="Z51" s="20"/>
      <c r="AA51" s="20"/>
      <c r="AB51" s="20"/>
      <c r="AC51" s="20"/>
      <c r="AD51" s="20"/>
      <c r="AE51" s="20"/>
      <c r="AF51" s="20"/>
      <c r="AG51" s="20"/>
      <c r="AH51" s="20"/>
      <c r="AI51" s="20"/>
    </row>
    <row r="52" spans="3:35" ht="7.35" customHeight="1" thickTop="1" x14ac:dyDescent="0.3">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row>
    <row r="53" spans="3:35" ht="7.35" customHeight="1" x14ac:dyDescent="0.3">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row>
    <row r="54" spans="3:35" ht="14.4" x14ac:dyDescent="0.3">
      <c r="C54" s="20"/>
      <c r="D54" s="20"/>
      <c r="E54" s="20"/>
      <c r="F54" s="20" t="s">
        <v>106</v>
      </c>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row>
    <row r="55" spans="3:35" ht="15.6" x14ac:dyDescent="0.3">
      <c r="C55" s="20"/>
      <c r="D55" s="557" t="s">
        <v>107</v>
      </c>
      <c r="E55" s="557" t="s">
        <v>108</v>
      </c>
      <c r="F55" s="1640" t="s">
        <v>109</v>
      </c>
      <c r="G55" s="1641"/>
      <c r="H55" s="565" t="s">
        <v>72</v>
      </c>
      <c r="I55" s="565" t="s">
        <v>110</v>
      </c>
      <c r="J55" s="557" t="s">
        <v>111</v>
      </c>
      <c r="K55" s="557" t="s">
        <v>112</v>
      </c>
      <c r="L55" s="557" t="s">
        <v>113</v>
      </c>
      <c r="M55" s="557" t="s">
        <v>114</v>
      </c>
      <c r="N55" s="20"/>
      <c r="O55" s="20"/>
      <c r="P55" s="20"/>
      <c r="Q55" s="20"/>
      <c r="R55" s="20"/>
      <c r="S55" s="20"/>
      <c r="T55" s="20"/>
      <c r="U55" s="20"/>
      <c r="V55" s="161"/>
      <c r="W55" s="153">
        <v>46023</v>
      </c>
      <c r="X55" s="153">
        <v>46054</v>
      </c>
      <c r="Y55" s="153">
        <v>46082</v>
      </c>
      <c r="Z55" s="153">
        <v>46113</v>
      </c>
      <c r="AA55" s="153">
        <v>46143</v>
      </c>
      <c r="AB55" s="153">
        <v>46174</v>
      </c>
      <c r="AC55" s="153">
        <v>46204</v>
      </c>
      <c r="AD55" s="153">
        <v>46235</v>
      </c>
      <c r="AE55" s="153">
        <v>46266</v>
      </c>
      <c r="AF55" s="153">
        <v>46296</v>
      </c>
      <c r="AG55" s="153">
        <v>46327</v>
      </c>
      <c r="AH55" s="153">
        <v>46357</v>
      </c>
      <c r="AI55" s="153" t="s">
        <v>115</v>
      </c>
    </row>
    <row r="56" spans="3:35" ht="14.4" x14ac:dyDescent="0.3">
      <c r="C56" s="20"/>
      <c r="D56" s="558">
        <v>1</v>
      </c>
      <c r="E56" s="568" t="str">
        <f ca="1">_xlfn.XLOOKUP(F56,Pareto!S:S,Pareto!T:T)</f>
        <v>Compras</v>
      </c>
      <c r="F56" s="1649" t="str">
        <f ca="1">_xlfn.XLOOKUP(K56,Pareto!V:V,Pareto!S:S)</f>
        <v>Negociação de preços materiais carcaça Dana</v>
      </c>
      <c r="G56" s="1650"/>
      <c r="H56" s="566" t="str">
        <f ca="1">_xlfn.XLOOKUP(F56,Pareto!S:S,Pareto!X:X)</f>
        <v>✓ Concluído</v>
      </c>
      <c r="I56" s="566" t="str">
        <f ca="1">_xlfn.XLOOKUP('5 Unidades  +'!F56,Pareto!S:S,Pareto!Z:Z)</f>
        <v>OK</v>
      </c>
      <c r="J56" s="559">
        <f ca="1">_xlfn.XLOOKUP(F56,Pareto!S:S,Pareto!U:U)</f>
        <v>2651202.3200000003</v>
      </c>
      <c r="K56" s="559">
        <f ca="1">IFERROR(LARGE(Pareto!V:V,'5 Unidades  +'!D56),"0")</f>
        <v>1546534.6866666665</v>
      </c>
      <c r="L56" s="559">
        <f ca="1">_xlfn.XLOOKUP(F56,Pareto!S:S,Pareto!W:W)</f>
        <v>1154706.2400000002</v>
      </c>
      <c r="M56" s="560">
        <f t="shared" ref="M56:M119" ca="1" si="0">IF(L56="",-K56,L56-K56)</f>
        <v>-391828.44666666631</v>
      </c>
      <c r="N56" s="20"/>
      <c r="O56" s="20"/>
      <c r="P56" s="20"/>
      <c r="Q56" s="20"/>
      <c r="R56" s="20"/>
      <c r="S56" s="20"/>
      <c r="T56" s="20"/>
      <c r="U56" s="20"/>
      <c r="V56" s="153" t="s">
        <v>116</v>
      </c>
      <c r="W56" s="154">
        <f>SUM(Diadema!T179,Ferraz!S147,'São Leopoldo'!S109,Jarinu!S147,Anchieta!S105,Corporativo!L75,'Compras '!P147,Vendas!L86,'Diretoria Financeira'!L71,'Head Qualidade&amp;Dir. Industrial'!L71)</f>
        <v>1727858.4254999999</v>
      </c>
      <c r="X56" s="154">
        <f>SUM(Diadema!U179,Ferraz!T147,'São Leopoldo'!T109,Jarinu!T147,Anchieta!T105,Corporativo!M75,'Compras '!Q147,Vendas!M86,'Diretoria Financeira'!M71,'Head Qualidade&amp;Dir. Industrial'!M71)</f>
        <v>1401255.8903670155</v>
      </c>
      <c r="Y56" s="154">
        <f>SUM(Diadema!V179,Ferraz!U147,'São Leopoldo'!U109,Jarinu!U147,Anchieta!U105,Corporativo!N75,'Compras '!R147,Vendas!N86,'Diretoria Financeira'!N71,'Head Qualidade&amp;Dir. Industrial'!N71)</f>
        <v>1847170.5104570156</v>
      </c>
      <c r="Z56" s="154">
        <f>SUM(Diadema!W179,Ferraz!V147,'São Leopoldo'!V109,Jarinu!V147,Anchieta!V105,Corporativo!O75,'Compras '!S147,Vendas!O86,'Diretoria Financeira'!O71,'Head Qualidade&amp;Dir. Industrial'!O71)</f>
        <v>1930171.6125125713</v>
      </c>
      <c r="AA56" s="154">
        <f>SUM(Diadema!X179,Ferraz!W147,'São Leopoldo'!W109,Jarinu!W147,Anchieta!W105,Corporativo!P75,'Compras '!T147,Vendas!P86,'Diretoria Financeira'!P71,'Head Qualidade&amp;Dir. Industrial'!P71)</f>
        <v>2108484.8612625711</v>
      </c>
      <c r="AB56" s="154">
        <f>SUM(Diadema!Y179,Ferraz!X147,'São Leopoldo'!X109,Jarinu!X147,Anchieta!X105,Corporativo!Q75,'Compras '!U147,Vendas!Q86,'Diretoria Financeira'!Q71,'Head Qualidade&amp;Dir. Industrial'!Q71)</f>
        <v>2694845.5285005714</v>
      </c>
      <c r="AC56" s="154">
        <f>SUM(Diadema!Z179,Ferraz!Y147,'São Leopoldo'!Y109,Jarinu!Y147,Anchieta!Y105,Corporativo!R75,'Compras '!V147,Vendas!R86,'Diretoria Financeira'!R71,'Head Qualidade&amp;Dir. Industrial'!R71)</f>
        <v>2949641.1501672384</v>
      </c>
      <c r="AD56" s="154">
        <f>SUM(Diadema!AA179,Ferraz!Z147,'São Leopoldo'!Z109,Jarinu!Z147,Anchieta!Z105,Corporativo!S75,'Compras '!W147,Vendas!S86,'Diretoria Financeira'!S71,'Head Qualidade&amp;Dir. Industrial'!S71)</f>
        <v>3749259.1627897019</v>
      </c>
      <c r="AE56" s="154">
        <f>SUM(Diadema!AB179,Ferraz!AA147,'São Leopoldo'!AA109,Jarinu!AA147,Anchieta!AA105,Corporativo!T75,'Compras '!X147,Vendas!T86,'Diretoria Financeira'!T71,'Head Qualidade&amp;Dir. Industrial'!T71)</f>
        <v>4047305.9802919021</v>
      </c>
      <c r="AF56" s="154">
        <f>SUM(Diadema!AC179,Ferraz!AB147,'São Leopoldo'!AB109,Jarinu!AB147,Anchieta!AB105,Corporativo!U75,'Compras '!Y147,Vendas!U86,'Diretoria Financeira'!U71,'Head Qualidade&amp;Dir. Industrial'!U71)</f>
        <v>5241748.4644131428</v>
      </c>
      <c r="AG56" s="154">
        <f>SUM(Diadema!AD179,Ferraz!AC147,'São Leopoldo'!AC109,Jarinu!AC147,Anchieta!AC105,Corporativo!V75,'Compras '!Z147,Vendas!V86,'Diretoria Financeira'!V71,'Head Qualidade&amp;Dir. Industrial'!V71)</f>
        <v>5633683.6294131419</v>
      </c>
      <c r="AH56" s="154">
        <f>SUM(Diadema!AE179,Ferraz!AD147,'São Leopoldo'!AD109,Jarinu!AD147,Anchieta!AD105,Corporativo!W75,'Compras '!AA147,Vendas!W86,'Diretoria Financeira'!W71,'Head Qualidade&amp;Dir. Industrial'!W71)</f>
        <v>7305948.1289585968</v>
      </c>
      <c r="AI56" s="154">
        <f>SUM(W56:AH56)</f>
        <v>40637373.344633467</v>
      </c>
    </row>
    <row r="57" spans="3:35" ht="14.4" x14ac:dyDescent="0.3">
      <c r="C57" s="20"/>
      <c r="D57" s="561">
        <v>2</v>
      </c>
      <c r="E57" s="567" t="str">
        <f ca="1">_xlfn.XLOOKUP(F57,Pareto!S:S,Pareto!T:T)</f>
        <v>São leopoldo</v>
      </c>
      <c r="F57" s="1651" t="str">
        <f ca="1">_xlfn.XLOOKUP(K57,Pareto!V:V,Pareto!S:S)</f>
        <v>07- Reestruturação</v>
      </c>
      <c r="G57" s="1652"/>
      <c r="H57" s="567" t="str">
        <f ca="1">_xlfn.XLOOKUP(F57,Pareto!S:S,Pareto!X:X)</f>
        <v>✓ Concluído</v>
      </c>
      <c r="I57" s="567" t="str">
        <f ca="1">_xlfn.XLOOKUP('5 Unidades  +'!F57,Pareto!S:S,Pareto!Z:Z)</f>
        <v>OK</v>
      </c>
      <c r="J57" s="562">
        <f ca="1">_xlfn.XLOOKUP(F57,Pareto!S:S,Pareto!U:U)</f>
        <v>520985.22899999993</v>
      </c>
      <c r="K57" s="562">
        <f ca="1">IFERROR(LARGE(Pareto!V:V,D57)," ")</f>
        <v>868308.71499999997</v>
      </c>
      <c r="L57" s="562">
        <f ca="1">_xlfn.XLOOKUP(F57,Pareto!S:S,Pareto!W:W)</f>
        <v>933084</v>
      </c>
      <c r="M57" s="563">
        <f t="shared" ca="1" si="0"/>
        <v>64775.285000000033</v>
      </c>
      <c r="N57" s="20"/>
      <c r="O57" s="20"/>
      <c r="P57" s="20"/>
      <c r="Q57" s="20"/>
      <c r="R57" s="20"/>
      <c r="S57" s="20"/>
      <c r="T57" s="20"/>
      <c r="U57" s="20"/>
      <c r="V57" s="153" t="s">
        <v>117</v>
      </c>
      <c r="W57" s="154">
        <f>Diadema!T180+Jarinu!S148+Ferraz!S148+Anchieta!S106+'São Leopoldo'!S110+'Compras '!P148+Vendas!L87+Corporativo!M74</f>
        <v>823549.22</v>
      </c>
      <c r="X57" s="154">
        <f>Diadema!U180+Jarinu!T148+Ferraz!T148+Anchieta!T106+'São Leopoldo'!T110+'Compras '!Q148+Vendas!M87+Corporativo!N74</f>
        <v>683834.98557206034</v>
      </c>
      <c r="Y57" s="154">
        <f>Diadema!V180+Jarinu!U148+Ferraz!U148+Anchieta!U106+'São Leopoldo'!U110+'Compras '!R148+Vendas!N87+Corporativo!O74</f>
        <v>830718.24845604203</v>
      </c>
      <c r="Z57" s="154">
        <f>Diadema!W180+Jarinu!V148+Ferraz!V148+Anchieta!V106+'São Leopoldo'!V110+'Compras '!S148+Vendas!O87+Corporativo!P74</f>
        <v>812633.96186837729</v>
      </c>
      <c r="AA57" s="154">
        <f>Diadema!X180+Jarinu!W148+Ferraz!W148+Anchieta!W106+'São Leopoldo'!W110+'Compras '!T148+Vendas!P87+Corporativo!Q74</f>
        <v>997294.15231917985</v>
      </c>
      <c r="AB57" s="154">
        <f>Diadema!Y180+Jarinu!X148+Ferraz!X148+Anchieta!X106+'São Leopoldo'!X110+'Compras '!U148+Vendas!Q87+Corporativo!R74</f>
        <v>1132843.2191207234</v>
      </c>
      <c r="AC57" s="154">
        <f>Diadema!Z180+Jarinu!Y148+Ferraz!Y148+Anchieta!Y106+'São Leopoldo'!Y110+'Compras '!V148+Vendas!R87+Corporativo!S74</f>
        <v>325111.97273978213</v>
      </c>
      <c r="AD57" s="154">
        <f>Diadema!AA180+Jarinu!Z148+Ferraz!Z148+Anchieta!Z106+'São Leopoldo'!Z110+'Compras '!W148+Vendas!S87+Corporativo!T74</f>
        <v>17584</v>
      </c>
      <c r="AE57" s="154">
        <f>Diadema!AB180+Jarinu!AA148+Ferraz!AA148+Anchieta!AA106+'São Leopoldo'!AA110+'Compras '!X148+Vendas!T87+Corporativo!U74</f>
        <v>0</v>
      </c>
      <c r="AF57" s="154">
        <f>Diadema!AC180+Jarinu!AB148+Ferraz!AB148+Anchieta!AB106+'São Leopoldo'!AB110+'Compras '!Y148+Vendas!U87+Corporativo!V74</f>
        <v>0</v>
      </c>
      <c r="AG57" s="154">
        <f>Diadema!AD180+Jarinu!AC148+Ferraz!AC148+Anchieta!AC106+'São Leopoldo'!AC110+'Compras '!Z148+Vendas!V87+Corporativo!W74</f>
        <v>0</v>
      </c>
      <c r="AH57" s="154">
        <f>Diadema!AE180+Jarinu!AD148+Ferraz!AD148+Anchieta!AD106+'São Leopoldo'!AD110+'Compras '!AA148+Vendas!W87+Corporativo!X74</f>
        <v>0</v>
      </c>
      <c r="AI57" s="154">
        <f>SUM(W57:AH57)</f>
        <v>5623569.7600761652</v>
      </c>
    </row>
    <row r="58" spans="3:35" ht="14.4" hidden="1" x14ac:dyDescent="0.3">
      <c r="C58" s="20"/>
      <c r="D58" s="558">
        <v>3</v>
      </c>
      <c r="E58" s="568" t="str">
        <f ca="1">_xlfn.XLOOKUP(F58,Pareto!S:S,Pareto!T:T)</f>
        <v>Compras</v>
      </c>
      <c r="F58" s="1649" t="str">
        <f ca="1">_xlfn.XLOOKUP(K58,Pareto!V:V,Pareto!S:S)</f>
        <v>Projeto DANA - Mudança de CH para BQ</v>
      </c>
      <c r="G58" s="1650"/>
      <c r="H58" s="566" t="str">
        <f ca="1">_xlfn.XLOOKUP(F58,Pareto!S:S,Pareto!X:X)</f>
        <v>✓ Concluído</v>
      </c>
      <c r="I58" s="566" t="str">
        <f ca="1">_xlfn.XLOOKUP('5 Unidades  +'!F58,Pareto!S:S,Pareto!Z:Z)</f>
        <v>OK</v>
      </c>
      <c r="J58" s="559">
        <f ca="1">_xlfn.XLOOKUP(F58,Pareto!S:S,Pareto!U:U)</f>
        <v>1444478.7299999997</v>
      </c>
      <c r="K58" s="559">
        <f ca="1">IFERROR(LARGE(Pareto!V:V,D58)," ")</f>
        <v>412708.20857142855</v>
      </c>
      <c r="L58" s="559" t="str">
        <f ca="1">_xlfn.XLOOKUP(F58,Pareto!S:S,Pareto!W:W)</f>
        <v/>
      </c>
      <c r="M58" s="560">
        <f t="shared" ca="1" si="0"/>
        <v>-412708.20857142855</v>
      </c>
      <c r="N58" s="20"/>
      <c r="O58" s="20"/>
      <c r="P58" s="20"/>
      <c r="Q58" s="20"/>
      <c r="R58" s="20"/>
      <c r="S58" s="20"/>
      <c r="T58" s="20"/>
      <c r="U58" s="20"/>
      <c r="V58" s="162" t="s">
        <v>118</v>
      </c>
      <c r="W58" s="163" t="e">
        <f>Diadema!T181+Anchieta!S107+Ferraz!S149+Jarinu!S149+'São Leopoldo'!S111+Corporativo!L76+Vendas!L88+'Compras '!P149</f>
        <v>#REF!</v>
      </c>
      <c r="X58" s="163" t="e">
        <f>SUM(Diadema!U181,Ferraz!T149,'São Leopoldo'!T111,Jarinu!T149,Anchieta!T107,Corporativo!M77,'Compras '!Q149,Vendas!M88,'Diretoria Financeira'!M73)</f>
        <v>#REF!</v>
      </c>
      <c r="Y58" s="163" t="e">
        <f>SUM(Diadema!V181,Ferraz!U149,'São Leopoldo'!U111,Jarinu!U149,Anchieta!U107,Corporativo!N77,'Compras '!R149,Vendas!N88,'Diretoria Financeira'!N73)</f>
        <v>#REF!</v>
      </c>
      <c r="Z58" s="163" t="e">
        <f>SUM(Diadema!W181,Ferraz!V149,'São Leopoldo'!V111,Jarinu!V149,Anchieta!V107,Corporativo!O77,'Compras '!S149,Vendas!O88,'Diretoria Financeira'!O73)</f>
        <v>#REF!</v>
      </c>
      <c r="AA58" s="163" t="e">
        <f>SUM(Diadema!X181,Ferraz!W149,'São Leopoldo'!W111,Jarinu!W149,Anchieta!W107,Corporativo!P77,'Compras '!T149,Vendas!P88,'Diretoria Financeira'!P73)</f>
        <v>#REF!</v>
      </c>
      <c r="AB58" s="163" t="e">
        <f>SUM(Diadema!Y181,Ferraz!X149,'São Leopoldo'!X111,Jarinu!X149,Anchieta!X107,Corporativo!Q77,'Compras '!U149,Vendas!Q88,'Diretoria Financeira'!Q73)</f>
        <v>#REF!</v>
      </c>
      <c r="AC58" s="163" t="e">
        <f>SUM(Diadema!Z181,Ferraz!Y149,'São Leopoldo'!Y111,Jarinu!Y149,Anchieta!Y107,Corporativo!R77,'Compras '!V149,Vendas!R88,'Diretoria Financeira'!R73)</f>
        <v>#REF!</v>
      </c>
      <c r="AD58" s="163" t="e">
        <f>SUM(Diadema!AA181,Ferraz!Z149,'São Leopoldo'!Z111,Jarinu!Z149,Anchieta!Z107,Corporativo!S77,'Compras '!W149,Vendas!S88,'Diretoria Financeira'!S73)</f>
        <v>#REF!</v>
      </c>
      <c r="AE58" s="163" t="e">
        <f>SUM(Diadema!AB181,Ferraz!AA149,'São Leopoldo'!AA111,Jarinu!AA149,Anchieta!AA107,Corporativo!T77,'Compras '!X149,Vendas!T88,'Diretoria Financeira'!T73)</f>
        <v>#REF!</v>
      </c>
      <c r="AF58" s="163" t="e">
        <f>SUM(Diadema!AC181,Ferraz!AB149,'São Leopoldo'!AB111,Jarinu!AB149,Anchieta!AB107,Corporativo!U77,'Compras '!Y149,Vendas!U88,'Diretoria Financeira'!U73)</f>
        <v>#REF!</v>
      </c>
      <c r="AG58" s="163" t="e">
        <f>SUM(Diadema!AD181,Ferraz!AC149,'São Leopoldo'!AC111,Jarinu!AC149,Anchieta!AC107,Corporativo!V77,'Compras '!Z149,Vendas!V88,'Diretoria Financeira'!V73)</f>
        <v>#REF!</v>
      </c>
      <c r="AH58" s="163" t="e">
        <f>SUM(Diadema!AE181,Ferraz!AD149,'São Leopoldo'!AD111,Jarinu!AD149,Anchieta!AD107,Corporativo!W77,'Compras '!AA149,Vendas!W88,'Diretoria Financeira'!W73)</f>
        <v>#REF!</v>
      </c>
      <c r="AI58" s="162"/>
    </row>
    <row r="59" spans="3:35" ht="14.4" x14ac:dyDescent="0.3">
      <c r="C59" s="20"/>
      <c r="D59" s="561">
        <v>4</v>
      </c>
      <c r="E59" s="567" t="str">
        <f ca="1">_xlfn.XLOOKUP(F59,Pareto!S:S,Pareto!T:T)</f>
        <v>Jarinu</v>
      </c>
      <c r="F59" s="1651" t="str">
        <f ca="1">_xlfn.XLOOKUP(K59,Pareto!V:V,Pareto!S:S)</f>
        <v>36 - Venda Robos</v>
      </c>
      <c r="G59" s="1652"/>
      <c r="H59" s="567" t="str">
        <f ca="1">_xlfn.XLOOKUP(F59,Pareto!S:S,Pareto!X:X)</f>
        <v>✓ Concluído</v>
      </c>
      <c r="I59" s="567" t="str">
        <f ca="1">_xlfn.XLOOKUP('5 Unidades  +'!F59,Pareto!S:S,Pareto!Z:Z)</f>
        <v>OK</v>
      </c>
      <c r="J59" s="562">
        <f ca="1">_xlfn.XLOOKUP(F59,Pareto!S:S,Pareto!U:U)</f>
        <v>0</v>
      </c>
      <c r="K59" s="562">
        <f ca="1">IFERROR(LARGE(Pareto!V:V,D59)," ")</f>
        <v>390000.00300000003</v>
      </c>
      <c r="L59" s="562">
        <f ca="1">_xlfn.XLOOKUP(F59,Pareto!S:S,Pareto!W:W)</f>
        <v>390000</v>
      </c>
      <c r="M59" s="563">
        <f t="shared" ca="1" si="0"/>
        <v>-3.0000000260770321E-3</v>
      </c>
      <c r="N59" s="20"/>
      <c r="O59" s="20"/>
      <c r="P59" s="20"/>
      <c r="Q59" s="20"/>
      <c r="R59" s="20"/>
      <c r="S59" s="20"/>
      <c r="T59" s="20"/>
      <c r="U59" s="20"/>
      <c r="V59" s="472" t="s">
        <v>119</v>
      </c>
      <c r="W59" s="154">
        <f>W56</f>
        <v>1727858.4254999999</v>
      </c>
      <c r="X59" s="154">
        <f t="shared" ref="X59:AH59" si="1">W59+X56</f>
        <v>3129114.3158670152</v>
      </c>
      <c r="Y59" s="154">
        <f t="shared" si="1"/>
        <v>4976284.8263240308</v>
      </c>
      <c r="Z59" s="154">
        <f t="shared" si="1"/>
        <v>6906456.4388366025</v>
      </c>
      <c r="AA59" s="154">
        <f t="shared" si="1"/>
        <v>9014941.3000991736</v>
      </c>
      <c r="AB59" s="154">
        <f t="shared" si="1"/>
        <v>11709786.828599745</v>
      </c>
      <c r="AC59" s="154">
        <f t="shared" si="1"/>
        <v>14659427.978766983</v>
      </c>
      <c r="AD59" s="154">
        <f t="shared" si="1"/>
        <v>18408687.141556684</v>
      </c>
      <c r="AE59" s="154">
        <f t="shared" si="1"/>
        <v>22455993.121848587</v>
      </c>
      <c r="AF59" s="154">
        <f t="shared" si="1"/>
        <v>27697741.586261731</v>
      </c>
      <c r="AG59" s="154">
        <f t="shared" si="1"/>
        <v>33331425.215674873</v>
      </c>
      <c r="AH59" s="154">
        <f t="shared" si="1"/>
        <v>40637373.344633467</v>
      </c>
      <c r="AI59" s="154"/>
    </row>
    <row r="60" spans="3:35" ht="14.4" x14ac:dyDescent="0.3">
      <c r="C60" s="20"/>
      <c r="D60" s="558">
        <v>5</v>
      </c>
      <c r="E60" s="568" t="str">
        <f ca="1">_xlfn.XLOOKUP(F60,Pareto!S:S,Pareto!T:T)</f>
        <v>Ferraz</v>
      </c>
      <c r="F60" s="1649" t="str">
        <f ca="1">_xlfn.XLOOKUP(K60,Pareto!V:V,Pareto!S:S)</f>
        <v xml:space="preserve">06 - Reaproveitamento de lixas </v>
      </c>
      <c r="G60" s="1650"/>
      <c r="H60" s="566" t="str">
        <f ca="1">_xlfn.XLOOKUP(F60,Pareto!S:S,Pareto!X:X)</f>
        <v>✓ Concluído</v>
      </c>
      <c r="I60" s="566" t="str">
        <f ca="1">_xlfn.XLOOKUP('5 Unidades  +'!F60,Pareto!S:S,Pareto!Z:Z)</f>
        <v>OK</v>
      </c>
      <c r="J60" s="559">
        <f ca="1">_xlfn.XLOOKUP(F60,Pareto!S:S,Pareto!U:U)</f>
        <v>151815.13</v>
      </c>
      <c r="K60" s="559">
        <f ca="1">IFERROR(LARGE(Pareto!V:V,D60)," ")</f>
        <v>354235.30333333334</v>
      </c>
      <c r="L60" s="559">
        <f ca="1">_xlfn.XLOOKUP(F60,Pareto!S:S,Pareto!W:W)</f>
        <v>276395.48</v>
      </c>
      <c r="M60" s="560">
        <f t="shared" ca="1" si="0"/>
        <v>-77839.823333333363</v>
      </c>
      <c r="N60" s="522"/>
      <c r="O60" s="522"/>
      <c r="P60" s="522"/>
      <c r="Q60" s="522"/>
      <c r="R60" s="20"/>
      <c r="S60" s="20"/>
      <c r="T60" s="20"/>
      <c r="U60" s="20"/>
      <c r="V60" s="473" t="s">
        <v>120</v>
      </c>
      <c r="W60" s="474">
        <f>W57</f>
        <v>823549.22</v>
      </c>
      <c r="X60" s="474">
        <f t="shared" ref="X60:AH60" si="2">W60+X57</f>
        <v>1507384.2055720603</v>
      </c>
      <c r="Y60" s="474">
        <f t="shared" si="2"/>
        <v>2338102.4540281026</v>
      </c>
      <c r="Z60" s="474">
        <f t="shared" si="2"/>
        <v>3150736.41589648</v>
      </c>
      <c r="AA60" s="474">
        <f t="shared" si="2"/>
        <v>4148030.5682156598</v>
      </c>
      <c r="AB60" s="474">
        <f t="shared" si="2"/>
        <v>5280873.787336383</v>
      </c>
      <c r="AC60" s="474">
        <f t="shared" si="2"/>
        <v>5605985.7600761652</v>
      </c>
      <c r="AD60" s="474">
        <f t="shared" si="2"/>
        <v>5623569.7600761652</v>
      </c>
      <c r="AE60" s="474">
        <f t="shared" si="2"/>
        <v>5623569.7600761652</v>
      </c>
      <c r="AF60" s="474">
        <f t="shared" si="2"/>
        <v>5623569.7600761652</v>
      </c>
      <c r="AG60" s="474">
        <f t="shared" si="2"/>
        <v>5623569.7600761652</v>
      </c>
      <c r="AH60" s="474">
        <f t="shared" si="2"/>
        <v>5623569.7600761652</v>
      </c>
      <c r="AI60" s="474"/>
    </row>
    <row r="61" spans="3:35" ht="14.4" x14ac:dyDescent="0.3">
      <c r="C61" s="20"/>
      <c r="D61" s="561">
        <v>6</v>
      </c>
      <c r="E61" s="567" t="str">
        <f ca="1">_xlfn.XLOOKUP(F61,Pareto!S:S,Pareto!T:T)</f>
        <v>Ferraz</v>
      </c>
      <c r="F61" s="1651" t="str">
        <f ca="1">_xlfn.XLOOKUP(K61,Pareto!V:V,Pareto!S:S)</f>
        <v xml:space="preserve">03 - Consumo de desmoldante </v>
      </c>
      <c r="G61" s="1652"/>
      <c r="H61" s="567" t="str">
        <f ca="1">_xlfn.XLOOKUP(F61,Pareto!S:S,Pareto!X:X)</f>
        <v>✓ Concluído</v>
      </c>
      <c r="I61" s="567" t="str">
        <f ca="1">_xlfn.XLOOKUP('5 Unidades  +'!F61,Pareto!S:S,Pareto!Z:Z)</f>
        <v>OK</v>
      </c>
      <c r="J61" s="562">
        <f ca="1">_xlfn.XLOOKUP(F61,Pareto!S:S,Pareto!U:U)</f>
        <v>126310.64000000001</v>
      </c>
      <c r="K61" s="562">
        <f ca="1">IFERROR(LARGE(Pareto!V:V,D61)," ")</f>
        <v>294724.82666666666</v>
      </c>
      <c r="L61" s="562">
        <f ca="1">_xlfn.XLOOKUP(F61,Pareto!S:S,Pareto!W:W)</f>
        <v>525129.73</v>
      </c>
      <c r="M61" s="563">
        <f t="shared" ca="1" si="0"/>
        <v>230404.90333333332</v>
      </c>
      <c r="N61" s="522"/>
      <c r="O61" s="522"/>
      <c r="P61" s="522" t="s">
        <v>106</v>
      </c>
      <c r="Q61" s="522"/>
      <c r="R61" s="20"/>
      <c r="S61" s="20"/>
      <c r="T61" s="20"/>
      <c r="U61" s="20"/>
      <c r="V61" s="472" t="s">
        <v>121</v>
      </c>
      <c r="W61" s="154">
        <f>W60</f>
        <v>823549.22</v>
      </c>
      <c r="X61" s="154">
        <f>IF(AND(ISNUMBER(X57),X57&lt;&gt;0), X60, W61 + ((Parâmetros!$E$15 - MAX($W$60:$AI$60)) / COUNTIF($W$57:$AI$57,0)))</f>
        <v>1507384.2055720603</v>
      </c>
      <c r="Y61" s="154">
        <f>IF(AND(ISNUMBER(Y57),Y57&lt;&gt;0), Y60, X61 + ((Parâmetros!$E$15 - MAX($W$60:$AI$60)) / COUNTIF($W$57:$AI$57,0)))</f>
        <v>2338102.4540281026</v>
      </c>
      <c r="Z61" s="154">
        <f>IF(AND(ISNUMBER(Z57),Z57&lt;&gt;0), Z60, Y61 + ((Parâmetros!$E$15 - MAX($W$60:$AI$60)) / COUNTIF($W$57:$AI$57,0)))</f>
        <v>3150736.41589648</v>
      </c>
      <c r="AA61" s="154">
        <f>IF(AND(ISNUMBER(AA57),AA57&lt;&gt;0), AA60, Z61 + ((Parâmetros!$E$15 - MAX($W$60:$AI$60)) / COUNTIF($W$57:$AI$57,0)))</f>
        <v>4148030.5682156598</v>
      </c>
      <c r="AB61" s="154">
        <f>IF(AND(ISNUMBER(AB57),AB57&lt;&gt;0), AB60, AA61 + ((Parâmetros!$E$15 - MAX($W$60:$AI$60)) / COUNTIF($W$57:$AI$57,0)))</f>
        <v>5280873.787336383</v>
      </c>
      <c r="AC61" s="154">
        <f>IF(AND(ISNUMBER(AC57),AC57&lt;&gt;0), AC60, AB61 + ((Parâmetros!$E$15 - MAX($W$60:$AI$60)) / COUNTIF($W$57:$AI$57,0)))</f>
        <v>5605985.7600761652</v>
      </c>
      <c r="AD61" s="154">
        <f>IF(AND(ISNUMBER(AD57),AD57&lt;&gt;0), AD60, AC61 + ((Parâmetros!$E$15 - MAX($W$60:$AI$60)) / COUNTIF($W$57:$AI$57,0)))</f>
        <v>5623569.7600761652</v>
      </c>
      <c r="AE61" s="154">
        <f>IF(AND(ISNUMBER(AE57),AE57&lt;&gt;0), AE60, AD61 + ((Parâmetros!$E$15 - MAX($W$60:$AI$60)) / COUNTIF($W$57:$AI$57,0)))</f>
        <v>16797677.320057124</v>
      </c>
      <c r="AF61" s="154">
        <f>IF(AND(ISNUMBER(AF57),AF57&lt;&gt;0), AF60, AE61 + ((Parâmetros!$E$15 - MAX($W$60:$AI$60)) / COUNTIF($W$57:$AI$57,0)))</f>
        <v>27971784.880038083</v>
      </c>
      <c r="AG61" s="154">
        <f>IF(AND(ISNUMBER(AG57),AG57&lt;&gt;0), AG60, AF61 + ((Parâmetros!$E$15 - MAX($W$60:$AI$60)) / COUNTIF($W$57:$AI$57,0)))</f>
        <v>39145892.440019041</v>
      </c>
      <c r="AH61" s="154">
        <f>IF(AND(ISNUMBER(AH57),AH57&lt;&gt;0), AH60, AG61 + ((Parâmetros!$E$15 - MAX($W$60:$AI$60)) / COUNTIF($W$57:$AI$57,0)))</f>
        <v>50320000</v>
      </c>
    </row>
    <row r="62" spans="3:35" ht="14.4" x14ac:dyDescent="0.3">
      <c r="C62" s="20"/>
      <c r="D62" s="558">
        <v>7</v>
      </c>
      <c r="E62" s="568" t="str">
        <f ca="1">_xlfn.XLOOKUP(F62,Pareto!S:S,Pareto!T:T)</f>
        <v>Ferraz</v>
      </c>
      <c r="F62" s="1649" t="str">
        <f ca="1">_xlfn.XLOOKUP(K62,Pareto!V:V,Pareto!S:S)</f>
        <v xml:space="preserve">03 - Consumo de desmoldante </v>
      </c>
      <c r="G62" s="1650"/>
      <c r="H62" s="566" t="str">
        <f ca="1">_xlfn.XLOOKUP(F62,Pareto!S:S,Pareto!X:X)</f>
        <v>✓ Concluído</v>
      </c>
      <c r="I62" s="566" t="str">
        <f ca="1">_xlfn.XLOOKUP('5 Unidades  +'!F62,Pareto!S:S,Pareto!Z:Z)</f>
        <v>OK</v>
      </c>
      <c r="J62" s="559">
        <f ca="1">_xlfn.XLOOKUP(F62,Pareto!S:S,Pareto!U:U)</f>
        <v>126310.64000000001</v>
      </c>
      <c r="K62" s="559">
        <f ca="1">IFERROR(LARGE(Pareto!V:V,D62)," ")</f>
        <v>294724.82666666666</v>
      </c>
      <c r="L62" s="559">
        <f ca="1">_xlfn.XLOOKUP(F62,Pareto!S:S,Pareto!W:W)</f>
        <v>525129.73</v>
      </c>
      <c r="M62" s="560">
        <f t="shared" ca="1" si="0"/>
        <v>230404.90333333332</v>
      </c>
      <c r="N62" s="20"/>
      <c r="O62" s="20"/>
      <c r="P62" s="20"/>
      <c r="Q62" s="20"/>
      <c r="R62" s="20"/>
      <c r="S62" s="20"/>
      <c r="T62" s="20"/>
      <c r="U62" s="20"/>
      <c r="V62" s="62" t="s">
        <v>122</v>
      </c>
      <c r="W62" s="1019">
        <f>W63</f>
        <v>886433.4254999999</v>
      </c>
      <c r="X62" s="1019">
        <f>W62+X63</f>
        <v>1357922.2100407425</v>
      </c>
      <c r="Y62" s="1019">
        <f t="shared" ref="Y62:AH62" si="3">X62+Y63</f>
        <v>2131437.1265814854</v>
      </c>
      <c r="Z62" s="1019">
        <f t="shared" si="3"/>
        <v>2954336.8218444502</v>
      </c>
      <c r="AA62" s="1019">
        <f t="shared" si="3"/>
        <v>3889491.5808574152</v>
      </c>
      <c r="AB62" s="1019">
        <f t="shared" si="3"/>
        <v>5176381.8427275233</v>
      </c>
      <c r="AC62" s="1019">
        <f t="shared" si="3"/>
        <v>6575785.226264298</v>
      </c>
      <c r="AD62" s="1019">
        <f t="shared" si="3"/>
        <v>8109702.2458010726</v>
      </c>
      <c r="AE62" s="1019">
        <f t="shared" si="3"/>
        <v>9657948.6478378475</v>
      </c>
      <c r="AF62" s="1019">
        <f t="shared" si="3"/>
        <v>11668138.463207955</v>
      </c>
      <c r="AG62" s="1019">
        <f t="shared" si="3"/>
        <v>13678328.278578062</v>
      </c>
      <c r="AH62" s="1019">
        <f t="shared" si="3"/>
        <v>15701521.593493624</v>
      </c>
    </row>
    <row r="63" spans="3:35" ht="14.4" x14ac:dyDescent="0.3">
      <c r="C63" s="20"/>
      <c r="D63" s="561">
        <v>8</v>
      </c>
      <c r="E63" s="567" t="str">
        <f ca="1">_xlfn.XLOOKUP(F63,Pareto!S:S,Pareto!T:T)</f>
        <v>Ferraz</v>
      </c>
      <c r="F63" s="1651" t="str">
        <f ca="1">_xlfn.XLOOKUP(K63,Pareto!V:V,Pareto!S:S)</f>
        <v xml:space="preserve">07 - Consumo de gás </v>
      </c>
      <c r="G63" s="1652"/>
      <c r="H63" s="567" t="str">
        <f ca="1">_xlfn.XLOOKUP(F63,Pareto!S:S,Pareto!X:X)</f>
        <v>✓ Concluído</v>
      </c>
      <c r="I63" s="567" t="str">
        <f ca="1">_xlfn.XLOOKUP('5 Unidades  +'!F63,Pareto!S:S,Pareto!Z:Z)</f>
        <v>OK</v>
      </c>
      <c r="J63" s="562">
        <f ca="1">_xlfn.XLOOKUP(F63,Pareto!S:S,Pareto!U:U)</f>
        <v>101344.25</v>
      </c>
      <c r="K63" s="562">
        <f ca="1">IFERROR(LARGE(Pareto!V:V,D63)," ")</f>
        <v>236469.91666666663</v>
      </c>
      <c r="L63" s="562">
        <f ca="1">_xlfn.XLOOKUP(F63,Pareto!S:S,Pareto!W:W)</f>
        <v>413825.56999999995</v>
      </c>
      <c r="M63" s="563">
        <f t="shared" ca="1" si="0"/>
        <v>177355.65333333332</v>
      </c>
      <c r="N63" s="20"/>
      <c r="O63" s="20"/>
      <c r="P63" s="20"/>
      <c r="Q63" s="20"/>
      <c r="R63" s="20"/>
      <c r="S63" s="20"/>
      <c r="T63" s="20"/>
      <c r="U63" s="20"/>
      <c r="V63" s="20" t="s">
        <v>123</v>
      </c>
      <c r="W63" s="1018">
        <f>Diadema!T185+Jarinu!S153+Ferraz!S153+'São Leopoldo'!S115+Anchieta!S111+'Compras '!P153+Vendas!L92</f>
        <v>886433.4254999999</v>
      </c>
      <c r="X63" s="1018">
        <f>Diadema!U185+Jarinu!T153+Ferraz!T153+'São Leopoldo'!T115+Anchieta!T111+'Compras '!Q153+Vendas!M92</f>
        <v>471488.78454074275</v>
      </c>
      <c r="Y63" s="1018">
        <f>Diadema!V185+Jarinu!U153+Ferraz!U153+'São Leopoldo'!U115+Anchieta!U111+'Compras '!R153+Vendas!N92</f>
        <v>773514.91654074285</v>
      </c>
      <c r="Z63" s="1018">
        <f>Diadema!W185+Jarinu!V153+Ferraz!V153+'São Leopoldo'!V115+Anchieta!V111+'Compras '!S153+Vendas!O92</f>
        <v>822899.69526296505</v>
      </c>
      <c r="AA63" s="1018">
        <f>Diadema!X185+Jarinu!W153+Ferraz!W153+'São Leopoldo'!W115+Anchieta!W111+'Compras '!T153+Vendas!P92</f>
        <v>935154.75901296514</v>
      </c>
      <c r="AB63" s="1018">
        <f>Diadema!Y185+Jarinu!X153+Ferraz!X153+'São Leopoldo'!X115+Anchieta!X111+'Compras '!U153+Vendas!Q92</f>
        <v>1286890.2618701081</v>
      </c>
      <c r="AC63" s="1018">
        <f>Diadema!Z185+Jarinu!Y153+Ferraz!Y153+'São Leopoldo'!Y115+Anchieta!Y111+'Compras '!V153+Vendas!R92</f>
        <v>1399403.3835367747</v>
      </c>
      <c r="AD63" s="1018">
        <f>Diadema!AA185+Jarinu!Z153+Ferraz!Z153+'São Leopoldo'!Z115+Anchieta!Z111+'Compras '!W153+Vendas!S92</f>
        <v>1533917.0195367746</v>
      </c>
      <c r="AE63" s="1018">
        <f>Diadema!AB185+Jarinu!AA153+Ferraz!AA153+'São Leopoldo'!AA115+Anchieta!AA111+'Compras '!X153+Vendas!T92</f>
        <v>1548246.4020367747</v>
      </c>
      <c r="AF63" s="1018">
        <f>Diadema!AC185+Jarinu!AB153+Ferraz!AB153+'São Leopoldo'!AB115+Anchieta!AB111+'Compras '!Y153+Vendas!U92</f>
        <v>2010189.8153701078</v>
      </c>
      <c r="AG63" s="1018">
        <f>Diadema!AD185+Jarinu!AC153+Ferraz!AC153+'São Leopoldo'!AC115+Anchieta!AC111+'Compras '!Z153+Vendas!V92</f>
        <v>2010189.8153701078</v>
      </c>
      <c r="AH63" s="1018">
        <f>Diadema!AE185+Jarinu!AD153+Ferraz!AD153+'São Leopoldo'!AD115+Anchieta!AD111+'Compras '!AA153+Vendas!W92</f>
        <v>2023193.3149155623</v>
      </c>
      <c r="AI63" s="1018">
        <f>SUM(W63:AH63)</f>
        <v>15701521.593493624</v>
      </c>
    </row>
    <row r="64" spans="3:35" ht="14.4" x14ac:dyDescent="0.3">
      <c r="C64" s="20"/>
      <c r="D64" s="558">
        <v>9</v>
      </c>
      <c r="E64" s="568" t="str">
        <f ca="1">_xlfn.XLOOKUP(F64,Pareto!S:S,Pareto!T:T)</f>
        <v>Diadema</v>
      </c>
      <c r="F64" s="1649" t="str">
        <f ca="1">_xlfn.XLOOKUP(K64,Pareto!V:V,Pareto!S:S)</f>
        <v>29 - DA000489Z_DA000490Z - STC Scania M_</v>
      </c>
      <c r="G64" s="1650"/>
      <c r="H64" s="566" t="str">
        <f ca="1">_xlfn.XLOOKUP(F64,Pareto!S:S,Pareto!X:X)</f>
        <v>✓ Concluído</v>
      </c>
      <c r="I64" s="566" t="str">
        <f ca="1">_xlfn.XLOOKUP('5 Unidades  +'!F64,Pareto!S:S,Pareto!Z:Z)</f>
        <v>OK</v>
      </c>
      <c r="J64" s="559">
        <f ca="1">_xlfn.XLOOKUP(F64,Pareto!S:S,Pareto!U:U)</f>
        <v>446423.79</v>
      </c>
      <c r="K64" s="559">
        <f ca="1">IFERROR(LARGE(Pareto!V:V,D64)," ")</f>
        <v>223211.89500000002</v>
      </c>
      <c r="L64" s="559">
        <f ca="1">_xlfn.XLOOKUP(F64,Pareto!S:S,Pareto!W:W)</f>
        <v>282888.46469920909</v>
      </c>
      <c r="M64" s="560">
        <f t="shared" ca="1" si="0"/>
        <v>59676.569699209067</v>
      </c>
      <c r="N64" s="20"/>
      <c r="O64" s="20"/>
      <c r="P64" s="20"/>
      <c r="Q64" s="20"/>
      <c r="R64" s="20"/>
      <c r="S64" s="20"/>
      <c r="T64" s="20"/>
      <c r="U64" s="20"/>
      <c r="V64" s="20"/>
      <c r="W64" s="20"/>
      <c r="X64" s="20"/>
      <c r="Y64" s="20"/>
      <c r="Z64" s="20"/>
      <c r="AA64" s="20"/>
      <c r="AB64" s="20"/>
      <c r="AC64" s="20"/>
      <c r="AD64" s="20"/>
      <c r="AE64" s="20"/>
      <c r="AF64" s="20"/>
      <c r="AG64" s="20"/>
      <c r="AH64" s="20"/>
      <c r="AI64" s="20"/>
    </row>
    <row r="65" spans="3:35" ht="14.4" x14ac:dyDescent="0.3">
      <c r="C65" s="20"/>
      <c r="D65" s="561">
        <v>10</v>
      </c>
      <c r="E65" s="567" t="str">
        <f ca="1">_xlfn.XLOOKUP(F65,Pareto!S:S,Pareto!T:T)</f>
        <v>Jarinu</v>
      </c>
      <c r="F65" s="1651" t="str">
        <f ca="1">_xlfn.XLOOKUP(K65,Pareto!V:V,Pareto!S:S)</f>
        <v>26 - Redução de gastos com HE</v>
      </c>
      <c r="G65" s="1652"/>
      <c r="H65" s="567" t="str">
        <f ca="1">_xlfn.XLOOKUP(F65,Pareto!S:S,Pareto!X:X)</f>
        <v>✓ Concluído</v>
      </c>
      <c r="I65" s="567" t="str">
        <f ca="1">_xlfn.XLOOKUP('5 Unidades  +'!F65,Pareto!S:S,Pareto!Z:Z)</f>
        <v/>
      </c>
      <c r="J65" s="562">
        <f ca="1">_xlfn.XLOOKUP(F65,Pareto!S:S,Pareto!U:U)</f>
        <v>107700</v>
      </c>
      <c r="K65" s="562">
        <f ca="1">IFERROR(LARGE(Pareto!V:V,D65)," ")</f>
        <v>179500</v>
      </c>
      <c r="L65" s="562" t="str">
        <f ca="1">_xlfn.XLOOKUP(F65,Pareto!S:S,Pareto!W:W)</f>
        <v/>
      </c>
      <c r="M65" s="563">
        <f t="shared" ca="1" si="0"/>
        <v>-179500</v>
      </c>
      <c r="N65" s="20"/>
      <c r="O65" s="20"/>
      <c r="P65" s="20"/>
      <c r="Q65" s="20"/>
      <c r="R65" s="20"/>
      <c r="S65" s="20"/>
      <c r="T65" s="20"/>
      <c r="U65" s="20"/>
      <c r="V65" s="20"/>
      <c r="W65" s="20"/>
      <c r="X65" s="20"/>
      <c r="Y65" s="20"/>
      <c r="Z65" s="20"/>
      <c r="AA65" s="20"/>
      <c r="AB65" s="20"/>
      <c r="AC65" s="20"/>
      <c r="AD65" s="20"/>
      <c r="AE65" s="20"/>
      <c r="AF65" s="20"/>
      <c r="AG65" s="20"/>
      <c r="AH65" s="20"/>
      <c r="AI65" s="20"/>
    </row>
    <row r="66" spans="3:35" ht="14.4" x14ac:dyDescent="0.3">
      <c r="C66" s="20"/>
      <c r="D66" s="558">
        <v>11</v>
      </c>
      <c r="E66" s="568" t="str">
        <f ca="1">_xlfn.XLOOKUP(F66,Pareto!S:S,Pareto!T:T)</f>
        <v>Ferraz</v>
      </c>
      <c r="F66" s="1649" t="str">
        <f ca="1">_xlfn.XLOOKUP(K66,Pareto!V:V,Pareto!S:S)</f>
        <v xml:space="preserve">17 - Consumo de água </v>
      </c>
      <c r="G66" s="1650"/>
      <c r="H66" s="566" t="str">
        <f ca="1">_xlfn.XLOOKUP(F66,Pareto!S:S,Pareto!X:X)</f>
        <v>✓ Concluído</v>
      </c>
      <c r="I66" s="566" t="str">
        <f ca="1">_xlfn.XLOOKUP('5 Unidades  +'!F66,Pareto!S:S,Pareto!Z:Z)</f>
        <v>OK</v>
      </c>
      <c r="J66" s="559">
        <f ca="1">_xlfn.XLOOKUP(F66,Pareto!S:S,Pareto!U:U)</f>
        <v>76753.75</v>
      </c>
      <c r="K66" s="559">
        <f ca="1">IFERROR(LARGE(Pareto!V:V,D66)," ")</f>
        <v>179092.08333333334</v>
      </c>
      <c r="L66" s="559">
        <f ca="1">_xlfn.XLOOKUP(F66,Pareto!S:S,Pareto!W:W)</f>
        <v>45098</v>
      </c>
      <c r="M66" s="560">
        <f t="shared" ca="1" si="0"/>
        <v>-133994.08333333334</v>
      </c>
      <c r="N66" s="20"/>
      <c r="O66" s="20"/>
      <c r="P66" s="20"/>
      <c r="Q66" s="20"/>
      <c r="R66" s="20"/>
      <c r="S66" s="20"/>
      <c r="T66" s="20"/>
      <c r="U66" s="20"/>
      <c r="V66" s="20"/>
      <c r="W66" s="20"/>
      <c r="X66" s="20"/>
      <c r="Y66" s="20"/>
      <c r="Z66" s="20"/>
      <c r="AA66" s="20"/>
      <c r="AB66" s="20"/>
      <c r="AC66" s="20"/>
      <c r="AD66" s="20"/>
      <c r="AE66" s="20"/>
      <c r="AF66" s="20"/>
      <c r="AG66" s="20"/>
      <c r="AH66" s="20"/>
      <c r="AI66" s="20"/>
    </row>
    <row r="67" spans="3:35" ht="14.4" x14ac:dyDescent="0.3">
      <c r="C67" s="20"/>
      <c r="D67" s="561">
        <v>12</v>
      </c>
      <c r="E67" s="567" t="str">
        <f ca="1">_xlfn.XLOOKUP(F67,Pareto!S:S,Pareto!T:T)</f>
        <v>Compras</v>
      </c>
      <c r="F67" s="1651" t="str">
        <f ca="1">_xlfn.XLOOKUP(K67,Pareto!V:V,Pareto!S:S)</f>
        <v>Mão de Obra Terceirizada</v>
      </c>
      <c r="G67" s="1652"/>
      <c r="H67" s="567" t="str">
        <f ca="1">_xlfn.XLOOKUP(F67,Pareto!S:S,Pareto!X:X)</f>
        <v>✓ Concluído</v>
      </c>
      <c r="I67" s="567" t="str">
        <f ca="1">_xlfn.XLOOKUP('5 Unidades  +'!F67,Pareto!S:S,Pareto!Z:Z)</f>
        <v/>
      </c>
      <c r="J67" s="562">
        <f ca="1">_xlfn.XLOOKUP(F67,Pareto!S:S,Pareto!U:U)</f>
        <v>600867.99999999988</v>
      </c>
      <c r="K67" s="562">
        <f ca="1">IFERROR(LARGE(Pareto!V:V,D67)," ")</f>
        <v>171676.57142857142</v>
      </c>
      <c r="L67" s="562" t="str">
        <f ca="1">_xlfn.XLOOKUP(F67,Pareto!S:S,Pareto!W:W)</f>
        <v/>
      </c>
      <c r="M67" s="563">
        <f t="shared" ca="1" si="0"/>
        <v>-171676.57142857142</v>
      </c>
      <c r="N67" s="20"/>
      <c r="O67" s="20"/>
      <c r="P67" s="20"/>
      <c r="Q67" s="20"/>
      <c r="R67" s="20"/>
      <c r="S67" s="20"/>
      <c r="T67" s="20"/>
      <c r="U67" s="20"/>
      <c r="V67" s="20"/>
      <c r="W67" s="20"/>
      <c r="X67" s="20"/>
      <c r="Y67" s="20"/>
      <c r="Z67" s="20"/>
      <c r="AA67" s="20"/>
      <c r="AB67" s="20"/>
      <c r="AC67" s="20"/>
      <c r="AD67" s="20"/>
      <c r="AE67" s="20"/>
      <c r="AF67" s="20"/>
      <c r="AG67" s="20"/>
      <c r="AH67" s="20"/>
      <c r="AI67" s="20"/>
    </row>
    <row r="68" spans="3:35" ht="14.4" x14ac:dyDescent="0.3">
      <c r="C68" s="20"/>
      <c r="D68" s="558">
        <v>13</v>
      </c>
      <c r="E68" s="568" t="str">
        <f ca="1">_xlfn.XLOOKUP(F68,Pareto!S:S,Pareto!T:T)</f>
        <v>Ferraz</v>
      </c>
      <c r="F68" s="1649" t="str">
        <f ca="1">_xlfn.XLOOKUP(K68,Pareto!V:V,Pareto!S:S)</f>
        <v xml:space="preserve">04 - Redução dos retrabalhos </v>
      </c>
      <c r="G68" s="1650"/>
      <c r="H68" s="566" t="str">
        <f ca="1">_xlfn.XLOOKUP(F68,Pareto!S:S,Pareto!X:X)</f>
        <v>✓ Concluído</v>
      </c>
      <c r="I68" s="566" t="str">
        <f ca="1">_xlfn.XLOOKUP('5 Unidades  +'!F68,Pareto!S:S,Pareto!Z:Z)</f>
        <v/>
      </c>
      <c r="J68" s="559">
        <f ca="1">_xlfn.XLOOKUP(F68,Pareto!S:S,Pareto!U:U)</f>
        <v>168750</v>
      </c>
      <c r="K68" s="559">
        <f ca="1">IFERROR(LARGE(Pareto!V:V,D68)," ")</f>
        <v>168750</v>
      </c>
      <c r="L68" s="559" t="str">
        <f ca="1">_xlfn.XLOOKUP(F68,Pareto!S:S,Pareto!W:W)</f>
        <v/>
      </c>
      <c r="M68" s="560">
        <f t="shared" ca="1" si="0"/>
        <v>-168750</v>
      </c>
      <c r="N68" s="20"/>
      <c r="O68" s="20"/>
      <c r="P68" s="20"/>
      <c r="Q68" s="20"/>
      <c r="R68" s="20"/>
      <c r="S68" s="20"/>
      <c r="T68" s="20"/>
      <c r="U68" s="20"/>
      <c r="V68" s="20"/>
      <c r="W68" s="20"/>
      <c r="X68" s="20"/>
      <c r="Y68" s="20"/>
      <c r="Z68" s="20"/>
      <c r="AA68" s="20"/>
      <c r="AB68" s="20"/>
      <c r="AC68" s="20"/>
      <c r="AD68" s="20"/>
      <c r="AE68" s="20"/>
      <c r="AF68" s="20"/>
      <c r="AG68" s="20"/>
      <c r="AH68" s="20"/>
      <c r="AI68" s="20"/>
    </row>
    <row r="69" spans="3:35" ht="14.4" x14ac:dyDescent="0.3">
      <c r="C69" s="20"/>
      <c r="D69" s="561">
        <v>14</v>
      </c>
      <c r="E69" s="567" t="str">
        <f ca="1">_xlfn.XLOOKUP(F69,Pareto!S:S,Pareto!T:T)</f>
        <v>Compras</v>
      </c>
      <c r="F69" s="1651" t="str">
        <f ca="1">_xlfn.XLOOKUP(K69,Pareto!V:V,Pareto!S:S)</f>
        <v>Negociação de itens Usiminas (SAR55 / scania / Mercedes / demais itens e reajuste frete)</v>
      </c>
      <c r="G69" s="1652"/>
      <c r="H69" s="567" t="str">
        <f ca="1">_xlfn.XLOOKUP(F69,Pareto!S:S,Pareto!X:X)</f>
        <v>✓ Concluído</v>
      </c>
      <c r="I69" s="567" t="str">
        <f ca="1">_xlfn.XLOOKUP('5 Unidades  +'!F69,Pareto!S:S,Pareto!Z:Z)</f>
        <v/>
      </c>
      <c r="J69" s="562">
        <f ca="1">_xlfn.XLOOKUP(F69,Pareto!S:S,Pareto!U:U)</f>
        <v>572762.99999999988</v>
      </c>
      <c r="K69" s="562">
        <f ca="1">IFERROR(LARGE(Pareto!V:V,D69)," ")</f>
        <v>163646.57142857142</v>
      </c>
      <c r="L69" s="562" t="str">
        <f ca="1">_xlfn.XLOOKUP(F69,Pareto!S:S,Pareto!W:W)</f>
        <v/>
      </c>
      <c r="M69" s="563">
        <f t="shared" ca="1" si="0"/>
        <v>-163646.57142857142</v>
      </c>
      <c r="N69" s="20"/>
      <c r="O69" s="20"/>
      <c r="P69" s="20"/>
      <c r="Q69" s="20"/>
      <c r="R69" s="20"/>
      <c r="S69" s="20"/>
      <c r="T69" s="20"/>
      <c r="U69" s="20"/>
      <c r="V69" s="20"/>
      <c r="W69" s="20"/>
      <c r="X69" s="20"/>
      <c r="Y69" s="20"/>
      <c r="Z69" s="20"/>
      <c r="AA69" s="20"/>
      <c r="AB69" s="20"/>
      <c r="AC69" s="20"/>
      <c r="AD69" s="20"/>
      <c r="AE69" s="20"/>
      <c r="AF69" s="20"/>
      <c r="AG69" s="20"/>
      <c r="AH69" s="20"/>
      <c r="AI69" s="20"/>
    </row>
    <row r="70" spans="3:35" ht="14.4" x14ac:dyDescent="0.3">
      <c r="C70" s="20"/>
      <c r="D70" s="558">
        <v>15</v>
      </c>
      <c r="E70" s="568" t="str">
        <f ca="1">_xlfn.XLOOKUP(F70,Pareto!S:S,Pareto!T:T)</f>
        <v>Jarinu</v>
      </c>
      <c r="F70" s="1649" t="str">
        <f ca="1">_xlfn.XLOOKUP(K70,Pareto!V:V,Pareto!S:S)</f>
        <v>21 - Redução de MOD CSR61014</v>
      </c>
      <c r="G70" s="1650"/>
      <c r="H70" s="566" t="str">
        <f ca="1">_xlfn.XLOOKUP(F70,Pareto!S:S,Pareto!X:X)</f>
        <v>✓ Concluído</v>
      </c>
      <c r="I70" s="566" t="str">
        <f ca="1">_xlfn.XLOOKUP('5 Unidades  +'!F70,Pareto!S:S,Pareto!Z:Z)</f>
        <v/>
      </c>
      <c r="J70" s="559">
        <f ca="1">_xlfn.XLOOKUP(F70,Pareto!S:S,Pareto!U:U)</f>
        <v>81818.181842454534</v>
      </c>
      <c r="K70" s="559">
        <f ca="1">IFERROR(LARGE(Pareto!V:V,D70)," ")</f>
        <v>163636.3636849091</v>
      </c>
      <c r="L70" s="559" t="str">
        <f ca="1">_xlfn.XLOOKUP(F70,Pareto!S:S,Pareto!W:W)</f>
        <v/>
      </c>
      <c r="M70" s="560">
        <f t="shared" ca="1" si="0"/>
        <v>-163636.3636849091</v>
      </c>
      <c r="N70" s="20"/>
      <c r="O70" s="20"/>
      <c r="P70" s="20"/>
      <c r="Q70" s="20"/>
      <c r="R70" s="20"/>
      <c r="S70" s="20"/>
      <c r="T70" s="20"/>
      <c r="U70" s="20"/>
      <c r="V70" s="20"/>
      <c r="W70" s="20"/>
      <c r="X70" s="20"/>
      <c r="Y70" s="20"/>
      <c r="Z70" s="20"/>
      <c r="AA70" s="20"/>
      <c r="AB70" s="20"/>
      <c r="AC70" s="20"/>
      <c r="AD70" s="20"/>
      <c r="AE70" s="20"/>
      <c r="AF70" s="20"/>
      <c r="AG70" s="20"/>
      <c r="AH70" s="20"/>
      <c r="AI70" s="20"/>
    </row>
    <row r="71" spans="3:35" ht="14.4" x14ac:dyDescent="0.3">
      <c r="C71" s="20"/>
      <c r="D71" s="561">
        <v>16</v>
      </c>
      <c r="E71" s="567" t="str">
        <f ca="1">_xlfn.XLOOKUP(F71,Pareto!S:S,Pareto!T:T)</f>
        <v>Jarinu</v>
      </c>
      <c r="F71" s="1651" t="str">
        <f ca="1">_xlfn.XLOOKUP(K71,Pareto!V:V,Pareto!S:S)</f>
        <v>22 - Redução de MOD CSR61015</v>
      </c>
      <c r="G71" s="1652"/>
      <c r="H71" s="567" t="str">
        <f ca="1">_xlfn.XLOOKUP(F71,Pareto!S:S,Pareto!X:X)</f>
        <v>✓ Concluído</v>
      </c>
      <c r="I71" s="567" t="str">
        <f ca="1">_xlfn.XLOOKUP('5 Unidades  +'!F71,Pareto!S:S,Pareto!Z:Z)</f>
        <v/>
      </c>
      <c r="J71" s="562">
        <f ca="1">_xlfn.XLOOKUP(F71,Pareto!S:S,Pareto!U:U)</f>
        <v>81818.181818181823</v>
      </c>
      <c r="K71" s="562">
        <f ca="1">IFERROR(LARGE(Pareto!V:V,D71)," ")</f>
        <v>163636.36363636362</v>
      </c>
      <c r="L71" s="562" t="str">
        <f ca="1">_xlfn.XLOOKUP(F71,Pareto!S:S,Pareto!W:W)</f>
        <v/>
      </c>
      <c r="M71" s="563">
        <f t="shared" ca="1" si="0"/>
        <v>-163636.36363636362</v>
      </c>
      <c r="N71" s="20"/>
      <c r="O71" s="20"/>
      <c r="P71" s="20"/>
      <c r="Q71" s="20"/>
      <c r="R71" s="20"/>
      <c r="S71" s="20"/>
      <c r="T71" s="20"/>
      <c r="U71" s="20"/>
      <c r="V71" s="20"/>
      <c r="W71" s="20"/>
      <c r="X71" s="20"/>
      <c r="Y71" s="20"/>
      <c r="Z71" s="20"/>
      <c r="AA71" s="20"/>
      <c r="AB71" s="20"/>
      <c r="AC71" s="20"/>
      <c r="AD71" s="20"/>
      <c r="AE71" s="20"/>
      <c r="AF71" s="20"/>
      <c r="AG71" s="20"/>
      <c r="AH71" s="20"/>
      <c r="AI71" s="20"/>
    </row>
    <row r="72" spans="3:35" ht="14.4" x14ac:dyDescent="0.3">
      <c r="C72" s="20"/>
      <c r="D72" s="558">
        <v>17</v>
      </c>
      <c r="E72" s="568" t="str">
        <f ca="1">_xlfn.XLOOKUP(F72,Pareto!S:S,Pareto!T:T)</f>
        <v>Compras</v>
      </c>
      <c r="F72" s="1649" t="str">
        <f ca="1">_xlfn.XLOOKUP(K72,Pareto!V:V,Pareto!S:S)</f>
        <v>Viabilizar itens Usiminas via Gonvarri-Full Service</v>
      </c>
      <c r="G72" s="1650"/>
      <c r="H72" s="566" t="str">
        <f ca="1">_xlfn.XLOOKUP(F72,Pareto!S:S,Pareto!X:X)</f>
        <v>✓ Concluído</v>
      </c>
      <c r="I72" s="566" t="str">
        <f ca="1">_xlfn.XLOOKUP('5 Unidades  +'!F72,Pareto!S:S,Pareto!Z:Z)</f>
        <v/>
      </c>
      <c r="J72" s="559">
        <f ca="1">_xlfn.XLOOKUP(F72,Pareto!S:S,Pareto!U:U)</f>
        <v>317391</v>
      </c>
      <c r="K72" s="559">
        <f ca="1">IFERROR(LARGE(Pareto!V:V,D72)," ")</f>
        <v>158695.5</v>
      </c>
      <c r="L72" s="559" t="str">
        <f ca="1">_xlfn.XLOOKUP(F72,Pareto!S:S,Pareto!W:W)</f>
        <v/>
      </c>
      <c r="M72" s="560">
        <f t="shared" ca="1" si="0"/>
        <v>-158695.5</v>
      </c>
      <c r="N72" s="20"/>
      <c r="O72" s="20"/>
      <c r="P72" s="20"/>
      <c r="Q72" s="20"/>
      <c r="R72" s="20"/>
      <c r="S72" s="20"/>
      <c r="T72" s="20"/>
      <c r="U72" s="20"/>
      <c r="V72" s="20"/>
      <c r="W72" s="20"/>
      <c r="X72" s="20"/>
      <c r="Y72" s="20"/>
      <c r="Z72" s="20"/>
      <c r="AA72" s="20"/>
      <c r="AB72" s="20"/>
      <c r="AC72" s="20"/>
      <c r="AD72" s="20"/>
      <c r="AE72" s="20"/>
      <c r="AF72" s="20"/>
      <c r="AG72" s="20"/>
      <c r="AH72" s="20"/>
      <c r="AI72" s="20"/>
    </row>
    <row r="73" spans="3:35" ht="14.4" x14ac:dyDescent="0.3">
      <c r="C73" s="20"/>
      <c r="D73" s="561">
        <v>18</v>
      </c>
      <c r="E73" s="567" t="str">
        <f ca="1">_xlfn.XLOOKUP(F73,Pareto!S:S,Pareto!T:T)</f>
        <v>São leopoldo</v>
      </c>
      <c r="F73" s="1651" t="str">
        <f ca="1">_xlfn.XLOOKUP(K73,Pareto!V:V,Pareto!S:S)</f>
        <v>01 - Redução de Refugo</v>
      </c>
      <c r="G73" s="1652"/>
      <c r="H73" s="567" t="str">
        <f ca="1">_xlfn.XLOOKUP(F73,Pareto!S:S,Pareto!X:X)</f>
        <v>✓ Concluído</v>
      </c>
      <c r="I73" s="567" t="str">
        <f ca="1">_xlfn.XLOOKUP('5 Unidades  +'!F73,Pareto!S:S,Pareto!Z:Z)</f>
        <v>OK</v>
      </c>
      <c r="J73" s="562">
        <f ca="1">_xlfn.XLOOKUP(F73,Pareto!S:S,Pareto!U:U)</f>
        <v>59652.758181818179</v>
      </c>
      <c r="K73" s="562">
        <f ca="1">IFERROR(LARGE(Pareto!V:V,D73)," ")</f>
        <v>119305.51636363637</v>
      </c>
      <c r="L73" s="562">
        <f ca="1">_xlfn.XLOOKUP(F73,Pareto!S:S,Pareto!W:W)</f>
        <v>186458.31</v>
      </c>
      <c r="M73" s="563">
        <f t="shared" ca="1" si="0"/>
        <v>67152.793636363625</v>
      </c>
      <c r="N73" s="20"/>
      <c r="O73" s="20"/>
      <c r="P73" s="20"/>
      <c r="Q73" s="20"/>
      <c r="R73" s="20"/>
      <c r="S73" s="20"/>
      <c r="T73" s="20"/>
      <c r="U73" s="20"/>
      <c r="V73" s="20"/>
      <c r="W73" s="20"/>
      <c r="X73" s="20"/>
      <c r="Y73" s="20"/>
      <c r="Z73" s="20"/>
      <c r="AA73" s="20"/>
      <c r="AB73" s="20"/>
      <c r="AC73" s="20"/>
      <c r="AD73" s="20"/>
      <c r="AE73" s="20"/>
      <c r="AF73" s="20"/>
      <c r="AG73" s="20"/>
      <c r="AH73" s="20"/>
      <c r="AI73" s="20"/>
    </row>
    <row r="74" spans="3:35" ht="14.4" x14ac:dyDescent="0.3">
      <c r="C74" s="20"/>
      <c r="D74" s="558">
        <v>19</v>
      </c>
      <c r="E74" s="568" t="str">
        <f ca="1">_xlfn.XLOOKUP(F74,Pareto!S:S,Pareto!T:T)</f>
        <v>Compras</v>
      </c>
      <c r="F74" s="1649" t="str">
        <f ca="1">_xlfn.XLOOKUP(K74,Pareto!V:V,Pareto!S:S)</f>
        <v>Redução de custo Abrasivos Curva A Ferraz</v>
      </c>
      <c r="G74" s="1650"/>
      <c r="H74" s="566" t="str">
        <f ca="1">_xlfn.XLOOKUP(F74,Pareto!S:S,Pareto!X:X)</f>
        <v>✓ Concluído</v>
      </c>
      <c r="I74" s="566" t="str">
        <f ca="1">_xlfn.XLOOKUP('5 Unidades  +'!F74,Pareto!S:S,Pareto!Z:Z)</f>
        <v>OK</v>
      </c>
      <c r="J74" s="559">
        <f ca="1">_xlfn.XLOOKUP(F74,Pareto!S:S,Pareto!U:U)</f>
        <v>199999.99999999997</v>
      </c>
      <c r="K74" s="559">
        <f ca="1">IFERROR(LARGE(Pareto!V:V,D74)," ")</f>
        <v>116666.66666666669</v>
      </c>
      <c r="L74" s="559" t="str">
        <f ca="1">_xlfn.XLOOKUP(F74,Pareto!S:S,Pareto!W:W)</f>
        <v/>
      </c>
      <c r="M74" s="560">
        <f t="shared" ca="1" si="0"/>
        <v>-116666.66666666669</v>
      </c>
      <c r="N74" s="20"/>
      <c r="O74" s="20"/>
      <c r="P74" s="20"/>
      <c r="Q74" s="20"/>
      <c r="R74" s="20"/>
      <c r="S74" s="20"/>
      <c r="T74" s="20"/>
      <c r="U74" s="20"/>
      <c r="V74" s="20"/>
      <c r="W74" s="20"/>
      <c r="X74" s="20"/>
      <c r="Y74" s="20"/>
      <c r="Z74" s="20"/>
      <c r="AA74" s="20"/>
      <c r="AB74" s="20"/>
      <c r="AC74" s="20"/>
      <c r="AD74" s="20"/>
      <c r="AE74" s="20"/>
      <c r="AF74" s="20"/>
      <c r="AG74" s="20"/>
      <c r="AH74" s="20"/>
      <c r="AI74" s="20"/>
    </row>
    <row r="75" spans="3:35" ht="14.4" x14ac:dyDescent="0.3">
      <c r="C75" s="20"/>
      <c r="D75" s="561">
        <v>20</v>
      </c>
      <c r="E75" s="567" t="str">
        <f ca="1">_xlfn.XLOOKUP(F75,Pareto!S:S,Pareto!T:T)</f>
        <v>Jarinu</v>
      </c>
      <c r="F75" s="1651" t="str">
        <f ca="1">_xlfn.XLOOKUP(K75,Pareto!V:V,Pareto!S:S)</f>
        <v>30 - Redução de Refugo</v>
      </c>
      <c r="G75" s="1652"/>
      <c r="H75" s="567" t="str">
        <f ca="1">_xlfn.XLOOKUP(F75,Pareto!S:S,Pareto!X:X)</f>
        <v>⏳ Em Execução</v>
      </c>
      <c r="I75" s="567" t="str">
        <f ca="1">_xlfn.XLOOKUP('5 Unidades  +'!F75,Pareto!S:S,Pareto!Z:Z)</f>
        <v>OK</v>
      </c>
      <c r="J75" s="562">
        <f ca="1">_xlfn.XLOOKUP(F75,Pareto!S:S,Pareto!U:U)</f>
        <v>114750</v>
      </c>
      <c r="K75" s="562">
        <f ca="1">IFERROR(LARGE(Pareto!V:V,D75)," ")</f>
        <v>114750</v>
      </c>
      <c r="L75" s="562" t="str">
        <f ca="1">_xlfn.XLOOKUP(F75,Pareto!S:S,Pareto!W:W)</f>
        <v/>
      </c>
      <c r="M75" s="563">
        <f t="shared" ca="1" si="0"/>
        <v>-114750</v>
      </c>
      <c r="N75" s="20"/>
      <c r="O75" s="20"/>
      <c r="P75" s="20"/>
      <c r="Q75" s="20"/>
      <c r="R75" s="20"/>
      <c r="S75" s="20"/>
      <c r="T75" s="20"/>
      <c r="U75" s="20"/>
      <c r="V75" s="20"/>
      <c r="W75" s="20"/>
      <c r="X75" s="20"/>
      <c r="Y75" s="20"/>
      <c r="Z75" s="20"/>
      <c r="AA75" s="20"/>
      <c r="AB75" s="20"/>
      <c r="AC75" s="20"/>
      <c r="AD75" s="20"/>
      <c r="AE75" s="20"/>
      <c r="AF75" s="20"/>
      <c r="AG75" s="20"/>
      <c r="AH75" s="20"/>
      <c r="AI75" s="20"/>
    </row>
    <row r="76" spans="3:35" ht="14.85" customHeight="1" x14ac:dyDescent="0.3">
      <c r="C76" s="20"/>
      <c r="D76" s="558">
        <v>21</v>
      </c>
      <c r="E76" s="568" t="str">
        <f ca="1">_xlfn.XLOOKUP(F76,Pareto!S:S,Pareto!T:T)</f>
        <v>Compras</v>
      </c>
      <c r="F76" s="1649" t="str">
        <f ca="1">_xlfn.XLOOKUP(K76,Pareto!V:V,Pareto!S:S)</f>
        <v>Resourcing Maletas Man (Mercante para Cartec)</v>
      </c>
      <c r="G76" s="1650"/>
      <c r="H76" s="566" t="str">
        <f ca="1">_xlfn.XLOOKUP(F76,Pareto!S:S,Pareto!X:X)</f>
        <v>✓ Concluído</v>
      </c>
      <c r="I76" s="566" t="str">
        <f ca="1">_xlfn.XLOOKUP('5 Unidades  +'!F76,Pareto!S:S,Pareto!Z:Z)</f>
        <v>OK</v>
      </c>
      <c r="J76" s="559">
        <f ca="1">_xlfn.XLOOKUP(F76,Pareto!S:S,Pareto!U:U)</f>
        <v>219761.00000000003</v>
      </c>
      <c r="K76" s="559">
        <f ca="1">IFERROR(LARGE(Pareto!V:V,D76)," ")</f>
        <v>109880.5</v>
      </c>
      <c r="L76" s="559" t="str">
        <f ca="1">_xlfn.XLOOKUP(F76,Pareto!S:S,Pareto!W:W)</f>
        <v/>
      </c>
      <c r="M76" s="560">
        <f t="shared" ca="1" si="0"/>
        <v>-109880.5</v>
      </c>
      <c r="N76" s="20"/>
      <c r="O76" s="20"/>
      <c r="P76" s="20"/>
      <c r="Q76" s="20"/>
      <c r="R76" s="20"/>
      <c r="S76" s="20"/>
      <c r="T76" s="20"/>
      <c r="U76" s="20"/>
      <c r="V76" s="20"/>
      <c r="W76" s="20"/>
      <c r="X76" s="20"/>
      <c r="Y76" s="20"/>
      <c r="Z76" s="20"/>
      <c r="AA76" s="20"/>
      <c r="AB76" s="20"/>
      <c r="AC76" s="20"/>
      <c r="AD76" s="20"/>
      <c r="AE76" s="20"/>
      <c r="AF76" s="20"/>
      <c r="AG76" s="20"/>
      <c r="AH76" s="20"/>
      <c r="AI76" s="20"/>
    </row>
    <row r="77" spans="3:35" ht="14.85" customHeight="1" x14ac:dyDescent="0.3">
      <c r="C77" s="20"/>
      <c r="D77" s="561">
        <v>22</v>
      </c>
      <c r="E77" s="567" t="str">
        <f ca="1">_xlfn.XLOOKUP(F77,Pareto!S:S,Pareto!T:T)</f>
        <v>Ferraz</v>
      </c>
      <c r="F77" s="1651" t="str">
        <f ca="1">_xlfn.XLOOKUP(K77,Pareto!V:V,Pareto!S:S)</f>
        <v xml:space="preserve">10 - Consumo de energia elétrica: vazamentos de ar </v>
      </c>
      <c r="G77" s="1652"/>
      <c r="H77" s="567" t="str">
        <f ca="1">_xlfn.XLOOKUP(F77,Pareto!S:S,Pareto!X:X)</f>
        <v>⏳ Em Execução</v>
      </c>
      <c r="I77" s="567" t="str">
        <f ca="1">_xlfn.XLOOKUP('5 Unidades  +'!F77,Pareto!S:S,Pareto!Z:Z)</f>
        <v/>
      </c>
      <c r="J77" s="562">
        <f ca="1">_xlfn.XLOOKUP(F77,Pareto!S:S,Pareto!U:U)</f>
        <v>54545.455636363637</v>
      </c>
      <c r="K77" s="562">
        <f ca="1">IFERROR(LARGE(Pareto!V:V,D77)," ")</f>
        <v>109090.91127272727</v>
      </c>
      <c r="L77" s="562" t="str">
        <f ca="1">_xlfn.XLOOKUP(F77,Pareto!S:S,Pareto!W:W)</f>
        <v/>
      </c>
      <c r="M77" s="563">
        <f t="shared" ca="1" si="0"/>
        <v>-109090.91127272727</v>
      </c>
      <c r="N77" s="20"/>
      <c r="O77" s="20"/>
      <c r="P77" s="20"/>
      <c r="Q77" s="20"/>
      <c r="R77" s="20"/>
      <c r="S77" s="20"/>
      <c r="T77" s="20"/>
      <c r="U77" s="20"/>
      <c r="V77" s="20"/>
      <c r="W77" s="20"/>
      <c r="X77" s="20"/>
      <c r="Y77" s="20"/>
      <c r="Z77" s="20"/>
    </row>
    <row r="78" spans="3:35" ht="14.85" customHeight="1" x14ac:dyDescent="0.3">
      <c r="C78" s="20"/>
      <c r="D78" s="558">
        <v>23</v>
      </c>
      <c r="E78" s="568" t="str">
        <f ca="1">_xlfn.XLOOKUP(F78,Pareto!S:S,Pareto!T:T)</f>
        <v>Compras</v>
      </c>
      <c r="F78" s="1649" t="str">
        <f ca="1">_xlfn.XLOOKUP(K78,Pareto!V:V,Pareto!S:S)</f>
        <v>Redução Itens Mercedes</v>
      </c>
      <c r="G78" s="1650"/>
      <c r="H78" s="566" t="str">
        <f ca="1">_xlfn.XLOOKUP(F78,Pareto!S:S,Pareto!X:X)</f>
        <v>✓ Concluído</v>
      </c>
      <c r="I78" s="566" t="str">
        <f ca="1">_xlfn.XLOOKUP('5 Unidades  +'!F78,Pareto!S:S,Pareto!Z:Z)</f>
        <v/>
      </c>
      <c r="J78" s="559">
        <f ca="1">_xlfn.XLOOKUP(F78,Pareto!S:S,Pareto!U:U)</f>
        <v>214329.00000000003</v>
      </c>
      <c r="K78" s="559">
        <f ca="1">IFERROR(LARGE(Pareto!V:V,D78)," ")</f>
        <v>95257.333333333328</v>
      </c>
      <c r="L78" s="559" t="str">
        <f ca="1">_xlfn.XLOOKUP(F78,Pareto!S:S,Pareto!W:W)</f>
        <v/>
      </c>
      <c r="M78" s="560">
        <f t="shared" ca="1" si="0"/>
        <v>-95257.333333333328</v>
      </c>
      <c r="N78" s="20"/>
      <c r="O78" s="20"/>
      <c r="P78" s="20"/>
      <c r="Q78" s="20"/>
      <c r="R78" s="20"/>
      <c r="S78" s="20"/>
      <c r="T78" s="20"/>
      <c r="U78" s="20"/>
      <c r="V78" s="20"/>
      <c r="W78" s="20"/>
      <c r="X78" s="20"/>
      <c r="Y78" s="20"/>
      <c r="Z78" s="20"/>
    </row>
    <row r="79" spans="3:35" ht="14.85" customHeight="1" x14ac:dyDescent="0.3">
      <c r="C79" s="20"/>
      <c r="D79" s="561">
        <v>24</v>
      </c>
      <c r="E79" s="567" t="str">
        <f ca="1">_xlfn.XLOOKUP(F79,Pareto!S:S,Pareto!T:T)</f>
        <v>Compras</v>
      </c>
      <c r="F79" s="1651" t="str">
        <f ca="1">_xlfn.XLOOKUP(K79,Pareto!V:V,Pareto!S:S)</f>
        <v>Resourcing Hasmman para Metalac</v>
      </c>
      <c r="G79" s="1652"/>
      <c r="H79" s="567" t="str">
        <f ca="1">_xlfn.XLOOKUP(F79,Pareto!S:S,Pareto!X:X)</f>
        <v>✓ Concluído</v>
      </c>
      <c r="I79" s="567" t="str">
        <f ca="1">_xlfn.XLOOKUP('5 Unidades  +'!F79,Pareto!S:S,Pareto!Z:Z)</f>
        <v>OK</v>
      </c>
      <c r="J79" s="562">
        <f ca="1">_xlfn.XLOOKUP(F79,Pareto!S:S,Pareto!U:U)</f>
        <v>154937.00000000003</v>
      </c>
      <c r="K79" s="562">
        <f ca="1">IFERROR(LARGE(Pareto!V:V,D79)," ")</f>
        <v>84511.090909090912</v>
      </c>
      <c r="L79" s="562">
        <f ca="1">_xlfn.XLOOKUP(F79,Pareto!S:S,Pareto!W:W)</f>
        <v>63944.37074916</v>
      </c>
      <c r="M79" s="563">
        <f t="shared" ca="1" si="0"/>
        <v>-20566.720159930912</v>
      </c>
      <c r="N79" s="20"/>
      <c r="O79" s="20"/>
      <c r="P79" s="20"/>
      <c r="Q79" s="20"/>
      <c r="R79" s="20"/>
      <c r="S79" s="20"/>
      <c r="T79" s="20"/>
      <c r="U79" s="20"/>
      <c r="V79" s="20"/>
      <c r="W79" s="20"/>
      <c r="X79" s="20"/>
      <c r="Y79" s="20"/>
      <c r="Z79" s="20"/>
    </row>
    <row r="80" spans="3:35" ht="14.85" customHeight="1" x14ac:dyDescent="0.3">
      <c r="C80" s="20"/>
      <c r="D80" s="558">
        <v>25</v>
      </c>
      <c r="E80" s="568" t="str">
        <f ca="1">_xlfn.XLOOKUP(F80,Pareto!S:S,Pareto!T:T)</f>
        <v>Anchieta</v>
      </c>
      <c r="F80" s="1649" t="str">
        <f ca="1">_xlfn.XLOOKUP(K80,Pareto!V:V,Pareto!S:S)</f>
        <v>04 - GÁS</v>
      </c>
      <c r="G80" s="1650"/>
      <c r="H80" s="566" t="str">
        <f ca="1">_xlfn.XLOOKUP(F80,Pareto!S:S,Pareto!X:X)</f>
        <v>⏳ Em Execução</v>
      </c>
      <c r="I80" s="566" t="str">
        <f ca="1">_xlfn.XLOOKUP('5 Unidades  +'!F80,Pareto!S:S,Pareto!Z:Z)</f>
        <v>OK</v>
      </c>
      <c r="J80" s="559">
        <f ca="1">_xlfn.XLOOKUP(F80,Pareto!S:S,Pareto!U:U)</f>
        <v>63274.572499999995</v>
      </c>
      <c r="K80" s="559">
        <f ca="1">IFERROR(LARGE(Pareto!V:V,D80)," ")</f>
        <v>84366.096666666665</v>
      </c>
      <c r="L80" s="559">
        <f ca="1">_xlfn.XLOOKUP(F80,Pareto!S:S,Pareto!W:W)</f>
        <v>12258.22</v>
      </c>
      <c r="M80" s="560">
        <f t="shared" ca="1" si="0"/>
        <v>-72107.876666666663</v>
      </c>
      <c r="N80" s="20"/>
      <c r="O80" s="20"/>
      <c r="P80" s="20"/>
      <c r="Q80" s="20"/>
      <c r="R80" s="20"/>
      <c r="S80" s="20"/>
      <c r="T80" s="20"/>
      <c r="U80" s="20"/>
      <c r="V80" s="20"/>
      <c r="W80" s="20"/>
      <c r="X80" s="20"/>
      <c r="Y80" s="20"/>
      <c r="Z80" s="20"/>
    </row>
    <row r="81" spans="3:26" ht="14.85" customHeight="1" x14ac:dyDescent="0.3">
      <c r="C81" s="20"/>
      <c r="D81" s="561">
        <v>26</v>
      </c>
      <c r="E81" s="567" t="str">
        <f ca="1">_xlfn.XLOOKUP(F81,Pareto!S:S,Pareto!T:T)</f>
        <v>Diadema</v>
      </c>
      <c r="F81" s="1651" t="str">
        <f ca="1">_xlfn.XLOOKUP(K81,Pareto!V:V,Pareto!S:S)</f>
        <v>01 - Redução de peso bruto DA000489A</v>
      </c>
      <c r="G81" s="1652"/>
      <c r="H81" s="567" t="str">
        <f ca="1">_xlfn.XLOOKUP(F81,Pareto!S:S,Pareto!X:X)</f>
        <v>✓ Concluído</v>
      </c>
      <c r="I81" s="567" t="str">
        <f ca="1">_xlfn.XLOOKUP('5 Unidades  +'!F81,Pareto!S:S,Pareto!Z:Z)</f>
        <v>OK</v>
      </c>
      <c r="J81" s="562">
        <f ca="1">_xlfn.XLOOKUP(F81,Pareto!S:S,Pareto!U:U)</f>
        <v>160178.29000000004</v>
      </c>
      <c r="K81" s="562">
        <f ca="1">IFERROR(LARGE(Pareto!V:V,D81)," ")</f>
        <v>80089.145000000004</v>
      </c>
      <c r="L81" s="562">
        <f ca="1">_xlfn.XLOOKUP(F81,Pareto!S:S,Pareto!W:W)</f>
        <v>84365.272032240013</v>
      </c>
      <c r="M81" s="563">
        <f t="shared" ca="1" si="0"/>
        <v>4276.1270322400087</v>
      </c>
      <c r="N81" s="20"/>
      <c r="O81" s="20"/>
      <c r="P81" s="20"/>
      <c r="Q81" s="20"/>
      <c r="R81" s="20"/>
      <c r="S81" s="20"/>
      <c r="T81" s="20"/>
      <c r="U81" s="20"/>
      <c r="V81" s="20"/>
      <c r="W81" s="20"/>
      <c r="X81" s="20"/>
      <c r="Y81" s="20"/>
      <c r="Z81" s="20"/>
    </row>
    <row r="82" spans="3:26" ht="14.85" customHeight="1" x14ac:dyDescent="0.3">
      <c r="C82" s="20"/>
      <c r="D82" s="558">
        <v>27</v>
      </c>
      <c r="E82" s="568" t="str">
        <f ca="1">_xlfn.XLOOKUP(F82,Pareto!S:S,Pareto!T:T)</f>
        <v>Compras</v>
      </c>
      <c r="F82" s="1649" t="str">
        <f ca="1">_xlfn.XLOOKUP(K82,Pareto!V:V,Pareto!S:S)</f>
        <v>Troca de fonte do arame de solda de Belgo para Gerdau</v>
      </c>
      <c r="G82" s="1650"/>
      <c r="H82" s="566" t="str">
        <f ca="1">_xlfn.XLOOKUP(F82,Pareto!S:S,Pareto!X:X)</f>
        <v>✓ Concluído</v>
      </c>
      <c r="I82" s="566" t="str">
        <f ca="1">_xlfn.XLOOKUP('5 Unidades  +'!F82,Pareto!S:S,Pareto!Z:Z)</f>
        <v/>
      </c>
      <c r="J82" s="559">
        <f ca="1">_xlfn.XLOOKUP(F82,Pareto!S:S,Pareto!U:U)</f>
        <v>274259.52</v>
      </c>
      <c r="K82" s="559">
        <f ca="1">IFERROR(LARGE(Pareto!V:V,D82)," ")</f>
        <v>78359.862857142856</v>
      </c>
      <c r="L82" s="559" t="str">
        <f ca="1">_xlfn.XLOOKUP(F82,Pareto!S:S,Pareto!W:W)</f>
        <v/>
      </c>
      <c r="M82" s="560">
        <f t="shared" ca="1" si="0"/>
        <v>-78359.862857142856</v>
      </c>
      <c r="N82" s="20"/>
      <c r="O82" s="20"/>
      <c r="P82" s="20"/>
      <c r="Q82" s="20"/>
      <c r="R82" s="20"/>
      <c r="S82" s="20"/>
      <c r="T82" s="20"/>
      <c r="U82" s="20"/>
      <c r="V82" s="20"/>
      <c r="W82" s="20"/>
      <c r="X82" s="20"/>
      <c r="Y82" s="20"/>
      <c r="Z82" s="20"/>
    </row>
    <row r="83" spans="3:26" ht="14.85" customHeight="1" x14ac:dyDescent="0.3">
      <c r="C83" s="20"/>
      <c r="D83" s="561">
        <v>28</v>
      </c>
      <c r="E83" s="567" t="str">
        <f ca="1">_xlfn.XLOOKUP(F83,Pareto!S:S,Pareto!T:T)</f>
        <v>Diadema</v>
      </c>
      <c r="F83" s="1651" t="str">
        <f ca="1">_xlfn.XLOOKUP(K83,Pareto!V:V,Pareto!S:S)</f>
        <v>16 - Eficiência de MO na linha de Solda e Montagem</v>
      </c>
      <c r="G83" s="1652"/>
      <c r="H83" s="567" t="str">
        <f ca="1">_xlfn.XLOOKUP(F83,Pareto!S:S,Pareto!X:X)</f>
        <v>✓ Concluído</v>
      </c>
      <c r="I83" s="567" t="str">
        <f ca="1">_xlfn.XLOOKUP('5 Unidades  +'!F83,Pareto!S:S,Pareto!Z:Z)</f>
        <v>OK</v>
      </c>
      <c r="J83" s="562">
        <f ca="1">_xlfn.XLOOKUP(F83,Pareto!S:S,Pareto!U:U)</f>
        <v>152396</v>
      </c>
      <c r="K83" s="562">
        <f ca="1">IFERROR(LARGE(Pareto!V:V,D83)," ")</f>
        <v>76198</v>
      </c>
      <c r="L83" s="562">
        <f ca="1">_xlfn.XLOOKUP(F83,Pareto!S:S,Pareto!W:W)</f>
        <v>72521</v>
      </c>
      <c r="M83" s="563">
        <f t="shared" ca="1" si="0"/>
        <v>-3677</v>
      </c>
      <c r="N83" s="20"/>
      <c r="O83" s="20"/>
      <c r="P83" s="20"/>
      <c r="Q83" s="20"/>
      <c r="R83" s="20"/>
      <c r="S83" s="20"/>
      <c r="T83" s="20"/>
      <c r="U83" s="20"/>
      <c r="V83" s="20"/>
      <c r="W83" s="20"/>
      <c r="X83" s="20"/>
      <c r="Y83" s="20"/>
      <c r="Z83" s="20"/>
    </row>
    <row r="84" spans="3:26" ht="14.85" customHeight="1" x14ac:dyDescent="0.3">
      <c r="C84" s="20"/>
      <c r="D84" s="558">
        <v>29</v>
      </c>
      <c r="E84" s="568" t="str">
        <f ca="1">_xlfn.XLOOKUP(F84,Pareto!S:S,Pareto!T:T)</f>
        <v>Jarinu</v>
      </c>
      <c r="F84" s="1649" t="str">
        <f ca="1">_xlfn.XLOOKUP(K84,Pareto!V:V,Pareto!S:S)</f>
        <v>27 - Redução consumo MTP aplicando tolerância mínima curva B</v>
      </c>
      <c r="G84" s="1650"/>
      <c r="H84" s="566" t="str">
        <f ca="1">_xlfn.XLOOKUP(F84,Pareto!S:S,Pareto!X:X)</f>
        <v>⏳ Em Execução</v>
      </c>
      <c r="I84" s="566" t="str">
        <f ca="1">_xlfn.XLOOKUP('5 Unidades  +'!F84,Pareto!S:S,Pareto!Z:Z)</f>
        <v>OK</v>
      </c>
      <c r="J84" s="559">
        <f ca="1">_xlfn.XLOOKUP(F84,Pareto!S:S,Pareto!U:U)</f>
        <v>221331.53499999997</v>
      </c>
      <c r="K84" s="559">
        <f ca="1">IFERROR(LARGE(Pareto!V:V,D84)," ")</f>
        <v>73777.17833333333</v>
      </c>
      <c r="L84" s="559" t="str">
        <f ca="1">_xlfn.XLOOKUP(F84,Pareto!S:S,Pareto!W:W)</f>
        <v/>
      </c>
      <c r="M84" s="560">
        <f t="shared" ca="1" si="0"/>
        <v>-73777.17833333333</v>
      </c>
      <c r="N84" s="20"/>
      <c r="O84" s="20"/>
      <c r="P84" s="20"/>
      <c r="Q84" s="20"/>
      <c r="R84" s="20"/>
      <c r="S84" s="20"/>
      <c r="T84" s="20"/>
      <c r="U84" s="20"/>
      <c r="V84" s="20"/>
      <c r="W84" s="20"/>
      <c r="X84" s="20"/>
      <c r="Y84" s="20"/>
      <c r="Z84" s="20"/>
    </row>
    <row r="85" spans="3:26" ht="14.85" customHeight="1" x14ac:dyDescent="0.3">
      <c r="C85" s="20"/>
      <c r="D85" s="561">
        <v>30</v>
      </c>
      <c r="E85" s="567" t="str">
        <f ca="1">_xlfn.XLOOKUP(F85,Pareto!S:S,Pareto!T:T)</f>
        <v>Ferraz</v>
      </c>
      <c r="F85" s="1651" t="str">
        <f ca="1">_xlfn.XLOOKUP(K85,Pareto!V:V,Pareto!S:S)</f>
        <v>14 - Consumo de EPI's</v>
      </c>
      <c r="G85" s="1652"/>
      <c r="H85" s="567" t="str">
        <f ca="1">_xlfn.XLOOKUP(F85,Pareto!S:S,Pareto!X:X)</f>
        <v>✓ Concluído</v>
      </c>
      <c r="I85" s="567" t="str">
        <f ca="1">_xlfn.XLOOKUP('5 Unidades  +'!F85,Pareto!S:S,Pareto!Z:Z)</f>
        <v>OK</v>
      </c>
      <c r="J85" s="562">
        <f ca="1">_xlfn.XLOOKUP(F85,Pareto!S:S,Pareto!U:U)</f>
        <v>30921.5</v>
      </c>
      <c r="K85" s="562">
        <f ca="1">IFERROR(LARGE(Pareto!V:V,D85)," ")</f>
        <v>72150.166666666657</v>
      </c>
      <c r="L85" s="562">
        <f ca="1">_xlfn.XLOOKUP(F85,Pareto!S:S,Pareto!W:W)</f>
        <v>105134.24000000002</v>
      </c>
      <c r="M85" s="563">
        <f t="shared" ca="1" si="0"/>
        <v>32984.073333333363</v>
      </c>
      <c r="N85" s="20"/>
      <c r="O85" s="20"/>
      <c r="P85" s="20"/>
      <c r="Q85" s="20"/>
      <c r="R85" s="20"/>
      <c r="S85" s="20"/>
      <c r="T85" s="20"/>
      <c r="U85" s="20"/>
      <c r="V85" s="20"/>
      <c r="W85" s="20"/>
      <c r="X85" s="20"/>
      <c r="Y85" s="20"/>
      <c r="Z85" s="20"/>
    </row>
    <row r="86" spans="3:26" ht="14.85" customHeight="1" x14ac:dyDescent="0.3">
      <c r="C86" s="20"/>
      <c r="D86" s="558">
        <v>31</v>
      </c>
      <c r="E86" s="568" t="str">
        <f ca="1">_xlfn.XLOOKUP(F86,Pareto!S:S,Pareto!T:T)</f>
        <v>Diadema</v>
      </c>
      <c r="F86" s="1649" t="str">
        <f ca="1">_xlfn.XLOOKUP(K86,Pareto!V:V,Pareto!S:S)</f>
        <v>06 - Produtividade</v>
      </c>
      <c r="G86" s="1650"/>
      <c r="H86" s="566" t="str">
        <f ca="1">_xlfn.XLOOKUP(F86,Pareto!S:S,Pareto!X:X)</f>
        <v>✓ Concluído</v>
      </c>
      <c r="I86" s="566" t="str">
        <f ca="1">_xlfn.XLOOKUP('5 Unidades  +'!F86,Pareto!S:S,Pareto!Z:Z)</f>
        <v>OK</v>
      </c>
      <c r="J86" s="559">
        <f ca="1">_xlfn.XLOOKUP(F86,Pareto!S:S,Pareto!U:U)</f>
        <v>189414</v>
      </c>
      <c r="K86" s="559">
        <f ca="1">IFERROR(LARGE(Pareto!V:V,D86)," ")</f>
        <v>71030.25</v>
      </c>
      <c r="L86" s="559">
        <f ca="1">_xlfn.XLOOKUP(F86,Pareto!S:S,Pareto!W:W)</f>
        <v>17242</v>
      </c>
      <c r="M86" s="560">
        <f t="shared" ca="1" si="0"/>
        <v>-53788.25</v>
      </c>
      <c r="N86" s="20"/>
      <c r="O86" s="20"/>
      <c r="P86" s="20"/>
      <c r="Q86" s="20"/>
      <c r="R86" s="20"/>
      <c r="S86" s="20"/>
      <c r="T86" s="20"/>
      <c r="U86" s="20"/>
      <c r="V86" s="20"/>
      <c r="W86" s="20"/>
      <c r="X86" s="20"/>
      <c r="Y86" s="20"/>
      <c r="Z86" s="20"/>
    </row>
    <row r="87" spans="3:26" ht="14.85" customHeight="1" x14ac:dyDescent="0.3">
      <c r="C87" s="20"/>
      <c r="D87" s="561">
        <v>32</v>
      </c>
      <c r="E87" s="567" t="str">
        <f ca="1">_xlfn.XLOOKUP(F87,Pareto!S:S,Pareto!T:T)</f>
        <v>Anchieta</v>
      </c>
      <c r="F87" s="1651" t="str">
        <f ca="1">_xlfn.XLOOKUP(K87,Pareto!V:V,Pareto!S:S)</f>
        <v>03 - PRODUTOS QUÍMICOS KTL</v>
      </c>
      <c r="G87" s="1652"/>
      <c r="H87" s="567" t="str">
        <f ca="1">_xlfn.XLOOKUP(F87,Pareto!S:S,Pareto!X:X)</f>
        <v>✓ Concluído</v>
      </c>
      <c r="I87" s="567" t="str">
        <f ca="1">_xlfn.XLOOKUP('5 Unidades  +'!F87,Pareto!S:S,Pareto!Z:Z)</f>
        <v>OK</v>
      </c>
      <c r="J87" s="562">
        <f ca="1">_xlfn.XLOOKUP(F87,Pareto!S:S,Pareto!U:U)</f>
        <v>33966.657375000003</v>
      </c>
      <c r="K87" s="562">
        <f ca="1">IFERROR(LARGE(Pareto!V:V,D87)," ")</f>
        <v>67933.314750000005</v>
      </c>
      <c r="L87" s="562">
        <f ca="1">_xlfn.XLOOKUP(F87,Pareto!S:S,Pareto!W:W)</f>
        <v>226234.58900000001</v>
      </c>
      <c r="M87" s="563">
        <f t="shared" ca="1" si="0"/>
        <v>158301.27425000002</v>
      </c>
      <c r="N87" s="20"/>
      <c r="O87" s="20"/>
      <c r="P87" s="20"/>
      <c r="Q87" s="20"/>
      <c r="R87" s="20"/>
      <c r="S87" s="20"/>
      <c r="T87" s="20"/>
      <c r="U87" s="20"/>
      <c r="V87" s="20"/>
      <c r="W87" s="20"/>
      <c r="X87" s="20"/>
      <c r="Y87" s="20"/>
      <c r="Z87" s="20"/>
    </row>
    <row r="88" spans="3:26" ht="14.85" customHeight="1" x14ac:dyDescent="0.3">
      <c r="C88" s="20"/>
      <c r="D88" s="558">
        <v>33</v>
      </c>
      <c r="E88" s="568" t="str">
        <f ca="1">_xlfn.XLOOKUP(F88,Pareto!S:S,Pareto!T:T)</f>
        <v>Anchieta</v>
      </c>
      <c r="F88" s="1649" t="str">
        <f ca="1">_xlfn.XLOOKUP(K88,Pareto!V:V,Pareto!S:S)</f>
        <v>02 - TANQUE DE DECAPAGEM</v>
      </c>
      <c r="G88" s="1650"/>
      <c r="H88" s="566" t="str">
        <f ca="1">_xlfn.XLOOKUP(F88,Pareto!S:S,Pareto!X:X)</f>
        <v>⏳ Em Execução</v>
      </c>
      <c r="I88" s="566" t="str">
        <f ca="1">_xlfn.XLOOKUP('5 Unidades  +'!F88,Pareto!S:S,Pareto!Z:Z)</f>
        <v/>
      </c>
      <c r="J88" s="559">
        <f ca="1">_xlfn.XLOOKUP(F88,Pareto!S:S,Pareto!U:U)</f>
        <v>200000</v>
      </c>
      <c r="K88" s="559">
        <f ca="1">IFERROR(LARGE(Pareto!V:V,D88)," ")</f>
        <v>66666.666666666672</v>
      </c>
      <c r="L88" s="559" t="str">
        <f ca="1">_xlfn.XLOOKUP(F88,Pareto!S:S,Pareto!W:W)</f>
        <v/>
      </c>
      <c r="M88" s="560">
        <f t="shared" ca="1" si="0"/>
        <v>-66666.666666666672</v>
      </c>
      <c r="N88" s="20"/>
      <c r="O88" s="20"/>
      <c r="P88" s="20"/>
      <c r="Q88" s="20"/>
      <c r="R88" s="20"/>
      <c r="S88" s="20"/>
      <c r="T88" s="20"/>
      <c r="U88" s="20"/>
      <c r="V88" s="20"/>
      <c r="W88" s="20"/>
      <c r="X88" s="20"/>
      <c r="Y88" s="20"/>
      <c r="Z88" s="20"/>
    </row>
    <row r="89" spans="3:26" ht="14.85" customHeight="1" x14ac:dyDescent="0.3">
      <c r="C89" s="20"/>
      <c r="D89" s="561">
        <v>34</v>
      </c>
      <c r="E89" s="567" t="str">
        <f ca="1">_xlfn.XLOOKUP(F89,Pareto!S:S,Pareto!T:T)</f>
        <v>Diadema</v>
      </c>
      <c r="F89" s="1651" t="str">
        <f ca="1">_xlfn.XLOOKUP(K89,Pareto!V:V,Pareto!S:S)</f>
        <v>26 - Redução_de_MP - DJ000059Z_DJ000060Z</v>
      </c>
      <c r="G89" s="1652"/>
      <c r="H89" s="567" t="str">
        <f ca="1">_xlfn.XLOOKUP(F89,Pareto!S:S,Pareto!X:X)</f>
        <v>✓ Concluído</v>
      </c>
      <c r="I89" s="567" t="str">
        <f ca="1">_xlfn.XLOOKUP('5 Unidades  +'!F89,Pareto!S:S,Pareto!Z:Z)</f>
        <v>OK</v>
      </c>
      <c r="J89" s="562">
        <f ca="1">_xlfn.XLOOKUP(F89,Pareto!S:S,Pareto!U:U)</f>
        <v>175018.01999999996</v>
      </c>
      <c r="K89" s="562">
        <f ca="1">IFERROR(LARGE(Pareto!V:V,D89)," ")</f>
        <v>65631.757499999992</v>
      </c>
      <c r="L89" s="562">
        <f ca="1">_xlfn.XLOOKUP(F89,Pareto!S:S,Pareto!W:W)</f>
        <v>51802.779346892305</v>
      </c>
      <c r="M89" s="563">
        <f t="shared" ca="1" si="0"/>
        <v>-13828.978153107688</v>
      </c>
      <c r="N89" s="20"/>
      <c r="O89" s="20"/>
      <c r="P89" s="20"/>
      <c r="Q89" s="20"/>
      <c r="R89" s="20"/>
      <c r="S89" s="20"/>
      <c r="T89" s="20"/>
      <c r="U89" s="20"/>
      <c r="V89" s="20"/>
      <c r="W89" s="20"/>
      <c r="X89" s="20"/>
      <c r="Y89" s="20"/>
      <c r="Z89" s="20"/>
    </row>
    <row r="90" spans="3:26" ht="14.85" customHeight="1" x14ac:dyDescent="0.3">
      <c r="C90" s="20"/>
      <c r="D90" s="558">
        <v>35</v>
      </c>
      <c r="E90" s="568" t="str">
        <f ca="1">_xlfn.XLOOKUP(F90,Pareto!S:S,Pareto!T:T)</f>
        <v>Compras</v>
      </c>
      <c r="F90" s="1649" t="str">
        <f ca="1">_xlfn.XLOOKUP(K90,Pareto!V:V,Pareto!S:S)</f>
        <v>Redução de custo Porca 73189 da curva A</v>
      </c>
      <c r="G90" s="1650"/>
      <c r="H90" s="566" t="str">
        <f ca="1">_xlfn.XLOOKUP(F90,Pareto!S:S,Pareto!X:X)</f>
        <v>✓ Concluído</v>
      </c>
      <c r="I90" s="566" t="str">
        <f ca="1">_xlfn.XLOOKUP('5 Unidades  +'!F90,Pareto!S:S,Pareto!Z:Z)</f>
        <v/>
      </c>
      <c r="J90" s="559">
        <f ca="1">_xlfn.XLOOKUP(F90,Pareto!S:S,Pareto!U:U)</f>
        <v>372095</v>
      </c>
      <c r="K90" s="559">
        <f ca="1">IFERROR(LARGE(Pareto!V:V,D90)," ")</f>
        <v>62015.833333333336</v>
      </c>
      <c r="L90" s="559" t="str">
        <f ca="1">_xlfn.XLOOKUP(F90,Pareto!S:S,Pareto!W:W)</f>
        <v/>
      </c>
      <c r="M90" s="560">
        <f t="shared" ca="1" si="0"/>
        <v>-62015.833333333336</v>
      </c>
      <c r="N90" s="20"/>
      <c r="O90" s="20"/>
      <c r="P90" s="20"/>
      <c r="Q90" s="20"/>
      <c r="R90" s="20"/>
      <c r="S90" s="20"/>
      <c r="T90" s="20"/>
      <c r="U90" s="20"/>
      <c r="V90" s="20"/>
      <c r="W90" s="20"/>
      <c r="X90" s="20"/>
      <c r="Y90" s="20"/>
      <c r="Z90" s="20"/>
    </row>
    <row r="91" spans="3:26" ht="14.85" customHeight="1" x14ac:dyDescent="0.3">
      <c r="C91" s="20"/>
      <c r="D91" s="561">
        <v>36</v>
      </c>
      <c r="E91" s="567" t="str">
        <f ca="1">_xlfn.XLOOKUP(F91,Pareto!S:S,Pareto!T:T)</f>
        <v>Compras</v>
      </c>
      <c r="F91" s="1651" t="str">
        <f ca="1">_xlfn.XLOOKUP(K91,Pareto!V:V,Pareto!S:S)</f>
        <v>Estudo de viabilidade lixadeiras</v>
      </c>
      <c r="G91" s="1652"/>
      <c r="H91" s="567" t="str">
        <f ca="1">_xlfn.XLOOKUP(F91,Pareto!S:S,Pareto!X:X)</f>
        <v>⏳ Em Execução</v>
      </c>
      <c r="I91" s="567" t="str">
        <f ca="1">_xlfn.XLOOKUP('5 Unidades  +'!F91,Pareto!S:S,Pareto!Z:Z)</f>
        <v/>
      </c>
      <c r="J91" s="562">
        <f ca="1">_xlfn.XLOOKUP(F91,Pareto!S:S,Pareto!U:U)</f>
        <v>101100</v>
      </c>
      <c r="K91" s="562">
        <f ca="1">IFERROR(LARGE(Pareto!V:V,D91)," ")</f>
        <v>58975</v>
      </c>
      <c r="L91" s="562" t="str">
        <f ca="1">_xlfn.XLOOKUP(F91,Pareto!S:S,Pareto!W:W)</f>
        <v/>
      </c>
      <c r="M91" s="563">
        <f t="shared" ca="1" si="0"/>
        <v>-58975</v>
      </c>
      <c r="N91" s="20"/>
      <c r="O91" s="20"/>
      <c r="P91" s="20"/>
      <c r="Q91" s="20"/>
      <c r="R91" s="20"/>
      <c r="S91" s="20"/>
      <c r="T91" s="20"/>
      <c r="U91" s="20"/>
      <c r="V91" s="20"/>
      <c r="W91" s="20"/>
      <c r="X91" s="20"/>
      <c r="Y91" s="20"/>
      <c r="Z91" s="20"/>
    </row>
    <row r="92" spans="3:26" ht="14.85" customHeight="1" x14ac:dyDescent="0.3">
      <c r="C92" s="20"/>
      <c r="D92" s="558">
        <v>37</v>
      </c>
      <c r="E92" s="568" t="str">
        <f ca="1">_xlfn.XLOOKUP(F92,Pareto!S:S,Pareto!T:T)</f>
        <v>Diadema</v>
      </c>
      <c r="F92" s="1649" t="str">
        <f ca="1">_xlfn.XLOOKUP(K92,Pareto!V:V,Pareto!S:S)</f>
        <v>02 - Redução na quantidade de lâmpadas acessa, na produção</v>
      </c>
      <c r="G92" s="1650"/>
      <c r="H92" s="566" t="str">
        <f ca="1">_xlfn.XLOOKUP(F92,Pareto!S:S,Pareto!X:X)</f>
        <v>✓ Concluído</v>
      </c>
      <c r="I92" s="566" t="str">
        <f ca="1">_xlfn.XLOOKUP('5 Unidades  +'!F92,Pareto!S:S,Pareto!Z:Z)</f>
        <v/>
      </c>
      <c r="J92" s="559">
        <f ca="1">_xlfn.XLOOKUP(F92,Pareto!S:S,Pareto!U:U)</f>
        <v>106763.16</v>
      </c>
      <c r="K92" s="559">
        <f ca="1">IFERROR(LARGE(Pareto!V:V,D92)," ")</f>
        <v>58234.45090909092</v>
      </c>
      <c r="L92" s="559" t="str">
        <f ca="1">_xlfn.XLOOKUP(F92,Pareto!S:S,Pareto!W:W)</f>
        <v/>
      </c>
      <c r="M92" s="560">
        <f t="shared" ca="1" si="0"/>
        <v>-58234.45090909092</v>
      </c>
      <c r="N92" s="20"/>
      <c r="O92" s="20"/>
      <c r="P92" s="20"/>
      <c r="Q92" s="20"/>
      <c r="R92" s="20"/>
      <c r="S92" s="20"/>
      <c r="T92" s="20"/>
      <c r="U92" s="20"/>
      <c r="V92" s="20"/>
      <c r="W92" s="20"/>
      <c r="X92" s="20"/>
      <c r="Y92" s="20"/>
      <c r="Z92" s="20"/>
    </row>
    <row r="93" spans="3:26" ht="14.85" customHeight="1" x14ac:dyDescent="0.3">
      <c r="C93" s="20"/>
      <c r="D93" s="561">
        <v>38</v>
      </c>
      <c r="E93" s="567" t="str">
        <f ca="1">_xlfn.XLOOKUP(F93,Pareto!S:S,Pareto!T:T)</f>
        <v>Diadema</v>
      </c>
      <c r="F93" s="1651" t="str">
        <f ca="1">_xlfn.XLOOKUP(K93,Pareto!V:V,Pareto!S:S)</f>
        <v>57 - AlmaCAM_Redução de Peso</v>
      </c>
      <c r="G93" s="1652"/>
      <c r="H93" s="567" t="str">
        <f ca="1">_xlfn.XLOOKUP(F93,Pareto!S:S,Pareto!X:X)</f>
        <v>✓ Concluído</v>
      </c>
      <c r="I93" s="567" t="str">
        <f ca="1">_xlfn.XLOOKUP('5 Unidades  +'!F93,Pareto!S:S,Pareto!Z:Z)</f>
        <v>OK</v>
      </c>
      <c r="J93" s="562">
        <f ca="1">_xlfn.XLOOKUP(F93,Pareto!S:S,Pareto!U:U)</f>
        <v>202515.94</v>
      </c>
      <c r="K93" s="562">
        <f ca="1">IFERROR(LARGE(Pareto!V:V,D93)," ")</f>
        <v>57861.697142857141</v>
      </c>
      <c r="L93" s="562">
        <f ca="1">_xlfn.XLOOKUP(F93,Pareto!S:S,Pareto!W:W)</f>
        <v>27146.623922454113</v>
      </c>
      <c r="M93" s="563">
        <f t="shared" ca="1" si="0"/>
        <v>-30715.073220403028</v>
      </c>
      <c r="N93" s="20"/>
      <c r="O93" s="20"/>
      <c r="P93" s="20"/>
      <c r="Q93" s="20"/>
      <c r="R93" s="20"/>
      <c r="S93" s="20"/>
      <c r="T93" s="20"/>
      <c r="U93" s="20"/>
      <c r="V93" s="20"/>
      <c r="W93" s="20"/>
      <c r="X93" s="20"/>
      <c r="Y93" s="20"/>
      <c r="Z93" s="20"/>
    </row>
    <row r="94" spans="3:26" ht="14.85" customHeight="1" x14ac:dyDescent="0.3">
      <c r="C94" s="20"/>
      <c r="D94" s="558">
        <v>39</v>
      </c>
      <c r="E94" s="568" t="str">
        <f ca="1">_xlfn.XLOOKUP(F94,Pareto!S:S,Pareto!T:T)</f>
        <v>Compras</v>
      </c>
      <c r="F94" s="1649" t="str">
        <f ca="1">_xlfn.XLOOKUP(K94,Pareto!V:V,Pareto!S:S)</f>
        <v>Troca fornecedor decapagem gancheiras Ferraz</v>
      </c>
      <c r="G94" s="1650"/>
      <c r="H94" s="566" t="str">
        <f ca="1">_xlfn.XLOOKUP(F94,Pareto!S:S,Pareto!X:X)</f>
        <v>✓ Concluído</v>
      </c>
      <c r="I94" s="566" t="str">
        <f ca="1">_xlfn.XLOOKUP('5 Unidades  +'!F94,Pareto!S:S,Pareto!Z:Z)</f>
        <v>OK</v>
      </c>
      <c r="J94" s="559">
        <f ca="1">_xlfn.XLOOKUP(F94,Pareto!S:S,Pareto!U:U)</f>
        <v>98909.800000000017</v>
      </c>
      <c r="K94" s="559">
        <f ca="1">IFERROR(LARGE(Pareto!V:V,D94)," ")</f>
        <v>53950.80000000001</v>
      </c>
      <c r="L94" s="559">
        <f ca="1">_xlfn.XLOOKUP(F94,Pareto!S:S,Pareto!W:W)</f>
        <v>822.6</v>
      </c>
      <c r="M94" s="560">
        <f t="shared" ca="1" si="0"/>
        <v>-53128.200000000012</v>
      </c>
      <c r="N94" s="20"/>
      <c r="O94" s="20"/>
      <c r="P94" s="20"/>
      <c r="Q94" s="20"/>
      <c r="R94" s="20"/>
      <c r="S94" s="20"/>
      <c r="T94" s="20"/>
      <c r="U94" s="20"/>
      <c r="V94" s="20"/>
      <c r="W94" s="20"/>
      <c r="X94" s="20"/>
      <c r="Y94" s="20"/>
      <c r="Z94" s="20"/>
    </row>
    <row r="95" spans="3:26" ht="14.85" customHeight="1" x14ac:dyDescent="0.3">
      <c r="C95" s="20"/>
      <c r="D95" s="561">
        <v>40</v>
      </c>
      <c r="E95" s="567" t="str">
        <f ca="1">_xlfn.XLOOKUP(F95,Pareto!S:S,Pareto!T:T)</f>
        <v>Anchieta</v>
      </c>
      <c r="F95" s="1651" t="str">
        <f ca="1">_xlfn.XLOOKUP(K95,Pareto!V:V,Pareto!S:S)</f>
        <v>01 - VENDA DE ATIVOS</v>
      </c>
      <c r="G95" s="1652"/>
      <c r="H95" s="567" t="str">
        <f ca="1">_xlfn.XLOOKUP(F95,Pareto!S:S,Pareto!X:X)</f>
        <v>⏳ Em Execução</v>
      </c>
      <c r="I95" s="567" t="str">
        <f ca="1">_xlfn.XLOOKUP('5 Unidades  +'!F95,Pareto!S:S,Pareto!Z:Z)</f>
        <v>OK</v>
      </c>
      <c r="J95" s="562">
        <f ca="1">_xlfn.XLOOKUP(F95,Pareto!S:S,Pareto!U:U)</f>
        <v>4545.454545454545</v>
      </c>
      <c r="K95" s="562">
        <f ca="1">IFERROR(LARGE(Pareto!V:V,D95)," ")</f>
        <v>50000</v>
      </c>
      <c r="L95" s="562">
        <f ca="1">_xlfn.XLOOKUP(F95,Pareto!S:S,Pareto!W:W)</f>
        <v>50000</v>
      </c>
      <c r="M95" s="563">
        <f t="shared" ca="1" si="0"/>
        <v>0</v>
      </c>
      <c r="N95" s="20"/>
      <c r="O95" s="20"/>
      <c r="P95" s="20"/>
      <c r="Q95" s="20"/>
      <c r="R95" s="20"/>
      <c r="S95" s="20"/>
      <c r="T95" s="20"/>
      <c r="U95" s="20"/>
      <c r="V95" s="20"/>
      <c r="W95" s="20"/>
      <c r="X95" s="20"/>
      <c r="Y95" s="20"/>
      <c r="Z95" s="20"/>
    </row>
    <row r="96" spans="3:26" ht="14.85" customHeight="1" x14ac:dyDescent="0.3">
      <c r="C96" s="20"/>
      <c r="D96" s="558">
        <v>41</v>
      </c>
      <c r="E96" s="568" t="str">
        <f ca="1">_xlfn.XLOOKUP(F96,Pareto!S:S,Pareto!T:T)</f>
        <v>Compras</v>
      </c>
      <c r="F96" s="1649" t="str">
        <f ca="1">_xlfn.XLOOKUP(K96,Pareto!V:V,Pareto!S:S)</f>
        <v>Redução MP Viga Banana</v>
      </c>
      <c r="G96" s="1650"/>
      <c r="H96" s="566" t="str">
        <f ca="1">_xlfn.XLOOKUP(F96,Pareto!S:S,Pareto!X:X)</f>
        <v>✓ Concluído</v>
      </c>
      <c r="I96" s="566" t="str">
        <f ca="1">_xlfn.XLOOKUP('5 Unidades  +'!F96,Pareto!S:S,Pareto!Z:Z)</f>
        <v>OK</v>
      </c>
      <c r="J96" s="559">
        <f ca="1">_xlfn.XLOOKUP(F96,Pareto!S:S,Pareto!U:U)</f>
        <v>86933</v>
      </c>
      <c r="K96" s="559">
        <f ca="1">IFERROR(LARGE(Pareto!V:V,D96)," ")</f>
        <v>47418</v>
      </c>
      <c r="L96" s="559">
        <f ca="1">_xlfn.XLOOKUP(F96,Pareto!S:S,Pareto!W:W)</f>
        <v>24738.13075764</v>
      </c>
      <c r="M96" s="560">
        <f t="shared" ca="1" si="0"/>
        <v>-22679.86924236</v>
      </c>
      <c r="N96" s="20"/>
      <c r="O96" s="20"/>
      <c r="P96" s="20"/>
      <c r="Q96" s="20"/>
      <c r="R96" s="20"/>
      <c r="S96" s="20"/>
      <c r="T96" s="20"/>
      <c r="U96" s="20"/>
      <c r="V96" s="20"/>
      <c r="W96" s="20"/>
      <c r="X96" s="20"/>
      <c r="Y96" s="20"/>
      <c r="Z96" s="20"/>
    </row>
    <row r="97" spans="3:26" ht="14.85" customHeight="1" x14ac:dyDescent="0.3">
      <c r="C97" s="20"/>
      <c r="D97" s="561">
        <v>42</v>
      </c>
      <c r="E97" s="567" t="str">
        <f ca="1">_xlfn.XLOOKUP(F97,Pareto!S:S,Pareto!T:T)</f>
        <v>Diadema</v>
      </c>
      <c r="F97" s="1651" t="str">
        <f ca="1">_xlfn.XLOOKUP(K97,Pareto!V:V,Pareto!S:S)</f>
        <v>18 - Venda de Embalagens, ativos e sucatas</v>
      </c>
      <c r="G97" s="1652"/>
      <c r="H97" s="567" t="str">
        <f ca="1">_xlfn.XLOOKUP(F97,Pareto!S:S,Pareto!X:X)</f>
        <v>✓ Concluído</v>
      </c>
      <c r="I97" s="567" t="str">
        <f ca="1">_xlfn.XLOOKUP('5 Unidades  +'!F97,Pareto!S:S,Pareto!Z:Z)</f>
        <v>OK</v>
      </c>
      <c r="J97" s="562">
        <f ca="1">_xlfn.XLOOKUP(F97,Pareto!S:S,Pareto!U:U)</f>
        <v>46052</v>
      </c>
      <c r="K97" s="562">
        <f ca="1">IFERROR(LARGE(Pareto!V:V,D97)," ")</f>
        <v>46052</v>
      </c>
      <c r="L97" s="562">
        <f ca="1">_xlfn.XLOOKUP(F97,Pareto!S:S,Pareto!W:W)</f>
        <v>46052</v>
      </c>
      <c r="M97" s="563">
        <f t="shared" ca="1" si="0"/>
        <v>0</v>
      </c>
      <c r="N97" s="20"/>
      <c r="O97" s="20"/>
      <c r="P97" s="20"/>
      <c r="Q97" s="20"/>
      <c r="R97" s="20"/>
      <c r="S97" s="20"/>
      <c r="T97" s="20"/>
      <c r="U97" s="20"/>
      <c r="V97" s="20"/>
      <c r="W97" s="20"/>
      <c r="X97" s="20"/>
      <c r="Y97" s="20"/>
      <c r="Z97" s="20"/>
    </row>
    <row r="98" spans="3:26" ht="14.85" customHeight="1" x14ac:dyDescent="0.3">
      <c r="C98" s="20"/>
      <c r="D98" s="558">
        <v>43</v>
      </c>
      <c r="E98" s="568" t="str">
        <f ca="1">_xlfn.XLOOKUP(F98,Pareto!S:S,Pareto!T:T)</f>
        <v>Jarinu</v>
      </c>
      <c r="F98" s="1649" t="str">
        <f ca="1">_xlfn.XLOOKUP(K98,Pareto!V:V,Pareto!S:S)</f>
        <v xml:space="preserve">38 - Venda de sucata </v>
      </c>
      <c r="G98" s="1650"/>
      <c r="H98" s="566" t="str">
        <f ca="1">_xlfn.XLOOKUP(F98,Pareto!S:S,Pareto!X:X)</f>
        <v>⏳ Em Execução</v>
      </c>
      <c r="I98" s="566" t="str">
        <f ca="1">_xlfn.XLOOKUP('5 Unidades  +'!F98,Pareto!S:S,Pareto!Z:Z)</f>
        <v>OK</v>
      </c>
      <c r="J98" s="559">
        <f ca="1">_xlfn.XLOOKUP(F98,Pareto!S:S,Pareto!U:U)</f>
        <v>0</v>
      </c>
      <c r="K98" s="559">
        <f ca="1">IFERROR(LARGE(Pareto!V:V,D98)," ")</f>
        <v>44836</v>
      </c>
      <c r="L98" s="559">
        <f ca="1">_xlfn.XLOOKUP(F98,Pareto!S:S,Pareto!W:W)</f>
        <v>62700</v>
      </c>
      <c r="M98" s="560">
        <f t="shared" ca="1" si="0"/>
        <v>17864</v>
      </c>
      <c r="N98" s="20"/>
      <c r="O98" s="20"/>
      <c r="P98" s="20"/>
      <c r="Q98" s="20"/>
      <c r="R98" s="20"/>
      <c r="S98" s="20"/>
      <c r="T98" s="20"/>
      <c r="U98" s="20"/>
      <c r="V98" s="20"/>
      <c r="W98" s="20"/>
      <c r="X98" s="20"/>
      <c r="Y98" s="20"/>
      <c r="Z98" s="20"/>
    </row>
    <row r="99" spans="3:26" ht="14.85" customHeight="1" x14ac:dyDescent="0.3">
      <c r="C99" s="20"/>
      <c r="D99" s="561">
        <v>44</v>
      </c>
      <c r="E99" s="567" t="str">
        <f ca="1">_xlfn.XLOOKUP(F99,Pareto!S:S,Pareto!T:T)</f>
        <v>Diadema</v>
      </c>
      <c r="F99" s="1651" t="str">
        <f ca="1">_xlfn.XLOOKUP(K99,Pareto!V:V,Pareto!S:S)</f>
        <v>45 - Redução de MP GM000409Z</v>
      </c>
      <c r="G99" s="1652"/>
      <c r="H99" s="567" t="str">
        <f ca="1">_xlfn.XLOOKUP(F99,Pareto!S:S,Pareto!X:X)</f>
        <v>✓ Concluído</v>
      </c>
      <c r="I99" s="567" t="str">
        <f ca="1">_xlfn.XLOOKUP('5 Unidades  +'!F99,Pareto!S:S,Pareto!Z:Z)</f>
        <v>OK</v>
      </c>
      <c r="J99" s="562">
        <f ca="1">_xlfn.XLOOKUP(F99,Pareto!S:S,Pareto!U:U)</f>
        <v>99381.260000000009</v>
      </c>
      <c r="K99" s="562">
        <f ca="1">IFERROR(LARGE(Pareto!V:V,D99)," ")</f>
        <v>44169.448888888888</v>
      </c>
      <c r="L99" s="562">
        <f ca="1">_xlfn.XLOOKUP(F99,Pareto!S:S,Pareto!W:W)</f>
        <v>76638.269723999692</v>
      </c>
      <c r="M99" s="563">
        <f t="shared" ca="1" si="0"/>
        <v>32468.820835110804</v>
      </c>
      <c r="N99" s="20"/>
      <c r="O99" s="20"/>
      <c r="P99" s="20"/>
      <c r="Q99" s="20"/>
      <c r="R99" s="20"/>
      <c r="S99" s="20"/>
      <c r="T99" s="20"/>
      <c r="U99" s="20"/>
      <c r="V99" s="20"/>
      <c r="W99" s="20"/>
      <c r="X99" s="20"/>
      <c r="Y99" s="20"/>
      <c r="Z99" s="20"/>
    </row>
    <row r="100" spans="3:26" ht="14.85" customHeight="1" x14ac:dyDescent="0.3">
      <c r="C100" s="20"/>
      <c r="D100" s="558">
        <v>45</v>
      </c>
      <c r="E100" s="568" t="str">
        <f ca="1">_xlfn.XLOOKUP(F100,Pareto!S:S,Pareto!T:T)</f>
        <v>Diadema</v>
      </c>
      <c r="F100" s="1649" t="str">
        <f ca="1">_xlfn.XLOOKUP(K100,Pareto!V:V,Pareto!S:S)</f>
        <v>50 - Suporte da lanterna MB003681</v>
      </c>
      <c r="G100" s="1650"/>
      <c r="H100" s="566" t="str">
        <f ca="1">_xlfn.XLOOKUP(F100,Pareto!S:S,Pareto!X:X)</f>
        <v>⏳ Em Execução</v>
      </c>
      <c r="I100" s="566" t="str">
        <f ca="1">_xlfn.XLOOKUP('5 Unidades  +'!F100,Pareto!S:S,Pareto!Z:Z)</f>
        <v>OK</v>
      </c>
      <c r="J100" s="559">
        <f ca="1">_xlfn.XLOOKUP(F100,Pareto!S:S,Pareto!U:U)</f>
        <v>153302.58000000002</v>
      </c>
      <c r="K100" s="559">
        <f ca="1">IFERROR(LARGE(Pareto!V:V,D100)," ")</f>
        <v>43800.737142857142</v>
      </c>
      <c r="L100" s="559" t="str">
        <f ca="1">_xlfn.XLOOKUP(F100,Pareto!S:S,Pareto!W:W)</f>
        <v/>
      </c>
      <c r="M100" s="560">
        <f t="shared" ca="1" si="0"/>
        <v>-43800.737142857142</v>
      </c>
      <c r="N100" s="20"/>
      <c r="O100" s="20"/>
      <c r="P100" s="20"/>
      <c r="Q100" s="20"/>
      <c r="R100" s="20"/>
      <c r="S100" s="20"/>
      <c r="T100" s="20"/>
      <c r="U100" s="20"/>
      <c r="V100" s="20"/>
      <c r="W100" s="20"/>
      <c r="X100" s="20"/>
      <c r="Y100" s="20"/>
      <c r="Z100" s="20"/>
    </row>
    <row r="101" spans="3:26" ht="14.85" customHeight="1" x14ac:dyDescent="0.3">
      <c r="C101" s="20"/>
      <c r="D101" s="561">
        <v>46</v>
      </c>
      <c r="E101" s="567" t="str">
        <f ca="1">_xlfn.XLOOKUP(F101,Pareto!S:S,Pareto!T:T)</f>
        <v>Diadema</v>
      </c>
      <c r="F101" s="1651" t="str">
        <f ca="1">_xlfn.XLOOKUP(K101,Pareto!V:V,Pareto!S:S)</f>
        <v>31 - Comunização da chapa CHQ0475ED12502650</v>
      </c>
      <c r="G101" s="1652"/>
      <c r="H101" s="567" t="str">
        <f ca="1">_xlfn.XLOOKUP(F101,Pareto!S:S,Pareto!X:X)</f>
        <v>✓ Concluído</v>
      </c>
      <c r="I101" s="567" t="str">
        <f ca="1">_xlfn.XLOOKUP('5 Unidades  +'!F101,Pareto!S:S,Pareto!Z:Z)</f>
        <v>OK</v>
      </c>
      <c r="J101" s="562">
        <f ca="1">_xlfn.XLOOKUP(F101,Pareto!S:S,Pareto!U:U)</f>
        <v>114604.43</v>
      </c>
      <c r="K101" s="562">
        <f ca="1">IFERROR(LARGE(Pareto!V:V,D101)," ")</f>
        <v>42976.661249999997</v>
      </c>
      <c r="L101" s="562">
        <f ca="1">_xlfn.XLOOKUP(F101,Pareto!S:S,Pareto!W:W)</f>
        <v>40335.03043738514</v>
      </c>
      <c r="M101" s="563">
        <f t="shared" ca="1" si="0"/>
        <v>-2641.6308126148579</v>
      </c>
      <c r="N101" s="20"/>
      <c r="O101" s="20"/>
      <c r="P101" s="20"/>
      <c r="Q101" s="20"/>
      <c r="R101" s="20"/>
      <c r="S101" s="20"/>
      <c r="T101" s="20"/>
      <c r="U101" s="20"/>
      <c r="V101" s="20"/>
      <c r="W101" s="20"/>
      <c r="X101" s="20"/>
      <c r="Y101" s="20"/>
      <c r="Z101" s="20"/>
    </row>
    <row r="102" spans="3:26" ht="14.85" customHeight="1" x14ac:dyDescent="0.3">
      <c r="C102" s="20"/>
      <c r="D102" s="558">
        <v>47</v>
      </c>
      <c r="E102" s="568" t="str">
        <f ca="1">_xlfn.XLOOKUP(F102,Pareto!S:S,Pareto!T:T)</f>
        <v>Diadema</v>
      </c>
      <c r="F102" s="1649" t="str">
        <f ca="1">_xlfn.XLOOKUP(K102,Pareto!V:V,Pareto!S:S)</f>
        <v>12 - Aproveitamento de peças Obsoletas - A9583176540</v>
      </c>
      <c r="G102" s="1650"/>
      <c r="H102" s="566" t="str">
        <f ca="1">_xlfn.XLOOKUP(F102,Pareto!S:S,Pareto!X:X)</f>
        <v>✓ Concluído</v>
      </c>
      <c r="I102" s="566" t="str">
        <f ca="1">_xlfn.XLOOKUP('5 Unidades  +'!F102,Pareto!S:S,Pareto!Z:Z)</f>
        <v>OK</v>
      </c>
      <c r="J102" s="559">
        <f ca="1">_xlfn.XLOOKUP(F102,Pareto!S:S,Pareto!U:U)</f>
        <v>37746.6</v>
      </c>
      <c r="K102" s="559">
        <f ca="1">IFERROR(LARGE(Pareto!V:V,D102)," ")</f>
        <v>37746.6</v>
      </c>
      <c r="L102" s="559">
        <f ca="1">_xlfn.XLOOKUP(F102,Pareto!S:S,Pareto!W:W)</f>
        <v>37746.6</v>
      </c>
      <c r="M102" s="560">
        <f t="shared" ca="1" si="0"/>
        <v>0</v>
      </c>
      <c r="N102" s="20"/>
      <c r="O102" s="20"/>
      <c r="P102" s="20"/>
      <c r="Q102" s="20"/>
      <c r="R102" s="20"/>
      <c r="S102" s="20"/>
      <c r="T102" s="20"/>
      <c r="U102" s="20"/>
      <c r="V102" s="20"/>
      <c r="W102" s="20"/>
      <c r="X102" s="20"/>
      <c r="Y102" s="20"/>
      <c r="Z102" s="20"/>
    </row>
    <row r="103" spans="3:26" ht="14.85" customHeight="1" x14ac:dyDescent="0.3">
      <c r="C103" s="20"/>
      <c r="D103" s="561">
        <v>48</v>
      </c>
      <c r="E103" s="567" t="str">
        <f ca="1">_xlfn.XLOOKUP(F103,Pareto!S:S,Pareto!T:T)</f>
        <v>Compras</v>
      </c>
      <c r="F103" s="1651" t="str">
        <f ca="1">_xlfn.XLOOKUP(K103,Pareto!V:V,Pareto!S:S)</f>
        <v>Modalidade Tarifária</v>
      </c>
      <c r="G103" s="1652"/>
      <c r="H103" s="567" t="str">
        <f ca="1">_xlfn.XLOOKUP(F103,Pareto!S:S,Pareto!X:X)</f>
        <v>✓ Concluído</v>
      </c>
      <c r="I103" s="567" t="str">
        <f ca="1">_xlfn.XLOOKUP('5 Unidades  +'!F103,Pareto!S:S,Pareto!Z:Z)</f>
        <v/>
      </c>
      <c r="J103" s="562">
        <f ca="1">_xlfn.XLOOKUP(F103,Pareto!S:S,Pareto!U:U)</f>
        <v>72408.000000000015</v>
      </c>
      <c r="K103" s="562">
        <f ca="1">IFERROR(LARGE(Pareto!V:V,D103)," ")</f>
        <v>36204</v>
      </c>
      <c r="L103" s="562" t="str">
        <f ca="1">_xlfn.XLOOKUP(F103,Pareto!S:S,Pareto!W:W)</f>
        <v/>
      </c>
      <c r="M103" s="563">
        <f t="shared" ca="1" si="0"/>
        <v>-36204</v>
      </c>
      <c r="N103" s="20"/>
      <c r="O103" s="20"/>
      <c r="P103" s="20"/>
      <c r="Q103" s="20"/>
      <c r="R103" s="20"/>
      <c r="S103" s="20"/>
      <c r="T103" s="20"/>
      <c r="U103" s="20"/>
      <c r="V103" s="20"/>
      <c r="W103" s="20"/>
      <c r="X103" s="20"/>
      <c r="Y103" s="20"/>
      <c r="Z103" s="20"/>
    </row>
    <row r="104" spans="3:26" ht="14.85" customHeight="1" x14ac:dyDescent="0.3">
      <c r="C104" s="20"/>
      <c r="D104" s="558">
        <v>49</v>
      </c>
      <c r="E104" s="568" t="str">
        <f ca="1">_xlfn.XLOOKUP(F104,Pareto!S:S,Pareto!T:T)</f>
        <v>Anchieta</v>
      </c>
      <c r="F104" s="1649" t="str">
        <f ca="1">_xlfn.XLOOKUP(K104,Pareto!V:V,Pareto!S:S)</f>
        <v>05 - REDUÇÃO DE FRETE</v>
      </c>
      <c r="G104" s="1650"/>
      <c r="H104" s="566" t="str">
        <f ca="1">_xlfn.XLOOKUP(F104,Pareto!S:S,Pareto!X:X)</f>
        <v>⏳ Em Execução</v>
      </c>
      <c r="I104" s="566" t="str">
        <f ca="1">_xlfn.XLOOKUP('5 Unidades  +'!F104,Pareto!S:S,Pareto!Z:Z)</f>
        <v/>
      </c>
      <c r="J104" s="559">
        <f ca="1">_xlfn.XLOOKUP(F104,Pareto!S:S,Pareto!U:U)</f>
        <v>17727.272727272728</v>
      </c>
      <c r="K104" s="559">
        <f ca="1">IFERROR(LARGE(Pareto!V:V,D104)," ")</f>
        <v>35454.545454545456</v>
      </c>
      <c r="L104" s="559" t="str">
        <f ca="1">_xlfn.XLOOKUP(F104,Pareto!S:S,Pareto!W:W)</f>
        <v/>
      </c>
      <c r="M104" s="560">
        <f t="shared" ca="1" si="0"/>
        <v>-35454.545454545456</v>
      </c>
      <c r="N104" s="20"/>
      <c r="O104" s="20"/>
      <c r="P104" s="20"/>
      <c r="Q104" s="20"/>
      <c r="R104" s="20"/>
      <c r="S104" s="20"/>
      <c r="T104" s="20"/>
      <c r="U104" s="20"/>
      <c r="V104" s="20"/>
      <c r="W104" s="20"/>
      <c r="X104" s="20"/>
      <c r="Y104" s="20"/>
      <c r="Z104" s="20"/>
    </row>
    <row r="105" spans="3:26" ht="14.85" customHeight="1" x14ac:dyDescent="0.3">
      <c r="C105" s="20"/>
      <c r="D105" s="561">
        <v>50</v>
      </c>
      <c r="E105" s="567" t="str">
        <f ca="1">_xlfn.XLOOKUP(F105,Pareto!S:S,Pareto!T:T)</f>
        <v>Diadema</v>
      </c>
      <c r="F105" s="1651" t="str">
        <f ca="1">_xlfn.XLOOKUP(K105,Pareto!V:V,Pareto!S:S)</f>
        <v>42 - Aluguel de Compressor</v>
      </c>
      <c r="G105" s="1652"/>
      <c r="H105" s="567" t="str">
        <f ca="1">_xlfn.XLOOKUP(F105,Pareto!S:S,Pareto!X:X)</f>
        <v>✓ Concluído</v>
      </c>
      <c r="I105" s="567" t="str">
        <f ca="1">_xlfn.XLOOKUP('5 Unidades  +'!F105,Pareto!S:S,Pareto!Z:Z)</f>
        <v>OK</v>
      </c>
      <c r="J105" s="562">
        <f ca="1">_xlfn.XLOOKUP(F105,Pareto!S:S,Pareto!U:U)</f>
        <v>122500</v>
      </c>
      <c r="K105" s="562">
        <f ca="1">IFERROR(LARGE(Pareto!V:V,D105)," ")</f>
        <v>35000</v>
      </c>
      <c r="L105" s="562">
        <f ca="1">_xlfn.XLOOKUP(F105,Pareto!S:S,Pareto!W:W)</f>
        <v>35000</v>
      </c>
      <c r="M105" s="563">
        <f t="shared" ca="1" si="0"/>
        <v>0</v>
      </c>
      <c r="N105" s="20"/>
      <c r="O105" s="20"/>
      <c r="P105" s="20"/>
      <c r="Q105" s="20"/>
      <c r="R105" s="20"/>
      <c r="S105" s="20"/>
      <c r="T105" s="20"/>
      <c r="U105" s="20"/>
      <c r="V105" s="20"/>
      <c r="W105" s="20"/>
      <c r="X105" s="20"/>
      <c r="Y105" s="20"/>
      <c r="Z105" s="20"/>
    </row>
    <row r="106" spans="3:26" ht="15" customHeight="1" x14ac:dyDescent="0.3">
      <c r="C106" s="20"/>
      <c r="D106" s="558">
        <v>51</v>
      </c>
      <c r="E106" s="568" t="str">
        <f ca="1">_xlfn.XLOOKUP(F106,Pareto!S:S,Pareto!T:T)</f>
        <v>Jarinu</v>
      </c>
      <c r="F106" s="1649" t="str">
        <f ca="1">_xlfn.XLOOKUP(K106,Pareto!V:V,Pareto!S:S)</f>
        <v>28 -  Redução consumo MTP aplicando tolerância mínima curva C</v>
      </c>
      <c r="G106" s="1650"/>
      <c r="H106" s="566" t="str">
        <f ca="1">_xlfn.XLOOKUP(F106,Pareto!S:S,Pareto!X:X)</f>
        <v>⏳ Em Execução</v>
      </c>
      <c r="I106" s="566" t="str">
        <f ca="1">_xlfn.XLOOKUP('5 Unidades  +'!F106,Pareto!S:S,Pareto!Z:Z)</f>
        <v>OK</v>
      </c>
      <c r="J106" s="559">
        <f ca="1">_xlfn.XLOOKUP(F106,Pareto!S:S,Pareto!U:U)</f>
        <v>104738.03</v>
      </c>
      <c r="K106" s="559">
        <f ca="1">IFERROR(LARGE(Pareto!V:V,D106)," ")</f>
        <v>34912.676666666666</v>
      </c>
      <c r="L106" s="559" t="str">
        <f ca="1">_xlfn.XLOOKUP(F106,Pareto!S:S,Pareto!W:W)</f>
        <v/>
      </c>
      <c r="M106" s="560">
        <f t="shared" ca="1" si="0"/>
        <v>-34912.676666666666</v>
      </c>
      <c r="N106" s="20"/>
      <c r="O106" s="20"/>
      <c r="P106" s="20"/>
      <c r="Q106" s="20"/>
      <c r="R106" s="20"/>
      <c r="S106" s="20"/>
      <c r="T106" s="20"/>
      <c r="U106" s="20"/>
      <c r="V106" s="20"/>
      <c r="W106" s="20"/>
      <c r="X106" s="20"/>
      <c r="Y106" s="20"/>
      <c r="Z106" s="20"/>
    </row>
    <row r="107" spans="3:26" ht="15" customHeight="1" x14ac:dyDescent="0.3">
      <c r="C107" s="20"/>
      <c r="D107" s="561">
        <v>52</v>
      </c>
      <c r="E107" s="567" t="str">
        <f ca="1">_xlfn.XLOOKUP(F107,Pareto!S:S,Pareto!T:T)</f>
        <v>Compras</v>
      </c>
      <c r="F107" s="1651" t="str">
        <f ca="1">_xlfn.XLOOKUP(K107,Pareto!V:V,Pareto!S:S)</f>
        <v>Locação de Compressores</v>
      </c>
      <c r="G107" s="1652"/>
      <c r="H107" s="567" t="str">
        <f ca="1">_xlfn.XLOOKUP(F107,Pareto!S:S,Pareto!X:X)</f>
        <v>⏳ Em Execução</v>
      </c>
      <c r="I107" s="567" t="str">
        <f ca="1">_xlfn.XLOOKUP('5 Unidades  +'!F107,Pareto!S:S,Pareto!Z:Z)</f>
        <v/>
      </c>
      <c r="J107" s="562">
        <f ca="1">_xlfn.XLOOKUP(F107,Pareto!S:S,Pareto!U:U)</f>
        <v>99600.000000000015</v>
      </c>
      <c r="K107" s="562">
        <f ca="1">IFERROR(LARGE(Pareto!V:V,D107)," ")</f>
        <v>28457.142857142859</v>
      </c>
      <c r="L107" s="562" t="str">
        <f ca="1">_xlfn.XLOOKUP(F107,Pareto!S:S,Pareto!W:W)</f>
        <v/>
      </c>
      <c r="M107" s="563">
        <f t="shared" ca="1" si="0"/>
        <v>-28457.142857142859</v>
      </c>
      <c r="N107" s="20"/>
      <c r="O107" s="20"/>
      <c r="P107" s="20"/>
      <c r="Q107" s="20"/>
      <c r="R107" s="20"/>
      <c r="S107" s="20"/>
      <c r="T107" s="20"/>
      <c r="U107" s="20"/>
      <c r="V107" s="20"/>
      <c r="W107" s="20"/>
      <c r="X107" s="20"/>
      <c r="Y107" s="20"/>
      <c r="Z107" s="20"/>
    </row>
    <row r="108" spans="3:26" ht="15" customHeight="1" x14ac:dyDescent="0.3">
      <c r="C108" s="20"/>
      <c r="D108" s="558">
        <v>53</v>
      </c>
      <c r="E108" s="568" t="str">
        <f ca="1">_xlfn.XLOOKUP(F108,Pareto!S:S,Pareto!T:T)</f>
        <v>Diadema</v>
      </c>
      <c r="F108" s="1649" t="str">
        <f ca="1">_xlfn.XLOOKUP(K108,Pareto!V:V,Pareto!S:S)</f>
        <v>05 - Empilhadeira - Diadema</v>
      </c>
      <c r="G108" s="1650"/>
      <c r="H108" s="566" t="str">
        <f ca="1">_xlfn.XLOOKUP(F108,Pareto!S:S,Pareto!X:X)</f>
        <v>✓ Concluído</v>
      </c>
      <c r="I108" s="566" t="str">
        <f ca="1">_xlfn.XLOOKUP('5 Unidades  +'!F108,Pareto!S:S,Pareto!Z:Z)</f>
        <v>OK</v>
      </c>
      <c r="J108" s="559">
        <f ca="1">_xlfn.XLOOKUP(F108,Pareto!S:S,Pareto!U:U)</f>
        <v>56610.759999999995</v>
      </c>
      <c r="K108" s="559">
        <f ca="1">IFERROR(LARGE(Pareto!V:V,D108)," ")</f>
        <v>28305.38</v>
      </c>
      <c r="L108" s="559">
        <f ca="1">_xlfn.XLOOKUP(F108,Pareto!S:S,Pareto!W:W)</f>
        <v>25732.162500000013</v>
      </c>
      <c r="M108" s="560">
        <f t="shared" ca="1" si="0"/>
        <v>-2573.2174999999879</v>
      </c>
      <c r="N108" s="20"/>
      <c r="O108" s="20"/>
      <c r="P108" s="20"/>
      <c r="Q108" s="20"/>
      <c r="R108" s="20"/>
      <c r="S108" s="20"/>
      <c r="T108" s="20"/>
      <c r="U108" s="20"/>
      <c r="V108" s="20"/>
      <c r="W108" s="20"/>
      <c r="X108" s="20"/>
      <c r="Y108" s="20"/>
      <c r="Z108" s="20"/>
    </row>
    <row r="109" spans="3:26" ht="15" customHeight="1" x14ac:dyDescent="0.3">
      <c r="C109" s="20"/>
      <c r="D109" s="561">
        <v>54</v>
      </c>
      <c r="E109" s="567" t="str">
        <f ca="1">_xlfn.XLOOKUP(F109,Pareto!S:S,Pareto!T:T)</f>
        <v>São leopoldo</v>
      </c>
      <c r="F109" s="1651" t="str">
        <f ca="1">_xlfn.XLOOKUP(K109,Pareto!V:V,Pareto!S:S)</f>
        <v>05 - Acabamento capo CN13</v>
      </c>
      <c r="G109" s="1652"/>
      <c r="H109" s="567" t="str">
        <f ca="1">_xlfn.XLOOKUP(F109,Pareto!S:S,Pareto!X:X)</f>
        <v>✓ Concluído</v>
      </c>
      <c r="I109" s="567" t="str">
        <f ca="1">_xlfn.XLOOKUP('5 Unidades  +'!F109,Pareto!S:S,Pareto!Z:Z)</f>
        <v>OK</v>
      </c>
      <c r="J109" s="562">
        <f ca="1">_xlfn.XLOOKUP(F109,Pareto!S:S,Pareto!U:U)</f>
        <v>20341.199999999997</v>
      </c>
      <c r="K109" s="562">
        <f ca="1">IFERROR(LARGE(Pareto!V:V,D109)," ")</f>
        <v>27121.599999999999</v>
      </c>
      <c r="L109" s="562">
        <f ca="1">_xlfn.XLOOKUP(F109,Pareto!S:S,Pareto!W:W)</f>
        <v>20341.199999999997</v>
      </c>
      <c r="M109" s="563">
        <f t="shared" ca="1" si="0"/>
        <v>-6780.4000000000015</v>
      </c>
      <c r="N109" s="20"/>
      <c r="O109" s="20"/>
      <c r="P109" s="20"/>
      <c r="Q109" s="20"/>
      <c r="R109" s="20"/>
      <c r="S109" s="20"/>
      <c r="T109" s="20"/>
      <c r="U109" s="20"/>
      <c r="V109" s="20"/>
      <c r="W109" s="20"/>
      <c r="X109" s="20"/>
      <c r="Y109" s="20"/>
      <c r="Z109" s="20"/>
    </row>
    <row r="110" spans="3:26" ht="15" customHeight="1" x14ac:dyDescent="0.3">
      <c r="C110" s="20"/>
      <c r="D110" s="558">
        <v>55</v>
      </c>
      <c r="E110" s="568" t="str">
        <f ca="1">_xlfn.XLOOKUP(F110,Pareto!S:S,Pareto!T:T)</f>
        <v>Diadema</v>
      </c>
      <c r="F110" s="1649" t="str">
        <f ca="1">_xlfn.XLOOKUP(K110,Pareto!V:V,Pareto!S:S)</f>
        <v>19 - Kaizen Facão. DA000481Z - PRODUTIVIDADE</v>
      </c>
      <c r="G110" s="1650"/>
      <c r="H110" s="566" t="str">
        <f ca="1">_xlfn.XLOOKUP(F110,Pareto!S:S,Pareto!X:X)</f>
        <v>✓ Concluído</v>
      </c>
      <c r="I110" s="566" t="str">
        <f ca="1">_xlfn.XLOOKUP('5 Unidades  +'!F110,Pareto!S:S,Pareto!Z:Z)</f>
        <v/>
      </c>
      <c r="J110" s="559">
        <f ca="1">_xlfn.XLOOKUP(F110,Pareto!S:S,Pareto!U:U)</f>
        <v>54000</v>
      </c>
      <c r="K110" s="559">
        <f ca="1">IFERROR(LARGE(Pareto!V:V,D110)," ")</f>
        <v>27000</v>
      </c>
      <c r="L110" s="559" t="str">
        <f ca="1">_xlfn.XLOOKUP(F110,Pareto!S:S,Pareto!W:W)</f>
        <v/>
      </c>
      <c r="M110" s="560">
        <f t="shared" ca="1" si="0"/>
        <v>-27000</v>
      </c>
      <c r="N110" s="20"/>
      <c r="O110" s="20"/>
      <c r="P110" s="20"/>
      <c r="Q110" s="20"/>
      <c r="R110" s="20"/>
      <c r="S110" s="20"/>
      <c r="T110" s="20"/>
      <c r="U110" s="20"/>
      <c r="V110" s="20"/>
      <c r="W110" s="20"/>
      <c r="X110" s="20"/>
      <c r="Y110" s="20"/>
      <c r="Z110" s="20"/>
    </row>
    <row r="111" spans="3:26" ht="15" customHeight="1" x14ac:dyDescent="0.3">
      <c r="C111" s="20"/>
      <c r="D111" s="561">
        <v>56</v>
      </c>
      <c r="E111" s="567" t="str">
        <f ca="1">_xlfn.XLOOKUP(F111,Pareto!S:S,Pareto!T:T)</f>
        <v>Diadema</v>
      </c>
      <c r="F111" s="1651" t="str">
        <f ca="1">_xlfn.XLOOKUP(K111,Pareto!V:V,Pareto!S:S)</f>
        <v>14 - REDUÇÃO DE MP DA000518Z (Anchieta) Código DD - VB000324Z</v>
      </c>
      <c r="G111" s="1652"/>
      <c r="H111" s="567" t="str">
        <f ca="1">_xlfn.XLOOKUP(F111,Pareto!S:S,Pareto!X:X)</f>
        <v>✓ Concluído</v>
      </c>
      <c r="I111" s="567" t="str">
        <f ca="1">_xlfn.XLOOKUP('5 Unidades  +'!F111,Pareto!S:S,Pareto!Z:Z)</f>
        <v>OK</v>
      </c>
      <c r="J111" s="562">
        <f ca="1">_xlfn.XLOOKUP(F111,Pareto!S:S,Pareto!U:U)</f>
        <v>46996.932073171294</v>
      </c>
      <c r="K111" s="562">
        <f ca="1">IFERROR(LARGE(Pareto!V:V,D111)," ")</f>
        <v>25634.690221729801</v>
      </c>
      <c r="L111" s="562">
        <f ca="1">_xlfn.XLOOKUP(F111,Pareto!S:S,Pareto!W:W)</f>
        <v>31364.078207856248</v>
      </c>
      <c r="M111" s="563">
        <f t="shared" ca="1" si="0"/>
        <v>5729.3879861264468</v>
      </c>
      <c r="N111" s="20"/>
      <c r="O111" s="20"/>
      <c r="P111" s="20"/>
      <c r="Q111" s="20"/>
      <c r="R111" s="20"/>
      <c r="S111" s="20"/>
      <c r="T111" s="20"/>
      <c r="U111" s="20"/>
      <c r="V111" s="20"/>
      <c r="W111" s="20"/>
      <c r="X111" s="20"/>
      <c r="Y111" s="20"/>
      <c r="Z111" s="20"/>
    </row>
    <row r="112" spans="3:26" ht="15" customHeight="1" x14ac:dyDescent="0.3">
      <c r="C112" s="20"/>
      <c r="D112" s="558">
        <v>57</v>
      </c>
      <c r="E112" s="568" t="str">
        <f ca="1">_xlfn.XLOOKUP(F112,Pareto!S:S,Pareto!T:T)</f>
        <v>São leopoldo</v>
      </c>
      <c r="F112" s="1649" t="str">
        <f ca="1">_xlfn.XLOOKUP(K112,Pareto!V:V,Pareto!S:S)</f>
        <v>13- Redução do custo mensal de empilhadeira locada (LOCAPEX).</v>
      </c>
      <c r="G112" s="1650"/>
      <c r="H112" s="566" t="str">
        <f ca="1">_xlfn.XLOOKUP(F112,Pareto!S:S,Pareto!X:X)</f>
        <v>✓ Concluído</v>
      </c>
      <c r="I112" s="566" t="str">
        <f ca="1">_xlfn.XLOOKUP('5 Unidades  +'!F112,Pareto!S:S,Pareto!Z:Z)</f>
        <v>OK</v>
      </c>
      <c r="J112" s="559">
        <f ca="1">_xlfn.XLOOKUP(F112,Pareto!S:S,Pareto!U:U)</f>
        <v>18440.293333333331</v>
      </c>
      <c r="K112" s="559">
        <f ca="1">IFERROR(LARGE(Pareto!V:V,D112)," ")</f>
        <v>24587.057777777776</v>
      </c>
      <c r="L112" s="559">
        <f ca="1">_xlfn.XLOOKUP(F112,Pareto!S:S,Pareto!W:W)</f>
        <v>23795.34</v>
      </c>
      <c r="M112" s="560">
        <f t="shared" ca="1" si="0"/>
        <v>-791.71777777777606</v>
      </c>
      <c r="N112" s="20"/>
      <c r="O112" s="20"/>
      <c r="P112" s="20"/>
      <c r="Q112" s="20"/>
      <c r="R112" s="20"/>
      <c r="S112" s="20"/>
      <c r="T112" s="20"/>
      <c r="U112" s="20"/>
      <c r="V112" s="20"/>
      <c r="W112" s="20"/>
      <c r="X112" s="20"/>
      <c r="Y112" s="20"/>
      <c r="Z112" s="20"/>
    </row>
    <row r="113" spans="3:26" ht="15" customHeight="1" x14ac:dyDescent="0.3">
      <c r="C113" s="20"/>
      <c r="D113" s="561">
        <v>58</v>
      </c>
      <c r="E113" s="567" t="str">
        <f ca="1">_xlfn.XLOOKUP(F113,Pareto!S:S,Pareto!T:T)</f>
        <v>Compras</v>
      </c>
      <c r="F113" s="1651" t="str">
        <f ca="1">_xlfn.XLOOKUP(K113,Pareto!V:V,Pareto!S:S)</f>
        <v>Destinação Borra Plasma Ferraz</v>
      </c>
      <c r="G113" s="1652"/>
      <c r="H113" s="567" t="str">
        <f ca="1">_xlfn.XLOOKUP(F113,Pareto!S:S,Pareto!X:X)</f>
        <v>✓ Concluído</v>
      </c>
      <c r="I113" s="567" t="str">
        <f ca="1">_xlfn.XLOOKUP('5 Unidades  +'!F113,Pareto!S:S,Pareto!Z:Z)</f>
        <v/>
      </c>
      <c r="J113" s="562">
        <f ca="1">_xlfn.XLOOKUP(F113,Pareto!S:S,Pareto!U:U)</f>
        <v>61965.479999999996</v>
      </c>
      <c r="K113" s="562">
        <f ca="1">IFERROR(LARGE(Pareto!V:V,D113)," ")</f>
        <v>23237.055</v>
      </c>
      <c r="L113" s="562" t="str">
        <f ca="1">_xlfn.XLOOKUP(F113,Pareto!S:S,Pareto!W:W)</f>
        <v/>
      </c>
      <c r="M113" s="563">
        <f t="shared" ca="1" si="0"/>
        <v>-23237.055</v>
      </c>
      <c r="N113" s="20"/>
      <c r="O113" s="20"/>
      <c r="P113" s="20"/>
      <c r="Q113" s="20"/>
      <c r="R113" s="20"/>
      <c r="S113" s="20"/>
      <c r="T113" s="20"/>
      <c r="U113" s="20"/>
      <c r="V113" s="20"/>
      <c r="W113" s="20"/>
      <c r="X113" s="20"/>
      <c r="Y113" s="20"/>
      <c r="Z113" s="20"/>
    </row>
    <row r="114" spans="3:26" ht="15" customHeight="1" x14ac:dyDescent="0.3">
      <c r="C114" s="20"/>
      <c r="D114" s="558">
        <v>59</v>
      </c>
      <c r="E114" s="568" t="str">
        <f ca="1">_xlfn.XLOOKUP(F114,Pareto!S:S,Pareto!T:T)</f>
        <v>Compras</v>
      </c>
      <c r="F114" s="1649" t="str">
        <f ca="1">_xlfn.XLOOKUP(K114,Pareto!V:V,Pareto!S:S)</f>
        <v>Mudança de Modalidade Gerador Anchieta</v>
      </c>
      <c r="G114" s="1650"/>
      <c r="H114" s="566" t="str">
        <f ca="1">_xlfn.XLOOKUP(F114,Pareto!S:S,Pareto!X:X)</f>
        <v>✓ Concluído</v>
      </c>
      <c r="I114" s="566" t="str">
        <f ca="1">_xlfn.XLOOKUP('5 Unidades  +'!F114,Pareto!S:S,Pareto!Z:Z)</f>
        <v>OK</v>
      </c>
      <c r="J114" s="559">
        <f ca="1">_xlfn.XLOOKUP(F114,Pareto!S:S,Pareto!U:U)</f>
        <v>39476.28</v>
      </c>
      <c r="K114" s="559">
        <f ca="1">IFERROR(LARGE(Pareto!V:V,D114)," ")</f>
        <v>23027.829999999998</v>
      </c>
      <c r="L114" s="559">
        <f ca="1">_xlfn.XLOOKUP(F114,Pareto!S:S,Pareto!W:W)</f>
        <v>19738.14</v>
      </c>
      <c r="M114" s="560">
        <f t="shared" ca="1" si="0"/>
        <v>-3289.6899999999987</v>
      </c>
      <c r="N114" s="20"/>
      <c r="O114" s="20"/>
      <c r="P114" s="20"/>
      <c r="Q114" s="20"/>
      <c r="R114" s="20"/>
      <c r="S114" s="20"/>
      <c r="T114" s="20"/>
      <c r="U114" s="20"/>
      <c r="V114" s="20"/>
      <c r="W114" s="20"/>
      <c r="X114" s="20"/>
      <c r="Y114" s="20"/>
      <c r="Z114" s="20"/>
    </row>
    <row r="115" spans="3:26" ht="15" customHeight="1" x14ac:dyDescent="0.3">
      <c r="C115" s="20"/>
      <c r="D115" s="561">
        <v>60</v>
      </c>
      <c r="E115" s="567" t="str">
        <f ca="1">_xlfn.XLOOKUP(F115,Pareto!S:S,Pareto!T:T)</f>
        <v>Diadema</v>
      </c>
      <c r="F115" s="1651" t="str">
        <f ca="1">_xlfn.XLOOKUP(K115,Pareto!V:V,Pareto!S:S)</f>
        <v>52 - Redução de MP - GM000458Z / GM000459Z</v>
      </c>
      <c r="G115" s="1652"/>
      <c r="H115" s="567" t="str">
        <f ca="1">_xlfn.XLOOKUP(F115,Pareto!S:S,Pareto!X:X)</f>
        <v>✓ Concluído</v>
      </c>
      <c r="I115" s="567" t="str">
        <f ca="1">_xlfn.XLOOKUP('5 Unidades  +'!F115,Pareto!S:S,Pareto!Z:Z)</f>
        <v>OK</v>
      </c>
      <c r="J115" s="562">
        <f ca="1">_xlfn.XLOOKUP(F115,Pareto!S:S,Pareto!U:U)</f>
        <v>77354.64</v>
      </c>
      <c r="K115" s="562">
        <f ca="1">IFERROR(LARGE(Pareto!V:V,D115)," ")</f>
        <v>22101.325714285715</v>
      </c>
      <c r="L115" s="562">
        <f ca="1">_xlfn.XLOOKUP(F115,Pareto!S:S,Pareto!W:W)</f>
        <v>12498.573232819546</v>
      </c>
      <c r="M115" s="563">
        <f t="shared" ca="1" si="0"/>
        <v>-9602.7524814661683</v>
      </c>
      <c r="N115" s="20"/>
      <c r="O115" s="20"/>
      <c r="P115" s="20"/>
      <c r="Q115" s="20"/>
      <c r="R115" s="20"/>
      <c r="S115" s="20"/>
      <c r="T115" s="20"/>
      <c r="U115" s="20"/>
      <c r="V115" s="20"/>
      <c r="W115" s="20"/>
      <c r="X115" s="20"/>
      <c r="Y115" s="20"/>
      <c r="Z115" s="20"/>
    </row>
    <row r="116" spans="3:26" ht="15" customHeight="1" x14ac:dyDescent="0.3">
      <c r="C116" s="20"/>
      <c r="D116" s="558">
        <v>61</v>
      </c>
      <c r="E116" s="568" t="str">
        <f ca="1">_xlfn.XLOOKUP(F116,Pareto!S:S,Pareto!T:T)</f>
        <v>Diadema</v>
      </c>
      <c r="F116" s="1649" t="str">
        <f ca="1">_xlfn.XLOOKUP(K116,Pareto!V:V,Pareto!S:S)</f>
        <v>04 - Otimização de processo - Pulmão</v>
      </c>
      <c r="G116" s="1650"/>
      <c r="H116" s="566" t="str">
        <f ca="1">_xlfn.XLOOKUP(F116,Pareto!S:S,Pareto!X:X)</f>
        <v>✓ Concluído</v>
      </c>
      <c r="I116" s="566" t="str">
        <f ca="1">_xlfn.XLOOKUP('5 Unidades  +'!F116,Pareto!S:S,Pareto!Z:Z)</f>
        <v/>
      </c>
      <c r="J116" s="559">
        <f ca="1">_xlfn.XLOOKUP(F116,Pareto!S:S,Pareto!U:U)</f>
        <v>42000</v>
      </c>
      <c r="K116" s="559">
        <f ca="1">IFERROR(LARGE(Pareto!V:V,D116)," ")</f>
        <v>21000</v>
      </c>
      <c r="L116" s="559" t="str">
        <f ca="1">_xlfn.XLOOKUP(F116,Pareto!S:S,Pareto!W:W)</f>
        <v/>
      </c>
      <c r="M116" s="560">
        <f t="shared" ca="1" si="0"/>
        <v>-21000</v>
      </c>
      <c r="N116" s="20"/>
      <c r="O116" s="20"/>
      <c r="P116" s="20"/>
      <c r="Q116" s="20"/>
      <c r="R116" s="20"/>
      <c r="S116" s="20"/>
      <c r="T116" s="20"/>
      <c r="U116" s="20"/>
      <c r="V116" s="20"/>
      <c r="W116" s="20"/>
      <c r="X116" s="20"/>
      <c r="Y116" s="20"/>
      <c r="Z116" s="20"/>
    </row>
    <row r="117" spans="3:26" ht="15" customHeight="1" x14ac:dyDescent="0.3">
      <c r="C117" s="20"/>
      <c r="D117" s="561">
        <v>62</v>
      </c>
      <c r="E117" s="567" t="str">
        <f ca="1">_xlfn.XLOOKUP(F117,Pareto!S:S,Pareto!T:T)</f>
        <v>Diadema</v>
      </c>
      <c r="F117" s="1651" t="str">
        <f ca="1">_xlfn.XLOOKUP(K117,Pareto!V:V,Pareto!S:S)</f>
        <v>41 - Redução de Peso Bruto do item SV001141LA</v>
      </c>
      <c r="G117" s="1652"/>
      <c r="H117" s="567" t="str">
        <f ca="1">_xlfn.XLOOKUP(F117,Pareto!S:S,Pareto!X:X)</f>
        <v>✓ Concluído</v>
      </c>
      <c r="I117" s="567" t="str">
        <f ca="1">_xlfn.XLOOKUP('5 Unidades  +'!F117,Pareto!S:S,Pareto!Z:Z)</f>
        <v>OK</v>
      </c>
      <c r="J117" s="562">
        <f ca="1">_xlfn.XLOOKUP(F117,Pareto!S:S,Pareto!U:U)</f>
        <v>41104.57</v>
      </c>
      <c r="K117" s="562">
        <f ca="1">IFERROR(LARGE(Pareto!V:V,D117)," ")</f>
        <v>20552.285000000003</v>
      </c>
      <c r="L117" s="562">
        <f ca="1">_xlfn.XLOOKUP(F117,Pareto!S:S,Pareto!W:W)</f>
        <v>23365.017324000008</v>
      </c>
      <c r="M117" s="563">
        <f t="shared" ca="1" si="0"/>
        <v>2812.7323240000042</v>
      </c>
      <c r="N117" s="20"/>
      <c r="O117" s="20"/>
      <c r="P117" s="20"/>
      <c r="Q117" s="20"/>
      <c r="R117" s="20"/>
      <c r="S117" s="20"/>
      <c r="T117" s="20"/>
      <c r="U117" s="20"/>
      <c r="V117" s="20"/>
      <c r="W117" s="20"/>
      <c r="X117" s="20"/>
      <c r="Y117" s="20"/>
      <c r="Z117" s="20"/>
    </row>
    <row r="118" spans="3:26" ht="15" customHeight="1" x14ac:dyDescent="0.3">
      <c r="C118" s="20"/>
      <c r="D118" s="558">
        <v>63</v>
      </c>
      <c r="E118" s="568" t="str">
        <f ca="1">_xlfn.XLOOKUP(F118,Pareto!S:S,Pareto!T:T)</f>
        <v>Compras</v>
      </c>
      <c r="F118" s="1649" t="str">
        <f ca="1">_xlfn.XLOOKUP(K118,Pareto!V:V,Pareto!S:S)</f>
        <v>Negociação Porca Bollhoff 15341 Saga</v>
      </c>
      <c r="G118" s="1650"/>
      <c r="H118" s="566" t="str">
        <f ca="1">_xlfn.XLOOKUP(F118,Pareto!S:S,Pareto!X:X)</f>
        <v>✓ Concluído</v>
      </c>
      <c r="I118" s="566" t="str">
        <f ca="1">_xlfn.XLOOKUP('5 Unidades  +'!F118,Pareto!S:S,Pareto!Z:Z)</f>
        <v>OK</v>
      </c>
      <c r="J118" s="559">
        <f ca="1">_xlfn.XLOOKUP(F118,Pareto!S:S,Pareto!U:U)</f>
        <v>39383</v>
      </c>
      <c r="K118" s="559">
        <f ca="1">IFERROR(LARGE(Pareto!V:V,D118)," ")</f>
        <v>19691.5</v>
      </c>
      <c r="L118" s="559">
        <f ca="1">_xlfn.XLOOKUP(F118,Pareto!S:S,Pareto!W:W)</f>
        <v>6833.58</v>
      </c>
      <c r="M118" s="560">
        <f t="shared" ca="1" si="0"/>
        <v>-12857.92</v>
      </c>
      <c r="N118" s="20"/>
      <c r="O118" s="20"/>
      <c r="P118" s="20"/>
      <c r="Q118" s="20"/>
      <c r="R118" s="20"/>
      <c r="S118" s="20"/>
      <c r="T118" s="20"/>
      <c r="U118" s="20"/>
      <c r="V118" s="20"/>
      <c r="W118" s="20"/>
      <c r="X118" s="20"/>
      <c r="Y118" s="20"/>
      <c r="Z118" s="20"/>
    </row>
    <row r="119" spans="3:26" ht="15" customHeight="1" x14ac:dyDescent="0.3">
      <c r="C119" s="20"/>
      <c r="D119" s="561">
        <v>64</v>
      </c>
      <c r="E119" s="567" t="str">
        <f ca="1">_xlfn.XLOOKUP(F119,Pareto!S:S,Pareto!T:T)</f>
        <v>Diadema</v>
      </c>
      <c r="F119" s="1651" t="str">
        <f ca="1">_xlfn.XLOOKUP(K119,Pareto!V:V,Pareto!S:S)</f>
        <v>44 - Mudança de fonte Usiminas para Arcelor</v>
      </c>
      <c r="G119" s="1652"/>
      <c r="H119" s="567" t="str">
        <f ca="1">_xlfn.XLOOKUP(F119,Pareto!S:S,Pareto!X:X)</f>
        <v>⏳ Em Execução</v>
      </c>
      <c r="I119" s="567" t="str">
        <f ca="1">_xlfn.XLOOKUP('5 Unidades  +'!F119,Pareto!S:S,Pareto!Z:Z)</f>
        <v>OK</v>
      </c>
      <c r="J119" s="562">
        <f ca="1">_xlfn.XLOOKUP(F119,Pareto!S:S,Pareto!U:U)</f>
        <v>115018</v>
      </c>
      <c r="K119" s="562">
        <f ca="1">IFERROR(LARGE(Pareto!V:V,D119)," ")</f>
        <v>19169.666666666668</v>
      </c>
      <c r="L119" s="562">
        <f ca="1">_xlfn.XLOOKUP(F119,Pareto!S:S,Pareto!W:W)</f>
        <v>28959.052121999986</v>
      </c>
      <c r="M119" s="563">
        <f t="shared" ca="1" si="0"/>
        <v>9789.3854553333185</v>
      </c>
      <c r="N119" s="20"/>
      <c r="O119" s="20"/>
      <c r="P119" s="20"/>
      <c r="Q119" s="20"/>
      <c r="R119" s="20"/>
      <c r="S119" s="20"/>
      <c r="T119" s="20"/>
      <c r="U119" s="20"/>
      <c r="V119" s="20"/>
      <c r="W119" s="20"/>
      <c r="X119" s="20"/>
      <c r="Y119" s="20"/>
      <c r="Z119" s="20"/>
    </row>
    <row r="120" spans="3:26" ht="15" customHeight="1" x14ac:dyDescent="0.3">
      <c r="C120" s="20"/>
      <c r="D120" s="558">
        <v>65</v>
      </c>
      <c r="E120" s="568" t="str">
        <f ca="1">_xlfn.XLOOKUP(F120,Pareto!S:S,Pareto!T:T)</f>
        <v>Diadema</v>
      </c>
      <c r="F120" s="1649" t="str">
        <f ca="1">_xlfn.XLOOKUP(K120,Pareto!V:V,Pareto!S:S)</f>
        <v>21 - Kaizen_Redução de peso bruto MB003537LA_MB003538LA</v>
      </c>
      <c r="G120" s="1650"/>
      <c r="H120" s="566" t="str">
        <f ca="1">_xlfn.XLOOKUP(F120,Pareto!S:S,Pareto!X:X)</f>
        <v>✓ Concluído</v>
      </c>
      <c r="I120" s="566" t="str">
        <f ca="1">_xlfn.XLOOKUP('5 Unidades  +'!F120,Pareto!S:S,Pareto!Z:Z)</f>
        <v>OK</v>
      </c>
      <c r="J120" s="559">
        <f ca="1">_xlfn.XLOOKUP(F120,Pareto!S:S,Pareto!U:U)</f>
        <v>37365.58</v>
      </c>
      <c r="K120" s="559">
        <f ca="1">IFERROR(LARGE(Pareto!V:V,D120)," ")</f>
        <v>18682.79</v>
      </c>
      <c r="L120" s="559">
        <f ca="1">_xlfn.XLOOKUP(F120,Pareto!S:S,Pareto!W:W)</f>
        <v>18873.367845683777</v>
      </c>
      <c r="M120" s="560">
        <f t="shared" ref="M120:M183" ca="1" si="4">IF(L120="",-K120,L120-K120)</f>
        <v>190.5778456837761</v>
      </c>
      <c r="N120" s="20"/>
      <c r="O120" s="20"/>
      <c r="P120" s="20"/>
      <c r="Q120" s="20"/>
      <c r="R120" s="20"/>
      <c r="S120" s="20"/>
      <c r="T120" s="20"/>
      <c r="U120" s="20"/>
      <c r="V120" s="20"/>
      <c r="W120" s="20"/>
      <c r="X120" s="20"/>
      <c r="Y120" s="20"/>
      <c r="Z120" s="20"/>
    </row>
    <row r="121" spans="3:26" ht="15" customHeight="1" x14ac:dyDescent="0.3">
      <c r="C121" s="20"/>
      <c r="D121" s="561">
        <v>66</v>
      </c>
      <c r="E121" s="567" t="str">
        <f ca="1">_xlfn.XLOOKUP(F121,Pareto!S:S,Pareto!T:T)</f>
        <v>Diadema</v>
      </c>
      <c r="F121" s="1651" t="str">
        <f ca="1">_xlfn.XLOOKUP(K121,Pareto!V:V,Pareto!S:S)</f>
        <v>17 - MB003537LB_MB003538LB</v>
      </c>
      <c r="G121" s="1652"/>
      <c r="H121" s="567" t="str">
        <f ca="1">_xlfn.XLOOKUP(F121,Pareto!S:S,Pareto!X:X)</f>
        <v>✓ Concluído</v>
      </c>
      <c r="I121" s="567" t="str">
        <f ca="1">_xlfn.XLOOKUP('5 Unidades  +'!F121,Pareto!S:S,Pareto!Z:Z)</f>
        <v>OK</v>
      </c>
      <c r="J121" s="562">
        <f ca="1">_xlfn.XLOOKUP(F121,Pareto!S:S,Pareto!U:U)</f>
        <v>33838.06</v>
      </c>
      <c r="K121" s="562">
        <f ca="1">IFERROR(LARGE(Pareto!V:V,D121)," ")</f>
        <v>16919.03</v>
      </c>
      <c r="L121" s="562">
        <f ca="1">_xlfn.XLOOKUP(F121,Pareto!S:S,Pareto!W:W)</f>
        <v>17091.616335776573</v>
      </c>
      <c r="M121" s="563">
        <f t="shared" ca="1" si="4"/>
        <v>172.58633577657383</v>
      </c>
      <c r="N121" s="20"/>
      <c r="O121" s="20"/>
      <c r="P121" s="20"/>
      <c r="Q121" s="20"/>
      <c r="R121" s="20"/>
      <c r="S121" s="20"/>
      <c r="T121" s="20"/>
      <c r="U121" s="20"/>
      <c r="V121" s="20"/>
      <c r="W121" s="20"/>
      <c r="X121" s="20"/>
      <c r="Y121" s="20"/>
      <c r="Z121" s="20"/>
    </row>
    <row r="122" spans="3:26" ht="15" customHeight="1" x14ac:dyDescent="0.3">
      <c r="C122" s="20"/>
      <c r="D122" s="558">
        <v>67</v>
      </c>
      <c r="E122" s="568" t="str">
        <f ca="1">_xlfn.XLOOKUP(F122,Pareto!S:S,Pareto!T:T)</f>
        <v>Compras</v>
      </c>
      <c r="F122" s="1649" t="str">
        <f ca="1">_xlfn.XLOOKUP(K122,Pareto!V:V,Pareto!S:S)</f>
        <v>BID consumíveis laser</v>
      </c>
      <c r="G122" s="1650"/>
      <c r="H122" s="566" t="str">
        <f ca="1">_xlfn.XLOOKUP(F122,Pareto!S:S,Pareto!X:X)</f>
        <v>✓ Concluído</v>
      </c>
      <c r="I122" s="566" t="str">
        <f ca="1">_xlfn.XLOOKUP('5 Unidades  +'!F122,Pareto!S:S,Pareto!Z:Z)</f>
        <v/>
      </c>
      <c r="J122" s="559">
        <f ca="1">_xlfn.XLOOKUP(F122,Pareto!S:S,Pareto!U:U)</f>
        <v>33377.910000000003</v>
      </c>
      <c r="K122" s="559">
        <f ca="1">IFERROR(LARGE(Pareto!V:V,D122)," ")</f>
        <v>14834.626666666669</v>
      </c>
      <c r="L122" s="559" t="str">
        <f ca="1">_xlfn.XLOOKUP(F122,Pareto!S:S,Pareto!W:W)</f>
        <v/>
      </c>
      <c r="M122" s="560">
        <f t="shared" ca="1" si="4"/>
        <v>-14834.626666666669</v>
      </c>
      <c r="N122" s="20"/>
      <c r="O122" s="20"/>
      <c r="P122" s="20"/>
      <c r="Q122" s="20"/>
      <c r="R122" s="20"/>
      <c r="S122" s="20"/>
      <c r="T122" s="20"/>
      <c r="U122" s="20"/>
      <c r="V122" s="20"/>
      <c r="W122" s="20"/>
      <c r="X122" s="20"/>
      <c r="Y122" s="20"/>
      <c r="Z122" s="20"/>
    </row>
    <row r="123" spans="3:26" ht="15" customHeight="1" x14ac:dyDescent="0.3">
      <c r="C123" s="20"/>
      <c r="D123" s="561">
        <v>68</v>
      </c>
      <c r="E123" s="567" t="str">
        <f ca="1">_xlfn.XLOOKUP(F123,Pareto!S:S,Pareto!T:T)</f>
        <v>Anchieta</v>
      </c>
      <c r="F123" s="1651" t="str">
        <f ca="1">_xlfn.XLOOKUP(K123,Pareto!V:V,Pareto!S:S)</f>
        <v>07 - CONSUMO DE EPI e SERVIÇOS</v>
      </c>
      <c r="G123" s="1652"/>
      <c r="H123" s="567" t="str">
        <f ca="1">_xlfn.XLOOKUP(F123,Pareto!S:S,Pareto!X:X)</f>
        <v>✓ Concluído</v>
      </c>
      <c r="I123" s="567" t="str">
        <f ca="1">_xlfn.XLOOKUP('5 Unidades  +'!F123,Pareto!S:S,Pareto!Z:Z)</f>
        <v>OK</v>
      </c>
      <c r="J123" s="562">
        <f ca="1">_xlfn.XLOOKUP(F123,Pareto!S:S,Pareto!U:U)</f>
        <v>8870.9789999999994</v>
      </c>
      <c r="K123" s="562">
        <f ca="1">IFERROR(LARGE(Pareto!V:V,D123)," ")</f>
        <v>14784.965</v>
      </c>
      <c r="L123" s="562">
        <f ca="1">_xlfn.XLOOKUP(F123,Pareto!S:S,Pareto!W:W)</f>
        <v>885.12817433047076</v>
      </c>
      <c r="M123" s="563">
        <f t="shared" ca="1" si="4"/>
        <v>-13899.836825669528</v>
      </c>
      <c r="N123" s="20"/>
      <c r="O123" s="20"/>
      <c r="P123" s="20"/>
      <c r="Q123" s="20"/>
      <c r="R123" s="20"/>
      <c r="S123" s="20"/>
      <c r="T123" s="20"/>
      <c r="U123" s="20"/>
      <c r="V123" s="20"/>
      <c r="W123" s="20"/>
      <c r="X123" s="20"/>
      <c r="Y123" s="20"/>
      <c r="Z123" s="20"/>
    </row>
    <row r="124" spans="3:26" ht="15" customHeight="1" x14ac:dyDescent="0.3">
      <c r="C124" s="20"/>
      <c r="D124" s="558">
        <v>69</v>
      </c>
      <c r="E124" s="568" t="str">
        <f ca="1">_xlfn.XLOOKUP(F124,Pareto!S:S,Pareto!T:T)</f>
        <v>Diadema</v>
      </c>
      <c r="F124" s="1649" t="str">
        <f ca="1">_xlfn.XLOOKUP(K124,Pareto!V:V,Pareto!S:S)</f>
        <v>51 - Redução de MP - GM000402Z_403Z_Passo</v>
      </c>
      <c r="G124" s="1650"/>
      <c r="H124" s="566" t="str">
        <f ca="1">_xlfn.XLOOKUP(F124,Pareto!S:S,Pareto!X:X)</f>
        <v>✓ Concluído</v>
      </c>
      <c r="I124" s="566" t="str">
        <f ca="1">_xlfn.XLOOKUP('5 Unidades  +'!F124,Pareto!S:S,Pareto!Z:Z)</f>
        <v>OK</v>
      </c>
      <c r="J124" s="559">
        <f ca="1">_xlfn.XLOOKUP(F124,Pareto!S:S,Pareto!U:U)</f>
        <v>38893.96</v>
      </c>
      <c r="K124" s="559">
        <f ca="1">IFERROR(LARGE(Pareto!V:V,D124)," ")</f>
        <v>14585.235000000001</v>
      </c>
      <c r="L124" s="559">
        <f ca="1">_xlfn.XLOOKUP(F124,Pareto!S:S,Pareto!W:W)</f>
        <v>11274.224968243983</v>
      </c>
      <c r="M124" s="560">
        <f t="shared" ca="1" si="4"/>
        <v>-3311.0100317560173</v>
      </c>
      <c r="N124" s="20"/>
      <c r="O124" s="20"/>
      <c r="P124" s="20"/>
      <c r="Q124" s="20"/>
      <c r="R124" s="20"/>
      <c r="S124" s="20"/>
      <c r="T124" s="20"/>
      <c r="U124" s="20"/>
      <c r="V124" s="20"/>
      <c r="W124" s="20"/>
      <c r="X124" s="20"/>
      <c r="Y124" s="20"/>
      <c r="Z124" s="20"/>
    </row>
    <row r="125" spans="3:26" ht="15" customHeight="1" x14ac:dyDescent="0.3">
      <c r="C125" s="20"/>
      <c r="D125" s="561">
        <v>70</v>
      </c>
      <c r="E125" s="567" t="str">
        <f ca="1">_xlfn.XLOOKUP(F125,Pareto!S:S,Pareto!T:T)</f>
        <v>Compras</v>
      </c>
      <c r="F125" s="1651" t="str">
        <f ca="1">_xlfn.XLOOKUP(K125,Pareto!V:V,Pareto!S:S)</f>
        <v>Negociação TCC00690/691</v>
      </c>
      <c r="G125" s="1652"/>
      <c r="H125" s="567" t="str">
        <f ca="1">_xlfn.XLOOKUP(F125,Pareto!S:S,Pareto!X:X)</f>
        <v>✓ Concluído</v>
      </c>
      <c r="I125" s="567" t="str">
        <f ca="1">_xlfn.XLOOKUP('5 Unidades  +'!F125,Pareto!S:S,Pareto!Z:Z)</f>
        <v/>
      </c>
      <c r="J125" s="562">
        <f ca="1">_xlfn.XLOOKUP(F125,Pareto!S:S,Pareto!U:U)</f>
        <v>49053</v>
      </c>
      <c r="K125" s="562">
        <f ca="1">IFERROR(LARGE(Pareto!V:V,D125)," ")</f>
        <v>14015.142857142857</v>
      </c>
      <c r="L125" s="562" t="str">
        <f ca="1">_xlfn.XLOOKUP(F125,Pareto!S:S,Pareto!W:W)</f>
        <v/>
      </c>
      <c r="M125" s="563">
        <f t="shared" ca="1" si="4"/>
        <v>-14015.142857142857</v>
      </c>
      <c r="N125" s="20"/>
      <c r="O125" s="20"/>
      <c r="P125" s="20"/>
      <c r="Q125" s="20"/>
      <c r="R125" s="20"/>
      <c r="S125" s="20"/>
      <c r="T125" s="20"/>
      <c r="U125" s="20"/>
      <c r="V125" s="20"/>
      <c r="W125" s="20"/>
      <c r="X125" s="20"/>
      <c r="Y125" s="20"/>
      <c r="Z125" s="20"/>
    </row>
    <row r="126" spans="3:26" ht="15" customHeight="1" x14ac:dyDescent="0.3">
      <c r="C126" s="20"/>
      <c r="D126" s="558">
        <v>71</v>
      </c>
      <c r="E126" s="568" t="str">
        <f ca="1">_xlfn.XLOOKUP(F126,Pareto!S:S,Pareto!T:T)</f>
        <v>Compras</v>
      </c>
      <c r="F126" s="1649" t="str">
        <f ca="1">_xlfn.XLOOKUP(K126,Pareto!V:V,Pareto!S:S)</f>
        <v>BID complementar punções Jarinu</v>
      </c>
      <c r="G126" s="1650"/>
      <c r="H126" s="566" t="str">
        <f ca="1">_xlfn.XLOOKUP(F126,Pareto!S:S,Pareto!X:X)</f>
        <v>✓ Concluído</v>
      </c>
      <c r="I126" s="566" t="str">
        <f ca="1">_xlfn.XLOOKUP('5 Unidades  +'!F126,Pareto!S:S,Pareto!Z:Z)</f>
        <v>OK</v>
      </c>
      <c r="J126" s="559">
        <f ca="1">_xlfn.XLOOKUP(F126,Pareto!S:S,Pareto!U:U)</f>
        <v>25580.329999999998</v>
      </c>
      <c r="K126" s="559">
        <f ca="1">IFERROR(LARGE(Pareto!V:V,D126)," ")</f>
        <v>12790.165000000001</v>
      </c>
      <c r="L126" s="559">
        <f ca="1">_xlfn.XLOOKUP(F126,Pareto!S:S,Pareto!W:W)</f>
        <v>1686.52</v>
      </c>
      <c r="M126" s="560">
        <f t="shared" ca="1" si="4"/>
        <v>-11103.645</v>
      </c>
      <c r="N126" s="20"/>
      <c r="O126" s="20"/>
      <c r="P126" s="20"/>
      <c r="Q126" s="20"/>
      <c r="R126" s="20"/>
      <c r="S126" s="20"/>
      <c r="T126" s="20"/>
      <c r="U126" s="20"/>
      <c r="V126" s="20"/>
      <c r="W126" s="20"/>
      <c r="X126" s="20"/>
      <c r="Y126" s="20"/>
      <c r="Z126" s="20"/>
    </row>
    <row r="127" spans="3:26" ht="15" customHeight="1" x14ac:dyDescent="0.3">
      <c r="C127" s="20"/>
      <c r="D127" s="561">
        <v>72</v>
      </c>
      <c r="E127" s="567" t="str">
        <f ca="1">_xlfn.XLOOKUP(F127,Pareto!S:S,Pareto!T:T)</f>
        <v>Compras</v>
      </c>
      <c r="F127" s="1651" t="str">
        <f ca="1">_xlfn.XLOOKUP(K127,Pareto!V:V,Pareto!S:S)</f>
        <v>BID tampões pintura Anchieta</v>
      </c>
      <c r="G127" s="1652"/>
      <c r="H127" s="567" t="str">
        <f ca="1">_xlfn.XLOOKUP(F127,Pareto!S:S,Pareto!X:X)</f>
        <v>✓ Concluído</v>
      </c>
      <c r="I127" s="567" t="str">
        <f ca="1">_xlfn.XLOOKUP('5 Unidades  +'!F127,Pareto!S:S,Pareto!Z:Z)</f>
        <v>OK</v>
      </c>
      <c r="J127" s="562">
        <f ca="1">_xlfn.XLOOKUP(F127,Pareto!S:S,Pareto!U:U)</f>
        <v>21098.91</v>
      </c>
      <c r="K127" s="562">
        <f ca="1">IFERROR(LARGE(Pareto!V:V,D127)," ")</f>
        <v>12307.6975</v>
      </c>
      <c r="L127" s="562">
        <f ca="1">_xlfn.XLOOKUP(F127,Pareto!S:S,Pareto!W:W)</f>
        <v>7788</v>
      </c>
      <c r="M127" s="563">
        <f t="shared" ca="1" si="4"/>
        <v>-4519.6975000000002</v>
      </c>
      <c r="N127" s="20"/>
      <c r="O127" s="20"/>
      <c r="P127" s="20"/>
      <c r="Q127" s="20"/>
      <c r="R127" s="20"/>
      <c r="S127" s="20"/>
      <c r="T127" s="20"/>
      <c r="U127" s="20"/>
      <c r="V127" s="20"/>
      <c r="W127" s="20"/>
      <c r="X127" s="20"/>
      <c r="Y127" s="20"/>
      <c r="Z127" s="20"/>
    </row>
    <row r="128" spans="3:26" ht="15" customHeight="1" x14ac:dyDescent="0.3">
      <c r="C128" s="20"/>
      <c r="D128" s="558">
        <v>73</v>
      </c>
      <c r="E128" s="568" t="str">
        <f ca="1">_xlfn.XLOOKUP(F128,Pareto!S:S,Pareto!T:T)</f>
        <v>Compras</v>
      </c>
      <c r="F128" s="1649" t="str">
        <f ca="1">_xlfn.XLOOKUP(K128,Pareto!V:V,Pareto!S:S)</f>
        <v>BID Fita Alta Temp 3M + Anti-Slip 3M</v>
      </c>
      <c r="G128" s="1650"/>
      <c r="H128" s="566" t="str">
        <f ca="1">_xlfn.XLOOKUP(F128,Pareto!S:S,Pareto!X:X)</f>
        <v>✓ Concluído</v>
      </c>
      <c r="I128" s="566" t="str">
        <f ca="1">_xlfn.XLOOKUP('5 Unidades  +'!F128,Pareto!S:S,Pareto!Z:Z)</f>
        <v/>
      </c>
      <c r="J128" s="559">
        <f ca="1">_xlfn.XLOOKUP(F128,Pareto!S:S,Pareto!U:U)</f>
        <v>24522.880000000001</v>
      </c>
      <c r="K128" s="559">
        <f ca="1">IFERROR(LARGE(Pareto!V:V,D128)," ")</f>
        <v>12261.44</v>
      </c>
      <c r="L128" s="559" t="str">
        <f ca="1">_xlfn.XLOOKUP(F128,Pareto!S:S,Pareto!W:W)</f>
        <v/>
      </c>
      <c r="M128" s="560">
        <f t="shared" ca="1" si="4"/>
        <v>-12261.44</v>
      </c>
      <c r="N128" s="20"/>
      <c r="O128" s="20"/>
      <c r="P128" s="20"/>
      <c r="Q128" s="20"/>
      <c r="R128" s="20"/>
      <c r="S128" s="20"/>
      <c r="T128" s="20"/>
      <c r="U128" s="20"/>
      <c r="V128" s="20"/>
      <c r="W128" s="20"/>
      <c r="X128" s="20"/>
      <c r="Y128" s="20"/>
      <c r="Z128" s="20"/>
    </row>
    <row r="129" spans="3:26" ht="15" customHeight="1" x14ac:dyDescent="0.3">
      <c r="C129" s="20"/>
      <c r="D129" s="561">
        <v>74</v>
      </c>
      <c r="E129" s="567" t="str">
        <f ca="1">_xlfn.XLOOKUP(F129,Pareto!S:S,Pareto!T:T)</f>
        <v>Diadema</v>
      </c>
      <c r="F129" s="1651" t="str">
        <f ca="1">_xlfn.XLOOKUP(K129,Pareto!V:V,Pareto!S:S)</f>
        <v>03 - Otimização de processo - Cavalo Marinho</v>
      </c>
      <c r="G129" s="1652"/>
      <c r="H129" s="567" t="str">
        <f ca="1">_xlfn.XLOOKUP(F129,Pareto!S:S,Pareto!X:X)</f>
        <v>✓ Concluído</v>
      </c>
      <c r="I129" s="567" t="str">
        <f ca="1">_xlfn.XLOOKUP('5 Unidades  +'!F129,Pareto!S:S,Pareto!Z:Z)</f>
        <v/>
      </c>
      <c r="J129" s="562">
        <f ca="1">_xlfn.XLOOKUP(F129,Pareto!S:S,Pareto!U:U)</f>
        <v>24000.000900000003</v>
      </c>
      <c r="K129" s="562">
        <f ca="1">IFERROR(LARGE(Pareto!V:V,D129)," ")</f>
        <v>12000.00045</v>
      </c>
      <c r="L129" s="562" t="str">
        <f ca="1">_xlfn.XLOOKUP(F129,Pareto!S:S,Pareto!W:W)</f>
        <v/>
      </c>
      <c r="M129" s="563">
        <f t="shared" ca="1" si="4"/>
        <v>-12000.00045</v>
      </c>
      <c r="N129" s="20"/>
      <c r="O129" s="20"/>
      <c r="P129" s="20"/>
      <c r="Q129" s="20"/>
      <c r="R129" s="20"/>
      <c r="S129" s="20"/>
      <c r="T129" s="20"/>
      <c r="U129" s="20"/>
      <c r="V129" s="20"/>
      <c r="W129" s="20"/>
      <c r="X129" s="20"/>
      <c r="Y129" s="20"/>
      <c r="Z129" s="20"/>
    </row>
    <row r="130" spans="3:26" ht="15" customHeight="1" x14ac:dyDescent="0.3">
      <c r="C130" s="20"/>
      <c r="D130" s="558">
        <v>75</v>
      </c>
      <c r="E130" s="568" t="str">
        <f ca="1">_xlfn.XLOOKUP(F130,Pareto!S:S,Pareto!T:T)</f>
        <v>Diadema</v>
      </c>
      <c r="F130" s="1649" t="str">
        <f ca="1">_xlfn.XLOOKUP(K130,Pareto!V:V,Pareto!S:S)</f>
        <v>27 - DA000459AA - STC Volvo_</v>
      </c>
      <c r="G130" s="1650"/>
      <c r="H130" s="566" t="str">
        <f ca="1">_xlfn.XLOOKUP(F130,Pareto!S:S,Pareto!X:X)</f>
        <v>✓ Concluído</v>
      </c>
      <c r="I130" s="566" t="str">
        <f ca="1">_xlfn.XLOOKUP('5 Unidades  +'!F130,Pareto!S:S,Pareto!Z:Z)</f>
        <v>OK</v>
      </c>
      <c r="J130" s="559">
        <f ca="1">_xlfn.XLOOKUP(F130,Pareto!S:S,Pareto!U:U)</f>
        <v>41632.629999999997</v>
      </c>
      <c r="K130" s="559">
        <f ca="1">IFERROR(LARGE(Pareto!V:V,D130)," ")</f>
        <v>11895.037142857142</v>
      </c>
      <c r="L130" s="559">
        <f ca="1">_xlfn.XLOOKUP(F130,Pareto!S:S,Pareto!W:W)</f>
        <v>11219.737999999988</v>
      </c>
      <c r="M130" s="560">
        <f t="shared" ca="1" si="4"/>
        <v>-675.29914285715313</v>
      </c>
      <c r="N130" s="20"/>
      <c r="O130" s="20"/>
      <c r="P130" s="20"/>
      <c r="Q130" s="20"/>
      <c r="R130" s="20"/>
      <c r="S130" s="20"/>
      <c r="T130" s="20"/>
      <c r="U130" s="20"/>
      <c r="V130" s="20"/>
      <c r="W130" s="20"/>
      <c r="X130" s="20"/>
      <c r="Y130" s="20"/>
      <c r="Z130" s="20"/>
    </row>
    <row r="131" spans="3:26" ht="15" customHeight="1" x14ac:dyDescent="0.3">
      <c r="C131" s="20"/>
      <c r="D131" s="561">
        <v>76</v>
      </c>
      <c r="E131" s="567" t="str">
        <f ca="1">_xlfn.XLOOKUP(F131,Pareto!S:S,Pareto!T:T)</f>
        <v>Ferraz</v>
      </c>
      <c r="F131" s="1651" t="str">
        <f ca="1">_xlfn.XLOOKUP(K131,Pareto!V:V,Pareto!S:S)</f>
        <v xml:space="preserve">23 - Devolução das máquinas de solda alugadas </v>
      </c>
      <c r="G131" s="1652"/>
      <c r="H131" s="567" t="str">
        <f ca="1">_xlfn.XLOOKUP(F131,Pareto!S:S,Pareto!X:X)</f>
        <v>✓ Concluído</v>
      </c>
      <c r="I131" s="567" t="str">
        <f ca="1">_xlfn.XLOOKUP('5 Unidades  +'!F131,Pareto!S:S,Pareto!Z:Z)</f>
        <v/>
      </c>
      <c r="J131" s="562">
        <f ca="1">_xlfn.XLOOKUP(F131,Pareto!S:S,Pareto!U:U)</f>
        <v>34800</v>
      </c>
      <c r="K131" s="562">
        <f ca="1">IFERROR(LARGE(Pareto!V:V,D131)," ")</f>
        <v>11600</v>
      </c>
      <c r="L131" s="562" t="str">
        <f ca="1">_xlfn.XLOOKUP(F131,Pareto!S:S,Pareto!W:W)</f>
        <v/>
      </c>
      <c r="M131" s="563">
        <f t="shared" ca="1" si="4"/>
        <v>-11600</v>
      </c>
      <c r="N131" s="20"/>
      <c r="O131" s="20"/>
      <c r="P131" s="20"/>
      <c r="Q131" s="20"/>
      <c r="R131" s="20"/>
      <c r="S131" s="20"/>
      <c r="T131" s="20"/>
      <c r="U131" s="20"/>
      <c r="V131" s="20"/>
      <c r="W131" s="20"/>
      <c r="X131" s="20"/>
      <c r="Y131" s="20"/>
      <c r="Z131" s="20"/>
    </row>
    <row r="132" spans="3:26" ht="15" customHeight="1" x14ac:dyDescent="0.3">
      <c r="C132" s="20"/>
      <c r="D132" s="558">
        <v>77</v>
      </c>
      <c r="E132" s="568" t="str">
        <f ca="1">_xlfn.XLOOKUP(F132,Pareto!S:S,Pareto!T:T)</f>
        <v>Anchieta</v>
      </c>
      <c r="F132" s="1649" t="str">
        <f ca="1">_xlfn.XLOOKUP(K132,Pareto!V:V,Pareto!S:S)</f>
        <v>08- ÁGUA</v>
      </c>
      <c r="G132" s="1650"/>
      <c r="H132" s="566" t="str">
        <f ca="1">_xlfn.XLOOKUP(F132,Pareto!S:S,Pareto!X:X)</f>
        <v>⏳ Em Execução</v>
      </c>
      <c r="I132" s="566" t="str">
        <f ca="1">_xlfn.XLOOKUP('5 Unidades  +'!F132,Pareto!S:S,Pareto!Z:Z)</f>
        <v/>
      </c>
      <c r="J132" s="559">
        <f ca="1">_xlfn.XLOOKUP(F132,Pareto!S:S,Pareto!U:U)</f>
        <v>8333.3333333333339</v>
      </c>
      <c r="K132" s="559">
        <f ca="1">IFERROR(LARGE(Pareto!V:V,D132)," ")</f>
        <v>11111.111111111111</v>
      </c>
      <c r="L132" s="559" t="str">
        <f ca="1">_xlfn.XLOOKUP(F132,Pareto!S:S,Pareto!W:W)</f>
        <v/>
      </c>
      <c r="M132" s="560">
        <f t="shared" ca="1" si="4"/>
        <v>-11111.111111111111</v>
      </c>
      <c r="N132" s="20"/>
      <c r="O132" s="20"/>
      <c r="P132" s="20"/>
      <c r="Q132" s="20"/>
      <c r="R132" s="20"/>
      <c r="S132" s="20"/>
      <c r="T132" s="20"/>
      <c r="U132" s="20"/>
      <c r="V132" s="20"/>
      <c r="W132" s="20"/>
      <c r="X132" s="20"/>
      <c r="Y132" s="20"/>
      <c r="Z132" s="20"/>
    </row>
    <row r="133" spans="3:26" ht="15" customHeight="1" x14ac:dyDescent="0.3">
      <c r="C133" s="20"/>
      <c r="D133" s="561">
        <v>78</v>
      </c>
      <c r="E133" s="567" t="str">
        <f ca="1">_xlfn.XLOOKUP(F133,Pareto!S:S,Pareto!T:T)</f>
        <v>Anchieta</v>
      </c>
      <c r="F133" s="1651" t="str">
        <f ca="1">_xlfn.XLOOKUP(K133,Pareto!V:V,Pareto!S:S)</f>
        <v>08- ÁGUA</v>
      </c>
      <c r="G133" s="1652"/>
      <c r="H133" s="567" t="str">
        <f ca="1">_xlfn.XLOOKUP(F133,Pareto!S:S,Pareto!X:X)</f>
        <v>⏳ Em Execução</v>
      </c>
      <c r="I133" s="567" t="str">
        <f ca="1">_xlfn.XLOOKUP('5 Unidades  +'!F133,Pareto!S:S,Pareto!Z:Z)</f>
        <v/>
      </c>
      <c r="J133" s="562">
        <f ca="1">_xlfn.XLOOKUP(F133,Pareto!S:S,Pareto!U:U)</f>
        <v>8333.3333333333339</v>
      </c>
      <c r="K133" s="562">
        <f ca="1">IFERROR(LARGE(Pareto!V:V,D133)," ")</f>
        <v>11111.111111111111</v>
      </c>
      <c r="L133" s="562" t="str">
        <f ca="1">_xlfn.XLOOKUP(F133,Pareto!S:S,Pareto!W:W)</f>
        <v/>
      </c>
      <c r="M133" s="563">
        <f t="shared" ca="1" si="4"/>
        <v>-11111.111111111111</v>
      </c>
      <c r="N133" s="20"/>
      <c r="O133" s="20"/>
      <c r="P133" s="20"/>
      <c r="Q133" s="20"/>
      <c r="R133" s="20"/>
      <c r="S133" s="20"/>
      <c r="T133" s="20"/>
      <c r="U133" s="20"/>
      <c r="V133" s="20"/>
      <c r="W133" s="20"/>
      <c r="X133" s="20"/>
      <c r="Y133" s="20"/>
      <c r="Z133" s="20"/>
    </row>
    <row r="134" spans="3:26" ht="15" customHeight="1" x14ac:dyDescent="0.3">
      <c r="C134" s="20"/>
      <c r="D134" s="558">
        <v>79</v>
      </c>
      <c r="E134" s="568" t="str">
        <f ca="1">_xlfn.XLOOKUP(F134,Pareto!S:S,Pareto!T:T)</f>
        <v>Diadema</v>
      </c>
      <c r="F134" s="1649" t="str">
        <f ca="1">_xlfn.XLOOKUP(K134,Pareto!V:V,Pareto!S:S)</f>
        <v>24 - KAIZEN - Redução de peso bruto_MB002289LA_MB002290LA_Rev00_Bruno Manachini</v>
      </c>
      <c r="G134" s="1650"/>
      <c r="H134" s="566" t="str">
        <f ca="1">_xlfn.XLOOKUP(F134,Pareto!S:S,Pareto!X:X)</f>
        <v>✓ Concluído</v>
      </c>
      <c r="I134" s="566" t="str">
        <f ca="1">_xlfn.XLOOKUP('5 Unidades  +'!F134,Pareto!S:S,Pareto!Z:Z)</f>
        <v>OK</v>
      </c>
      <c r="J134" s="559">
        <f ca="1">_xlfn.XLOOKUP(F134,Pareto!S:S,Pareto!U:U)</f>
        <v>29532.29</v>
      </c>
      <c r="K134" s="559">
        <f ca="1">IFERROR(LARGE(Pareto!V:V,D134)," ")</f>
        <v>11074.608749999999</v>
      </c>
      <c r="L134" s="559">
        <f ca="1">_xlfn.XLOOKUP(F134,Pareto!S:S,Pareto!W:W)</f>
        <v>9809.1508793681278</v>
      </c>
      <c r="M134" s="560">
        <f t="shared" ca="1" si="4"/>
        <v>-1265.4578706318716</v>
      </c>
      <c r="N134" s="20"/>
      <c r="O134" s="20"/>
      <c r="P134" s="20"/>
      <c r="Q134" s="20"/>
      <c r="R134" s="20"/>
      <c r="S134" s="20"/>
      <c r="T134" s="20"/>
      <c r="U134" s="20"/>
      <c r="V134" s="20"/>
      <c r="W134" s="20"/>
      <c r="X134" s="20"/>
      <c r="Y134" s="20"/>
      <c r="Z134" s="20"/>
    </row>
    <row r="135" spans="3:26" ht="15" hidden="1" customHeight="1" x14ac:dyDescent="0.3">
      <c r="C135" s="20"/>
      <c r="D135" s="561">
        <v>80</v>
      </c>
      <c r="E135" s="567" t="str">
        <f ca="1">_xlfn.XLOOKUP(F135,Pareto!S:S,Pareto!T:T)</f>
        <v>Diadema</v>
      </c>
      <c r="F135" s="1651" t="str">
        <f ca="1">_xlfn.XLOOKUP(K135,Pareto!V:V,Pareto!S:S)</f>
        <v>35 - Redução de Peso Bruto do item MB003597LA</v>
      </c>
      <c r="G135" s="1652"/>
      <c r="H135" s="567" t="str">
        <f ca="1">_xlfn.XLOOKUP(F135,Pareto!S:S,Pareto!X:X)</f>
        <v>✓ Concluído</v>
      </c>
      <c r="I135" s="567" t="str">
        <f ca="1">_xlfn.XLOOKUP('5 Unidades  +'!F135,Pareto!S:S,Pareto!Z:Z)</f>
        <v>OK</v>
      </c>
      <c r="J135" s="562">
        <f ca="1">_xlfn.XLOOKUP(F135,Pareto!S:S,Pareto!U:U)</f>
        <v>14341.050000000001</v>
      </c>
      <c r="K135" s="562">
        <f ca="1">IFERROR(LARGE(Pareto!V:V,D135)," ")</f>
        <v>7170.5249999999996</v>
      </c>
      <c r="L135" s="562">
        <f ca="1">_xlfn.XLOOKUP(F135,Pareto!S:S,Pareto!W:W)</f>
        <v>6770.261755117438</v>
      </c>
      <c r="M135" s="563">
        <f t="shared" ca="1" si="4"/>
        <v>-400.26324488256159</v>
      </c>
      <c r="N135" s="20"/>
      <c r="O135" s="20"/>
      <c r="P135" s="20"/>
      <c r="Q135" s="20"/>
      <c r="R135" s="20"/>
      <c r="S135" s="20"/>
      <c r="T135" s="20"/>
      <c r="U135" s="20"/>
      <c r="V135" s="20"/>
      <c r="W135" s="20"/>
      <c r="X135" s="20"/>
      <c r="Y135" s="20"/>
      <c r="Z135" s="20"/>
    </row>
    <row r="136" spans="3:26" ht="15" customHeight="1" x14ac:dyDescent="0.3">
      <c r="C136" s="20"/>
      <c r="D136" s="558">
        <v>81</v>
      </c>
      <c r="E136" s="568" t="str">
        <f ca="1">_xlfn.XLOOKUP(F136,Pareto!S:S,Pareto!T:T)</f>
        <v>Jarinu</v>
      </c>
      <c r="F136" s="1649" t="str">
        <f ca="1">_xlfn.XLOOKUP(K136,Pareto!V:V,Pareto!S:S)</f>
        <v>23 - Redução do consumo de MTP VW000938AB (- 3 mm no passo)</v>
      </c>
      <c r="G136" s="1650"/>
      <c r="H136" s="566" t="str">
        <f ca="1">_xlfn.XLOOKUP(F136,Pareto!S:S,Pareto!X:X)</f>
        <v>✓ Concluído</v>
      </c>
      <c r="I136" s="566" t="str">
        <f ca="1">_xlfn.XLOOKUP('5 Unidades  +'!F136,Pareto!S:S,Pareto!Z:Z)</f>
        <v>OK</v>
      </c>
      <c r="J136" s="559">
        <f ca="1">_xlfn.XLOOKUP(F136,Pareto!S:S,Pareto!U:U)</f>
        <v>5296.5169999999998</v>
      </c>
      <c r="K136" s="559">
        <f ca="1">IFERROR(LARGE(Pareto!V:V,D136)," ")</f>
        <v>7062.0226666666667</v>
      </c>
      <c r="L136" s="559">
        <f ca="1">_xlfn.XLOOKUP(F136,Pareto!S:S,Pareto!W:W)</f>
        <v>6254.5117253472336</v>
      </c>
      <c r="M136" s="560">
        <f t="shared" ca="1" si="4"/>
        <v>-807.51094131943319</v>
      </c>
      <c r="N136" s="20"/>
      <c r="O136" s="20"/>
      <c r="P136" s="20"/>
      <c r="Q136" s="20"/>
      <c r="R136" s="20"/>
      <c r="S136" s="20"/>
      <c r="T136" s="20"/>
      <c r="U136" s="20"/>
      <c r="V136" s="20"/>
      <c r="W136" s="20"/>
      <c r="X136" s="20"/>
      <c r="Y136" s="20"/>
      <c r="Z136" s="20"/>
    </row>
    <row r="137" spans="3:26" ht="15" customHeight="1" x14ac:dyDescent="0.3">
      <c r="C137" s="20"/>
      <c r="D137" s="561">
        <v>82</v>
      </c>
      <c r="E137" s="567" t="str">
        <f ca="1">_xlfn.XLOOKUP(F137,Pareto!S:S,Pareto!T:T)</f>
        <v>Anchieta</v>
      </c>
      <c r="F137" s="1651" t="str">
        <f ca="1">_xlfn.XLOOKUP(K137,Pareto!V:V,Pareto!S:S)</f>
        <v>10 - CONSUMO PERNA DE MOÇA</v>
      </c>
      <c r="G137" s="1652"/>
      <c r="H137" s="567" t="str">
        <f ca="1">_xlfn.XLOOKUP(F137,Pareto!S:S,Pareto!X:X)</f>
        <v>⏳ Em Execução</v>
      </c>
      <c r="I137" s="567" t="str">
        <f ca="1">_xlfn.XLOOKUP('5 Unidades  +'!F137,Pareto!S:S,Pareto!Z:Z)</f>
        <v>OK</v>
      </c>
      <c r="J137" s="562">
        <f ca="1">_xlfn.XLOOKUP(F137,Pareto!S:S,Pareto!U:U)</f>
        <v>5000</v>
      </c>
      <c r="K137" s="562">
        <f ca="1">IFERROR(LARGE(Pareto!V:V,D137)," ")</f>
        <v>6666.666666666667</v>
      </c>
      <c r="L137" s="562">
        <f ca="1">_xlfn.XLOOKUP(F137,Pareto!S:S,Pareto!W:W)</f>
        <v>42066.009999999995</v>
      </c>
      <c r="M137" s="563">
        <f t="shared" ca="1" si="4"/>
        <v>35399.343333333331</v>
      </c>
      <c r="N137" s="20"/>
      <c r="O137" s="20"/>
      <c r="P137" s="20"/>
      <c r="Q137" s="20"/>
      <c r="R137" s="20"/>
      <c r="S137" s="20"/>
      <c r="T137" s="20"/>
      <c r="U137" s="20"/>
      <c r="V137" s="20"/>
      <c r="W137" s="20"/>
      <c r="X137" s="20"/>
      <c r="Y137" s="20"/>
      <c r="Z137" s="20"/>
    </row>
    <row r="138" spans="3:26" ht="15" hidden="1" customHeight="1" x14ac:dyDescent="0.3">
      <c r="C138" s="20"/>
      <c r="D138" s="558">
        <v>83</v>
      </c>
      <c r="E138" s="568" t="str">
        <f ca="1">_xlfn.XLOOKUP(F138,Pareto!S:S,Pareto!T:T)</f>
        <v>Diadema</v>
      </c>
      <c r="F138" s="1649" t="str">
        <f ca="1">_xlfn.XLOOKUP(K138,Pareto!V:V,Pareto!S:S)</f>
        <v>25 - KAIZEN - Redução de peso bruto_MB003601LA_Rev00_Bruno Manachini</v>
      </c>
      <c r="G138" s="1650"/>
      <c r="H138" s="566" t="str">
        <f ca="1">_xlfn.XLOOKUP(F138,Pareto!S:S,Pareto!X:X)</f>
        <v>✓ Concluído</v>
      </c>
      <c r="I138" s="566" t="str">
        <f ca="1">_xlfn.XLOOKUP('5 Unidades  +'!F138,Pareto!S:S,Pareto!Z:Z)</f>
        <v>OK</v>
      </c>
      <c r="J138" s="559">
        <f ca="1">_xlfn.XLOOKUP(F138,Pareto!S:S,Pareto!U:U)</f>
        <v>17427.61</v>
      </c>
      <c r="K138" s="559">
        <f ca="1">IFERROR(LARGE(Pareto!V:V,D138)," ")</f>
        <v>6535.3537500000002</v>
      </c>
      <c r="L138" s="559">
        <f ca="1">_xlfn.XLOOKUP(F138,Pareto!S:S,Pareto!W:W)</f>
        <v>6011.0914499999808</v>
      </c>
      <c r="M138" s="560">
        <f t="shared" ca="1" si="4"/>
        <v>-524.26230000001942</v>
      </c>
      <c r="N138" s="20"/>
      <c r="O138" s="20"/>
      <c r="P138" s="20"/>
      <c r="Q138" s="20"/>
      <c r="R138" s="20"/>
      <c r="S138" s="20"/>
      <c r="T138" s="20"/>
      <c r="U138" s="20"/>
      <c r="V138" s="20"/>
      <c r="W138" s="20"/>
      <c r="X138" s="20"/>
      <c r="Y138" s="20"/>
      <c r="Z138" s="20"/>
    </row>
    <row r="139" spans="3:26" ht="15" customHeight="1" x14ac:dyDescent="0.3">
      <c r="C139" s="20"/>
      <c r="D139" s="561">
        <v>84</v>
      </c>
      <c r="E139" s="567" t="str">
        <f ca="1">_xlfn.XLOOKUP(F139,Pareto!S:S,Pareto!T:T)</f>
        <v>Diadema</v>
      </c>
      <c r="F139" s="1651" t="str">
        <f ca="1">_xlfn.XLOOKUP(K139,Pareto!V:V,Pareto!S:S)</f>
        <v xml:space="preserve"> 07 - Consumo de água</v>
      </c>
      <c r="G139" s="1652"/>
      <c r="H139" s="567" t="str">
        <f ca="1">_xlfn.XLOOKUP(F139,Pareto!S:S,Pareto!X:X)</f>
        <v>✓ Concluído</v>
      </c>
      <c r="I139" s="567" t="str">
        <f ca="1">_xlfn.XLOOKUP('5 Unidades  +'!F139,Pareto!S:S,Pareto!Z:Z)</f>
        <v/>
      </c>
      <c r="J139" s="562">
        <f ca="1">_xlfn.XLOOKUP(F139,Pareto!S:S,Pareto!U:U)</f>
        <v>16500</v>
      </c>
      <c r="K139" s="562">
        <f ca="1">IFERROR(LARGE(Pareto!V:V,D139)," ")</f>
        <v>6187.5</v>
      </c>
      <c r="L139" s="562" t="str">
        <f ca="1">_xlfn.XLOOKUP(F139,Pareto!S:S,Pareto!W:W)</f>
        <v/>
      </c>
      <c r="M139" s="563">
        <f t="shared" ca="1" si="4"/>
        <v>-6187.5</v>
      </c>
      <c r="N139" s="20"/>
      <c r="O139" s="20"/>
      <c r="P139" s="20"/>
      <c r="Q139" s="20"/>
      <c r="R139" s="20"/>
      <c r="S139" s="20"/>
      <c r="T139" s="20"/>
      <c r="U139" s="20"/>
      <c r="V139" s="20"/>
      <c r="W139" s="20"/>
      <c r="X139" s="20"/>
      <c r="Y139" s="20"/>
      <c r="Z139" s="20"/>
    </row>
    <row r="140" spans="3:26" ht="15" customHeight="1" x14ac:dyDescent="0.3">
      <c r="C140" s="20"/>
      <c r="D140" s="558">
        <v>85</v>
      </c>
      <c r="E140" s="568" t="str">
        <f ca="1">_xlfn.XLOOKUP(F140,Pareto!S:S,Pareto!T:T)</f>
        <v>Diadema</v>
      </c>
      <c r="F140" s="1649" t="str">
        <f ca="1">_xlfn.XLOOKUP(K140,Pareto!V:V,Pareto!S:S)</f>
        <v>33 - Redução de Peso Bruto do item MB003610LA</v>
      </c>
      <c r="G140" s="1650"/>
      <c r="H140" s="566" t="str">
        <f ca="1">_xlfn.XLOOKUP(F140,Pareto!S:S,Pareto!X:X)</f>
        <v>✓ Concluído</v>
      </c>
      <c r="I140" s="566" t="str">
        <f ca="1">_xlfn.XLOOKUP('5 Unidades  +'!F140,Pareto!S:S,Pareto!Z:Z)</f>
        <v>OK</v>
      </c>
      <c r="J140" s="559">
        <f ca="1">_xlfn.XLOOKUP(F140,Pareto!S:S,Pareto!U:U)</f>
        <v>11223.44</v>
      </c>
      <c r="K140" s="559">
        <f ca="1">IFERROR(LARGE(Pareto!V:V,D140)," ")</f>
        <v>5611.72</v>
      </c>
      <c r="L140" s="559">
        <f ca="1">_xlfn.XLOOKUP(F140,Pareto!S:S,Pareto!W:W)</f>
        <v>5323.1352569422743</v>
      </c>
      <c r="M140" s="560">
        <f t="shared" ca="1" si="4"/>
        <v>-288.58474305772597</v>
      </c>
      <c r="N140" s="20"/>
      <c r="O140" s="20"/>
      <c r="P140" s="20"/>
      <c r="Q140" s="20"/>
      <c r="R140" s="20"/>
      <c r="S140" s="20"/>
      <c r="T140" s="20"/>
      <c r="U140" s="20"/>
      <c r="V140" s="20"/>
      <c r="W140" s="20"/>
      <c r="X140" s="20"/>
      <c r="Y140" s="20"/>
      <c r="Z140" s="20"/>
    </row>
    <row r="141" spans="3:26" ht="15" customHeight="1" x14ac:dyDescent="0.3">
      <c r="C141" s="20"/>
      <c r="D141" s="561">
        <v>86</v>
      </c>
      <c r="E141" s="567" t="str">
        <f ca="1">_xlfn.XLOOKUP(F141,Pareto!S:S,Pareto!T:T)</f>
        <v>Ferraz</v>
      </c>
      <c r="F141" s="1651" t="str">
        <f ca="1">_xlfn.XLOOKUP(K141,Pareto!V:V,Pareto!S:S)</f>
        <v>20 - Limpador de grelha</v>
      </c>
      <c r="G141" s="1652"/>
      <c r="H141" s="567" t="str">
        <f ca="1">_xlfn.XLOOKUP(F141,Pareto!S:S,Pareto!X:X)</f>
        <v>✓ Concluído</v>
      </c>
      <c r="I141" s="567" t="str">
        <f ca="1">_xlfn.XLOOKUP('5 Unidades  +'!F141,Pareto!S:S,Pareto!Z:Z)</f>
        <v>OK</v>
      </c>
      <c r="J141" s="562">
        <f ca="1">_xlfn.XLOOKUP(F141,Pareto!S:S,Pareto!U:U)</f>
        <v>16512.86</v>
      </c>
      <c r="K141" s="562">
        <f ca="1">IFERROR(LARGE(Pareto!V:V,D141)," ")</f>
        <v>5504.2866666666669</v>
      </c>
      <c r="L141" s="562" t="str">
        <f ca="1">_xlfn.XLOOKUP(F141,Pareto!S:S,Pareto!W:W)</f>
        <v/>
      </c>
      <c r="M141" s="563">
        <f t="shared" ca="1" si="4"/>
        <v>-5504.2866666666669</v>
      </c>
      <c r="N141" s="20"/>
      <c r="O141" s="20"/>
      <c r="P141" s="20"/>
      <c r="Q141" s="20"/>
      <c r="R141" s="20"/>
      <c r="S141" s="20"/>
      <c r="T141" s="20"/>
      <c r="U141" s="20"/>
      <c r="V141" s="20"/>
      <c r="W141" s="20"/>
      <c r="X141" s="20"/>
      <c r="Y141" s="20"/>
      <c r="Z141" s="20"/>
    </row>
    <row r="142" spans="3:26" ht="15" customHeight="1" x14ac:dyDescent="0.3">
      <c r="C142" s="20"/>
      <c r="D142" s="558">
        <v>87</v>
      </c>
      <c r="E142" s="568" t="str">
        <f ca="1">_xlfn.XLOOKUP(F142,Pareto!S:S,Pareto!T:T)</f>
        <v>Diadema</v>
      </c>
      <c r="F142" s="1649" t="str">
        <f ca="1">_xlfn.XLOOKUP(K142,Pareto!V:V,Pareto!S:S)</f>
        <v>08 - Redução de peso bruto MB002446LA / MB003670LA / MB003671LA</v>
      </c>
      <c r="G142" s="1650"/>
      <c r="H142" s="566" t="str">
        <f ca="1">_xlfn.XLOOKUP(F142,Pareto!S:S,Pareto!X:X)</f>
        <v>✓ Concluído</v>
      </c>
      <c r="I142" s="566" t="str">
        <f ca="1">_xlfn.XLOOKUP('5 Unidades  +'!F142,Pareto!S:S,Pareto!Z:Z)</f>
        <v>OK</v>
      </c>
      <c r="J142" s="559">
        <f ca="1">_xlfn.XLOOKUP(F142,Pareto!S:S,Pareto!U:U)</f>
        <v>13137.64</v>
      </c>
      <c r="K142" s="559">
        <f ca="1">IFERROR(LARGE(Pareto!V:V,D142)," ")</f>
        <v>4926.6149999999998</v>
      </c>
      <c r="L142" s="559">
        <f ca="1">_xlfn.XLOOKUP(F142,Pareto!S:S,Pareto!W:W)</f>
        <v>11080.218600000006</v>
      </c>
      <c r="M142" s="560">
        <f t="shared" ca="1" si="4"/>
        <v>6153.6036000000058</v>
      </c>
      <c r="N142" s="20"/>
      <c r="O142" s="20"/>
      <c r="P142" s="20"/>
      <c r="Q142" s="20"/>
      <c r="R142" s="20"/>
      <c r="S142" s="20"/>
      <c r="T142" s="20"/>
      <c r="U142" s="20"/>
      <c r="V142" s="20"/>
      <c r="W142" s="20"/>
      <c r="X142" s="20"/>
      <c r="Y142" s="20"/>
      <c r="Z142" s="20"/>
    </row>
    <row r="143" spans="3:26" ht="15" customHeight="1" x14ac:dyDescent="0.3">
      <c r="C143" s="20"/>
      <c r="D143" s="561">
        <v>88</v>
      </c>
      <c r="E143" s="567" t="str">
        <f ca="1">_xlfn.XLOOKUP(F143,Pareto!S:S,Pareto!T:T)</f>
        <v>Jarinu</v>
      </c>
      <c r="F143" s="1651" t="str">
        <f ca="1">_xlfn.XLOOKUP(K143,Pareto!V:V,Pareto!S:S)</f>
        <v>14 - Redução de consumo no passo do blank dos itens VW000950AA/951AA</v>
      </c>
      <c r="G143" s="1652"/>
      <c r="H143" s="567" t="str">
        <f ca="1">_xlfn.XLOOKUP(F143,Pareto!S:S,Pareto!X:X)</f>
        <v>✓ Concluído</v>
      </c>
      <c r="I143" s="567" t="str">
        <f ca="1">_xlfn.XLOOKUP('5 Unidades  +'!F143,Pareto!S:S,Pareto!Z:Z)</f>
        <v>OK</v>
      </c>
      <c r="J143" s="562">
        <f ca="1">_xlfn.XLOOKUP(F143,Pareto!S:S,Pareto!U:U)</f>
        <v>12830.805</v>
      </c>
      <c r="K143" s="562">
        <f ca="1">IFERROR(LARGE(Pareto!V:V,D143)," ")</f>
        <v>4276.9350000000004</v>
      </c>
      <c r="L143" s="562">
        <f ca="1">_xlfn.XLOOKUP(F143,Pareto!S:S,Pareto!W:W)</f>
        <v>4110.9371626224101</v>
      </c>
      <c r="M143" s="563">
        <f t="shared" ca="1" si="4"/>
        <v>-165.99783737759026</v>
      </c>
      <c r="N143" s="20"/>
      <c r="O143" s="20"/>
      <c r="P143" s="20"/>
      <c r="Q143" s="20"/>
      <c r="R143" s="20"/>
      <c r="S143" s="20"/>
      <c r="T143" s="20"/>
      <c r="U143" s="20"/>
      <c r="V143" s="20"/>
      <c r="W143" s="20"/>
      <c r="X143" s="20"/>
      <c r="Y143" s="20"/>
      <c r="Z143" s="20"/>
    </row>
    <row r="144" spans="3:26" ht="15" hidden="1" customHeight="1" x14ac:dyDescent="0.3">
      <c r="C144" s="20"/>
      <c r="D144" s="558">
        <v>89</v>
      </c>
      <c r="E144" s="568" t="str">
        <f ca="1">_xlfn.XLOOKUP(F144,Pareto!S:S,Pareto!T:T)</f>
        <v>Diadema</v>
      </c>
      <c r="F144" s="1649" t="str">
        <f ca="1">_xlfn.XLOOKUP(K144,Pareto!V:V,Pareto!S:S)</f>
        <v>56 -Redução de Peso Bruto do item SV001141LA / SV001142LA</v>
      </c>
      <c r="G144" s="1650"/>
      <c r="H144" s="566" t="str">
        <f ca="1">_xlfn.XLOOKUP(F144,Pareto!S:S,Pareto!X:X)</f>
        <v>✓ Concluído</v>
      </c>
      <c r="I144" s="566" t="str">
        <f ca="1">_xlfn.XLOOKUP('5 Unidades  +'!F144,Pareto!S:S,Pareto!Z:Z)</f>
        <v>OK</v>
      </c>
      <c r="J144" s="559">
        <f ca="1">_xlfn.XLOOKUP(F144,Pareto!S:S,Pareto!U:U)</f>
        <v>24530.27</v>
      </c>
      <c r="K144" s="559">
        <f ca="1">IFERROR(LARGE(Pareto!V:V,D144)," ")</f>
        <v>4088.3783333333336</v>
      </c>
      <c r="L144" s="559">
        <f ca="1">_xlfn.XLOOKUP(F144,Pareto!S:S,Pareto!W:W)</f>
        <v>3614.0313599999999</v>
      </c>
      <c r="M144" s="560">
        <f t="shared" ca="1" si="4"/>
        <v>-474.34697333333361</v>
      </c>
      <c r="N144" s="20"/>
      <c r="O144" s="20"/>
      <c r="P144" s="20"/>
      <c r="Q144" s="20"/>
      <c r="R144" s="20"/>
      <c r="S144" s="20"/>
      <c r="T144" s="20"/>
      <c r="U144" s="20"/>
      <c r="V144" s="20"/>
      <c r="W144" s="20"/>
      <c r="X144" s="20"/>
      <c r="Y144" s="20"/>
      <c r="Z144" s="20"/>
    </row>
    <row r="145" spans="3:26" ht="15" hidden="1" customHeight="1" x14ac:dyDescent="0.3">
      <c r="C145" s="20"/>
      <c r="D145" s="561">
        <v>90</v>
      </c>
      <c r="E145" s="567" t="str">
        <f ca="1">_xlfn.XLOOKUP(F145,Pareto!S:S,Pareto!T:T)</f>
        <v>Diadema</v>
      </c>
      <c r="F145" s="1651" t="str">
        <f ca="1">_xlfn.XLOOKUP(K145,Pareto!V:V,Pareto!S:S)</f>
        <v>15 - Kaizem - Botões BI - MANUAL</v>
      </c>
      <c r="G145" s="1652"/>
      <c r="H145" s="567" t="str">
        <f ca="1">_xlfn.XLOOKUP(F145,Pareto!S:S,Pareto!X:X)</f>
        <v>✓ Concluído</v>
      </c>
      <c r="I145" s="567" t="str">
        <f ca="1">_xlfn.XLOOKUP('5 Unidades  +'!F145,Pareto!S:S,Pareto!Z:Z)</f>
        <v>OK</v>
      </c>
      <c r="J145" s="562">
        <f ca="1">_xlfn.XLOOKUP(F145,Pareto!S:S,Pareto!U:U)</f>
        <v>0</v>
      </c>
      <c r="K145" s="562">
        <f ca="1">IFERROR(LARGE(Pareto!V:V,D145)," ")</f>
        <v>3656.94</v>
      </c>
      <c r="L145" s="562">
        <f ca="1">_xlfn.XLOOKUP(F145,Pareto!S:S,Pareto!W:W)</f>
        <v>0</v>
      </c>
      <c r="M145" s="563">
        <f t="shared" ca="1" si="4"/>
        <v>-3656.94</v>
      </c>
      <c r="N145" s="20"/>
      <c r="O145" s="20"/>
      <c r="P145" s="20"/>
      <c r="Q145" s="20"/>
      <c r="R145" s="20"/>
      <c r="S145" s="20"/>
      <c r="T145" s="20"/>
      <c r="U145" s="20"/>
      <c r="V145" s="20"/>
      <c r="W145" s="20"/>
      <c r="X145" s="20"/>
      <c r="Y145" s="20"/>
      <c r="Z145" s="20"/>
    </row>
    <row r="146" spans="3:26" ht="15" hidden="1" customHeight="1" x14ac:dyDescent="0.3">
      <c r="C146" s="20"/>
      <c r="D146" s="558">
        <v>91</v>
      </c>
      <c r="E146" s="568" t="str">
        <f ca="1">_xlfn.XLOOKUP(F146,Pareto!S:S,Pareto!T:T)</f>
        <v>Ferraz</v>
      </c>
      <c r="F146" s="1649" t="str">
        <f ca="1">_xlfn.XLOOKUP(K146,Pareto!V:V,Pareto!S:S)</f>
        <v xml:space="preserve">02 - Eficiência dos planos de corte </v>
      </c>
      <c r="G146" s="1650"/>
      <c r="H146" s="566" t="str">
        <f ca="1">_xlfn.XLOOKUP(F146,Pareto!S:S,Pareto!X:X)</f>
        <v>✓ Concluído</v>
      </c>
      <c r="I146" s="566" t="str">
        <f ca="1">_xlfn.XLOOKUP('5 Unidades  +'!F146,Pareto!S:S,Pareto!Z:Z)</f>
        <v>OK</v>
      </c>
      <c r="J146" s="559">
        <f ca="1">_xlfn.XLOOKUP(F146,Pareto!S:S,Pareto!U:U)</f>
        <v>2266.6666666666665</v>
      </c>
      <c r="K146" s="559">
        <f ca="1">IFERROR(LARGE(Pareto!V:V,D146)," ")</f>
        <v>3022.2222222222222</v>
      </c>
      <c r="L146" s="559">
        <f ca="1">_xlfn.XLOOKUP(F146,Pareto!S:S,Pareto!W:W)</f>
        <v>1882.6200000000001</v>
      </c>
      <c r="M146" s="560">
        <f t="shared" ca="1" si="4"/>
        <v>-1139.6022222222221</v>
      </c>
      <c r="N146" s="20"/>
      <c r="O146" s="20"/>
      <c r="P146" s="20"/>
      <c r="Q146" s="20"/>
      <c r="R146" s="20"/>
      <c r="S146" s="20"/>
      <c r="T146" s="20"/>
      <c r="U146" s="20"/>
      <c r="V146" s="20"/>
      <c r="W146" s="20"/>
      <c r="X146" s="20"/>
      <c r="Y146" s="20"/>
      <c r="Z146" s="20"/>
    </row>
    <row r="147" spans="3:26" ht="15" hidden="1" customHeight="1" x14ac:dyDescent="0.3">
      <c r="C147" s="20"/>
      <c r="D147" s="561">
        <v>92</v>
      </c>
      <c r="E147" s="567" t="str">
        <f ca="1">_xlfn.XLOOKUP(F147,Pareto!S:S,Pareto!T:T)</f>
        <v>São leopoldo</v>
      </c>
      <c r="F147" s="1651" t="str">
        <f ca="1">_xlfn.XLOOKUP(K147,Pareto!V:V,Pareto!S:S)</f>
        <v>11- REDUZIR A QUANTIDADE DE MÁQUINAS DE SOLDA MIG/MAG LOCADAS</v>
      </c>
      <c r="G147" s="1652"/>
      <c r="H147" s="567" t="str">
        <f ca="1">_xlfn.XLOOKUP(F147,Pareto!S:S,Pareto!X:X)</f>
        <v>✓ Concluído</v>
      </c>
      <c r="I147" s="567" t="str">
        <f ca="1">_xlfn.XLOOKUP('5 Unidades  +'!F147,Pareto!S:S,Pareto!Z:Z)</f>
        <v>OK</v>
      </c>
      <c r="J147" s="562">
        <f ca="1">_xlfn.XLOOKUP(F147,Pareto!S:S,Pareto!U:U)</f>
        <v>2887.5</v>
      </c>
      <c r="K147" s="562">
        <f ca="1">IFERROR(LARGE(Pareto!V:V,D147)," ")</f>
        <v>2887.5</v>
      </c>
      <c r="L147" s="562">
        <f ca="1">_xlfn.XLOOKUP(F147,Pareto!S:S,Pareto!W:W)</f>
        <v>-6700</v>
      </c>
      <c r="M147" s="563">
        <f t="shared" ca="1" si="4"/>
        <v>-9587.5</v>
      </c>
      <c r="N147" s="20"/>
      <c r="O147" s="20"/>
      <c r="P147" s="20"/>
      <c r="Q147" s="20"/>
      <c r="R147" s="20"/>
      <c r="S147" s="20"/>
      <c r="T147" s="20"/>
      <c r="U147" s="20"/>
      <c r="V147" s="20"/>
      <c r="W147" s="20"/>
      <c r="X147" s="20"/>
      <c r="Y147" s="20"/>
      <c r="Z147" s="20"/>
    </row>
    <row r="148" spans="3:26" ht="15" hidden="1" customHeight="1" x14ac:dyDescent="0.3">
      <c r="C148" s="20"/>
      <c r="D148" s="558">
        <v>93</v>
      </c>
      <c r="E148" s="568" t="str">
        <f ca="1">_xlfn.XLOOKUP(F148,Pareto!S:S,Pareto!T:T)</f>
        <v>São leopoldo</v>
      </c>
      <c r="F148" s="1649" t="str">
        <f ca="1">_xlfn.XLOOKUP(K148,Pareto!V:V,Pareto!S:S)</f>
        <v>08 - REDUÇÃO DE CUSTO LOCAÇÃO DE PTA (12METROS)</v>
      </c>
      <c r="G148" s="1650"/>
      <c r="H148" s="566" t="str">
        <f ca="1">_xlfn.XLOOKUP(F148,Pareto!S:S,Pareto!X:X)</f>
        <v>✓ Concluído</v>
      </c>
      <c r="I148" s="566" t="str">
        <f ca="1">_xlfn.XLOOKUP('5 Unidades  +'!F148,Pareto!S:S,Pareto!Z:Z)</f>
        <v>OK</v>
      </c>
      <c r="J148" s="559">
        <f ca="1">_xlfn.XLOOKUP(F148,Pareto!S:S,Pareto!U:U)</f>
        <v>2367.21</v>
      </c>
      <c r="K148" s="559">
        <f ca="1">IFERROR(LARGE(Pareto!V:V,D148)," ")</f>
        <v>2367.21</v>
      </c>
      <c r="L148" s="559">
        <f ca="1">_xlfn.XLOOKUP(F148,Pareto!S:S,Pareto!W:W)</f>
        <v>1721.8300000000002</v>
      </c>
      <c r="M148" s="560">
        <f t="shared" ca="1" si="4"/>
        <v>-645.37999999999988</v>
      </c>
      <c r="N148" s="20"/>
      <c r="O148" s="20"/>
      <c r="P148" s="20"/>
      <c r="Q148" s="20"/>
      <c r="R148" s="20"/>
      <c r="S148" s="20"/>
      <c r="T148" s="20"/>
      <c r="U148" s="20"/>
      <c r="V148" s="20"/>
      <c r="W148" s="20"/>
      <c r="X148" s="20"/>
      <c r="Y148" s="20"/>
      <c r="Z148" s="20"/>
    </row>
    <row r="149" spans="3:26" ht="15" hidden="1" customHeight="1" x14ac:dyDescent="0.3">
      <c r="C149" s="20"/>
      <c r="D149" s="561">
        <v>94</v>
      </c>
      <c r="E149" s="567" t="str">
        <f ca="1">_xlfn.XLOOKUP(F149,Pareto!S:S,Pareto!T:T)</f>
        <v>Diadema</v>
      </c>
      <c r="F149" s="1651" t="str">
        <f ca="1">_xlfn.XLOOKUP(K149,Pareto!V:V,Pareto!S:S)</f>
        <v>46 - AGUA DESMINERALIZADA</v>
      </c>
      <c r="G149" s="1652"/>
      <c r="H149" s="567" t="str">
        <f ca="1">_xlfn.XLOOKUP(F149,Pareto!S:S,Pareto!X:X)</f>
        <v>✓ Concluído</v>
      </c>
      <c r="I149" s="567" t="str">
        <f ca="1">_xlfn.XLOOKUP('5 Unidades  +'!F149,Pareto!S:S,Pareto!Z:Z)</f>
        <v/>
      </c>
      <c r="J149" s="562">
        <f ca="1">_xlfn.XLOOKUP(F149,Pareto!S:S,Pareto!U:U)</f>
        <v>0</v>
      </c>
      <c r="K149" s="562">
        <f ca="1">IFERROR(LARGE(Pareto!V:V,D149)," ")</f>
        <v>2151.1111111111113</v>
      </c>
      <c r="L149" s="562" t="str">
        <f ca="1">_xlfn.XLOOKUP(F149,Pareto!S:S,Pareto!W:W)</f>
        <v/>
      </c>
      <c r="M149" s="563">
        <f t="shared" ca="1" si="4"/>
        <v>-2151.1111111111113</v>
      </c>
      <c r="N149" s="20"/>
      <c r="O149" s="20"/>
      <c r="P149" s="20"/>
      <c r="Q149" s="20"/>
      <c r="R149" s="20"/>
      <c r="S149" s="20"/>
      <c r="T149" s="20"/>
      <c r="U149" s="20"/>
      <c r="V149" s="20"/>
      <c r="W149" s="20"/>
      <c r="X149" s="20"/>
      <c r="Y149" s="20"/>
      <c r="Z149" s="20"/>
    </row>
    <row r="150" spans="3:26" ht="15" hidden="1" customHeight="1" x14ac:dyDescent="0.3">
      <c r="C150" s="20"/>
      <c r="D150" s="558">
        <v>95</v>
      </c>
      <c r="E150" s="568" t="str">
        <f ca="1">_xlfn.XLOOKUP(F150,Pareto!S:S,Pareto!T:T)</f>
        <v>Ferraz</v>
      </c>
      <c r="F150" s="1649" t="str">
        <f ca="1">_xlfn.XLOOKUP(K150,Pareto!V:V,Pareto!S:S)</f>
        <v xml:space="preserve">22 - Tablet - Dobradeira </v>
      </c>
      <c r="G150" s="1650"/>
      <c r="H150" s="566" t="str">
        <f ca="1">_xlfn.XLOOKUP(F150,Pareto!S:S,Pareto!X:X)</f>
        <v>✓ Concluído</v>
      </c>
      <c r="I150" s="566" t="str">
        <f ca="1">_xlfn.XLOOKUP('5 Unidades  +'!F150,Pareto!S:S,Pareto!Z:Z)</f>
        <v>Não Ok</v>
      </c>
      <c r="J150" s="559">
        <f ca="1">_xlfn.XLOOKUP(F150,Pareto!S:S,Pareto!U:U)</f>
        <v>6000</v>
      </c>
      <c r="K150" s="559">
        <f ca="1">IFERROR(LARGE(Pareto!V:V,D150)," ")</f>
        <v>2000</v>
      </c>
      <c r="L150" s="559" t="str">
        <f ca="1">_xlfn.XLOOKUP(F150,Pareto!S:S,Pareto!W:W)</f>
        <v/>
      </c>
      <c r="M150" s="560">
        <f t="shared" ca="1" si="4"/>
        <v>-2000</v>
      </c>
      <c r="N150" s="20"/>
      <c r="O150" s="20"/>
      <c r="P150" s="20"/>
      <c r="Q150" s="20"/>
      <c r="R150" s="20"/>
      <c r="S150" s="20"/>
      <c r="T150" s="20"/>
      <c r="U150" s="20"/>
      <c r="V150" s="20"/>
      <c r="W150" s="20"/>
      <c r="X150" s="20"/>
      <c r="Y150" s="20"/>
      <c r="Z150" s="20"/>
    </row>
    <row r="151" spans="3:26" ht="15" hidden="1" customHeight="1" x14ac:dyDescent="0.3">
      <c r="C151" s="20"/>
      <c r="D151" s="561">
        <v>96</v>
      </c>
      <c r="E151" s="567" t="str">
        <f ca="1">_xlfn.XLOOKUP(F151,Pareto!S:S,Pareto!T:T)</f>
        <v>Diadema</v>
      </c>
      <c r="F151" s="1651" t="str">
        <f ca="1">_xlfn.XLOOKUP(K151,Pareto!V:V,Pareto!S:S)</f>
        <v>38 - Redução de Peso Bruto do item SV000205LB</v>
      </c>
      <c r="G151" s="1652"/>
      <c r="H151" s="567" t="str">
        <f ca="1">_xlfn.XLOOKUP(F151,Pareto!S:S,Pareto!X:X)</f>
        <v>✓ Concluído</v>
      </c>
      <c r="I151" s="567" t="str">
        <f ca="1">_xlfn.XLOOKUP('5 Unidades  +'!F151,Pareto!S:S,Pareto!Z:Z)</f>
        <v>OK</v>
      </c>
      <c r="J151" s="562">
        <f ca="1">_xlfn.XLOOKUP(F151,Pareto!S:S,Pareto!U:U)</f>
        <v>0</v>
      </c>
      <c r="K151" s="562">
        <f ca="1">IFERROR(LARGE(Pareto!V:V,D151)," ")</f>
        <v>1773.42</v>
      </c>
      <c r="L151" s="562">
        <f ca="1">_xlfn.XLOOKUP(F151,Pareto!S:S,Pareto!W:W)</f>
        <v>2542.9240818315002</v>
      </c>
      <c r="M151" s="563">
        <f t="shared" ca="1" si="4"/>
        <v>769.50408183150012</v>
      </c>
      <c r="N151" s="20"/>
      <c r="O151" s="20"/>
      <c r="P151" s="20"/>
      <c r="Q151" s="20"/>
      <c r="R151" s="20"/>
      <c r="S151" s="20"/>
      <c r="T151" s="20"/>
      <c r="U151" s="20"/>
      <c r="V151" s="20"/>
      <c r="W151" s="20"/>
      <c r="X151" s="20"/>
      <c r="Y151" s="20"/>
      <c r="Z151" s="20"/>
    </row>
    <row r="152" spans="3:26" ht="15" hidden="1" customHeight="1" x14ac:dyDescent="0.3">
      <c r="C152" s="20"/>
      <c r="D152" s="558">
        <v>97</v>
      </c>
      <c r="E152" s="568" t="str">
        <f ca="1">_xlfn.XLOOKUP(F152,Pareto!S:S,Pareto!T:T)</f>
        <v>Compras</v>
      </c>
      <c r="F152" s="1649" t="str">
        <f ca="1">_xlfn.XLOOKUP(K152,Pareto!V:V,Pareto!S:S)</f>
        <v>BID carimbos industriais</v>
      </c>
      <c r="G152" s="1650"/>
      <c r="H152" s="566" t="str">
        <f ca="1">_xlfn.XLOOKUP(F152,Pareto!S:S,Pareto!X:X)</f>
        <v>✓ Concluído</v>
      </c>
      <c r="I152" s="566" t="str">
        <f ca="1">_xlfn.XLOOKUP('5 Unidades  +'!F152,Pareto!S:S,Pareto!Z:Z)</f>
        <v>OK</v>
      </c>
      <c r="J152" s="559">
        <f ca="1">_xlfn.XLOOKUP(F152,Pareto!S:S,Pareto!U:U)</f>
        <v>0</v>
      </c>
      <c r="K152" s="559">
        <f ca="1">IFERROR(LARGE(Pareto!V:V,D152)," ")</f>
        <v>1524.9649999999999</v>
      </c>
      <c r="L152" s="559">
        <f ca="1">_xlfn.XLOOKUP(F152,Pareto!S:S,Pareto!W:W)</f>
        <v>2178.73</v>
      </c>
      <c r="M152" s="560">
        <f t="shared" ca="1" si="4"/>
        <v>653.7650000000001</v>
      </c>
      <c r="N152" s="20"/>
      <c r="O152" s="20"/>
      <c r="P152" s="20"/>
      <c r="Q152" s="20"/>
      <c r="R152" s="20"/>
      <c r="S152" s="20"/>
      <c r="T152" s="20"/>
      <c r="U152" s="20"/>
      <c r="V152" s="20"/>
      <c r="W152" s="20"/>
      <c r="X152" s="20"/>
      <c r="Y152" s="20"/>
      <c r="Z152" s="20"/>
    </row>
    <row r="153" spans="3:26" ht="15" hidden="1" customHeight="1" x14ac:dyDescent="0.3">
      <c r="C153" s="20"/>
      <c r="D153" s="561">
        <v>98</v>
      </c>
      <c r="E153" s="567" t="str">
        <f ca="1">_xlfn.XLOOKUP(F153,Pareto!S:S,Pareto!T:T)</f>
        <v>Diadema</v>
      </c>
      <c r="F153" s="1651" t="str">
        <f ca="1">_xlfn.XLOOKUP(K153,Pareto!V:V,Pareto!S:S)</f>
        <v>28 - DA000487Z_DA000488Z - STC Scania P</v>
      </c>
      <c r="G153" s="1652"/>
      <c r="H153" s="567" t="str">
        <f ca="1">_xlfn.XLOOKUP(F153,Pareto!S:S,Pareto!X:X)</f>
        <v>✓ Concluído</v>
      </c>
      <c r="I153" s="567" t="str">
        <f ca="1">_xlfn.XLOOKUP('5 Unidades  +'!F153,Pareto!S:S,Pareto!Z:Z)</f>
        <v>Não Ok</v>
      </c>
      <c r="J153" s="562">
        <f ca="1">_xlfn.XLOOKUP(F153,Pareto!S:S,Pareto!U:U)</f>
        <v>0</v>
      </c>
      <c r="K153" s="562">
        <f ca="1">IFERROR(LARGE(Pareto!V:V,D153)," ")</f>
        <v>1200.0001902857143</v>
      </c>
      <c r="L153" s="562" t="str">
        <f ca="1">_xlfn.XLOOKUP(F153,Pareto!S:S,Pareto!W:W)</f>
        <v/>
      </c>
      <c r="M153" s="563">
        <f t="shared" ca="1" si="4"/>
        <v>-1200.0001902857143</v>
      </c>
      <c r="N153" s="20"/>
      <c r="O153" s="20"/>
      <c r="P153" s="20"/>
      <c r="Q153" s="20"/>
      <c r="R153" s="20"/>
      <c r="S153" s="20"/>
      <c r="T153" s="20"/>
      <c r="U153" s="20"/>
      <c r="V153" s="20"/>
      <c r="W153" s="20"/>
      <c r="X153" s="20"/>
      <c r="Y153" s="20"/>
      <c r="Z153" s="20"/>
    </row>
    <row r="154" spans="3:26" ht="15" hidden="1" customHeight="1" x14ac:dyDescent="0.3">
      <c r="C154" s="20"/>
      <c r="D154" s="558">
        <v>99</v>
      </c>
      <c r="E154" s="568" t="str">
        <f ca="1">_xlfn.XLOOKUP(F154,Pareto!S:S,Pareto!T:T)</f>
        <v>Diadema</v>
      </c>
      <c r="F154" s="1649" t="str">
        <f ca="1">_xlfn.XLOOKUP(K154,Pareto!V:V,Pareto!S:S)</f>
        <v>34 - Redução de Peso Bruto do item MB003554LA</v>
      </c>
      <c r="G154" s="1650"/>
      <c r="H154" s="566" t="str">
        <f ca="1">_xlfn.XLOOKUP(F154,Pareto!S:S,Pareto!X:X)</f>
        <v>✓ Concluído</v>
      </c>
      <c r="I154" s="566" t="str">
        <f ca="1">_xlfn.XLOOKUP('5 Unidades  +'!F154,Pareto!S:S,Pareto!Z:Z)</f>
        <v>OK</v>
      </c>
      <c r="J154" s="559">
        <f ca="1">_xlfn.XLOOKUP(F154,Pareto!S:S,Pareto!U:U)</f>
        <v>0</v>
      </c>
      <c r="K154" s="559">
        <f ca="1">IFERROR(LARGE(Pareto!V:V,D154)," ")</f>
        <v>1193.5350000000001</v>
      </c>
      <c r="L154" s="559">
        <f ca="1">_xlfn.XLOOKUP(F154,Pareto!S:S,Pareto!W:W)</f>
        <v>0</v>
      </c>
      <c r="M154" s="560">
        <f t="shared" ca="1" si="4"/>
        <v>-1193.5350000000001</v>
      </c>
      <c r="N154" s="20"/>
      <c r="O154" s="20"/>
      <c r="P154" s="20"/>
      <c r="Q154" s="20"/>
      <c r="R154" s="20"/>
      <c r="S154" s="20"/>
      <c r="T154" s="20"/>
      <c r="U154" s="20"/>
      <c r="V154" s="20"/>
      <c r="W154" s="20"/>
      <c r="X154" s="20"/>
      <c r="Y154" s="20"/>
      <c r="Z154" s="20"/>
    </row>
    <row r="155" spans="3:26" ht="15" hidden="1" customHeight="1" x14ac:dyDescent="0.3">
      <c r="C155" s="20"/>
      <c r="D155" s="561">
        <v>100</v>
      </c>
      <c r="E155" s="567" t="str">
        <f ca="1">_xlfn.XLOOKUP(F155,Pareto!S:S,Pareto!T:T)</f>
        <v>Diadema</v>
      </c>
      <c r="F155" s="1651" t="str">
        <f ca="1">_xlfn.XLOOKUP(K155,Pareto!V:V,Pareto!S:S)</f>
        <v>37 - Redução de Peso Bruto do item MB003673LD</v>
      </c>
      <c r="G155" s="1652"/>
      <c r="H155" s="567" t="str">
        <f ca="1">_xlfn.XLOOKUP(F155,Pareto!S:S,Pareto!X:X)</f>
        <v>✓ Concluído</v>
      </c>
      <c r="I155" s="567" t="str">
        <f ca="1">_xlfn.XLOOKUP('5 Unidades  +'!F155,Pareto!S:S,Pareto!Z:Z)</f>
        <v>OK</v>
      </c>
      <c r="J155" s="562">
        <f ca="1">_xlfn.XLOOKUP(F155,Pareto!S:S,Pareto!U:U)</f>
        <v>0</v>
      </c>
      <c r="K155" s="562">
        <f ca="1">IFERROR(LARGE(Pareto!V:V,D155)," ")</f>
        <v>1120.9549999999999</v>
      </c>
      <c r="L155" s="562">
        <f ca="1">_xlfn.XLOOKUP(F155,Pareto!S:S,Pareto!W:W)</f>
        <v>0</v>
      </c>
      <c r="M155" s="563">
        <f t="shared" ca="1" si="4"/>
        <v>-1120.9549999999999</v>
      </c>
      <c r="N155" s="20"/>
      <c r="O155" s="20"/>
      <c r="P155" s="20"/>
      <c r="Q155" s="20"/>
      <c r="R155" s="20"/>
      <c r="S155" s="20"/>
      <c r="T155" s="20"/>
      <c r="U155" s="20"/>
      <c r="V155" s="20"/>
      <c r="W155" s="20"/>
      <c r="X155" s="20"/>
      <c r="Y155" s="20"/>
      <c r="Z155" s="20"/>
    </row>
    <row r="156" spans="3:26" ht="15" hidden="1" customHeight="1" x14ac:dyDescent="0.3">
      <c r="C156" s="20"/>
      <c r="D156" s="558">
        <v>101</v>
      </c>
      <c r="E156" s="568" t="str">
        <f ca="1">_xlfn.XLOOKUP(F156,Pareto!S:S,Pareto!T:T)</f>
        <v>Diadema</v>
      </c>
      <c r="F156" s="1649" t="str">
        <f ca="1">_xlfn.XLOOKUP(K156,Pareto!V:V,Pareto!S:S)</f>
        <v>40 - Redução de Peso Bruto do item VW001138LA</v>
      </c>
      <c r="G156" s="1650"/>
      <c r="H156" s="566" t="str">
        <f ca="1">_xlfn.XLOOKUP(F156,Pareto!S:S,Pareto!X:X)</f>
        <v>✓ Concluído</v>
      </c>
      <c r="I156" s="566" t="str">
        <f ca="1">_xlfn.XLOOKUP('5 Unidades  +'!F156,Pareto!S:S,Pareto!Z:Z)</f>
        <v>OK</v>
      </c>
      <c r="J156" s="559">
        <f ca="1">_xlfn.XLOOKUP(F156,Pareto!S:S,Pareto!U:U)</f>
        <v>0</v>
      </c>
      <c r="K156" s="559">
        <f ca="1">IFERROR(LARGE(Pareto!V:V,D156)," ")</f>
        <v>948.26</v>
      </c>
      <c r="L156" s="559">
        <f ca="1">_xlfn.XLOOKUP(F156,Pareto!S:S,Pareto!W:W)</f>
        <v>0</v>
      </c>
      <c r="M156" s="560">
        <f t="shared" ca="1" si="4"/>
        <v>-948.26</v>
      </c>
      <c r="N156" s="20"/>
      <c r="O156" s="20"/>
      <c r="P156" s="20"/>
      <c r="Q156" s="20"/>
      <c r="R156" s="20"/>
      <c r="S156" s="20"/>
      <c r="T156" s="20"/>
      <c r="U156" s="20"/>
      <c r="V156" s="20"/>
      <c r="W156" s="20"/>
      <c r="X156" s="20"/>
      <c r="Y156" s="20"/>
      <c r="Z156" s="20"/>
    </row>
    <row r="157" spans="3:26" ht="15" hidden="1" customHeight="1" x14ac:dyDescent="0.3">
      <c r="C157" s="20"/>
      <c r="D157" s="561">
        <v>102</v>
      </c>
      <c r="E157" s="567" t="str">
        <f ca="1">_xlfn.XLOOKUP(F157,Pareto!S:S,Pareto!T:T)</f>
        <v>Diadema</v>
      </c>
      <c r="F157" s="1651" t="str">
        <f ca="1">_xlfn.XLOOKUP(K157,Pareto!V:V,Pareto!S:S)</f>
        <v>13 - Redução de Componente - 4065 de 6 para 4</v>
      </c>
      <c r="G157" s="1652"/>
      <c r="H157" s="567" t="str">
        <f ca="1">_xlfn.XLOOKUP(F157,Pareto!S:S,Pareto!X:X)</f>
        <v>✓ Concluído</v>
      </c>
      <c r="I157" s="567" t="str">
        <f ca="1">_xlfn.XLOOKUP('5 Unidades  +'!F157,Pareto!S:S,Pareto!Z:Z)</f>
        <v>Não Ok</v>
      </c>
      <c r="J157" s="562">
        <f ca="1">_xlfn.XLOOKUP(F157,Pareto!S:S,Pareto!U:U)</f>
        <v>0</v>
      </c>
      <c r="K157" s="562">
        <f ca="1">IFERROR(LARGE(Pareto!V:V,D157)," ")</f>
        <v>840</v>
      </c>
      <c r="L157" s="562">
        <f ca="1">_xlfn.XLOOKUP(F157,Pareto!S:S,Pareto!W:W)</f>
        <v>0</v>
      </c>
      <c r="M157" s="563">
        <f t="shared" ca="1" si="4"/>
        <v>-840</v>
      </c>
      <c r="N157" s="20"/>
      <c r="O157" s="20"/>
      <c r="P157" s="20"/>
      <c r="Q157" s="20"/>
      <c r="R157" s="20"/>
      <c r="S157" s="20"/>
      <c r="T157" s="20"/>
      <c r="U157" s="20"/>
      <c r="V157" s="20"/>
      <c r="W157" s="20"/>
      <c r="X157" s="20"/>
      <c r="Y157" s="20"/>
      <c r="Z157" s="20"/>
    </row>
    <row r="158" spans="3:26" ht="15" hidden="1" customHeight="1" x14ac:dyDescent="0.3">
      <c r="C158" s="20"/>
      <c r="D158" s="558">
        <v>103</v>
      </c>
      <c r="E158" s="568" t="str">
        <f ca="1">_xlfn.XLOOKUP(F158,Pareto!S:S,Pareto!T:T)</f>
        <v>Diadema</v>
      </c>
      <c r="F158" s="1649" t="str">
        <f ca="1">_xlfn.XLOOKUP(K158,Pareto!V:V,Pareto!S:S)</f>
        <v>39 - Redução de Peso Bruto do item VB000323LA</v>
      </c>
      <c r="G158" s="1650"/>
      <c r="H158" s="566" t="str">
        <f ca="1">_xlfn.XLOOKUP(F158,Pareto!S:S,Pareto!X:X)</f>
        <v>✓ Concluído</v>
      </c>
      <c r="I158" s="566" t="str">
        <f ca="1">_xlfn.XLOOKUP('5 Unidades  +'!F158,Pareto!S:S,Pareto!Z:Z)</f>
        <v>OK</v>
      </c>
      <c r="J158" s="559">
        <f ca="1">_xlfn.XLOOKUP(F158,Pareto!S:S,Pareto!U:U)</f>
        <v>0</v>
      </c>
      <c r="K158" s="559">
        <f ca="1">IFERROR(LARGE(Pareto!V:V,D158)," ")</f>
        <v>792.43499999999995</v>
      </c>
      <c r="L158" s="559">
        <f ca="1">_xlfn.XLOOKUP(F158,Pareto!S:S,Pareto!W:W)</f>
        <v>0</v>
      </c>
      <c r="M158" s="560">
        <f t="shared" ca="1" si="4"/>
        <v>-792.43499999999995</v>
      </c>
      <c r="N158" s="20"/>
      <c r="O158" s="20"/>
      <c r="P158" s="20"/>
      <c r="Q158" s="20"/>
      <c r="R158" s="20"/>
      <c r="S158" s="20"/>
      <c r="T158" s="20"/>
      <c r="U158" s="20"/>
      <c r="V158" s="20"/>
      <c r="W158" s="20"/>
      <c r="X158" s="20"/>
      <c r="Y158" s="20"/>
      <c r="Z158" s="20"/>
    </row>
    <row r="159" spans="3:26" ht="15" hidden="1" customHeight="1" x14ac:dyDescent="0.3">
      <c r="C159" s="20"/>
      <c r="D159" s="561">
        <v>104</v>
      </c>
      <c r="E159" s="567" t="str">
        <f ca="1">_xlfn.XLOOKUP(F159,Pareto!S:S,Pareto!T:T)</f>
        <v>Jarinu</v>
      </c>
      <c r="F159" s="1651" t="str">
        <f ca="1">_xlfn.XLOOKUP(K159,Pareto!V:V,Pareto!S:S)</f>
        <v>31 - Redução impressora Backup</v>
      </c>
      <c r="G159" s="1652"/>
      <c r="H159" s="567" t="str">
        <f ca="1">_xlfn.XLOOKUP(F159,Pareto!S:S,Pareto!X:X)</f>
        <v>✓ Concluído</v>
      </c>
      <c r="I159" s="567" t="str">
        <f ca="1">_xlfn.XLOOKUP('5 Unidades  +'!F159,Pareto!S:S,Pareto!Z:Z)</f>
        <v>OK</v>
      </c>
      <c r="J159" s="562">
        <f ca="1">_xlfn.XLOOKUP(F159,Pareto!S:S,Pareto!U:U)</f>
        <v>0</v>
      </c>
      <c r="K159" s="562">
        <f ca="1">IFERROR(LARGE(Pareto!V:V,D159)," ")</f>
        <v>544</v>
      </c>
      <c r="L159" s="562">
        <f ca="1">_xlfn.XLOOKUP(F159,Pareto!S:S,Pareto!W:W)</f>
        <v>442</v>
      </c>
      <c r="M159" s="563">
        <f t="shared" ca="1" si="4"/>
        <v>-102</v>
      </c>
      <c r="N159" s="20"/>
      <c r="O159" s="20"/>
      <c r="P159" s="20"/>
      <c r="Q159" s="20"/>
      <c r="R159" s="20"/>
      <c r="S159" s="20"/>
      <c r="T159" s="20"/>
      <c r="U159" s="20"/>
      <c r="V159" s="20"/>
      <c r="W159" s="20"/>
      <c r="X159" s="20"/>
      <c r="Y159" s="20"/>
      <c r="Z159" s="20"/>
    </row>
    <row r="160" spans="3:26" ht="15" hidden="1" customHeight="1" x14ac:dyDescent="0.3">
      <c r="C160" s="20"/>
      <c r="D160" s="558">
        <v>105</v>
      </c>
      <c r="E160" s="568" t="str">
        <f ca="1">_xlfn.XLOOKUP(F160,Pareto!S:S,Pareto!T:T)</f>
        <v>Diadema</v>
      </c>
      <c r="F160" s="1649" t="str">
        <f ca="1">_xlfn.XLOOKUP(K160,Pareto!V:V,Pareto!S:S)</f>
        <v>36 - Redução de Peso Bruto do item MB003673LA</v>
      </c>
      <c r="G160" s="1650"/>
      <c r="H160" s="566" t="str">
        <f ca="1">_xlfn.XLOOKUP(F160,Pareto!S:S,Pareto!X:X)</f>
        <v>✓ Concluído</v>
      </c>
      <c r="I160" s="566" t="str">
        <f ca="1">_xlfn.XLOOKUP('5 Unidades  +'!F160,Pareto!S:S,Pareto!Z:Z)</f>
        <v>OK</v>
      </c>
      <c r="J160" s="559">
        <f ca="1">_xlfn.XLOOKUP(F160,Pareto!S:S,Pareto!U:U)</f>
        <v>0</v>
      </c>
      <c r="K160" s="559">
        <f ca="1">IFERROR(LARGE(Pareto!V:V,D160)," ")</f>
        <v>317.85000000000002</v>
      </c>
      <c r="L160" s="559">
        <f ca="1">_xlfn.XLOOKUP(F160,Pareto!S:S,Pareto!W:W)</f>
        <v>0</v>
      </c>
      <c r="M160" s="560">
        <f t="shared" ca="1" si="4"/>
        <v>-317.85000000000002</v>
      </c>
      <c r="N160" s="20"/>
      <c r="O160" s="20"/>
      <c r="P160" s="20"/>
      <c r="Q160" s="20"/>
      <c r="R160" s="20"/>
      <c r="S160" s="20"/>
      <c r="T160" s="20"/>
      <c r="U160" s="20"/>
      <c r="V160" s="20"/>
      <c r="W160" s="20"/>
      <c r="X160" s="20"/>
      <c r="Y160" s="20"/>
      <c r="Z160" s="20"/>
    </row>
    <row r="161" spans="3:26" ht="15" hidden="1" customHeight="1" x14ac:dyDescent="0.3">
      <c r="C161" s="20"/>
      <c r="D161" s="561">
        <v>106</v>
      </c>
      <c r="E161" s="567" t="str">
        <f ca="1">_xlfn.XLOOKUP(F161,Pareto!S:S,Pareto!T:T)</f>
        <v>Diadema</v>
      </c>
      <c r="F161" s="1651" t="str">
        <f ca="1">_xlfn.XLOOKUP(K161,Pareto!V:V,Pareto!S:S)</f>
        <v>32 - Redução de Peso Bruto do item MB003594LA</v>
      </c>
      <c r="G161" s="1652"/>
      <c r="H161" s="567" t="str">
        <f ca="1">_xlfn.XLOOKUP(F161,Pareto!S:S,Pareto!X:X)</f>
        <v>✓ Concluído</v>
      </c>
      <c r="I161" s="567" t="str">
        <f ca="1">_xlfn.XLOOKUP('5 Unidades  +'!F161,Pareto!S:S,Pareto!Z:Z)</f>
        <v>OK</v>
      </c>
      <c r="J161" s="562">
        <f ca="1">_xlfn.XLOOKUP(F161,Pareto!S:S,Pareto!U:U)</f>
        <v>0</v>
      </c>
      <c r="K161" s="562">
        <f ca="1">IFERROR(LARGE(Pareto!V:V,D161)," ")</f>
        <v>262.625</v>
      </c>
      <c r="L161" s="562">
        <f ca="1">_xlfn.XLOOKUP(F161,Pareto!S:S,Pareto!W:W)</f>
        <v>0</v>
      </c>
      <c r="M161" s="563">
        <f t="shared" ca="1" si="4"/>
        <v>-262.625</v>
      </c>
      <c r="N161" s="20"/>
      <c r="O161" s="20"/>
      <c r="P161" s="20"/>
      <c r="Q161" s="20"/>
      <c r="R161" s="20"/>
      <c r="S161" s="20"/>
      <c r="T161" s="20"/>
      <c r="U161" s="20"/>
      <c r="V161" s="20"/>
      <c r="W161" s="20"/>
      <c r="X161" s="20"/>
      <c r="Y161" s="20"/>
      <c r="Z161" s="20"/>
    </row>
    <row r="162" spans="3:26" ht="15" hidden="1" customHeight="1" x14ac:dyDescent="0.3">
      <c r="C162" s="20"/>
      <c r="D162" s="558">
        <v>107</v>
      </c>
      <c r="E162" s="568" t="str">
        <f ca="1">_xlfn.XLOOKUP(F162,Pareto!S:S,Pareto!T:T)</f>
        <v>Ferraz</v>
      </c>
      <c r="F162" s="1649" t="str">
        <f ca="1">_xlfn.XLOOKUP(K162,Pareto!V:V,Pareto!S:S)</f>
        <v>01 - Clientes com baixa margem de contribuição.</v>
      </c>
      <c r="G162" s="1650"/>
      <c r="H162" s="566" t="str">
        <f ca="1">_xlfn.XLOOKUP(F162,Pareto!S:S,Pareto!X:X)</f>
        <v>⏳ Em Execução</v>
      </c>
      <c r="I162" s="566" t="str">
        <f ca="1">_xlfn.XLOOKUP('5 Unidades  +'!F162,Pareto!S:S,Pareto!Z:Z)</f>
        <v/>
      </c>
      <c r="J162" s="559">
        <f ca="1">_xlfn.XLOOKUP(F162,Pareto!S:S,Pareto!U:U)</f>
        <v>0</v>
      </c>
      <c r="K162" s="559" t="str">
        <f ca="1">IFERROR(LARGE(Pareto!V:V,D162)," ")</f>
        <v xml:space="preserve"> </v>
      </c>
      <c r="L162" s="559" t="str">
        <f ca="1">_xlfn.XLOOKUP(F162,Pareto!S:S,Pareto!W:W)</f>
        <v/>
      </c>
      <c r="M162" s="560" t="e">
        <f t="shared" ca="1" si="4"/>
        <v>#VALUE!</v>
      </c>
      <c r="N162" s="20"/>
      <c r="O162" s="20"/>
      <c r="P162" s="20"/>
      <c r="Q162" s="20"/>
      <c r="R162" s="20"/>
      <c r="S162" s="20"/>
      <c r="T162" s="20"/>
      <c r="U162" s="20"/>
      <c r="V162" s="20"/>
      <c r="W162" s="20"/>
      <c r="X162" s="20"/>
      <c r="Y162" s="20"/>
      <c r="Z162" s="20"/>
    </row>
    <row r="163" spans="3:26" ht="15" hidden="1" customHeight="1" x14ac:dyDescent="0.3">
      <c r="C163" s="20"/>
      <c r="D163" s="561">
        <v>108</v>
      </c>
      <c r="E163" s="567" t="str">
        <f ca="1">_xlfn.XLOOKUP(F163,Pareto!S:S,Pareto!T:T)</f>
        <v>Ferraz</v>
      </c>
      <c r="F163" s="1651" t="str">
        <f ca="1">_xlfn.XLOOKUP(K163,Pareto!V:V,Pareto!S:S)</f>
        <v>01 - Clientes com baixa margem de contribuição.</v>
      </c>
      <c r="G163" s="1652"/>
      <c r="H163" s="567" t="str">
        <f ca="1">_xlfn.XLOOKUP(F163,Pareto!S:S,Pareto!X:X)</f>
        <v>⏳ Em Execução</v>
      </c>
      <c r="I163" s="567" t="str">
        <f ca="1">_xlfn.XLOOKUP('5 Unidades  +'!F163,Pareto!S:S,Pareto!Z:Z)</f>
        <v/>
      </c>
      <c r="J163" s="562">
        <f ca="1">_xlfn.XLOOKUP(F163,Pareto!S:S,Pareto!U:U)</f>
        <v>0</v>
      </c>
      <c r="K163" s="562" t="str">
        <f ca="1">IFERROR(LARGE(Pareto!V:V,D163)," ")</f>
        <v xml:space="preserve"> </v>
      </c>
      <c r="L163" s="562" t="str">
        <f ca="1">_xlfn.XLOOKUP(F163,Pareto!S:S,Pareto!W:W)</f>
        <v/>
      </c>
      <c r="M163" s="563" t="e">
        <f t="shared" ca="1" si="4"/>
        <v>#VALUE!</v>
      </c>
      <c r="N163" s="20"/>
      <c r="O163" s="20"/>
      <c r="P163" s="20"/>
      <c r="Q163" s="20"/>
      <c r="R163" s="20"/>
      <c r="S163" s="20"/>
      <c r="T163" s="20"/>
      <c r="U163" s="20"/>
      <c r="V163" s="20"/>
      <c r="W163" s="20"/>
      <c r="X163" s="20"/>
      <c r="Y163" s="20"/>
      <c r="Z163" s="20"/>
    </row>
    <row r="164" spans="3:26" ht="15" hidden="1" customHeight="1" x14ac:dyDescent="0.3">
      <c r="C164" s="20"/>
      <c r="D164" s="558">
        <v>109</v>
      </c>
      <c r="E164" s="568" t="str">
        <f ca="1">_xlfn.XLOOKUP(F164,Pareto!S:S,Pareto!T:T)</f>
        <v>Ferraz</v>
      </c>
      <c r="F164" s="1649" t="str">
        <f ca="1">_xlfn.XLOOKUP(K164,Pareto!V:V,Pareto!S:S)</f>
        <v>01 - Clientes com baixa margem de contribuição.</v>
      </c>
      <c r="G164" s="1650"/>
      <c r="H164" s="566" t="str">
        <f ca="1">_xlfn.XLOOKUP(F164,Pareto!S:S,Pareto!X:X)</f>
        <v>⏳ Em Execução</v>
      </c>
      <c r="I164" s="566" t="str">
        <f ca="1">_xlfn.XLOOKUP('5 Unidades  +'!F164,Pareto!S:S,Pareto!Z:Z)</f>
        <v/>
      </c>
      <c r="J164" s="559">
        <f ca="1">_xlfn.XLOOKUP(F164,Pareto!S:S,Pareto!U:U)</f>
        <v>0</v>
      </c>
      <c r="K164" s="559" t="str">
        <f ca="1">IFERROR(LARGE(Pareto!V:V,D164)," ")</f>
        <v xml:space="preserve"> </v>
      </c>
      <c r="L164" s="559" t="str">
        <f ca="1">_xlfn.XLOOKUP(F164,Pareto!S:S,Pareto!W:W)</f>
        <v/>
      </c>
      <c r="M164" s="560" t="e">
        <f t="shared" ca="1" si="4"/>
        <v>#VALUE!</v>
      </c>
      <c r="N164" s="20"/>
      <c r="O164" s="20"/>
      <c r="P164" s="20"/>
      <c r="Q164" s="20"/>
      <c r="R164" s="20"/>
      <c r="S164" s="20"/>
      <c r="T164" s="20"/>
      <c r="U164" s="20"/>
      <c r="V164" s="20"/>
      <c r="W164" s="20"/>
      <c r="X164" s="20"/>
      <c r="Y164" s="20"/>
      <c r="Z164" s="20"/>
    </row>
    <row r="165" spans="3:26" ht="15" hidden="1" customHeight="1" x14ac:dyDescent="0.3">
      <c r="C165" s="20"/>
      <c r="D165" s="561">
        <v>110</v>
      </c>
      <c r="E165" s="567" t="str">
        <f ca="1">_xlfn.XLOOKUP(F165,Pareto!S:S,Pareto!T:T)</f>
        <v>Ferraz</v>
      </c>
      <c r="F165" s="1651" t="str">
        <f ca="1">_xlfn.XLOOKUP(K165,Pareto!V:V,Pareto!S:S)</f>
        <v>01 - Clientes com baixa margem de contribuição.</v>
      </c>
      <c r="G165" s="1652"/>
      <c r="H165" s="567" t="str">
        <f ca="1">_xlfn.XLOOKUP(F165,Pareto!S:S,Pareto!X:X)</f>
        <v>⏳ Em Execução</v>
      </c>
      <c r="I165" s="567" t="str">
        <f ca="1">_xlfn.XLOOKUP('5 Unidades  +'!F165,Pareto!S:S,Pareto!Z:Z)</f>
        <v/>
      </c>
      <c r="J165" s="562">
        <f ca="1">_xlfn.XLOOKUP(F165,Pareto!S:S,Pareto!U:U)</f>
        <v>0</v>
      </c>
      <c r="K165" s="562" t="str">
        <f ca="1">IFERROR(LARGE(Pareto!V:V,D165)," ")</f>
        <v xml:space="preserve"> </v>
      </c>
      <c r="L165" s="562" t="str">
        <f ca="1">_xlfn.XLOOKUP(F165,Pareto!S:S,Pareto!W:W)</f>
        <v/>
      </c>
      <c r="M165" s="563" t="e">
        <f t="shared" ca="1" si="4"/>
        <v>#VALUE!</v>
      </c>
      <c r="N165" s="20"/>
      <c r="O165" s="20"/>
      <c r="P165" s="20"/>
      <c r="Q165" s="20"/>
      <c r="R165" s="20"/>
      <c r="S165" s="20"/>
      <c r="T165" s="20"/>
      <c r="U165" s="20"/>
      <c r="V165" s="20"/>
      <c r="W165" s="20"/>
      <c r="X165" s="20"/>
      <c r="Y165" s="20"/>
      <c r="Z165" s="20"/>
    </row>
    <row r="166" spans="3:26" ht="15" hidden="1" customHeight="1" x14ac:dyDescent="0.3">
      <c r="C166" s="20"/>
      <c r="D166" s="558">
        <v>111</v>
      </c>
      <c r="E166" s="568" t="str">
        <f ca="1">_xlfn.XLOOKUP(F166,Pareto!S:S,Pareto!T:T)</f>
        <v>Ferraz</v>
      </c>
      <c r="F166" s="1649" t="str">
        <f ca="1">_xlfn.XLOOKUP(K166,Pareto!V:V,Pareto!S:S)</f>
        <v>01 - Clientes com baixa margem de contribuição.</v>
      </c>
      <c r="G166" s="1650"/>
      <c r="H166" s="566" t="str">
        <f ca="1">_xlfn.XLOOKUP(F166,Pareto!S:S,Pareto!X:X)</f>
        <v>⏳ Em Execução</v>
      </c>
      <c r="I166" s="566" t="str">
        <f ca="1">_xlfn.XLOOKUP('5 Unidades  +'!F166,Pareto!S:S,Pareto!Z:Z)</f>
        <v/>
      </c>
      <c r="J166" s="559">
        <f ca="1">_xlfn.XLOOKUP(F166,Pareto!S:S,Pareto!U:U)</f>
        <v>0</v>
      </c>
      <c r="K166" s="559" t="str">
        <f ca="1">IFERROR(LARGE(Pareto!V:V,D166)," ")</f>
        <v xml:space="preserve"> </v>
      </c>
      <c r="L166" s="559" t="str">
        <f ca="1">_xlfn.XLOOKUP(F166,Pareto!S:S,Pareto!W:W)</f>
        <v/>
      </c>
      <c r="M166" s="560" t="e">
        <f t="shared" ca="1" si="4"/>
        <v>#VALUE!</v>
      </c>
      <c r="N166" s="20"/>
      <c r="O166" s="20"/>
      <c r="P166" s="20"/>
      <c r="Q166" s="20"/>
      <c r="R166" s="20"/>
      <c r="S166" s="20"/>
      <c r="T166" s="20"/>
      <c r="U166" s="20"/>
      <c r="V166" s="20"/>
      <c r="W166" s="20"/>
      <c r="X166" s="20"/>
      <c r="Y166" s="20"/>
      <c r="Z166" s="20"/>
    </row>
    <row r="167" spans="3:26" ht="15" hidden="1" customHeight="1" x14ac:dyDescent="0.3">
      <c r="C167" s="20"/>
      <c r="D167" s="561">
        <v>112</v>
      </c>
      <c r="E167" s="567" t="str">
        <f ca="1">_xlfn.XLOOKUP(F167,Pareto!S:S,Pareto!T:T)</f>
        <v>Ferraz</v>
      </c>
      <c r="F167" s="1651" t="str">
        <f ca="1">_xlfn.XLOOKUP(K167,Pareto!V:V,Pareto!S:S)</f>
        <v>01 - Clientes com baixa margem de contribuição.</v>
      </c>
      <c r="G167" s="1652"/>
      <c r="H167" s="567" t="str">
        <f ca="1">_xlfn.XLOOKUP(F167,Pareto!S:S,Pareto!X:X)</f>
        <v>⏳ Em Execução</v>
      </c>
      <c r="I167" s="567" t="str">
        <f ca="1">_xlfn.XLOOKUP('5 Unidades  +'!F167,Pareto!S:S,Pareto!Z:Z)</f>
        <v/>
      </c>
      <c r="J167" s="562">
        <f ca="1">_xlfn.XLOOKUP(F167,Pareto!S:S,Pareto!U:U)</f>
        <v>0</v>
      </c>
      <c r="K167" s="562" t="str">
        <f ca="1">IFERROR(LARGE(Pareto!V:V,D167)," ")</f>
        <v xml:space="preserve"> </v>
      </c>
      <c r="L167" s="562" t="str">
        <f ca="1">_xlfn.XLOOKUP(F167,Pareto!S:S,Pareto!W:W)</f>
        <v/>
      </c>
      <c r="M167" s="563" t="e">
        <f t="shared" ca="1" si="4"/>
        <v>#VALUE!</v>
      </c>
      <c r="N167" s="20"/>
      <c r="O167" s="20"/>
      <c r="P167" s="20"/>
      <c r="Q167" s="20"/>
      <c r="R167" s="20"/>
      <c r="S167" s="20"/>
      <c r="T167" s="20"/>
      <c r="U167" s="20"/>
      <c r="V167" s="20"/>
      <c r="W167" s="20"/>
      <c r="X167" s="20"/>
      <c r="Y167" s="20"/>
      <c r="Z167" s="20"/>
    </row>
    <row r="168" spans="3:26" ht="15" hidden="1" customHeight="1" x14ac:dyDescent="0.3">
      <c r="C168" s="20"/>
      <c r="D168" s="558">
        <v>113</v>
      </c>
      <c r="E168" s="568" t="str">
        <f ca="1">_xlfn.XLOOKUP(F168,Pareto!S:S,Pareto!T:T)</f>
        <v>Ferraz</v>
      </c>
      <c r="F168" s="1649" t="str">
        <f ca="1">_xlfn.XLOOKUP(K168,Pareto!V:V,Pareto!S:S)</f>
        <v>01 - Clientes com baixa margem de contribuição.</v>
      </c>
      <c r="G168" s="1650"/>
      <c r="H168" s="566" t="str">
        <f ca="1">_xlfn.XLOOKUP(F168,Pareto!S:S,Pareto!X:X)</f>
        <v>⏳ Em Execução</v>
      </c>
      <c r="I168" s="566" t="str">
        <f ca="1">_xlfn.XLOOKUP('5 Unidades  +'!F168,Pareto!S:S,Pareto!Z:Z)</f>
        <v/>
      </c>
      <c r="J168" s="559">
        <f ca="1">_xlfn.XLOOKUP(F168,Pareto!S:S,Pareto!U:U)</f>
        <v>0</v>
      </c>
      <c r="K168" s="559" t="str">
        <f ca="1">IFERROR(LARGE(Pareto!V:V,D168)," ")</f>
        <v xml:space="preserve"> </v>
      </c>
      <c r="L168" s="559" t="str">
        <f ca="1">_xlfn.XLOOKUP(F168,Pareto!S:S,Pareto!W:W)</f>
        <v/>
      </c>
      <c r="M168" s="560" t="e">
        <f t="shared" ca="1" si="4"/>
        <v>#VALUE!</v>
      </c>
      <c r="N168" s="20"/>
      <c r="O168" s="20"/>
      <c r="P168" s="20"/>
      <c r="Q168" s="20"/>
      <c r="R168" s="20"/>
      <c r="S168" s="20"/>
      <c r="T168" s="20"/>
      <c r="U168" s="20"/>
      <c r="V168" s="20"/>
      <c r="W168" s="20"/>
      <c r="X168" s="20"/>
      <c r="Y168" s="20"/>
      <c r="Z168" s="20"/>
    </row>
    <row r="169" spans="3:26" ht="15" hidden="1" customHeight="1" x14ac:dyDescent="0.3">
      <c r="C169" s="20"/>
      <c r="D169" s="561">
        <v>114</v>
      </c>
      <c r="E169" s="567" t="str">
        <f ca="1">_xlfn.XLOOKUP(F169,Pareto!S:S,Pareto!T:T)</f>
        <v>Ferraz</v>
      </c>
      <c r="F169" s="1651" t="str">
        <f ca="1">_xlfn.XLOOKUP(K169,Pareto!V:V,Pareto!S:S)</f>
        <v>01 - Clientes com baixa margem de contribuição.</v>
      </c>
      <c r="G169" s="1652"/>
      <c r="H169" s="567" t="str">
        <f ca="1">_xlfn.XLOOKUP(F169,Pareto!S:S,Pareto!X:X)</f>
        <v>⏳ Em Execução</v>
      </c>
      <c r="I169" s="567" t="str">
        <f ca="1">_xlfn.XLOOKUP('5 Unidades  +'!F169,Pareto!S:S,Pareto!Z:Z)</f>
        <v/>
      </c>
      <c r="J169" s="562">
        <f ca="1">_xlfn.XLOOKUP(F169,Pareto!S:S,Pareto!U:U)</f>
        <v>0</v>
      </c>
      <c r="K169" s="562" t="str">
        <f ca="1">IFERROR(LARGE(Pareto!V:V,D169)," ")</f>
        <v xml:space="preserve"> </v>
      </c>
      <c r="L169" s="562" t="str">
        <f ca="1">_xlfn.XLOOKUP(F169,Pareto!S:S,Pareto!W:W)</f>
        <v/>
      </c>
      <c r="M169" s="563" t="e">
        <f t="shared" ca="1" si="4"/>
        <v>#VALUE!</v>
      </c>
      <c r="N169" s="20"/>
      <c r="O169" s="20"/>
      <c r="P169" s="20"/>
      <c r="Q169" s="20"/>
      <c r="R169" s="20"/>
      <c r="S169" s="20"/>
      <c r="T169" s="20"/>
      <c r="U169" s="20"/>
      <c r="V169" s="20"/>
      <c r="W169" s="20"/>
      <c r="X169" s="20"/>
      <c r="Y169" s="20"/>
      <c r="Z169" s="20"/>
    </row>
    <row r="170" spans="3:26" ht="15" hidden="1" customHeight="1" x14ac:dyDescent="0.3">
      <c r="C170" s="20"/>
      <c r="D170" s="558">
        <v>115</v>
      </c>
      <c r="E170" s="568" t="str">
        <f ca="1">_xlfn.XLOOKUP(F170,Pareto!S:S,Pareto!T:T)</f>
        <v>Ferraz</v>
      </c>
      <c r="F170" s="1649" t="str">
        <f ca="1">_xlfn.XLOOKUP(K170,Pareto!V:V,Pareto!S:S)</f>
        <v>01 - Clientes com baixa margem de contribuição.</v>
      </c>
      <c r="G170" s="1650"/>
      <c r="H170" s="566" t="str">
        <f ca="1">_xlfn.XLOOKUP(F170,Pareto!S:S,Pareto!X:X)</f>
        <v>⏳ Em Execução</v>
      </c>
      <c r="I170" s="566" t="str">
        <f ca="1">_xlfn.XLOOKUP('5 Unidades  +'!F170,Pareto!S:S,Pareto!Z:Z)</f>
        <v/>
      </c>
      <c r="J170" s="559">
        <f ca="1">_xlfn.XLOOKUP(F170,Pareto!S:S,Pareto!U:U)</f>
        <v>0</v>
      </c>
      <c r="K170" s="559" t="str">
        <f ca="1">IFERROR(LARGE(Pareto!V:V,D170)," ")</f>
        <v xml:space="preserve"> </v>
      </c>
      <c r="L170" s="559" t="str">
        <f ca="1">_xlfn.XLOOKUP(F170,Pareto!S:S,Pareto!W:W)</f>
        <v/>
      </c>
      <c r="M170" s="560" t="e">
        <f t="shared" ca="1" si="4"/>
        <v>#VALUE!</v>
      </c>
      <c r="N170" s="20"/>
      <c r="O170" s="20"/>
      <c r="P170" s="20"/>
      <c r="Q170" s="20"/>
      <c r="R170" s="20"/>
      <c r="S170" s="20"/>
      <c r="T170" s="20"/>
      <c r="U170" s="20"/>
      <c r="V170" s="20"/>
      <c r="W170" s="20"/>
      <c r="X170" s="20"/>
      <c r="Y170" s="20"/>
      <c r="Z170" s="20"/>
    </row>
    <row r="171" spans="3:26" ht="15" hidden="1" customHeight="1" x14ac:dyDescent="0.3">
      <c r="C171" s="20"/>
      <c r="D171" s="561">
        <v>116</v>
      </c>
      <c r="E171" s="567" t="str">
        <f ca="1">_xlfn.XLOOKUP(F171,Pareto!S:S,Pareto!T:T)</f>
        <v>Ferraz</v>
      </c>
      <c r="F171" s="1651" t="str">
        <f ca="1">_xlfn.XLOOKUP(K171,Pareto!V:V,Pareto!S:S)</f>
        <v>01 - Clientes com baixa margem de contribuição.</v>
      </c>
      <c r="G171" s="1652"/>
      <c r="H171" s="567" t="str">
        <f ca="1">_xlfn.XLOOKUP(F171,Pareto!S:S,Pareto!X:X)</f>
        <v>⏳ Em Execução</v>
      </c>
      <c r="I171" s="567" t="str">
        <f ca="1">_xlfn.XLOOKUP('5 Unidades  +'!F171,Pareto!S:S,Pareto!Z:Z)</f>
        <v/>
      </c>
      <c r="J171" s="562">
        <f ca="1">_xlfn.XLOOKUP(F171,Pareto!S:S,Pareto!U:U)</f>
        <v>0</v>
      </c>
      <c r="K171" s="562" t="str">
        <f ca="1">IFERROR(LARGE(Pareto!V:V,D171)," ")</f>
        <v xml:space="preserve"> </v>
      </c>
      <c r="L171" s="562" t="str">
        <f ca="1">_xlfn.XLOOKUP(F171,Pareto!S:S,Pareto!W:W)</f>
        <v/>
      </c>
      <c r="M171" s="563" t="e">
        <f t="shared" ca="1" si="4"/>
        <v>#VALUE!</v>
      </c>
      <c r="N171" s="20"/>
      <c r="O171" s="20"/>
      <c r="P171" s="20"/>
      <c r="Q171" s="20"/>
      <c r="R171" s="20"/>
      <c r="S171" s="20"/>
      <c r="T171" s="20"/>
      <c r="U171" s="20"/>
      <c r="V171" s="20"/>
      <c r="W171" s="20"/>
      <c r="X171" s="20"/>
      <c r="Y171" s="20"/>
      <c r="Z171" s="20"/>
    </row>
    <row r="172" spans="3:26" ht="15" hidden="1" customHeight="1" x14ac:dyDescent="0.3">
      <c r="C172" s="20"/>
      <c r="D172" s="558">
        <v>117</v>
      </c>
      <c r="E172" s="568" t="str">
        <f ca="1">_xlfn.XLOOKUP(F172,Pareto!S:S,Pareto!T:T)</f>
        <v>Ferraz</v>
      </c>
      <c r="F172" s="1649" t="str">
        <f ca="1">_xlfn.XLOOKUP(K172,Pareto!V:V,Pareto!S:S)</f>
        <v>01 - Clientes com baixa margem de contribuição.</v>
      </c>
      <c r="G172" s="1650"/>
      <c r="H172" s="566" t="str">
        <f ca="1">_xlfn.XLOOKUP(F172,Pareto!S:S,Pareto!X:X)</f>
        <v>⏳ Em Execução</v>
      </c>
      <c r="I172" s="566" t="str">
        <f ca="1">_xlfn.XLOOKUP('5 Unidades  +'!F172,Pareto!S:S,Pareto!Z:Z)</f>
        <v/>
      </c>
      <c r="J172" s="559">
        <f ca="1">_xlfn.XLOOKUP(F172,Pareto!S:S,Pareto!U:U)</f>
        <v>0</v>
      </c>
      <c r="K172" s="559" t="str">
        <f ca="1">IFERROR(LARGE(Pareto!V:V,D172)," ")</f>
        <v xml:space="preserve"> </v>
      </c>
      <c r="L172" s="559" t="str">
        <f ca="1">_xlfn.XLOOKUP(F172,Pareto!S:S,Pareto!W:W)</f>
        <v/>
      </c>
      <c r="M172" s="560" t="e">
        <f t="shared" ca="1" si="4"/>
        <v>#VALUE!</v>
      </c>
      <c r="N172" s="20"/>
      <c r="O172" s="20"/>
      <c r="P172" s="20"/>
      <c r="Q172" s="20"/>
      <c r="R172" s="20"/>
      <c r="S172" s="20"/>
      <c r="T172" s="20"/>
      <c r="U172" s="20"/>
      <c r="V172" s="20"/>
      <c r="W172" s="20"/>
      <c r="X172" s="20"/>
      <c r="Y172" s="20"/>
      <c r="Z172" s="20"/>
    </row>
    <row r="173" spans="3:26" ht="15" hidden="1" customHeight="1" x14ac:dyDescent="0.3">
      <c r="C173" s="20"/>
      <c r="D173" s="561">
        <v>118</v>
      </c>
      <c r="E173" s="567" t="str">
        <f ca="1">_xlfn.XLOOKUP(F173,Pareto!S:S,Pareto!T:T)</f>
        <v>Ferraz</v>
      </c>
      <c r="F173" s="1651" t="str">
        <f ca="1">_xlfn.XLOOKUP(K173,Pareto!V:V,Pareto!S:S)</f>
        <v>01 - Clientes com baixa margem de contribuição.</v>
      </c>
      <c r="G173" s="1652"/>
      <c r="H173" s="567" t="str">
        <f ca="1">_xlfn.XLOOKUP(F173,Pareto!S:S,Pareto!X:X)</f>
        <v>⏳ Em Execução</v>
      </c>
      <c r="I173" s="567" t="str">
        <f ca="1">_xlfn.XLOOKUP('5 Unidades  +'!F173,Pareto!S:S,Pareto!Z:Z)</f>
        <v/>
      </c>
      <c r="J173" s="562">
        <f ca="1">_xlfn.XLOOKUP(F173,Pareto!S:S,Pareto!U:U)</f>
        <v>0</v>
      </c>
      <c r="K173" s="562" t="str">
        <f ca="1">IFERROR(LARGE(Pareto!V:V,D173)," ")</f>
        <v xml:space="preserve"> </v>
      </c>
      <c r="L173" s="562" t="str">
        <f ca="1">_xlfn.XLOOKUP(F173,Pareto!S:S,Pareto!W:W)</f>
        <v/>
      </c>
      <c r="M173" s="563" t="e">
        <f t="shared" ca="1" si="4"/>
        <v>#VALUE!</v>
      </c>
      <c r="N173" s="20"/>
      <c r="O173" s="20"/>
      <c r="P173" s="20"/>
      <c r="Q173" s="20"/>
      <c r="R173" s="20"/>
      <c r="S173" s="20"/>
      <c r="T173" s="20"/>
      <c r="U173" s="20"/>
      <c r="V173" s="20"/>
      <c r="W173" s="20"/>
      <c r="X173" s="20"/>
      <c r="Y173" s="20"/>
      <c r="Z173" s="20"/>
    </row>
    <row r="174" spans="3:26" ht="15" hidden="1" customHeight="1" x14ac:dyDescent="0.3">
      <c r="C174" s="20"/>
      <c r="D174" s="558">
        <v>119</v>
      </c>
      <c r="E174" s="568" t="str">
        <f ca="1">_xlfn.XLOOKUP(F174,Pareto!S:S,Pareto!T:T)</f>
        <v>Ferraz</v>
      </c>
      <c r="F174" s="1649" t="str">
        <f ca="1">_xlfn.XLOOKUP(K174,Pareto!V:V,Pareto!S:S)</f>
        <v>01 - Clientes com baixa margem de contribuição.</v>
      </c>
      <c r="G174" s="1650"/>
      <c r="H174" s="566" t="str">
        <f ca="1">_xlfn.XLOOKUP(F174,Pareto!S:S,Pareto!X:X)</f>
        <v>⏳ Em Execução</v>
      </c>
      <c r="I174" s="566" t="str">
        <f ca="1">_xlfn.XLOOKUP('5 Unidades  +'!F174,Pareto!S:S,Pareto!Z:Z)</f>
        <v/>
      </c>
      <c r="J174" s="559">
        <f ca="1">_xlfn.XLOOKUP(F174,Pareto!S:S,Pareto!U:U)</f>
        <v>0</v>
      </c>
      <c r="K174" s="559" t="str">
        <f ca="1">IFERROR(LARGE(Pareto!V:V,D174)," ")</f>
        <v xml:space="preserve"> </v>
      </c>
      <c r="L174" s="559" t="str">
        <f ca="1">_xlfn.XLOOKUP(F174,Pareto!S:S,Pareto!W:W)</f>
        <v/>
      </c>
      <c r="M174" s="560" t="e">
        <f t="shared" ca="1" si="4"/>
        <v>#VALUE!</v>
      </c>
      <c r="N174" s="20"/>
      <c r="O174" s="20"/>
      <c r="P174" s="20"/>
      <c r="Q174" s="20"/>
      <c r="R174" s="20"/>
      <c r="S174" s="20"/>
      <c r="T174" s="20"/>
      <c r="U174" s="20"/>
      <c r="V174" s="20"/>
      <c r="W174" s="20"/>
      <c r="X174" s="20"/>
      <c r="Y174" s="20"/>
      <c r="Z174" s="20"/>
    </row>
    <row r="175" spans="3:26" ht="15" hidden="1" customHeight="1" x14ac:dyDescent="0.3">
      <c r="C175" s="20"/>
      <c r="D175" s="561">
        <v>120</v>
      </c>
      <c r="E175" s="567" t="str">
        <f ca="1">_xlfn.XLOOKUP(F175,Pareto!S:S,Pareto!T:T)</f>
        <v>Ferraz</v>
      </c>
      <c r="F175" s="1651" t="str">
        <f ca="1">_xlfn.XLOOKUP(K175,Pareto!V:V,Pareto!S:S)</f>
        <v>01 - Clientes com baixa margem de contribuição.</v>
      </c>
      <c r="G175" s="1652"/>
      <c r="H175" s="567" t="str">
        <f ca="1">_xlfn.XLOOKUP(F175,Pareto!S:S,Pareto!X:X)</f>
        <v>⏳ Em Execução</v>
      </c>
      <c r="I175" s="567" t="str">
        <f ca="1">_xlfn.XLOOKUP('5 Unidades  +'!F175,Pareto!S:S,Pareto!Z:Z)</f>
        <v/>
      </c>
      <c r="J175" s="562">
        <f ca="1">_xlfn.XLOOKUP(F175,Pareto!S:S,Pareto!U:U)</f>
        <v>0</v>
      </c>
      <c r="K175" s="562" t="str">
        <f ca="1">IFERROR(LARGE(Pareto!V:V,D175)," ")</f>
        <v xml:space="preserve"> </v>
      </c>
      <c r="L175" s="562" t="str">
        <f ca="1">_xlfn.XLOOKUP(F175,Pareto!S:S,Pareto!W:W)</f>
        <v/>
      </c>
      <c r="M175" s="563" t="e">
        <f t="shared" ca="1" si="4"/>
        <v>#VALUE!</v>
      </c>
      <c r="N175" s="20"/>
      <c r="O175" s="20"/>
      <c r="P175" s="20"/>
      <c r="Q175" s="20"/>
      <c r="R175" s="20"/>
      <c r="S175" s="20"/>
      <c r="T175" s="20"/>
      <c r="U175" s="20"/>
      <c r="V175" s="20"/>
      <c r="W175" s="20"/>
      <c r="X175" s="20"/>
      <c r="Y175" s="20"/>
      <c r="Z175" s="20"/>
    </row>
    <row r="176" spans="3:26" ht="15" hidden="1" customHeight="1" x14ac:dyDescent="0.3">
      <c r="C176" s="20"/>
      <c r="D176" s="558">
        <v>121</v>
      </c>
      <c r="E176" s="568" t="str">
        <f ca="1">_xlfn.XLOOKUP(F176,Pareto!S:S,Pareto!T:T)</f>
        <v>Ferraz</v>
      </c>
      <c r="F176" s="1649" t="str">
        <f ca="1">_xlfn.XLOOKUP(K176,Pareto!V:V,Pareto!S:S)</f>
        <v>01 - Clientes com baixa margem de contribuição.</v>
      </c>
      <c r="G176" s="1650"/>
      <c r="H176" s="566" t="str">
        <f ca="1">_xlfn.XLOOKUP(F176,Pareto!S:S,Pareto!X:X)</f>
        <v>⏳ Em Execução</v>
      </c>
      <c r="I176" s="566" t="str">
        <f ca="1">_xlfn.XLOOKUP('5 Unidades  +'!F176,Pareto!S:S,Pareto!Z:Z)</f>
        <v/>
      </c>
      <c r="J176" s="559">
        <f ca="1">_xlfn.XLOOKUP(F176,Pareto!S:S,Pareto!U:U)</f>
        <v>0</v>
      </c>
      <c r="K176" s="559" t="str">
        <f ca="1">IFERROR(LARGE(Pareto!V:V,D176)," ")</f>
        <v xml:space="preserve"> </v>
      </c>
      <c r="L176" s="559" t="str">
        <f ca="1">_xlfn.XLOOKUP(F176,Pareto!S:S,Pareto!W:W)</f>
        <v/>
      </c>
      <c r="M176" s="560" t="e">
        <f t="shared" ca="1" si="4"/>
        <v>#VALUE!</v>
      </c>
      <c r="N176" s="20"/>
      <c r="O176" s="20"/>
      <c r="P176" s="20"/>
      <c r="Q176" s="20"/>
      <c r="R176" s="20"/>
      <c r="S176" s="20"/>
      <c r="T176" s="20"/>
      <c r="U176" s="20"/>
      <c r="V176" s="20"/>
      <c r="W176" s="20"/>
      <c r="X176" s="20"/>
      <c r="Y176" s="20"/>
      <c r="Z176" s="20"/>
    </row>
    <row r="177" spans="3:26" ht="15" hidden="1" customHeight="1" x14ac:dyDescent="0.3">
      <c r="C177" s="20"/>
      <c r="D177" s="561">
        <v>122</v>
      </c>
      <c r="E177" s="567" t="str">
        <f ca="1">_xlfn.XLOOKUP(F177,Pareto!S:S,Pareto!T:T)</f>
        <v>Ferraz</v>
      </c>
      <c r="F177" s="1651" t="str">
        <f ca="1">_xlfn.XLOOKUP(K177,Pareto!V:V,Pareto!S:S)</f>
        <v>01 - Clientes com baixa margem de contribuição.</v>
      </c>
      <c r="G177" s="1652"/>
      <c r="H177" s="567" t="str">
        <f ca="1">_xlfn.XLOOKUP(F177,Pareto!S:S,Pareto!X:X)</f>
        <v>⏳ Em Execução</v>
      </c>
      <c r="I177" s="567" t="str">
        <f ca="1">_xlfn.XLOOKUP('5 Unidades  +'!F177,Pareto!S:S,Pareto!Z:Z)</f>
        <v/>
      </c>
      <c r="J177" s="562">
        <f ca="1">_xlfn.XLOOKUP(F177,Pareto!S:S,Pareto!U:U)</f>
        <v>0</v>
      </c>
      <c r="K177" s="562" t="str">
        <f ca="1">IFERROR(LARGE(Pareto!V:V,D177)," ")</f>
        <v xml:space="preserve"> </v>
      </c>
      <c r="L177" s="562" t="str">
        <f ca="1">_xlfn.XLOOKUP(F177,Pareto!S:S,Pareto!W:W)</f>
        <v/>
      </c>
      <c r="M177" s="563" t="e">
        <f t="shared" ca="1" si="4"/>
        <v>#VALUE!</v>
      </c>
      <c r="N177" s="20"/>
      <c r="O177" s="20"/>
      <c r="P177" s="20"/>
      <c r="Q177" s="20"/>
      <c r="R177" s="20"/>
      <c r="S177" s="20"/>
      <c r="T177" s="20"/>
      <c r="U177" s="20"/>
      <c r="V177" s="20"/>
      <c r="W177" s="20"/>
      <c r="X177" s="20"/>
      <c r="Y177" s="20"/>
      <c r="Z177" s="20"/>
    </row>
    <row r="178" spans="3:26" ht="15" hidden="1" customHeight="1" x14ac:dyDescent="0.3">
      <c r="C178" s="20"/>
      <c r="D178" s="558">
        <v>123</v>
      </c>
      <c r="E178" s="568" t="str">
        <f ca="1">_xlfn.XLOOKUP(F178,Pareto!S:S,Pareto!T:T)</f>
        <v>Ferraz</v>
      </c>
      <c r="F178" s="1649" t="str">
        <f ca="1">_xlfn.XLOOKUP(K178,Pareto!V:V,Pareto!S:S)</f>
        <v>01 - Clientes com baixa margem de contribuição.</v>
      </c>
      <c r="G178" s="1650"/>
      <c r="H178" s="566" t="str">
        <f ca="1">_xlfn.XLOOKUP(F178,Pareto!S:S,Pareto!X:X)</f>
        <v>⏳ Em Execução</v>
      </c>
      <c r="I178" s="566" t="str">
        <f ca="1">_xlfn.XLOOKUP('5 Unidades  +'!F178,Pareto!S:S,Pareto!Z:Z)</f>
        <v/>
      </c>
      <c r="J178" s="559">
        <f ca="1">_xlfn.XLOOKUP(F178,Pareto!S:S,Pareto!U:U)</f>
        <v>0</v>
      </c>
      <c r="K178" s="559" t="str">
        <f ca="1">IFERROR(LARGE(Pareto!V:V,D178)," ")</f>
        <v xml:space="preserve"> </v>
      </c>
      <c r="L178" s="559" t="str">
        <f ca="1">_xlfn.XLOOKUP(F178,Pareto!S:S,Pareto!W:W)</f>
        <v/>
      </c>
      <c r="M178" s="560" t="e">
        <f t="shared" ca="1" si="4"/>
        <v>#VALUE!</v>
      </c>
      <c r="N178" s="20"/>
      <c r="O178" s="20"/>
      <c r="P178" s="20"/>
      <c r="Q178" s="20"/>
      <c r="R178" s="20"/>
      <c r="S178" s="20"/>
      <c r="T178" s="20"/>
      <c r="U178" s="20"/>
      <c r="V178" s="20"/>
      <c r="W178" s="20"/>
      <c r="X178" s="20"/>
      <c r="Y178" s="20"/>
      <c r="Z178" s="20"/>
    </row>
    <row r="179" spans="3:26" ht="15" hidden="1" customHeight="1" x14ac:dyDescent="0.3">
      <c r="C179" s="20"/>
      <c r="D179" s="561">
        <v>124</v>
      </c>
      <c r="E179" s="567" t="str">
        <f ca="1">_xlfn.XLOOKUP(F179,Pareto!S:S,Pareto!T:T)</f>
        <v>Ferraz</v>
      </c>
      <c r="F179" s="1651" t="str">
        <f ca="1">_xlfn.XLOOKUP(K179,Pareto!V:V,Pareto!S:S)</f>
        <v>01 - Clientes com baixa margem de contribuição.</v>
      </c>
      <c r="G179" s="1652"/>
      <c r="H179" s="567" t="str">
        <f ca="1">_xlfn.XLOOKUP(F179,Pareto!S:S,Pareto!X:X)</f>
        <v>⏳ Em Execução</v>
      </c>
      <c r="I179" s="567" t="str">
        <f ca="1">_xlfn.XLOOKUP('5 Unidades  +'!F179,Pareto!S:S,Pareto!Z:Z)</f>
        <v/>
      </c>
      <c r="J179" s="562">
        <f ca="1">_xlfn.XLOOKUP(F179,Pareto!S:S,Pareto!U:U)</f>
        <v>0</v>
      </c>
      <c r="K179" s="562" t="str">
        <f ca="1">IFERROR(LARGE(Pareto!V:V,D179)," ")</f>
        <v xml:space="preserve"> </v>
      </c>
      <c r="L179" s="562" t="str">
        <f ca="1">_xlfn.XLOOKUP(F179,Pareto!S:S,Pareto!W:W)</f>
        <v/>
      </c>
      <c r="M179" s="563" t="e">
        <f t="shared" ca="1" si="4"/>
        <v>#VALUE!</v>
      </c>
      <c r="N179" s="20"/>
      <c r="O179" s="20"/>
      <c r="P179" s="20"/>
      <c r="Q179" s="20"/>
      <c r="R179" s="20"/>
      <c r="S179" s="20"/>
      <c r="T179" s="20"/>
      <c r="U179" s="20"/>
      <c r="V179" s="20"/>
      <c r="W179" s="20"/>
      <c r="X179" s="20"/>
      <c r="Y179" s="20"/>
      <c r="Z179" s="20"/>
    </row>
    <row r="180" spans="3:26" ht="15" hidden="1" customHeight="1" x14ac:dyDescent="0.3">
      <c r="C180" s="20"/>
      <c r="D180" s="558">
        <v>125</v>
      </c>
      <c r="E180" s="568" t="str">
        <f ca="1">_xlfn.XLOOKUP(F180,Pareto!S:S,Pareto!T:T)</f>
        <v>Ferraz</v>
      </c>
      <c r="F180" s="1649" t="str">
        <f ca="1">_xlfn.XLOOKUP(K180,Pareto!V:V,Pareto!S:S)</f>
        <v>01 - Clientes com baixa margem de contribuição.</v>
      </c>
      <c r="G180" s="1650"/>
      <c r="H180" s="566" t="str">
        <f ca="1">_xlfn.XLOOKUP(F180,Pareto!S:S,Pareto!X:X)</f>
        <v>⏳ Em Execução</v>
      </c>
      <c r="I180" s="566" t="str">
        <f ca="1">_xlfn.XLOOKUP('5 Unidades  +'!F180,Pareto!S:S,Pareto!Z:Z)</f>
        <v/>
      </c>
      <c r="J180" s="559">
        <f ca="1">_xlfn.XLOOKUP(F180,Pareto!S:S,Pareto!U:U)</f>
        <v>0</v>
      </c>
      <c r="K180" s="559" t="str">
        <f ca="1">IFERROR(LARGE(Pareto!V:V,D180)," ")</f>
        <v xml:space="preserve"> </v>
      </c>
      <c r="L180" s="559" t="str">
        <f ca="1">_xlfn.XLOOKUP(F180,Pareto!S:S,Pareto!W:W)</f>
        <v/>
      </c>
      <c r="M180" s="560" t="e">
        <f t="shared" ca="1" si="4"/>
        <v>#VALUE!</v>
      </c>
      <c r="N180" s="20"/>
      <c r="O180" s="20"/>
      <c r="P180" s="20"/>
      <c r="Q180" s="20"/>
      <c r="R180" s="20"/>
      <c r="S180" s="20"/>
      <c r="T180" s="20"/>
      <c r="U180" s="20"/>
      <c r="V180" s="20"/>
      <c r="W180" s="20"/>
      <c r="X180" s="20"/>
      <c r="Y180" s="20"/>
      <c r="Z180" s="20"/>
    </row>
    <row r="181" spans="3:26" ht="15" hidden="1" customHeight="1" x14ac:dyDescent="0.3">
      <c r="C181" s="20"/>
      <c r="D181" s="561">
        <v>126</v>
      </c>
      <c r="E181" s="567" t="str">
        <f ca="1">_xlfn.XLOOKUP(F181,Pareto!S:S,Pareto!T:T)</f>
        <v>Ferraz</v>
      </c>
      <c r="F181" s="1651" t="str">
        <f ca="1">_xlfn.XLOOKUP(K181,Pareto!V:V,Pareto!S:S)</f>
        <v>01 - Clientes com baixa margem de contribuição.</v>
      </c>
      <c r="G181" s="1652"/>
      <c r="H181" s="567" t="str">
        <f ca="1">_xlfn.XLOOKUP(F181,Pareto!S:S,Pareto!X:X)</f>
        <v>⏳ Em Execução</v>
      </c>
      <c r="I181" s="567" t="str">
        <f ca="1">_xlfn.XLOOKUP('5 Unidades  +'!F181,Pareto!S:S,Pareto!Z:Z)</f>
        <v/>
      </c>
      <c r="J181" s="562">
        <f ca="1">_xlfn.XLOOKUP(F181,Pareto!S:S,Pareto!U:U)</f>
        <v>0</v>
      </c>
      <c r="K181" s="562" t="str">
        <f ca="1">IFERROR(LARGE(Pareto!V:V,D181)," ")</f>
        <v xml:space="preserve"> </v>
      </c>
      <c r="L181" s="562" t="str">
        <f ca="1">_xlfn.XLOOKUP(F181,Pareto!S:S,Pareto!W:W)</f>
        <v/>
      </c>
      <c r="M181" s="563" t="e">
        <f t="shared" ca="1" si="4"/>
        <v>#VALUE!</v>
      </c>
      <c r="N181" s="20"/>
      <c r="O181" s="20"/>
      <c r="P181" s="20"/>
      <c r="Q181" s="20"/>
      <c r="R181" s="20"/>
      <c r="S181" s="20"/>
      <c r="T181" s="20"/>
      <c r="U181" s="20"/>
      <c r="V181" s="20"/>
      <c r="W181" s="20"/>
      <c r="X181" s="20"/>
      <c r="Y181" s="20"/>
      <c r="Z181" s="20"/>
    </row>
    <row r="182" spans="3:26" ht="15" hidden="1" customHeight="1" x14ac:dyDescent="0.3">
      <c r="C182" s="20"/>
      <c r="D182" s="558">
        <v>127</v>
      </c>
      <c r="E182" s="568" t="str">
        <f ca="1">_xlfn.XLOOKUP(F182,Pareto!S:S,Pareto!T:T)</f>
        <v>Ferraz</v>
      </c>
      <c r="F182" s="1649" t="str">
        <f ca="1">_xlfn.XLOOKUP(K182,Pareto!V:V,Pareto!S:S)</f>
        <v>01 - Clientes com baixa margem de contribuição.</v>
      </c>
      <c r="G182" s="1650"/>
      <c r="H182" s="566" t="str">
        <f ca="1">_xlfn.XLOOKUP(F182,Pareto!S:S,Pareto!X:X)</f>
        <v>⏳ Em Execução</v>
      </c>
      <c r="I182" s="566" t="str">
        <f ca="1">_xlfn.XLOOKUP('5 Unidades  +'!F182,Pareto!S:S,Pareto!Z:Z)</f>
        <v/>
      </c>
      <c r="J182" s="559">
        <f ca="1">_xlfn.XLOOKUP(F182,Pareto!S:S,Pareto!U:U)</f>
        <v>0</v>
      </c>
      <c r="K182" s="559" t="str">
        <f ca="1">IFERROR(LARGE(Pareto!V:V,D182)," ")</f>
        <v xml:space="preserve"> </v>
      </c>
      <c r="L182" s="559" t="str">
        <f ca="1">_xlfn.XLOOKUP(F182,Pareto!S:S,Pareto!W:W)</f>
        <v/>
      </c>
      <c r="M182" s="560" t="e">
        <f t="shared" ca="1" si="4"/>
        <v>#VALUE!</v>
      </c>
      <c r="N182" s="20"/>
      <c r="O182" s="20"/>
      <c r="P182" s="20"/>
      <c r="Q182" s="20"/>
      <c r="R182" s="20"/>
      <c r="S182" s="20"/>
      <c r="T182" s="20"/>
      <c r="U182" s="20"/>
      <c r="V182" s="20"/>
      <c r="W182" s="20"/>
      <c r="X182" s="20"/>
      <c r="Y182" s="20"/>
      <c r="Z182" s="20"/>
    </row>
    <row r="183" spans="3:26" ht="15" hidden="1" customHeight="1" x14ac:dyDescent="0.3">
      <c r="C183" s="20"/>
      <c r="D183" s="561">
        <v>128</v>
      </c>
      <c r="E183" s="567" t="str">
        <f ca="1">_xlfn.XLOOKUP(F183,Pareto!S:S,Pareto!T:T)</f>
        <v>Ferraz</v>
      </c>
      <c r="F183" s="1651" t="str">
        <f ca="1">_xlfn.XLOOKUP(K183,Pareto!V:V,Pareto!S:S)</f>
        <v>01 - Clientes com baixa margem de contribuição.</v>
      </c>
      <c r="G183" s="1652"/>
      <c r="H183" s="567" t="str">
        <f ca="1">_xlfn.XLOOKUP(F183,Pareto!S:S,Pareto!X:X)</f>
        <v>⏳ Em Execução</v>
      </c>
      <c r="I183" s="567" t="str">
        <f ca="1">_xlfn.XLOOKUP('5 Unidades  +'!F183,Pareto!S:S,Pareto!Z:Z)</f>
        <v/>
      </c>
      <c r="J183" s="562">
        <f ca="1">_xlfn.XLOOKUP(F183,Pareto!S:S,Pareto!U:U)</f>
        <v>0</v>
      </c>
      <c r="K183" s="562" t="str">
        <f ca="1">IFERROR(LARGE(Pareto!V:V,D183)," ")</f>
        <v xml:space="preserve"> </v>
      </c>
      <c r="L183" s="562" t="str">
        <f ca="1">_xlfn.XLOOKUP(F183,Pareto!S:S,Pareto!W:W)</f>
        <v/>
      </c>
      <c r="M183" s="563" t="e">
        <f t="shared" ca="1" si="4"/>
        <v>#VALUE!</v>
      </c>
      <c r="N183" s="20"/>
      <c r="O183" s="20"/>
      <c r="P183" s="20"/>
      <c r="Q183" s="20"/>
      <c r="R183" s="20"/>
      <c r="S183" s="20"/>
      <c r="T183" s="20"/>
      <c r="U183" s="20"/>
      <c r="V183" s="20"/>
      <c r="W183" s="20"/>
      <c r="X183" s="20"/>
      <c r="Y183" s="20"/>
      <c r="Z183" s="20"/>
    </row>
    <row r="184" spans="3:26" ht="15" hidden="1" customHeight="1" x14ac:dyDescent="0.3">
      <c r="C184" s="20"/>
      <c r="D184" s="558">
        <v>129</v>
      </c>
      <c r="E184" s="568" t="str">
        <f ca="1">_xlfn.XLOOKUP(F184,Pareto!S:S,Pareto!T:T)</f>
        <v>Ferraz</v>
      </c>
      <c r="F184" s="1649" t="str">
        <f ca="1">_xlfn.XLOOKUP(K184,Pareto!V:V,Pareto!S:S)</f>
        <v>01 - Clientes com baixa margem de contribuição.</v>
      </c>
      <c r="G184" s="1650"/>
      <c r="H184" s="566" t="str">
        <f ca="1">_xlfn.XLOOKUP(F184,Pareto!S:S,Pareto!X:X)</f>
        <v>⏳ Em Execução</v>
      </c>
      <c r="I184" s="566" t="str">
        <f ca="1">_xlfn.XLOOKUP('5 Unidades  +'!F184,Pareto!S:S,Pareto!Z:Z)</f>
        <v/>
      </c>
      <c r="J184" s="559">
        <f ca="1">_xlfn.XLOOKUP(F184,Pareto!S:S,Pareto!U:U)</f>
        <v>0</v>
      </c>
      <c r="K184" s="559" t="str">
        <f ca="1">IFERROR(LARGE(Pareto!V:V,D184)," ")</f>
        <v xml:space="preserve"> </v>
      </c>
      <c r="L184" s="559" t="str">
        <f ca="1">_xlfn.XLOOKUP(F184,Pareto!S:S,Pareto!W:W)</f>
        <v/>
      </c>
      <c r="M184" s="560" t="e">
        <f t="shared" ref="M184:M247" ca="1" si="5">IF(L184="",-K184,L184-K184)</f>
        <v>#VALUE!</v>
      </c>
      <c r="N184" s="20"/>
      <c r="O184" s="20"/>
      <c r="P184" s="20"/>
      <c r="Q184" s="20"/>
      <c r="R184" s="20"/>
      <c r="S184" s="20"/>
      <c r="T184" s="20"/>
      <c r="U184" s="20"/>
      <c r="V184" s="20"/>
      <c r="W184" s="20"/>
      <c r="X184" s="20"/>
      <c r="Y184" s="20"/>
      <c r="Z184" s="20"/>
    </row>
    <row r="185" spans="3:26" ht="15" hidden="1" customHeight="1" x14ac:dyDescent="0.3">
      <c r="C185" s="20"/>
      <c r="D185" s="561">
        <v>130</v>
      </c>
      <c r="E185" s="567" t="str">
        <f ca="1">_xlfn.XLOOKUP(F185,Pareto!S:S,Pareto!T:T)</f>
        <v>Ferraz</v>
      </c>
      <c r="F185" s="1651" t="str">
        <f ca="1">_xlfn.XLOOKUP(K185,Pareto!V:V,Pareto!S:S)</f>
        <v>01 - Clientes com baixa margem de contribuição.</v>
      </c>
      <c r="G185" s="1652"/>
      <c r="H185" s="567" t="str">
        <f ca="1">_xlfn.XLOOKUP(F185,Pareto!S:S,Pareto!X:X)</f>
        <v>⏳ Em Execução</v>
      </c>
      <c r="I185" s="567" t="str">
        <f ca="1">_xlfn.XLOOKUP('5 Unidades  +'!F185,Pareto!S:S,Pareto!Z:Z)</f>
        <v/>
      </c>
      <c r="J185" s="562">
        <f ca="1">_xlfn.XLOOKUP(F185,Pareto!S:S,Pareto!U:U)</f>
        <v>0</v>
      </c>
      <c r="K185" s="562" t="str">
        <f ca="1">IFERROR(LARGE(Pareto!V:V,D185)," ")</f>
        <v xml:space="preserve"> </v>
      </c>
      <c r="L185" s="562" t="str">
        <f ca="1">_xlfn.XLOOKUP(F185,Pareto!S:S,Pareto!W:W)</f>
        <v/>
      </c>
      <c r="M185" s="563" t="e">
        <f t="shared" ca="1" si="5"/>
        <v>#VALUE!</v>
      </c>
      <c r="N185" s="20"/>
      <c r="O185" s="20"/>
      <c r="P185" s="20"/>
      <c r="Q185" s="20"/>
      <c r="R185" s="20"/>
      <c r="S185" s="20"/>
      <c r="T185" s="20"/>
      <c r="U185" s="20"/>
      <c r="V185" s="20"/>
      <c r="W185" s="20"/>
      <c r="X185" s="20"/>
      <c r="Y185" s="20"/>
      <c r="Z185" s="20"/>
    </row>
    <row r="186" spans="3:26" ht="15" hidden="1" customHeight="1" x14ac:dyDescent="0.3">
      <c r="C186" s="20"/>
      <c r="D186" s="558">
        <v>131</v>
      </c>
      <c r="E186" s="568" t="str">
        <f ca="1">_xlfn.XLOOKUP(F186,Pareto!S:S,Pareto!T:T)</f>
        <v>Ferraz</v>
      </c>
      <c r="F186" s="1649" t="str">
        <f ca="1">_xlfn.XLOOKUP(K186,Pareto!V:V,Pareto!S:S)</f>
        <v>01 - Clientes com baixa margem de contribuição.</v>
      </c>
      <c r="G186" s="1650"/>
      <c r="H186" s="566" t="str">
        <f ca="1">_xlfn.XLOOKUP(F186,Pareto!S:S,Pareto!X:X)</f>
        <v>⏳ Em Execução</v>
      </c>
      <c r="I186" s="566" t="str">
        <f ca="1">_xlfn.XLOOKUP('5 Unidades  +'!F186,Pareto!S:S,Pareto!Z:Z)</f>
        <v/>
      </c>
      <c r="J186" s="559">
        <f ca="1">_xlfn.XLOOKUP(F186,Pareto!S:S,Pareto!U:U)</f>
        <v>0</v>
      </c>
      <c r="K186" s="559" t="str">
        <f ca="1">IFERROR(LARGE(Pareto!V:V,D186)," ")</f>
        <v xml:space="preserve"> </v>
      </c>
      <c r="L186" s="559" t="str">
        <f ca="1">_xlfn.XLOOKUP(F186,Pareto!S:S,Pareto!W:W)</f>
        <v/>
      </c>
      <c r="M186" s="560" t="e">
        <f t="shared" ca="1" si="5"/>
        <v>#VALUE!</v>
      </c>
      <c r="N186" s="20"/>
      <c r="O186" s="20"/>
      <c r="P186" s="20"/>
      <c r="Q186" s="20"/>
      <c r="R186" s="20"/>
      <c r="S186" s="20"/>
      <c r="T186" s="20"/>
      <c r="U186" s="20"/>
      <c r="V186" s="20"/>
      <c r="W186" s="20"/>
      <c r="X186" s="20"/>
      <c r="Y186" s="20"/>
      <c r="Z186" s="20"/>
    </row>
    <row r="187" spans="3:26" ht="15" hidden="1" customHeight="1" x14ac:dyDescent="0.3">
      <c r="C187" s="20"/>
      <c r="D187" s="561">
        <v>132</v>
      </c>
      <c r="E187" s="567" t="str">
        <f ca="1">_xlfn.XLOOKUP(F187,Pareto!S:S,Pareto!T:T)</f>
        <v>Ferraz</v>
      </c>
      <c r="F187" s="1651" t="str">
        <f ca="1">_xlfn.XLOOKUP(K187,Pareto!V:V,Pareto!S:S)</f>
        <v>01 - Clientes com baixa margem de contribuição.</v>
      </c>
      <c r="G187" s="1652"/>
      <c r="H187" s="567" t="str">
        <f ca="1">_xlfn.XLOOKUP(F187,Pareto!S:S,Pareto!X:X)</f>
        <v>⏳ Em Execução</v>
      </c>
      <c r="I187" s="567" t="str">
        <f ca="1">_xlfn.XLOOKUP('5 Unidades  +'!F187,Pareto!S:S,Pareto!Z:Z)</f>
        <v/>
      </c>
      <c r="J187" s="562">
        <f ca="1">_xlfn.XLOOKUP(F187,Pareto!S:S,Pareto!U:U)</f>
        <v>0</v>
      </c>
      <c r="K187" s="562" t="str">
        <f ca="1">IFERROR(LARGE(Pareto!V:V,D187)," ")</f>
        <v xml:space="preserve"> </v>
      </c>
      <c r="L187" s="562" t="str">
        <f ca="1">_xlfn.XLOOKUP(F187,Pareto!S:S,Pareto!W:W)</f>
        <v/>
      </c>
      <c r="M187" s="563" t="e">
        <f t="shared" ca="1" si="5"/>
        <v>#VALUE!</v>
      </c>
      <c r="N187" s="20"/>
      <c r="O187" s="20"/>
      <c r="P187" s="20"/>
      <c r="Q187" s="20"/>
      <c r="R187" s="20"/>
      <c r="S187" s="20"/>
      <c r="T187" s="20"/>
      <c r="U187" s="20"/>
      <c r="V187" s="20"/>
      <c r="W187" s="20"/>
      <c r="X187" s="20"/>
      <c r="Y187" s="20"/>
      <c r="Z187" s="20"/>
    </row>
    <row r="188" spans="3:26" ht="15" hidden="1" customHeight="1" x14ac:dyDescent="0.3">
      <c r="C188" s="20"/>
      <c r="D188" s="558">
        <v>133</v>
      </c>
      <c r="E188" s="568" t="str">
        <f ca="1">_xlfn.XLOOKUP(F188,Pareto!S:S,Pareto!T:T)</f>
        <v>Ferraz</v>
      </c>
      <c r="F188" s="1649" t="str">
        <f ca="1">_xlfn.XLOOKUP(K188,Pareto!V:V,Pareto!S:S)</f>
        <v>01 - Clientes com baixa margem de contribuição.</v>
      </c>
      <c r="G188" s="1650"/>
      <c r="H188" s="566" t="str">
        <f ca="1">_xlfn.XLOOKUP(F188,Pareto!S:S,Pareto!X:X)</f>
        <v>⏳ Em Execução</v>
      </c>
      <c r="I188" s="566" t="str">
        <f ca="1">_xlfn.XLOOKUP('5 Unidades  +'!F188,Pareto!S:S,Pareto!Z:Z)</f>
        <v/>
      </c>
      <c r="J188" s="559">
        <f ca="1">_xlfn.XLOOKUP(F188,Pareto!S:S,Pareto!U:U)</f>
        <v>0</v>
      </c>
      <c r="K188" s="559" t="str">
        <f ca="1">IFERROR(LARGE(Pareto!V:V,D188)," ")</f>
        <v xml:space="preserve"> </v>
      </c>
      <c r="L188" s="559" t="str">
        <f ca="1">_xlfn.XLOOKUP(F188,Pareto!S:S,Pareto!W:W)</f>
        <v/>
      </c>
      <c r="M188" s="560" t="e">
        <f t="shared" ca="1" si="5"/>
        <v>#VALUE!</v>
      </c>
      <c r="N188" s="20"/>
      <c r="O188" s="20"/>
      <c r="P188" s="20"/>
      <c r="Q188" s="20"/>
      <c r="R188" s="20"/>
      <c r="S188" s="20"/>
      <c r="T188" s="20"/>
      <c r="U188" s="20"/>
      <c r="V188" s="20"/>
      <c r="W188" s="20"/>
      <c r="X188" s="20"/>
      <c r="Y188" s="20"/>
      <c r="Z188" s="20"/>
    </row>
    <row r="189" spans="3:26" ht="15" hidden="1" customHeight="1" x14ac:dyDescent="0.3">
      <c r="C189" s="20"/>
      <c r="D189" s="561">
        <v>134</v>
      </c>
      <c r="E189" s="567" t="str">
        <f ca="1">_xlfn.XLOOKUP(F189,Pareto!S:S,Pareto!T:T)</f>
        <v>Ferraz</v>
      </c>
      <c r="F189" s="1651" t="str">
        <f ca="1">_xlfn.XLOOKUP(K189,Pareto!V:V,Pareto!S:S)</f>
        <v>01 - Clientes com baixa margem de contribuição.</v>
      </c>
      <c r="G189" s="1652"/>
      <c r="H189" s="567" t="str">
        <f ca="1">_xlfn.XLOOKUP(F189,Pareto!S:S,Pareto!X:X)</f>
        <v>⏳ Em Execução</v>
      </c>
      <c r="I189" s="567" t="str">
        <f ca="1">_xlfn.XLOOKUP('5 Unidades  +'!F189,Pareto!S:S,Pareto!Z:Z)</f>
        <v/>
      </c>
      <c r="J189" s="562">
        <f ca="1">_xlfn.XLOOKUP(F189,Pareto!S:S,Pareto!U:U)</f>
        <v>0</v>
      </c>
      <c r="K189" s="562" t="str">
        <f ca="1">IFERROR(LARGE(Pareto!V:V,D189)," ")</f>
        <v xml:space="preserve"> </v>
      </c>
      <c r="L189" s="562" t="str">
        <f ca="1">_xlfn.XLOOKUP(F189,Pareto!S:S,Pareto!W:W)</f>
        <v/>
      </c>
      <c r="M189" s="563" t="e">
        <f t="shared" ca="1" si="5"/>
        <v>#VALUE!</v>
      </c>
      <c r="N189" s="20"/>
      <c r="O189" s="20"/>
      <c r="P189" s="20"/>
      <c r="Q189" s="20"/>
      <c r="R189" s="20"/>
      <c r="S189" s="20"/>
      <c r="T189" s="20"/>
      <c r="U189" s="20"/>
      <c r="V189" s="20"/>
      <c r="W189" s="20"/>
      <c r="X189" s="20"/>
      <c r="Y189" s="20"/>
      <c r="Z189" s="20"/>
    </row>
    <row r="190" spans="3:26" ht="15" hidden="1" customHeight="1" x14ac:dyDescent="0.3">
      <c r="C190" s="20"/>
      <c r="D190" s="558">
        <v>135</v>
      </c>
      <c r="E190" s="568" t="str">
        <f ca="1">_xlfn.XLOOKUP(F190,Pareto!S:S,Pareto!T:T)</f>
        <v>Ferraz</v>
      </c>
      <c r="F190" s="1649" t="str">
        <f ca="1">_xlfn.XLOOKUP(K190,Pareto!V:V,Pareto!S:S)</f>
        <v>01 - Clientes com baixa margem de contribuição.</v>
      </c>
      <c r="G190" s="1650"/>
      <c r="H190" s="566" t="str">
        <f ca="1">_xlfn.XLOOKUP(F190,Pareto!S:S,Pareto!X:X)</f>
        <v>⏳ Em Execução</v>
      </c>
      <c r="I190" s="566" t="str">
        <f ca="1">_xlfn.XLOOKUP('5 Unidades  +'!F190,Pareto!S:S,Pareto!Z:Z)</f>
        <v/>
      </c>
      <c r="J190" s="559">
        <f ca="1">_xlfn.XLOOKUP(F190,Pareto!S:S,Pareto!U:U)</f>
        <v>0</v>
      </c>
      <c r="K190" s="559" t="str">
        <f ca="1">IFERROR(LARGE(Pareto!V:V,D190)," ")</f>
        <v xml:space="preserve"> </v>
      </c>
      <c r="L190" s="559" t="str">
        <f ca="1">_xlfn.XLOOKUP(F190,Pareto!S:S,Pareto!W:W)</f>
        <v/>
      </c>
      <c r="M190" s="560" t="e">
        <f t="shared" ca="1" si="5"/>
        <v>#VALUE!</v>
      </c>
      <c r="N190" s="20"/>
      <c r="O190" s="20"/>
      <c r="P190" s="20"/>
      <c r="Q190" s="20"/>
      <c r="R190" s="20"/>
      <c r="S190" s="20"/>
      <c r="T190" s="20"/>
      <c r="U190" s="20"/>
      <c r="V190" s="20"/>
      <c r="W190" s="20"/>
      <c r="X190" s="20"/>
      <c r="Y190" s="20"/>
      <c r="Z190" s="20"/>
    </row>
    <row r="191" spans="3:26" ht="15" hidden="1" customHeight="1" x14ac:dyDescent="0.3">
      <c r="C191" s="20"/>
      <c r="D191" s="561">
        <v>136</v>
      </c>
      <c r="E191" s="567" t="str">
        <f ca="1">_xlfn.XLOOKUP(F191,Pareto!S:S,Pareto!T:T)</f>
        <v>Ferraz</v>
      </c>
      <c r="F191" s="1651" t="str">
        <f ca="1">_xlfn.XLOOKUP(K191,Pareto!V:V,Pareto!S:S)</f>
        <v>01 - Clientes com baixa margem de contribuição.</v>
      </c>
      <c r="G191" s="1652"/>
      <c r="H191" s="567" t="str">
        <f ca="1">_xlfn.XLOOKUP(F191,Pareto!S:S,Pareto!X:X)</f>
        <v>⏳ Em Execução</v>
      </c>
      <c r="I191" s="567" t="str">
        <f ca="1">_xlfn.XLOOKUP('5 Unidades  +'!F191,Pareto!S:S,Pareto!Z:Z)</f>
        <v/>
      </c>
      <c r="J191" s="562">
        <f ca="1">_xlfn.XLOOKUP(F191,Pareto!S:S,Pareto!U:U)</f>
        <v>0</v>
      </c>
      <c r="K191" s="562" t="str">
        <f ca="1">IFERROR(LARGE(Pareto!V:V,D191)," ")</f>
        <v xml:space="preserve"> </v>
      </c>
      <c r="L191" s="562" t="str">
        <f ca="1">_xlfn.XLOOKUP(F191,Pareto!S:S,Pareto!W:W)</f>
        <v/>
      </c>
      <c r="M191" s="563" t="e">
        <f t="shared" ca="1" si="5"/>
        <v>#VALUE!</v>
      </c>
      <c r="N191" s="20"/>
      <c r="O191" s="20"/>
      <c r="P191" s="20"/>
      <c r="Q191" s="20"/>
      <c r="R191" s="20"/>
      <c r="S191" s="20"/>
      <c r="T191" s="20"/>
      <c r="U191" s="20"/>
      <c r="V191" s="20"/>
      <c r="W191" s="20"/>
      <c r="X191" s="20"/>
      <c r="Y191" s="20"/>
      <c r="Z191" s="20"/>
    </row>
    <row r="192" spans="3:26" ht="15" hidden="1" customHeight="1" x14ac:dyDescent="0.3">
      <c r="C192" s="20"/>
      <c r="D192" s="558">
        <v>137</v>
      </c>
      <c r="E192" s="568" t="str">
        <f ca="1">_xlfn.XLOOKUP(F192,Pareto!S:S,Pareto!T:T)</f>
        <v>Ferraz</v>
      </c>
      <c r="F192" s="1649" t="str">
        <f ca="1">_xlfn.XLOOKUP(K192,Pareto!V:V,Pareto!S:S)</f>
        <v>01 - Clientes com baixa margem de contribuição.</v>
      </c>
      <c r="G192" s="1650"/>
      <c r="H192" s="566" t="str">
        <f ca="1">_xlfn.XLOOKUP(F192,Pareto!S:S,Pareto!X:X)</f>
        <v>⏳ Em Execução</v>
      </c>
      <c r="I192" s="566" t="str">
        <f ca="1">_xlfn.XLOOKUP('5 Unidades  +'!F192,Pareto!S:S,Pareto!Z:Z)</f>
        <v/>
      </c>
      <c r="J192" s="559">
        <f ca="1">_xlfn.XLOOKUP(F192,Pareto!S:S,Pareto!U:U)</f>
        <v>0</v>
      </c>
      <c r="K192" s="559" t="str">
        <f ca="1">IFERROR(LARGE(Pareto!V:V,D192)," ")</f>
        <v xml:space="preserve"> </v>
      </c>
      <c r="L192" s="559" t="str">
        <f ca="1">_xlfn.XLOOKUP(F192,Pareto!S:S,Pareto!W:W)</f>
        <v/>
      </c>
      <c r="M192" s="560" t="e">
        <f t="shared" ca="1" si="5"/>
        <v>#VALUE!</v>
      </c>
      <c r="N192" s="20"/>
      <c r="O192" s="20"/>
      <c r="P192" s="20"/>
      <c r="Q192" s="20"/>
      <c r="R192" s="20"/>
      <c r="S192" s="20"/>
      <c r="T192" s="20"/>
      <c r="U192" s="20"/>
      <c r="V192" s="20"/>
      <c r="W192" s="20"/>
      <c r="X192" s="20"/>
      <c r="Y192" s="20"/>
      <c r="Z192" s="20"/>
    </row>
    <row r="193" spans="3:26" ht="15" hidden="1" customHeight="1" x14ac:dyDescent="0.3">
      <c r="C193" s="20"/>
      <c r="D193" s="561">
        <v>138</v>
      </c>
      <c r="E193" s="567" t="str">
        <f ca="1">_xlfn.XLOOKUP(F193,Pareto!S:S,Pareto!T:T)</f>
        <v>Ferraz</v>
      </c>
      <c r="F193" s="1651" t="str">
        <f ca="1">_xlfn.XLOOKUP(K193,Pareto!V:V,Pareto!S:S)</f>
        <v>01 - Clientes com baixa margem de contribuição.</v>
      </c>
      <c r="G193" s="1652"/>
      <c r="H193" s="567" t="str">
        <f ca="1">_xlfn.XLOOKUP(F193,Pareto!S:S,Pareto!X:X)</f>
        <v>⏳ Em Execução</v>
      </c>
      <c r="I193" s="567" t="str">
        <f ca="1">_xlfn.XLOOKUP('5 Unidades  +'!F193,Pareto!S:S,Pareto!Z:Z)</f>
        <v/>
      </c>
      <c r="J193" s="562">
        <f ca="1">_xlfn.XLOOKUP(F193,Pareto!S:S,Pareto!U:U)</f>
        <v>0</v>
      </c>
      <c r="K193" s="562" t="str">
        <f ca="1">IFERROR(LARGE(Pareto!V:V,D193)," ")</f>
        <v xml:space="preserve"> </v>
      </c>
      <c r="L193" s="562" t="str">
        <f ca="1">_xlfn.XLOOKUP(F193,Pareto!S:S,Pareto!W:W)</f>
        <v/>
      </c>
      <c r="M193" s="563" t="e">
        <f t="shared" ca="1" si="5"/>
        <v>#VALUE!</v>
      </c>
      <c r="N193" s="20"/>
      <c r="O193" s="20"/>
      <c r="P193" s="20"/>
      <c r="Q193" s="20"/>
      <c r="R193" s="20"/>
      <c r="S193" s="20"/>
      <c r="T193" s="20"/>
      <c r="U193" s="20"/>
      <c r="V193" s="20"/>
      <c r="W193" s="20"/>
      <c r="X193" s="20"/>
      <c r="Y193" s="20"/>
      <c r="Z193" s="20"/>
    </row>
    <row r="194" spans="3:26" ht="15" hidden="1" customHeight="1" x14ac:dyDescent="0.3">
      <c r="C194" s="20"/>
      <c r="D194" s="558">
        <v>139</v>
      </c>
      <c r="E194" s="568" t="str">
        <f ca="1">_xlfn.XLOOKUP(F194,Pareto!S:S,Pareto!T:T)</f>
        <v>Ferraz</v>
      </c>
      <c r="F194" s="1649" t="str">
        <f ca="1">_xlfn.XLOOKUP(K194,Pareto!V:V,Pareto!S:S)</f>
        <v>01 - Clientes com baixa margem de contribuição.</v>
      </c>
      <c r="G194" s="1650"/>
      <c r="H194" s="566" t="str">
        <f ca="1">_xlfn.XLOOKUP(F194,Pareto!S:S,Pareto!X:X)</f>
        <v>⏳ Em Execução</v>
      </c>
      <c r="I194" s="566" t="str">
        <f ca="1">_xlfn.XLOOKUP('5 Unidades  +'!F194,Pareto!S:S,Pareto!Z:Z)</f>
        <v/>
      </c>
      <c r="J194" s="559">
        <f ca="1">_xlfn.XLOOKUP(F194,Pareto!S:S,Pareto!U:U)</f>
        <v>0</v>
      </c>
      <c r="K194" s="559" t="str">
        <f ca="1">IFERROR(LARGE(Pareto!V:V,D194)," ")</f>
        <v xml:space="preserve"> </v>
      </c>
      <c r="L194" s="559" t="str">
        <f ca="1">_xlfn.XLOOKUP(F194,Pareto!S:S,Pareto!W:W)</f>
        <v/>
      </c>
      <c r="M194" s="560" t="e">
        <f t="shared" ca="1" si="5"/>
        <v>#VALUE!</v>
      </c>
      <c r="N194" s="20"/>
      <c r="O194" s="20"/>
      <c r="P194" s="20"/>
      <c r="Q194" s="20"/>
      <c r="R194" s="20"/>
      <c r="S194" s="20"/>
      <c r="T194" s="20"/>
      <c r="U194" s="20"/>
      <c r="V194" s="20"/>
      <c r="W194" s="20"/>
      <c r="X194" s="20"/>
      <c r="Y194" s="20"/>
      <c r="Z194" s="20"/>
    </row>
    <row r="195" spans="3:26" ht="15" hidden="1" customHeight="1" x14ac:dyDescent="0.3">
      <c r="C195" s="20"/>
      <c r="D195" s="561">
        <v>140</v>
      </c>
      <c r="E195" s="567" t="str">
        <f ca="1">_xlfn.XLOOKUP(F195,Pareto!S:S,Pareto!T:T)</f>
        <v>Ferraz</v>
      </c>
      <c r="F195" s="1651" t="str">
        <f ca="1">_xlfn.XLOOKUP(K195,Pareto!V:V,Pareto!S:S)</f>
        <v>01 - Clientes com baixa margem de contribuição.</v>
      </c>
      <c r="G195" s="1652"/>
      <c r="H195" s="567" t="str">
        <f ca="1">_xlfn.XLOOKUP(F195,Pareto!S:S,Pareto!X:X)</f>
        <v>⏳ Em Execução</v>
      </c>
      <c r="I195" s="567" t="str">
        <f ca="1">_xlfn.XLOOKUP('5 Unidades  +'!F195,Pareto!S:S,Pareto!Z:Z)</f>
        <v/>
      </c>
      <c r="J195" s="562">
        <f ca="1">_xlfn.XLOOKUP(F195,Pareto!S:S,Pareto!U:U)</f>
        <v>0</v>
      </c>
      <c r="K195" s="562" t="str">
        <f ca="1">IFERROR(LARGE(Pareto!V:V,D195)," ")</f>
        <v xml:space="preserve"> </v>
      </c>
      <c r="L195" s="562" t="str">
        <f ca="1">_xlfn.XLOOKUP(F195,Pareto!S:S,Pareto!W:W)</f>
        <v/>
      </c>
      <c r="M195" s="563" t="e">
        <f t="shared" ca="1" si="5"/>
        <v>#VALUE!</v>
      </c>
      <c r="N195" s="20"/>
      <c r="O195" s="20"/>
      <c r="P195" s="20"/>
      <c r="Q195" s="20"/>
      <c r="R195" s="20"/>
      <c r="S195" s="20"/>
      <c r="T195" s="20"/>
      <c r="U195" s="20"/>
      <c r="V195" s="20"/>
      <c r="W195" s="20"/>
      <c r="X195" s="20"/>
      <c r="Y195" s="20"/>
      <c r="Z195" s="20"/>
    </row>
    <row r="196" spans="3:26" ht="15" hidden="1" customHeight="1" x14ac:dyDescent="0.3">
      <c r="C196" s="20"/>
      <c r="D196" s="558">
        <v>141</v>
      </c>
      <c r="E196" s="568" t="str">
        <f ca="1">_xlfn.XLOOKUP(F196,Pareto!S:S,Pareto!T:T)</f>
        <v>Ferraz</v>
      </c>
      <c r="F196" s="1649" t="str">
        <f ca="1">_xlfn.XLOOKUP(K196,Pareto!V:V,Pareto!S:S)</f>
        <v>01 - Clientes com baixa margem de contribuição.</v>
      </c>
      <c r="G196" s="1650"/>
      <c r="H196" s="566" t="str">
        <f ca="1">_xlfn.XLOOKUP(F196,Pareto!S:S,Pareto!X:X)</f>
        <v>⏳ Em Execução</v>
      </c>
      <c r="I196" s="566" t="str">
        <f ca="1">_xlfn.XLOOKUP('5 Unidades  +'!F196,Pareto!S:S,Pareto!Z:Z)</f>
        <v/>
      </c>
      <c r="J196" s="559">
        <f ca="1">_xlfn.XLOOKUP(F196,Pareto!S:S,Pareto!U:U)</f>
        <v>0</v>
      </c>
      <c r="K196" s="559" t="str">
        <f ca="1">IFERROR(LARGE(Pareto!V:V,D196)," ")</f>
        <v xml:space="preserve"> </v>
      </c>
      <c r="L196" s="559" t="str">
        <f ca="1">_xlfn.XLOOKUP(F196,Pareto!S:S,Pareto!W:W)</f>
        <v/>
      </c>
      <c r="M196" s="560" t="e">
        <f t="shared" ca="1" si="5"/>
        <v>#VALUE!</v>
      </c>
      <c r="N196" s="20"/>
      <c r="O196" s="20"/>
      <c r="P196" s="20"/>
      <c r="Q196" s="20"/>
      <c r="R196" s="20"/>
      <c r="S196" s="20"/>
      <c r="T196" s="20"/>
      <c r="U196" s="20"/>
      <c r="V196" s="20"/>
      <c r="W196" s="20"/>
      <c r="X196" s="20"/>
      <c r="Y196" s="20"/>
      <c r="Z196" s="20"/>
    </row>
    <row r="197" spans="3:26" ht="15" hidden="1" customHeight="1" x14ac:dyDescent="0.3">
      <c r="C197" s="20"/>
      <c r="D197" s="561">
        <v>142</v>
      </c>
      <c r="E197" s="567" t="str">
        <f ca="1">_xlfn.XLOOKUP(F197,Pareto!S:S,Pareto!T:T)</f>
        <v>Ferraz</v>
      </c>
      <c r="F197" s="1651" t="str">
        <f ca="1">_xlfn.XLOOKUP(K197,Pareto!V:V,Pareto!S:S)</f>
        <v>01 - Clientes com baixa margem de contribuição.</v>
      </c>
      <c r="G197" s="1652"/>
      <c r="H197" s="567" t="str">
        <f ca="1">_xlfn.XLOOKUP(F197,Pareto!S:S,Pareto!X:X)</f>
        <v>⏳ Em Execução</v>
      </c>
      <c r="I197" s="567" t="str">
        <f ca="1">_xlfn.XLOOKUP('5 Unidades  +'!F197,Pareto!S:S,Pareto!Z:Z)</f>
        <v/>
      </c>
      <c r="J197" s="562">
        <f ca="1">_xlfn.XLOOKUP(F197,Pareto!S:S,Pareto!U:U)</f>
        <v>0</v>
      </c>
      <c r="K197" s="562" t="str">
        <f ca="1">IFERROR(LARGE(Pareto!V:V,D197)," ")</f>
        <v xml:space="preserve"> </v>
      </c>
      <c r="L197" s="562" t="str">
        <f ca="1">_xlfn.XLOOKUP(F197,Pareto!S:S,Pareto!W:W)</f>
        <v/>
      </c>
      <c r="M197" s="563" t="e">
        <f t="shared" ca="1" si="5"/>
        <v>#VALUE!</v>
      </c>
      <c r="N197" s="20"/>
      <c r="O197" s="20"/>
      <c r="P197" s="20"/>
      <c r="Q197" s="20"/>
      <c r="R197" s="20"/>
      <c r="S197" s="20"/>
      <c r="T197" s="20"/>
      <c r="U197" s="20"/>
      <c r="V197" s="20"/>
      <c r="W197" s="20"/>
      <c r="X197" s="20"/>
      <c r="Y197" s="20"/>
      <c r="Z197" s="20"/>
    </row>
    <row r="198" spans="3:26" ht="15" hidden="1" customHeight="1" x14ac:dyDescent="0.3">
      <c r="C198" s="20"/>
      <c r="D198" s="558">
        <v>143</v>
      </c>
      <c r="E198" s="568" t="str">
        <f ca="1">_xlfn.XLOOKUP(F198,Pareto!S:S,Pareto!T:T)</f>
        <v>Ferraz</v>
      </c>
      <c r="F198" s="1649" t="str">
        <f ca="1">_xlfn.XLOOKUP(K198,Pareto!V:V,Pareto!S:S)</f>
        <v>01 - Clientes com baixa margem de contribuição.</v>
      </c>
      <c r="G198" s="1650"/>
      <c r="H198" s="566" t="str">
        <f ca="1">_xlfn.XLOOKUP(F198,Pareto!S:S,Pareto!X:X)</f>
        <v>⏳ Em Execução</v>
      </c>
      <c r="I198" s="566" t="str">
        <f ca="1">_xlfn.XLOOKUP('5 Unidades  +'!F198,Pareto!S:S,Pareto!Z:Z)</f>
        <v/>
      </c>
      <c r="J198" s="559">
        <f ca="1">_xlfn.XLOOKUP(F198,Pareto!S:S,Pareto!U:U)</f>
        <v>0</v>
      </c>
      <c r="K198" s="559" t="str">
        <f ca="1">IFERROR(LARGE(Pareto!V:V,D198)," ")</f>
        <v xml:space="preserve"> </v>
      </c>
      <c r="L198" s="559" t="str">
        <f ca="1">_xlfn.XLOOKUP(F198,Pareto!S:S,Pareto!W:W)</f>
        <v/>
      </c>
      <c r="M198" s="560" t="e">
        <f t="shared" ca="1" si="5"/>
        <v>#VALUE!</v>
      </c>
      <c r="N198" s="20"/>
      <c r="O198" s="20"/>
      <c r="P198" s="20"/>
      <c r="Q198" s="20"/>
      <c r="R198" s="20"/>
      <c r="S198" s="20"/>
      <c r="T198" s="20"/>
      <c r="U198" s="20"/>
      <c r="V198" s="20"/>
      <c r="W198" s="20"/>
      <c r="X198" s="20"/>
      <c r="Y198" s="20"/>
      <c r="Z198" s="20"/>
    </row>
    <row r="199" spans="3:26" ht="15" hidden="1" customHeight="1" x14ac:dyDescent="0.3">
      <c r="C199" s="20"/>
      <c r="D199" s="561">
        <v>144</v>
      </c>
      <c r="E199" s="567" t="str">
        <f ca="1">_xlfn.XLOOKUP(F199,Pareto!S:S,Pareto!T:T)</f>
        <v>Ferraz</v>
      </c>
      <c r="F199" s="1651" t="str">
        <f ca="1">_xlfn.XLOOKUP(K199,Pareto!V:V,Pareto!S:S)</f>
        <v>01 - Clientes com baixa margem de contribuição.</v>
      </c>
      <c r="G199" s="1652"/>
      <c r="H199" s="567" t="str">
        <f ca="1">_xlfn.XLOOKUP(F199,Pareto!S:S,Pareto!X:X)</f>
        <v>⏳ Em Execução</v>
      </c>
      <c r="I199" s="567" t="str">
        <f ca="1">_xlfn.XLOOKUP('5 Unidades  +'!F199,Pareto!S:S,Pareto!Z:Z)</f>
        <v/>
      </c>
      <c r="J199" s="562">
        <f ca="1">_xlfn.XLOOKUP(F199,Pareto!S:S,Pareto!U:U)</f>
        <v>0</v>
      </c>
      <c r="K199" s="562" t="str">
        <f ca="1">IFERROR(LARGE(Pareto!V:V,D199)," ")</f>
        <v xml:space="preserve"> </v>
      </c>
      <c r="L199" s="562" t="str">
        <f ca="1">_xlfn.XLOOKUP(F199,Pareto!S:S,Pareto!W:W)</f>
        <v/>
      </c>
      <c r="M199" s="563" t="e">
        <f t="shared" ca="1" si="5"/>
        <v>#VALUE!</v>
      </c>
      <c r="N199" s="20"/>
      <c r="O199" s="20"/>
      <c r="P199" s="20"/>
      <c r="Q199" s="20"/>
      <c r="R199" s="20"/>
      <c r="S199" s="20"/>
      <c r="T199" s="20"/>
      <c r="U199" s="20"/>
      <c r="V199" s="20"/>
      <c r="W199" s="20"/>
      <c r="X199" s="20"/>
      <c r="Y199" s="20"/>
      <c r="Z199" s="20"/>
    </row>
    <row r="200" spans="3:26" ht="15" hidden="1" customHeight="1" x14ac:dyDescent="0.3">
      <c r="C200" s="20"/>
      <c r="D200" s="558">
        <v>145</v>
      </c>
      <c r="E200" s="568" t="str">
        <f ca="1">_xlfn.XLOOKUP(F200,Pareto!S:S,Pareto!T:T)</f>
        <v>Ferraz</v>
      </c>
      <c r="F200" s="1649" t="str">
        <f ca="1">_xlfn.XLOOKUP(K200,Pareto!V:V,Pareto!S:S)</f>
        <v>01 - Clientes com baixa margem de contribuição.</v>
      </c>
      <c r="G200" s="1650"/>
      <c r="H200" s="566" t="str">
        <f ca="1">_xlfn.XLOOKUP(F200,Pareto!S:S,Pareto!X:X)</f>
        <v>⏳ Em Execução</v>
      </c>
      <c r="I200" s="566" t="str">
        <f ca="1">_xlfn.XLOOKUP('5 Unidades  +'!F200,Pareto!S:S,Pareto!Z:Z)</f>
        <v/>
      </c>
      <c r="J200" s="559">
        <f ca="1">_xlfn.XLOOKUP(F200,Pareto!S:S,Pareto!U:U)</f>
        <v>0</v>
      </c>
      <c r="K200" s="559" t="str">
        <f ca="1">IFERROR(LARGE(Pareto!V:V,D200)," ")</f>
        <v xml:space="preserve"> </v>
      </c>
      <c r="L200" s="559" t="str">
        <f ca="1">_xlfn.XLOOKUP(F200,Pareto!S:S,Pareto!W:W)</f>
        <v/>
      </c>
      <c r="M200" s="560" t="e">
        <f t="shared" ca="1" si="5"/>
        <v>#VALUE!</v>
      </c>
      <c r="N200" s="20"/>
      <c r="O200" s="20"/>
      <c r="P200" s="20"/>
      <c r="Q200" s="20"/>
      <c r="R200" s="20"/>
      <c r="S200" s="20"/>
      <c r="T200" s="20"/>
      <c r="U200" s="20"/>
      <c r="V200" s="20"/>
      <c r="W200" s="20"/>
      <c r="X200" s="20"/>
      <c r="Y200" s="20"/>
      <c r="Z200" s="20"/>
    </row>
    <row r="201" spans="3:26" ht="15" hidden="1" customHeight="1" x14ac:dyDescent="0.3">
      <c r="C201" s="20"/>
      <c r="D201" s="561">
        <v>146</v>
      </c>
      <c r="E201" s="567" t="str">
        <f ca="1">_xlfn.XLOOKUP(F201,Pareto!S:S,Pareto!T:T)</f>
        <v>Ferraz</v>
      </c>
      <c r="F201" s="1651" t="str">
        <f ca="1">_xlfn.XLOOKUP(K201,Pareto!V:V,Pareto!S:S)</f>
        <v>01 - Clientes com baixa margem de contribuição.</v>
      </c>
      <c r="G201" s="1652"/>
      <c r="H201" s="567" t="str">
        <f ca="1">_xlfn.XLOOKUP(F201,Pareto!S:S,Pareto!X:X)</f>
        <v>⏳ Em Execução</v>
      </c>
      <c r="I201" s="567" t="str">
        <f ca="1">_xlfn.XLOOKUP('5 Unidades  +'!F201,Pareto!S:S,Pareto!Z:Z)</f>
        <v/>
      </c>
      <c r="J201" s="562">
        <f ca="1">_xlfn.XLOOKUP(F201,Pareto!S:S,Pareto!U:U)</f>
        <v>0</v>
      </c>
      <c r="K201" s="562" t="str">
        <f ca="1">IFERROR(LARGE(Pareto!V:V,D201)," ")</f>
        <v xml:space="preserve"> </v>
      </c>
      <c r="L201" s="562" t="str">
        <f ca="1">_xlfn.XLOOKUP(F201,Pareto!S:S,Pareto!W:W)</f>
        <v/>
      </c>
      <c r="M201" s="563" t="e">
        <f t="shared" ca="1" si="5"/>
        <v>#VALUE!</v>
      </c>
      <c r="N201" s="20"/>
      <c r="O201" s="20"/>
      <c r="P201" s="20"/>
      <c r="Q201" s="20"/>
      <c r="R201" s="20"/>
      <c r="S201" s="20"/>
      <c r="T201" s="20"/>
      <c r="U201" s="20"/>
      <c r="V201" s="20"/>
      <c r="W201" s="20"/>
      <c r="X201" s="20"/>
      <c r="Y201" s="20"/>
      <c r="Z201" s="20"/>
    </row>
    <row r="202" spans="3:26" ht="15" hidden="1" customHeight="1" x14ac:dyDescent="0.3">
      <c r="C202" s="20"/>
      <c r="D202" s="558">
        <v>147</v>
      </c>
      <c r="E202" s="568" t="str">
        <f ca="1">_xlfn.XLOOKUP(F202,Pareto!S:S,Pareto!T:T)</f>
        <v>Ferraz</v>
      </c>
      <c r="F202" s="1649" t="str">
        <f ca="1">_xlfn.XLOOKUP(K202,Pareto!V:V,Pareto!S:S)</f>
        <v>01 - Clientes com baixa margem de contribuição.</v>
      </c>
      <c r="G202" s="1650"/>
      <c r="H202" s="566" t="str">
        <f ca="1">_xlfn.XLOOKUP(F202,Pareto!S:S,Pareto!X:X)</f>
        <v>⏳ Em Execução</v>
      </c>
      <c r="I202" s="566" t="str">
        <f ca="1">_xlfn.XLOOKUP('5 Unidades  +'!F202,Pareto!S:S,Pareto!Z:Z)</f>
        <v/>
      </c>
      <c r="J202" s="559">
        <f ca="1">_xlfn.XLOOKUP(F202,Pareto!S:S,Pareto!U:U)</f>
        <v>0</v>
      </c>
      <c r="K202" s="559" t="str">
        <f ca="1">IFERROR(LARGE(Pareto!V:V,D202)," ")</f>
        <v xml:space="preserve"> </v>
      </c>
      <c r="L202" s="559" t="str">
        <f ca="1">_xlfn.XLOOKUP(F202,Pareto!S:S,Pareto!W:W)</f>
        <v/>
      </c>
      <c r="M202" s="560" t="e">
        <f t="shared" ca="1" si="5"/>
        <v>#VALUE!</v>
      </c>
      <c r="N202" s="20"/>
      <c r="O202" s="20"/>
      <c r="P202" s="20"/>
      <c r="Q202" s="20"/>
      <c r="R202" s="20"/>
      <c r="S202" s="20"/>
      <c r="T202" s="20"/>
      <c r="U202" s="20"/>
      <c r="V202" s="20"/>
      <c r="W202" s="20"/>
      <c r="X202" s="20"/>
      <c r="Y202" s="20"/>
      <c r="Z202" s="20"/>
    </row>
    <row r="203" spans="3:26" ht="15" hidden="1" customHeight="1" x14ac:dyDescent="0.3">
      <c r="C203" s="20"/>
      <c r="D203" s="561">
        <v>148</v>
      </c>
      <c r="E203" s="567" t="str">
        <f ca="1">_xlfn.XLOOKUP(F203,Pareto!S:S,Pareto!T:T)</f>
        <v>Ferraz</v>
      </c>
      <c r="F203" s="1651" t="str">
        <f ca="1">_xlfn.XLOOKUP(K203,Pareto!V:V,Pareto!S:S)</f>
        <v>01 - Clientes com baixa margem de contribuição.</v>
      </c>
      <c r="G203" s="1652"/>
      <c r="H203" s="567" t="str">
        <f ca="1">_xlfn.XLOOKUP(F203,Pareto!S:S,Pareto!X:X)</f>
        <v>⏳ Em Execução</v>
      </c>
      <c r="I203" s="567" t="str">
        <f ca="1">_xlfn.XLOOKUP('5 Unidades  +'!F203,Pareto!S:S,Pareto!Z:Z)</f>
        <v/>
      </c>
      <c r="J203" s="562">
        <f ca="1">_xlfn.XLOOKUP(F203,Pareto!S:S,Pareto!U:U)</f>
        <v>0</v>
      </c>
      <c r="K203" s="562" t="str">
        <f ca="1">IFERROR(LARGE(Pareto!V:V,D203)," ")</f>
        <v xml:space="preserve"> </v>
      </c>
      <c r="L203" s="562" t="str">
        <f ca="1">_xlfn.XLOOKUP(F203,Pareto!S:S,Pareto!W:W)</f>
        <v/>
      </c>
      <c r="M203" s="563" t="e">
        <f t="shared" ca="1" si="5"/>
        <v>#VALUE!</v>
      </c>
      <c r="N203" s="20"/>
      <c r="O203" s="20"/>
      <c r="P203" s="20"/>
      <c r="Q203" s="20"/>
      <c r="R203" s="20"/>
      <c r="S203" s="20"/>
      <c r="T203" s="20"/>
      <c r="U203" s="20"/>
      <c r="V203" s="20"/>
      <c r="W203" s="20"/>
      <c r="X203" s="20"/>
      <c r="Y203" s="20"/>
      <c r="Z203" s="20"/>
    </row>
    <row r="204" spans="3:26" ht="15" hidden="1" customHeight="1" x14ac:dyDescent="0.3">
      <c r="C204" s="20"/>
      <c r="D204" s="558">
        <v>149</v>
      </c>
      <c r="E204" s="568" t="str">
        <f ca="1">_xlfn.XLOOKUP(F204,Pareto!S:S,Pareto!T:T)</f>
        <v>Ferraz</v>
      </c>
      <c r="F204" s="1649" t="str">
        <f ca="1">_xlfn.XLOOKUP(K204,Pareto!V:V,Pareto!S:S)</f>
        <v>01 - Clientes com baixa margem de contribuição.</v>
      </c>
      <c r="G204" s="1650"/>
      <c r="H204" s="566" t="str">
        <f ca="1">_xlfn.XLOOKUP(F204,Pareto!S:S,Pareto!X:X)</f>
        <v>⏳ Em Execução</v>
      </c>
      <c r="I204" s="566" t="str">
        <f ca="1">_xlfn.XLOOKUP('5 Unidades  +'!F204,Pareto!S:S,Pareto!Z:Z)</f>
        <v/>
      </c>
      <c r="J204" s="559">
        <f ca="1">_xlfn.XLOOKUP(F204,Pareto!S:S,Pareto!U:U)</f>
        <v>0</v>
      </c>
      <c r="K204" s="559" t="str">
        <f ca="1">IFERROR(LARGE(Pareto!V:V,D204)," ")</f>
        <v xml:space="preserve"> </v>
      </c>
      <c r="L204" s="559" t="str">
        <f ca="1">_xlfn.XLOOKUP(F204,Pareto!S:S,Pareto!W:W)</f>
        <v/>
      </c>
      <c r="M204" s="560" t="e">
        <f t="shared" ca="1" si="5"/>
        <v>#VALUE!</v>
      </c>
      <c r="N204" s="20"/>
      <c r="O204" s="20"/>
      <c r="P204" s="20"/>
      <c r="Q204" s="20"/>
      <c r="R204" s="20"/>
      <c r="S204" s="20"/>
      <c r="T204" s="20"/>
      <c r="U204" s="20"/>
      <c r="V204" s="20"/>
      <c r="W204" s="20"/>
      <c r="X204" s="20"/>
      <c r="Y204" s="20"/>
      <c r="Z204" s="20"/>
    </row>
    <row r="205" spans="3:26" ht="15" hidden="1" customHeight="1" x14ac:dyDescent="0.3">
      <c r="C205" s="20"/>
      <c r="D205" s="561">
        <v>150</v>
      </c>
      <c r="E205" s="567" t="str">
        <f ca="1">_xlfn.XLOOKUP(F205,Pareto!S:S,Pareto!T:T)</f>
        <v>Ferraz</v>
      </c>
      <c r="F205" s="1651" t="str">
        <f ca="1">_xlfn.XLOOKUP(K205,Pareto!V:V,Pareto!S:S)</f>
        <v>01 - Clientes com baixa margem de contribuição.</v>
      </c>
      <c r="G205" s="1652"/>
      <c r="H205" s="567" t="str">
        <f ca="1">_xlfn.XLOOKUP(F205,Pareto!S:S,Pareto!X:X)</f>
        <v>⏳ Em Execução</v>
      </c>
      <c r="I205" s="567" t="str">
        <f ca="1">_xlfn.XLOOKUP('5 Unidades  +'!F205,Pareto!S:S,Pareto!Z:Z)</f>
        <v/>
      </c>
      <c r="J205" s="562">
        <f ca="1">_xlfn.XLOOKUP(F205,Pareto!S:S,Pareto!U:U)</f>
        <v>0</v>
      </c>
      <c r="K205" s="562" t="str">
        <f ca="1">IFERROR(LARGE(Pareto!V:V,D205)," ")</f>
        <v xml:space="preserve"> </v>
      </c>
      <c r="L205" s="562" t="str">
        <f ca="1">_xlfn.XLOOKUP(F205,Pareto!S:S,Pareto!W:W)</f>
        <v/>
      </c>
      <c r="M205" s="563" t="e">
        <f t="shared" ca="1" si="5"/>
        <v>#VALUE!</v>
      </c>
      <c r="N205" s="20"/>
      <c r="O205" s="20"/>
      <c r="P205" s="20"/>
      <c r="Q205" s="20"/>
      <c r="R205" s="20"/>
      <c r="S205" s="20"/>
      <c r="T205" s="20"/>
      <c r="U205" s="20"/>
      <c r="V205" s="20"/>
      <c r="W205" s="20"/>
      <c r="X205" s="20"/>
      <c r="Y205" s="20"/>
      <c r="Z205" s="20"/>
    </row>
    <row r="206" spans="3:26" ht="15" hidden="1" customHeight="1" x14ac:dyDescent="0.3">
      <c r="C206" s="20"/>
      <c r="D206" s="558">
        <v>151</v>
      </c>
      <c r="E206" s="568" t="str">
        <f ca="1">_xlfn.XLOOKUP(F206,Pareto!S:S,Pareto!T:T)</f>
        <v>Ferraz</v>
      </c>
      <c r="F206" s="1649" t="str">
        <f ca="1">_xlfn.XLOOKUP(K206,Pareto!V:V,Pareto!S:S)</f>
        <v>01 - Clientes com baixa margem de contribuição.</v>
      </c>
      <c r="G206" s="1650"/>
      <c r="H206" s="566" t="str">
        <f ca="1">_xlfn.XLOOKUP(F206,Pareto!S:S,Pareto!X:X)</f>
        <v>⏳ Em Execução</v>
      </c>
      <c r="I206" s="566" t="str">
        <f ca="1">_xlfn.XLOOKUP('5 Unidades  +'!F206,Pareto!S:S,Pareto!Z:Z)</f>
        <v/>
      </c>
      <c r="J206" s="559">
        <f ca="1">_xlfn.XLOOKUP(F206,Pareto!S:S,Pareto!U:U)</f>
        <v>0</v>
      </c>
      <c r="K206" s="559" t="str">
        <f ca="1">IFERROR(LARGE(Pareto!V:V,D206)," ")</f>
        <v xml:space="preserve"> </v>
      </c>
      <c r="L206" s="559" t="str">
        <f ca="1">_xlfn.XLOOKUP(F206,Pareto!S:S,Pareto!W:W)</f>
        <v/>
      </c>
      <c r="M206" s="560" t="e">
        <f t="shared" ca="1" si="5"/>
        <v>#VALUE!</v>
      </c>
      <c r="N206" s="20"/>
      <c r="O206" s="20"/>
      <c r="P206" s="20"/>
      <c r="Q206" s="20"/>
      <c r="R206" s="20"/>
      <c r="S206" s="20"/>
      <c r="T206" s="20"/>
      <c r="U206" s="20"/>
      <c r="V206" s="20"/>
      <c r="W206" s="20"/>
      <c r="X206" s="20"/>
      <c r="Y206" s="20"/>
      <c r="Z206" s="20"/>
    </row>
    <row r="207" spans="3:26" ht="15" hidden="1" customHeight="1" x14ac:dyDescent="0.3">
      <c r="C207" s="20"/>
      <c r="D207" s="561">
        <v>152</v>
      </c>
      <c r="E207" s="567" t="str">
        <f ca="1">_xlfn.XLOOKUP(F207,Pareto!S:S,Pareto!T:T)</f>
        <v>Ferraz</v>
      </c>
      <c r="F207" s="1651" t="str">
        <f ca="1">_xlfn.XLOOKUP(K207,Pareto!V:V,Pareto!S:S)</f>
        <v>01 - Clientes com baixa margem de contribuição.</v>
      </c>
      <c r="G207" s="1652"/>
      <c r="H207" s="567" t="str">
        <f ca="1">_xlfn.XLOOKUP(F207,Pareto!S:S,Pareto!X:X)</f>
        <v>⏳ Em Execução</v>
      </c>
      <c r="I207" s="567" t="str">
        <f ca="1">_xlfn.XLOOKUP('5 Unidades  +'!F207,Pareto!S:S,Pareto!Z:Z)</f>
        <v/>
      </c>
      <c r="J207" s="562">
        <f ca="1">_xlfn.XLOOKUP(F207,Pareto!S:S,Pareto!U:U)</f>
        <v>0</v>
      </c>
      <c r="K207" s="562" t="str">
        <f ca="1">IFERROR(LARGE(Pareto!V:V,D207)," ")</f>
        <v xml:space="preserve"> </v>
      </c>
      <c r="L207" s="562" t="str">
        <f ca="1">_xlfn.XLOOKUP(F207,Pareto!S:S,Pareto!W:W)</f>
        <v/>
      </c>
      <c r="M207" s="563" t="e">
        <f t="shared" ca="1" si="5"/>
        <v>#VALUE!</v>
      </c>
      <c r="N207" s="20"/>
      <c r="O207" s="20"/>
      <c r="P207" s="20"/>
      <c r="Q207" s="20"/>
      <c r="R207" s="20"/>
      <c r="S207" s="20"/>
      <c r="T207" s="20"/>
      <c r="U207" s="20"/>
      <c r="V207" s="20"/>
      <c r="W207" s="20"/>
      <c r="X207" s="20"/>
      <c r="Y207" s="20"/>
      <c r="Z207" s="20"/>
    </row>
    <row r="208" spans="3:26" ht="15" hidden="1" customHeight="1" x14ac:dyDescent="0.3">
      <c r="C208" s="20"/>
      <c r="D208" s="558">
        <v>153</v>
      </c>
      <c r="E208" s="568" t="str">
        <f ca="1">_xlfn.XLOOKUP(F208,Pareto!S:S,Pareto!T:T)</f>
        <v>Ferraz</v>
      </c>
      <c r="F208" s="1649" t="str">
        <f ca="1">_xlfn.XLOOKUP(K208,Pareto!V:V,Pareto!S:S)</f>
        <v>01 - Clientes com baixa margem de contribuição.</v>
      </c>
      <c r="G208" s="1650"/>
      <c r="H208" s="566" t="str">
        <f ca="1">_xlfn.XLOOKUP(F208,Pareto!S:S,Pareto!X:X)</f>
        <v>⏳ Em Execução</v>
      </c>
      <c r="I208" s="566" t="str">
        <f ca="1">_xlfn.XLOOKUP('5 Unidades  +'!F208,Pareto!S:S,Pareto!Z:Z)</f>
        <v/>
      </c>
      <c r="J208" s="559">
        <f ca="1">_xlfn.XLOOKUP(F208,Pareto!S:S,Pareto!U:U)</f>
        <v>0</v>
      </c>
      <c r="K208" s="559" t="str">
        <f ca="1">IFERROR(LARGE(Pareto!V:V,D208)," ")</f>
        <v xml:space="preserve"> </v>
      </c>
      <c r="L208" s="559" t="str">
        <f ca="1">_xlfn.XLOOKUP(F208,Pareto!S:S,Pareto!W:W)</f>
        <v/>
      </c>
      <c r="M208" s="560" t="e">
        <f t="shared" ca="1" si="5"/>
        <v>#VALUE!</v>
      </c>
      <c r="N208" s="20"/>
      <c r="O208" s="20"/>
      <c r="P208" s="20"/>
      <c r="Q208" s="20"/>
      <c r="R208" s="20"/>
      <c r="S208" s="20"/>
      <c r="T208" s="20"/>
      <c r="U208" s="20"/>
      <c r="V208" s="20"/>
      <c r="W208" s="20"/>
      <c r="X208" s="20"/>
      <c r="Y208" s="20"/>
      <c r="Z208" s="20"/>
    </row>
    <row r="209" spans="3:26" ht="15" hidden="1" customHeight="1" x14ac:dyDescent="0.3">
      <c r="C209" s="20"/>
      <c r="D209" s="561">
        <v>154</v>
      </c>
      <c r="E209" s="567" t="str">
        <f ca="1">_xlfn.XLOOKUP(F209,Pareto!S:S,Pareto!T:T)</f>
        <v>Ferraz</v>
      </c>
      <c r="F209" s="1651" t="str">
        <f ca="1">_xlfn.XLOOKUP(K209,Pareto!V:V,Pareto!S:S)</f>
        <v>01 - Clientes com baixa margem de contribuição.</v>
      </c>
      <c r="G209" s="1652"/>
      <c r="H209" s="567" t="str">
        <f ca="1">_xlfn.XLOOKUP(F209,Pareto!S:S,Pareto!X:X)</f>
        <v>⏳ Em Execução</v>
      </c>
      <c r="I209" s="567" t="str">
        <f ca="1">_xlfn.XLOOKUP('5 Unidades  +'!F209,Pareto!S:S,Pareto!Z:Z)</f>
        <v/>
      </c>
      <c r="J209" s="562">
        <f ca="1">_xlfn.XLOOKUP(F209,Pareto!S:S,Pareto!U:U)</f>
        <v>0</v>
      </c>
      <c r="K209" s="562" t="str">
        <f ca="1">IFERROR(LARGE(Pareto!V:V,D209)," ")</f>
        <v xml:space="preserve"> </v>
      </c>
      <c r="L209" s="562" t="str">
        <f ca="1">_xlfn.XLOOKUP(F209,Pareto!S:S,Pareto!W:W)</f>
        <v/>
      </c>
      <c r="M209" s="563" t="e">
        <f t="shared" ca="1" si="5"/>
        <v>#VALUE!</v>
      </c>
      <c r="N209" s="20"/>
      <c r="O209" s="20"/>
      <c r="P209" s="20"/>
      <c r="Q209" s="20"/>
      <c r="R209" s="20"/>
      <c r="S209" s="20"/>
      <c r="T209" s="20"/>
      <c r="U209" s="20"/>
      <c r="V209" s="20"/>
      <c r="W209" s="20"/>
      <c r="X209" s="20"/>
      <c r="Y209" s="20"/>
      <c r="Z209" s="20"/>
    </row>
    <row r="210" spans="3:26" ht="15" hidden="1" customHeight="1" x14ac:dyDescent="0.3">
      <c r="C210" s="20"/>
      <c r="D210" s="558">
        <v>155</v>
      </c>
      <c r="E210" s="568" t="str">
        <f ca="1">_xlfn.XLOOKUP(F210,Pareto!S:S,Pareto!T:T)</f>
        <v>Ferraz</v>
      </c>
      <c r="F210" s="1649" t="str">
        <f ca="1">_xlfn.XLOOKUP(K210,Pareto!V:V,Pareto!S:S)</f>
        <v>01 - Clientes com baixa margem de contribuição.</v>
      </c>
      <c r="G210" s="1650"/>
      <c r="H210" s="566" t="str">
        <f ca="1">_xlfn.XLOOKUP(F210,Pareto!S:S,Pareto!X:X)</f>
        <v>⏳ Em Execução</v>
      </c>
      <c r="I210" s="566" t="str">
        <f ca="1">_xlfn.XLOOKUP('5 Unidades  +'!F210,Pareto!S:S,Pareto!Z:Z)</f>
        <v/>
      </c>
      <c r="J210" s="559">
        <f ca="1">_xlfn.XLOOKUP(F210,Pareto!S:S,Pareto!U:U)</f>
        <v>0</v>
      </c>
      <c r="K210" s="559" t="str">
        <f ca="1">IFERROR(LARGE(Pareto!V:V,D210)," ")</f>
        <v xml:space="preserve"> </v>
      </c>
      <c r="L210" s="559" t="str">
        <f ca="1">_xlfn.XLOOKUP(F210,Pareto!S:S,Pareto!W:W)</f>
        <v/>
      </c>
      <c r="M210" s="560" t="e">
        <f t="shared" ca="1" si="5"/>
        <v>#VALUE!</v>
      </c>
      <c r="N210" s="20"/>
      <c r="O210" s="20"/>
      <c r="P210" s="20"/>
      <c r="Q210" s="20"/>
      <c r="R210" s="20"/>
      <c r="S210" s="20"/>
      <c r="T210" s="20"/>
      <c r="U210" s="20"/>
      <c r="V210" s="20"/>
      <c r="W210" s="20"/>
      <c r="X210" s="20"/>
      <c r="Y210" s="20"/>
      <c r="Z210" s="20"/>
    </row>
    <row r="211" spans="3:26" ht="15" hidden="1" customHeight="1" x14ac:dyDescent="0.3">
      <c r="C211" s="20"/>
      <c r="D211" s="561">
        <v>156</v>
      </c>
      <c r="E211" s="567" t="str">
        <f ca="1">_xlfn.XLOOKUP(F211,Pareto!S:S,Pareto!T:T)</f>
        <v>Ferraz</v>
      </c>
      <c r="F211" s="1651" t="str">
        <f ca="1">_xlfn.XLOOKUP(K211,Pareto!V:V,Pareto!S:S)</f>
        <v>01 - Clientes com baixa margem de contribuição.</v>
      </c>
      <c r="G211" s="1652"/>
      <c r="H211" s="567" t="str">
        <f ca="1">_xlfn.XLOOKUP(F211,Pareto!S:S,Pareto!X:X)</f>
        <v>⏳ Em Execução</v>
      </c>
      <c r="I211" s="567" t="str">
        <f ca="1">_xlfn.XLOOKUP('5 Unidades  +'!F211,Pareto!S:S,Pareto!Z:Z)</f>
        <v/>
      </c>
      <c r="J211" s="562">
        <f ca="1">_xlfn.XLOOKUP(F211,Pareto!S:S,Pareto!U:U)</f>
        <v>0</v>
      </c>
      <c r="K211" s="562" t="str">
        <f ca="1">IFERROR(LARGE(Pareto!V:V,D211)," ")</f>
        <v xml:space="preserve"> </v>
      </c>
      <c r="L211" s="562" t="str">
        <f ca="1">_xlfn.XLOOKUP(F211,Pareto!S:S,Pareto!W:W)</f>
        <v/>
      </c>
      <c r="M211" s="563" t="e">
        <f t="shared" ca="1" si="5"/>
        <v>#VALUE!</v>
      </c>
      <c r="N211" s="20"/>
      <c r="O211" s="20"/>
      <c r="P211" s="20"/>
      <c r="Q211" s="20"/>
      <c r="R211" s="20"/>
      <c r="S211" s="20"/>
      <c r="T211" s="20"/>
      <c r="U211" s="20"/>
      <c r="V211" s="20"/>
      <c r="W211" s="20"/>
      <c r="X211" s="20"/>
      <c r="Y211" s="20"/>
      <c r="Z211" s="20"/>
    </row>
    <row r="212" spans="3:26" ht="15" hidden="1" customHeight="1" x14ac:dyDescent="0.3">
      <c r="C212" s="20"/>
      <c r="D212" s="558">
        <v>157</v>
      </c>
      <c r="E212" s="568" t="str">
        <f ca="1">_xlfn.XLOOKUP(F212,Pareto!S:S,Pareto!T:T)</f>
        <v>Ferraz</v>
      </c>
      <c r="F212" s="1649" t="str">
        <f ca="1">_xlfn.XLOOKUP(K212,Pareto!V:V,Pareto!S:S)</f>
        <v>01 - Clientes com baixa margem de contribuição.</v>
      </c>
      <c r="G212" s="1650"/>
      <c r="H212" s="566" t="str">
        <f ca="1">_xlfn.XLOOKUP(F212,Pareto!S:S,Pareto!X:X)</f>
        <v>⏳ Em Execução</v>
      </c>
      <c r="I212" s="566" t="str">
        <f ca="1">_xlfn.XLOOKUP('5 Unidades  +'!F212,Pareto!S:S,Pareto!Z:Z)</f>
        <v/>
      </c>
      <c r="J212" s="559">
        <f ca="1">_xlfn.XLOOKUP(F212,Pareto!S:S,Pareto!U:U)</f>
        <v>0</v>
      </c>
      <c r="K212" s="559" t="str">
        <f ca="1">IFERROR(LARGE(Pareto!V:V,D212)," ")</f>
        <v xml:space="preserve"> </v>
      </c>
      <c r="L212" s="559" t="str">
        <f ca="1">_xlfn.XLOOKUP(F212,Pareto!S:S,Pareto!W:W)</f>
        <v/>
      </c>
      <c r="M212" s="560" t="e">
        <f t="shared" ca="1" si="5"/>
        <v>#VALUE!</v>
      </c>
      <c r="N212" s="20"/>
      <c r="O212" s="20"/>
      <c r="P212" s="20"/>
      <c r="Q212" s="20"/>
      <c r="R212" s="20"/>
      <c r="S212" s="20"/>
      <c r="T212" s="20"/>
      <c r="U212" s="20"/>
      <c r="V212" s="20"/>
      <c r="W212" s="20"/>
      <c r="X212" s="20"/>
      <c r="Y212" s="20"/>
      <c r="Z212" s="20"/>
    </row>
    <row r="213" spans="3:26" ht="15" hidden="1" customHeight="1" x14ac:dyDescent="0.3">
      <c r="C213" s="20"/>
      <c r="D213" s="561">
        <v>158</v>
      </c>
      <c r="E213" s="567" t="str">
        <f ca="1">_xlfn.XLOOKUP(F213,Pareto!S:S,Pareto!T:T)</f>
        <v>Ferraz</v>
      </c>
      <c r="F213" s="1651" t="str">
        <f ca="1">_xlfn.XLOOKUP(K213,Pareto!V:V,Pareto!S:S)</f>
        <v>01 - Clientes com baixa margem de contribuição.</v>
      </c>
      <c r="G213" s="1652"/>
      <c r="H213" s="567" t="str">
        <f ca="1">_xlfn.XLOOKUP(F213,Pareto!S:S,Pareto!X:X)</f>
        <v>⏳ Em Execução</v>
      </c>
      <c r="I213" s="567" t="str">
        <f ca="1">_xlfn.XLOOKUP('5 Unidades  +'!F213,Pareto!S:S,Pareto!Z:Z)</f>
        <v/>
      </c>
      <c r="J213" s="562">
        <f ca="1">_xlfn.XLOOKUP(F213,Pareto!S:S,Pareto!U:U)</f>
        <v>0</v>
      </c>
      <c r="K213" s="562" t="str">
        <f ca="1">IFERROR(LARGE(Pareto!V:V,D213)," ")</f>
        <v xml:space="preserve"> </v>
      </c>
      <c r="L213" s="562" t="str">
        <f ca="1">_xlfn.XLOOKUP(F213,Pareto!S:S,Pareto!W:W)</f>
        <v/>
      </c>
      <c r="M213" s="563" t="e">
        <f t="shared" ca="1" si="5"/>
        <v>#VALUE!</v>
      </c>
      <c r="N213" s="20"/>
      <c r="O213" s="20"/>
      <c r="P213" s="20"/>
      <c r="Q213" s="20"/>
      <c r="R213" s="20"/>
      <c r="S213" s="20"/>
      <c r="T213" s="20"/>
      <c r="U213" s="20"/>
      <c r="V213" s="20"/>
      <c r="W213" s="20"/>
      <c r="X213" s="20"/>
      <c r="Y213" s="20"/>
      <c r="Z213" s="20"/>
    </row>
    <row r="214" spans="3:26" ht="15" hidden="1" customHeight="1" x14ac:dyDescent="0.3">
      <c r="C214" s="20"/>
      <c r="D214" s="558">
        <v>159</v>
      </c>
      <c r="E214" s="568" t="str">
        <f ca="1">_xlfn.XLOOKUP(F214,Pareto!S:S,Pareto!T:T)</f>
        <v>Ferraz</v>
      </c>
      <c r="F214" s="1649" t="str">
        <f ca="1">_xlfn.XLOOKUP(K214,Pareto!V:V,Pareto!S:S)</f>
        <v>01 - Clientes com baixa margem de contribuição.</v>
      </c>
      <c r="G214" s="1650"/>
      <c r="H214" s="566" t="str">
        <f ca="1">_xlfn.XLOOKUP(F214,Pareto!S:S,Pareto!X:X)</f>
        <v>⏳ Em Execução</v>
      </c>
      <c r="I214" s="566" t="str">
        <f ca="1">_xlfn.XLOOKUP('5 Unidades  +'!F214,Pareto!S:S,Pareto!Z:Z)</f>
        <v/>
      </c>
      <c r="J214" s="559">
        <f ca="1">_xlfn.XLOOKUP(F214,Pareto!S:S,Pareto!U:U)</f>
        <v>0</v>
      </c>
      <c r="K214" s="559" t="str">
        <f ca="1">IFERROR(LARGE(Pareto!V:V,D214)," ")</f>
        <v xml:space="preserve"> </v>
      </c>
      <c r="L214" s="559" t="str">
        <f ca="1">_xlfn.XLOOKUP(F214,Pareto!S:S,Pareto!W:W)</f>
        <v/>
      </c>
      <c r="M214" s="560" t="e">
        <f t="shared" ca="1" si="5"/>
        <v>#VALUE!</v>
      </c>
      <c r="N214" s="20"/>
      <c r="O214" s="20"/>
      <c r="P214" s="20"/>
      <c r="Q214" s="20"/>
      <c r="R214" s="20"/>
      <c r="S214" s="20"/>
      <c r="T214" s="20"/>
      <c r="U214" s="20"/>
      <c r="V214" s="20"/>
      <c r="W214" s="20"/>
      <c r="X214" s="20"/>
      <c r="Y214" s="20"/>
      <c r="Z214" s="20"/>
    </row>
    <row r="215" spans="3:26" ht="15" hidden="1" customHeight="1" x14ac:dyDescent="0.3">
      <c r="C215" s="20"/>
      <c r="D215" s="561">
        <v>160</v>
      </c>
      <c r="E215" s="567" t="str">
        <f ca="1">_xlfn.XLOOKUP(F215,Pareto!S:S,Pareto!T:T)</f>
        <v>Ferraz</v>
      </c>
      <c r="F215" s="1651" t="str">
        <f ca="1">_xlfn.XLOOKUP(K215,Pareto!V:V,Pareto!S:S)</f>
        <v>01 - Clientes com baixa margem de contribuição.</v>
      </c>
      <c r="G215" s="1652"/>
      <c r="H215" s="567" t="str">
        <f ca="1">_xlfn.XLOOKUP(F215,Pareto!S:S,Pareto!X:X)</f>
        <v>⏳ Em Execução</v>
      </c>
      <c r="I215" s="567" t="str">
        <f ca="1">_xlfn.XLOOKUP('5 Unidades  +'!F215,Pareto!S:S,Pareto!Z:Z)</f>
        <v/>
      </c>
      <c r="J215" s="562">
        <f ca="1">_xlfn.XLOOKUP(F215,Pareto!S:S,Pareto!U:U)</f>
        <v>0</v>
      </c>
      <c r="K215" s="562" t="str">
        <f ca="1">IFERROR(LARGE(Pareto!V:V,D215)," ")</f>
        <v xml:space="preserve"> </v>
      </c>
      <c r="L215" s="562" t="str">
        <f ca="1">_xlfn.XLOOKUP(F215,Pareto!S:S,Pareto!W:W)</f>
        <v/>
      </c>
      <c r="M215" s="563" t="e">
        <f t="shared" ca="1" si="5"/>
        <v>#VALUE!</v>
      </c>
      <c r="N215" s="20"/>
      <c r="O215" s="20"/>
      <c r="P215" s="20"/>
      <c r="Q215" s="20"/>
      <c r="R215" s="20"/>
      <c r="S215" s="20"/>
      <c r="T215" s="20"/>
      <c r="U215" s="20"/>
      <c r="V215" s="20"/>
      <c r="W215" s="20"/>
      <c r="X215" s="20"/>
      <c r="Y215" s="20"/>
      <c r="Z215" s="20"/>
    </row>
    <row r="216" spans="3:26" ht="15" hidden="1" customHeight="1" x14ac:dyDescent="0.3">
      <c r="C216" s="20"/>
      <c r="D216" s="558">
        <v>161</v>
      </c>
      <c r="E216" s="568" t="str">
        <f ca="1">_xlfn.XLOOKUP(F216,Pareto!S:S,Pareto!T:T)</f>
        <v>Ferraz</v>
      </c>
      <c r="F216" s="1649" t="str">
        <f ca="1">_xlfn.XLOOKUP(K216,Pareto!V:V,Pareto!S:S)</f>
        <v>01 - Clientes com baixa margem de contribuição.</v>
      </c>
      <c r="G216" s="1650"/>
      <c r="H216" s="566" t="str">
        <f ca="1">_xlfn.XLOOKUP(F216,Pareto!S:S,Pareto!X:X)</f>
        <v>⏳ Em Execução</v>
      </c>
      <c r="I216" s="566" t="str">
        <f ca="1">_xlfn.XLOOKUP('5 Unidades  +'!F216,Pareto!S:S,Pareto!Z:Z)</f>
        <v/>
      </c>
      <c r="J216" s="559">
        <f ca="1">_xlfn.XLOOKUP(F216,Pareto!S:S,Pareto!U:U)</f>
        <v>0</v>
      </c>
      <c r="K216" s="559" t="str">
        <f ca="1">IFERROR(LARGE(Pareto!V:V,D216)," ")</f>
        <v xml:space="preserve"> </v>
      </c>
      <c r="L216" s="559" t="str">
        <f ca="1">_xlfn.XLOOKUP(F216,Pareto!S:S,Pareto!W:W)</f>
        <v/>
      </c>
      <c r="M216" s="560" t="e">
        <f t="shared" ca="1" si="5"/>
        <v>#VALUE!</v>
      </c>
      <c r="N216" s="20"/>
      <c r="O216" s="20"/>
      <c r="P216" s="20"/>
      <c r="Q216" s="20"/>
      <c r="R216" s="20"/>
      <c r="S216" s="20"/>
      <c r="T216" s="20"/>
      <c r="U216" s="20"/>
      <c r="V216" s="20"/>
      <c r="W216" s="20"/>
      <c r="X216" s="20"/>
      <c r="Y216" s="20"/>
      <c r="Z216" s="20"/>
    </row>
    <row r="217" spans="3:26" ht="15" hidden="1" customHeight="1" x14ac:dyDescent="0.3">
      <c r="C217" s="20"/>
      <c r="D217" s="561">
        <v>162</v>
      </c>
      <c r="E217" s="567" t="str">
        <f ca="1">_xlfn.XLOOKUP(F217,Pareto!S:S,Pareto!T:T)</f>
        <v>Ferraz</v>
      </c>
      <c r="F217" s="1651" t="str">
        <f ca="1">_xlfn.XLOOKUP(K217,Pareto!V:V,Pareto!S:S)</f>
        <v>01 - Clientes com baixa margem de contribuição.</v>
      </c>
      <c r="G217" s="1652"/>
      <c r="H217" s="567" t="str">
        <f ca="1">_xlfn.XLOOKUP(F217,Pareto!S:S,Pareto!X:X)</f>
        <v>⏳ Em Execução</v>
      </c>
      <c r="I217" s="567" t="str">
        <f ca="1">_xlfn.XLOOKUP('5 Unidades  +'!F217,Pareto!S:S,Pareto!Z:Z)</f>
        <v/>
      </c>
      <c r="J217" s="562">
        <f ca="1">_xlfn.XLOOKUP(F217,Pareto!S:S,Pareto!U:U)</f>
        <v>0</v>
      </c>
      <c r="K217" s="562" t="str">
        <f ca="1">IFERROR(LARGE(Pareto!V:V,D217)," ")</f>
        <v xml:space="preserve"> </v>
      </c>
      <c r="L217" s="562" t="str">
        <f ca="1">_xlfn.XLOOKUP(F217,Pareto!S:S,Pareto!W:W)</f>
        <v/>
      </c>
      <c r="M217" s="563" t="e">
        <f t="shared" ca="1" si="5"/>
        <v>#VALUE!</v>
      </c>
      <c r="N217" s="20"/>
      <c r="O217" s="20"/>
      <c r="P217" s="20"/>
      <c r="Q217" s="20"/>
      <c r="R217" s="20"/>
      <c r="S217" s="20"/>
      <c r="T217" s="20"/>
      <c r="U217" s="20"/>
      <c r="V217" s="20"/>
      <c r="W217" s="20"/>
      <c r="X217" s="20"/>
      <c r="Y217" s="20"/>
      <c r="Z217" s="20"/>
    </row>
    <row r="218" spans="3:26" ht="15" hidden="1" customHeight="1" x14ac:dyDescent="0.3">
      <c r="C218" s="20"/>
      <c r="D218" s="558">
        <v>163</v>
      </c>
      <c r="E218" s="568" t="str">
        <f ca="1">_xlfn.XLOOKUP(F218,Pareto!S:S,Pareto!T:T)</f>
        <v>Ferraz</v>
      </c>
      <c r="F218" s="1649" t="str">
        <f ca="1">_xlfn.XLOOKUP(K218,Pareto!V:V,Pareto!S:S)</f>
        <v>01 - Clientes com baixa margem de contribuição.</v>
      </c>
      <c r="G218" s="1650"/>
      <c r="H218" s="566" t="str">
        <f ca="1">_xlfn.XLOOKUP(F218,Pareto!S:S,Pareto!X:X)</f>
        <v>⏳ Em Execução</v>
      </c>
      <c r="I218" s="566" t="str">
        <f ca="1">_xlfn.XLOOKUP('5 Unidades  +'!F218,Pareto!S:S,Pareto!Z:Z)</f>
        <v/>
      </c>
      <c r="J218" s="559">
        <f ca="1">_xlfn.XLOOKUP(F218,Pareto!S:S,Pareto!U:U)</f>
        <v>0</v>
      </c>
      <c r="K218" s="559" t="str">
        <f ca="1">IFERROR(LARGE(Pareto!V:V,D218)," ")</f>
        <v xml:space="preserve"> </v>
      </c>
      <c r="L218" s="559" t="str">
        <f ca="1">_xlfn.XLOOKUP(F218,Pareto!S:S,Pareto!W:W)</f>
        <v/>
      </c>
      <c r="M218" s="560" t="e">
        <f t="shared" ca="1" si="5"/>
        <v>#VALUE!</v>
      </c>
      <c r="N218" s="20"/>
      <c r="O218" s="20"/>
      <c r="P218" s="20"/>
      <c r="Q218" s="20"/>
      <c r="R218" s="20"/>
      <c r="S218" s="20"/>
      <c r="T218" s="20"/>
      <c r="U218" s="20"/>
      <c r="V218" s="20"/>
      <c r="W218" s="20"/>
      <c r="X218" s="20"/>
      <c r="Y218" s="20"/>
      <c r="Z218" s="20"/>
    </row>
    <row r="219" spans="3:26" ht="15" hidden="1" customHeight="1" x14ac:dyDescent="0.3">
      <c r="C219" s="20"/>
      <c r="D219" s="561">
        <v>164</v>
      </c>
      <c r="E219" s="567" t="str">
        <f ca="1">_xlfn.XLOOKUP(F219,Pareto!S:S,Pareto!T:T)</f>
        <v>Ferraz</v>
      </c>
      <c r="F219" s="1651" t="str">
        <f ca="1">_xlfn.XLOOKUP(K219,Pareto!V:V,Pareto!S:S)</f>
        <v>01 - Clientes com baixa margem de contribuição.</v>
      </c>
      <c r="G219" s="1652"/>
      <c r="H219" s="567" t="str">
        <f ca="1">_xlfn.XLOOKUP(F219,Pareto!S:S,Pareto!X:X)</f>
        <v>⏳ Em Execução</v>
      </c>
      <c r="I219" s="567" t="str">
        <f ca="1">_xlfn.XLOOKUP('5 Unidades  +'!F219,Pareto!S:S,Pareto!Z:Z)</f>
        <v/>
      </c>
      <c r="J219" s="562">
        <f ca="1">_xlfn.XLOOKUP(F219,Pareto!S:S,Pareto!U:U)</f>
        <v>0</v>
      </c>
      <c r="K219" s="562" t="str">
        <f ca="1">IFERROR(LARGE(Pareto!V:V,D219)," ")</f>
        <v xml:space="preserve"> </v>
      </c>
      <c r="L219" s="562" t="str">
        <f ca="1">_xlfn.XLOOKUP(F219,Pareto!S:S,Pareto!W:W)</f>
        <v/>
      </c>
      <c r="M219" s="563" t="e">
        <f t="shared" ca="1" si="5"/>
        <v>#VALUE!</v>
      </c>
      <c r="N219" s="20"/>
      <c r="O219" s="20"/>
      <c r="P219" s="20"/>
      <c r="Q219" s="20"/>
      <c r="R219" s="20"/>
      <c r="S219" s="20"/>
      <c r="T219" s="20"/>
      <c r="U219" s="20"/>
      <c r="V219" s="20"/>
      <c r="W219" s="20"/>
      <c r="X219" s="20"/>
      <c r="Y219" s="20"/>
      <c r="Z219" s="20"/>
    </row>
    <row r="220" spans="3:26" ht="15" hidden="1" customHeight="1" x14ac:dyDescent="0.3">
      <c r="C220" s="20"/>
      <c r="D220" s="558">
        <v>165</v>
      </c>
      <c r="E220" s="568" t="str">
        <f ca="1">_xlfn.XLOOKUP(F220,Pareto!S:S,Pareto!T:T)</f>
        <v>Ferraz</v>
      </c>
      <c r="F220" s="1649" t="str">
        <f ca="1">_xlfn.XLOOKUP(K220,Pareto!V:V,Pareto!S:S)</f>
        <v>01 - Clientes com baixa margem de contribuição.</v>
      </c>
      <c r="G220" s="1650"/>
      <c r="H220" s="566" t="str">
        <f ca="1">_xlfn.XLOOKUP(F220,Pareto!S:S,Pareto!X:X)</f>
        <v>⏳ Em Execução</v>
      </c>
      <c r="I220" s="566" t="str">
        <f ca="1">_xlfn.XLOOKUP('5 Unidades  +'!F220,Pareto!S:S,Pareto!Z:Z)</f>
        <v/>
      </c>
      <c r="J220" s="559">
        <f ca="1">_xlfn.XLOOKUP(F220,Pareto!S:S,Pareto!U:U)</f>
        <v>0</v>
      </c>
      <c r="K220" s="559" t="str">
        <f ca="1">IFERROR(LARGE(Pareto!V:V,D220)," ")</f>
        <v xml:space="preserve"> </v>
      </c>
      <c r="L220" s="559" t="str">
        <f ca="1">_xlfn.XLOOKUP(F220,Pareto!S:S,Pareto!W:W)</f>
        <v/>
      </c>
      <c r="M220" s="560" t="e">
        <f t="shared" ca="1" si="5"/>
        <v>#VALUE!</v>
      </c>
      <c r="N220" s="20"/>
      <c r="O220" s="20"/>
      <c r="P220" s="20"/>
      <c r="Q220" s="20"/>
      <c r="R220" s="20"/>
      <c r="S220" s="20"/>
      <c r="T220" s="20"/>
      <c r="U220" s="20"/>
      <c r="V220" s="20"/>
      <c r="W220" s="20"/>
      <c r="X220" s="20"/>
      <c r="Y220" s="20"/>
      <c r="Z220" s="20"/>
    </row>
    <row r="221" spans="3:26" ht="15" hidden="1" customHeight="1" x14ac:dyDescent="0.3">
      <c r="C221" s="20"/>
      <c r="D221" s="561">
        <v>166</v>
      </c>
      <c r="E221" s="567" t="str">
        <f ca="1">_xlfn.XLOOKUP(F221,Pareto!S:S,Pareto!T:T)</f>
        <v>Ferraz</v>
      </c>
      <c r="F221" s="1651" t="str">
        <f ca="1">_xlfn.XLOOKUP(K221,Pareto!V:V,Pareto!S:S)</f>
        <v>01 - Clientes com baixa margem de contribuição.</v>
      </c>
      <c r="G221" s="1652"/>
      <c r="H221" s="567" t="str">
        <f ca="1">_xlfn.XLOOKUP(F221,Pareto!S:S,Pareto!X:X)</f>
        <v>⏳ Em Execução</v>
      </c>
      <c r="I221" s="567" t="str">
        <f ca="1">_xlfn.XLOOKUP('5 Unidades  +'!F221,Pareto!S:S,Pareto!Z:Z)</f>
        <v/>
      </c>
      <c r="J221" s="562">
        <f ca="1">_xlfn.XLOOKUP(F221,Pareto!S:S,Pareto!U:U)</f>
        <v>0</v>
      </c>
      <c r="K221" s="562" t="str">
        <f ca="1">IFERROR(LARGE(Pareto!V:V,D221)," ")</f>
        <v xml:space="preserve"> </v>
      </c>
      <c r="L221" s="562" t="str">
        <f ca="1">_xlfn.XLOOKUP(F221,Pareto!S:S,Pareto!W:W)</f>
        <v/>
      </c>
      <c r="M221" s="563" t="e">
        <f t="shared" ca="1" si="5"/>
        <v>#VALUE!</v>
      </c>
      <c r="N221" s="20"/>
      <c r="O221" s="20"/>
      <c r="P221" s="20"/>
      <c r="Q221" s="20"/>
      <c r="R221" s="20"/>
      <c r="S221" s="20"/>
      <c r="T221" s="20"/>
      <c r="U221" s="20"/>
      <c r="V221" s="20"/>
      <c r="W221" s="20"/>
      <c r="X221" s="20"/>
      <c r="Y221" s="20"/>
      <c r="Z221" s="20"/>
    </row>
    <row r="222" spans="3:26" ht="15" hidden="1" customHeight="1" x14ac:dyDescent="0.3">
      <c r="C222" s="20"/>
      <c r="D222" s="558">
        <v>167</v>
      </c>
      <c r="E222" s="568" t="str">
        <f ca="1">_xlfn.XLOOKUP(F222,Pareto!S:S,Pareto!T:T)</f>
        <v>Ferraz</v>
      </c>
      <c r="F222" s="1649" t="str">
        <f ca="1">_xlfn.XLOOKUP(K222,Pareto!V:V,Pareto!S:S)</f>
        <v>01 - Clientes com baixa margem de contribuição.</v>
      </c>
      <c r="G222" s="1650"/>
      <c r="H222" s="566" t="str">
        <f ca="1">_xlfn.XLOOKUP(F222,Pareto!S:S,Pareto!X:X)</f>
        <v>⏳ Em Execução</v>
      </c>
      <c r="I222" s="566" t="str">
        <f ca="1">_xlfn.XLOOKUP('5 Unidades  +'!F222,Pareto!S:S,Pareto!Z:Z)</f>
        <v/>
      </c>
      <c r="J222" s="559">
        <f ca="1">_xlfn.XLOOKUP(F222,Pareto!S:S,Pareto!U:U)</f>
        <v>0</v>
      </c>
      <c r="K222" s="559" t="str">
        <f ca="1">IFERROR(LARGE(Pareto!V:V,D222)," ")</f>
        <v xml:space="preserve"> </v>
      </c>
      <c r="L222" s="559" t="str">
        <f ca="1">_xlfn.XLOOKUP(F222,Pareto!S:S,Pareto!W:W)</f>
        <v/>
      </c>
      <c r="M222" s="560" t="e">
        <f t="shared" ca="1" si="5"/>
        <v>#VALUE!</v>
      </c>
      <c r="N222" s="20"/>
      <c r="O222" s="20"/>
      <c r="P222" s="20"/>
      <c r="Q222" s="20"/>
      <c r="R222" s="20"/>
      <c r="S222" s="20"/>
      <c r="T222" s="20"/>
      <c r="U222" s="20"/>
      <c r="V222" s="20"/>
      <c r="W222" s="20"/>
      <c r="X222" s="20"/>
      <c r="Y222" s="20"/>
      <c r="Z222" s="20"/>
    </row>
    <row r="223" spans="3:26" ht="15" hidden="1" customHeight="1" x14ac:dyDescent="0.3">
      <c r="C223" s="20"/>
      <c r="D223" s="561">
        <v>168</v>
      </c>
      <c r="E223" s="567" t="str">
        <f ca="1">_xlfn.XLOOKUP(F223,Pareto!S:S,Pareto!T:T)</f>
        <v>Ferraz</v>
      </c>
      <c r="F223" s="1651" t="str">
        <f ca="1">_xlfn.XLOOKUP(K223,Pareto!V:V,Pareto!S:S)</f>
        <v>01 - Clientes com baixa margem de contribuição.</v>
      </c>
      <c r="G223" s="1652"/>
      <c r="H223" s="567" t="str">
        <f ca="1">_xlfn.XLOOKUP(F223,Pareto!S:S,Pareto!X:X)</f>
        <v>⏳ Em Execução</v>
      </c>
      <c r="I223" s="567" t="str">
        <f ca="1">_xlfn.XLOOKUP('5 Unidades  +'!F223,Pareto!S:S,Pareto!Z:Z)</f>
        <v/>
      </c>
      <c r="J223" s="562">
        <f ca="1">_xlfn.XLOOKUP(F223,Pareto!S:S,Pareto!U:U)</f>
        <v>0</v>
      </c>
      <c r="K223" s="562" t="str">
        <f ca="1">IFERROR(LARGE(Pareto!V:V,D223)," ")</f>
        <v xml:space="preserve"> </v>
      </c>
      <c r="L223" s="562" t="str">
        <f ca="1">_xlfn.XLOOKUP(F223,Pareto!S:S,Pareto!W:W)</f>
        <v/>
      </c>
      <c r="M223" s="563" t="e">
        <f t="shared" ca="1" si="5"/>
        <v>#VALUE!</v>
      </c>
      <c r="N223" s="20"/>
      <c r="O223" s="20"/>
      <c r="P223" s="20"/>
      <c r="Q223" s="20"/>
      <c r="R223" s="20"/>
      <c r="S223" s="20"/>
      <c r="T223" s="20"/>
      <c r="U223" s="20"/>
      <c r="V223" s="20"/>
      <c r="W223" s="20"/>
      <c r="X223" s="20"/>
      <c r="Y223" s="20"/>
      <c r="Z223" s="20"/>
    </row>
    <row r="224" spans="3:26" ht="15" hidden="1" customHeight="1" x14ac:dyDescent="0.3">
      <c r="C224" s="20"/>
      <c r="D224" s="558">
        <v>169</v>
      </c>
      <c r="E224" s="568" t="str">
        <f ca="1">_xlfn.XLOOKUP(F224,Pareto!S:S,Pareto!T:T)</f>
        <v>Ferraz</v>
      </c>
      <c r="F224" s="1649" t="str">
        <f ca="1">_xlfn.XLOOKUP(K224,Pareto!V:V,Pareto!S:S)</f>
        <v>01 - Clientes com baixa margem de contribuição.</v>
      </c>
      <c r="G224" s="1650"/>
      <c r="H224" s="566" t="str">
        <f ca="1">_xlfn.XLOOKUP(F224,Pareto!S:S,Pareto!X:X)</f>
        <v>⏳ Em Execução</v>
      </c>
      <c r="I224" s="566" t="str">
        <f ca="1">_xlfn.XLOOKUP('5 Unidades  +'!F224,Pareto!S:S,Pareto!Z:Z)</f>
        <v/>
      </c>
      <c r="J224" s="559">
        <f ca="1">_xlfn.XLOOKUP(F224,Pareto!S:S,Pareto!U:U)</f>
        <v>0</v>
      </c>
      <c r="K224" s="559" t="str">
        <f ca="1">IFERROR(LARGE(Pareto!V:V,D224)," ")</f>
        <v xml:space="preserve"> </v>
      </c>
      <c r="L224" s="559" t="str">
        <f ca="1">_xlfn.XLOOKUP(F224,Pareto!S:S,Pareto!W:W)</f>
        <v/>
      </c>
      <c r="M224" s="560" t="e">
        <f t="shared" ca="1" si="5"/>
        <v>#VALUE!</v>
      </c>
      <c r="N224" s="20"/>
      <c r="O224" s="20"/>
      <c r="P224" s="20"/>
      <c r="Q224" s="20"/>
      <c r="R224" s="20"/>
      <c r="S224" s="20"/>
      <c r="T224" s="20"/>
      <c r="U224" s="20"/>
      <c r="V224" s="20"/>
      <c r="W224" s="20"/>
      <c r="X224" s="20"/>
      <c r="Y224" s="20"/>
      <c r="Z224" s="20"/>
    </row>
    <row r="225" spans="3:26" ht="15" hidden="1" customHeight="1" x14ac:dyDescent="0.3">
      <c r="C225" s="20"/>
      <c r="D225" s="561">
        <v>170</v>
      </c>
      <c r="E225" s="567" t="str">
        <f ca="1">_xlfn.XLOOKUP(F225,Pareto!S:S,Pareto!T:T)</f>
        <v>Ferraz</v>
      </c>
      <c r="F225" s="1651" t="str">
        <f ca="1">_xlfn.XLOOKUP(K225,Pareto!V:V,Pareto!S:S)</f>
        <v>01 - Clientes com baixa margem de contribuição.</v>
      </c>
      <c r="G225" s="1652"/>
      <c r="H225" s="567" t="str">
        <f ca="1">_xlfn.XLOOKUP(F225,Pareto!S:S,Pareto!X:X)</f>
        <v>⏳ Em Execução</v>
      </c>
      <c r="I225" s="567" t="str">
        <f ca="1">_xlfn.XLOOKUP('5 Unidades  +'!F225,Pareto!S:S,Pareto!Z:Z)</f>
        <v/>
      </c>
      <c r="J225" s="562">
        <f ca="1">_xlfn.XLOOKUP(F225,Pareto!S:S,Pareto!U:U)</f>
        <v>0</v>
      </c>
      <c r="K225" s="562" t="str">
        <f ca="1">IFERROR(LARGE(Pareto!V:V,D225)," ")</f>
        <v xml:space="preserve"> </v>
      </c>
      <c r="L225" s="562" t="str">
        <f ca="1">_xlfn.XLOOKUP(F225,Pareto!S:S,Pareto!W:W)</f>
        <v/>
      </c>
      <c r="M225" s="563" t="e">
        <f t="shared" ca="1" si="5"/>
        <v>#VALUE!</v>
      </c>
      <c r="N225" s="20"/>
      <c r="O225" s="20"/>
      <c r="P225" s="20"/>
      <c r="Q225" s="20"/>
      <c r="R225" s="20"/>
      <c r="S225" s="20"/>
      <c r="T225" s="20"/>
      <c r="U225" s="20"/>
      <c r="V225" s="20"/>
      <c r="W225" s="20"/>
      <c r="X225" s="20"/>
      <c r="Y225" s="20"/>
      <c r="Z225" s="20"/>
    </row>
    <row r="226" spans="3:26" ht="15" hidden="1" customHeight="1" x14ac:dyDescent="0.3">
      <c r="C226" s="20"/>
      <c r="D226" s="558">
        <v>171</v>
      </c>
      <c r="E226" s="568" t="str">
        <f ca="1">_xlfn.XLOOKUP(F226,Pareto!S:S,Pareto!T:T)</f>
        <v>Ferraz</v>
      </c>
      <c r="F226" s="1649" t="str">
        <f ca="1">_xlfn.XLOOKUP(K226,Pareto!V:V,Pareto!S:S)</f>
        <v>01 - Clientes com baixa margem de contribuição.</v>
      </c>
      <c r="G226" s="1650"/>
      <c r="H226" s="566" t="str">
        <f ca="1">_xlfn.XLOOKUP(F226,Pareto!S:S,Pareto!X:X)</f>
        <v>⏳ Em Execução</v>
      </c>
      <c r="I226" s="566" t="str">
        <f ca="1">_xlfn.XLOOKUP('5 Unidades  +'!F226,Pareto!S:S,Pareto!Z:Z)</f>
        <v/>
      </c>
      <c r="J226" s="559">
        <f ca="1">_xlfn.XLOOKUP(F226,Pareto!S:S,Pareto!U:U)</f>
        <v>0</v>
      </c>
      <c r="K226" s="559" t="str">
        <f ca="1">IFERROR(LARGE(Pareto!V:V,D226)," ")</f>
        <v xml:space="preserve"> </v>
      </c>
      <c r="L226" s="559" t="str">
        <f ca="1">_xlfn.XLOOKUP(F226,Pareto!S:S,Pareto!W:W)</f>
        <v/>
      </c>
      <c r="M226" s="560" t="e">
        <f t="shared" ca="1" si="5"/>
        <v>#VALUE!</v>
      </c>
      <c r="N226" s="20"/>
      <c r="O226" s="20"/>
      <c r="P226" s="20"/>
      <c r="Q226" s="20"/>
      <c r="R226" s="20"/>
      <c r="S226" s="20"/>
      <c r="T226" s="20"/>
      <c r="U226" s="20"/>
      <c r="V226" s="20"/>
      <c r="W226" s="20"/>
      <c r="X226" s="20"/>
      <c r="Y226" s="20"/>
      <c r="Z226" s="20"/>
    </row>
    <row r="227" spans="3:26" ht="15" hidden="1" customHeight="1" x14ac:dyDescent="0.3">
      <c r="C227" s="20"/>
      <c r="D227" s="561">
        <v>172</v>
      </c>
      <c r="E227" s="567" t="str">
        <f ca="1">_xlfn.XLOOKUP(F227,Pareto!S:S,Pareto!T:T)</f>
        <v>Ferraz</v>
      </c>
      <c r="F227" s="1651" t="str">
        <f ca="1">_xlfn.XLOOKUP(K227,Pareto!V:V,Pareto!S:S)</f>
        <v>01 - Clientes com baixa margem de contribuição.</v>
      </c>
      <c r="G227" s="1652"/>
      <c r="H227" s="567" t="str">
        <f ca="1">_xlfn.XLOOKUP(F227,Pareto!S:S,Pareto!X:X)</f>
        <v>⏳ Em Execução</v>
      </c>
      <c r="I227" s="567" t="str">
        <f ca="1">_xlfn.XLOOKUP('5 Unidades  +'!F227,Pareto!S:S,Pareto!Z:Z)</f>
        <v/>
      </c>
      <c r="J227" s="562">
        <f ca="1">_xlfn.XLOOKUP(F227,Pareto!S:S,Pareto!U:U)</f>
        <v>0</v>
      </c>
      <c r="K227" s="562" t="str">
        <f ca="1">IFERROR(LARGE(Pareto!V:V,D227)," ")</f>
        <v xml:space="preserve"> </v>
      </c>
      <c r="L227" s="562" t="str">
        <f ca="1">_xlfn.XLOOKUP(F227,Pareto!S:S,Pareto!W:W)</f>
        <v/>
      </c>
      <c r="M227" s="563" t="e">
        <f t="shared" ca="1" si="5"/>
        <v>#VALUE!</v>
      </c>
      <c r="N227" s="20"/>
      <c r="O227" s="20"/>
      <c r="P227" s="20"/>
      <c r="Q227" s="20"/>
      <c r="R227" s="20"/>
      <c r="S227" s="20"/>
      <c r="T227" s="20"/>
      <c r="U227" s="20"/>
      <c r="V227" s="20"/>
      <c r="W227" s="20"/>
      <c r="X227" s="20"/>
      <c r="Y227" s="20"/>
      <c r="Z227" s="20"/>
    </row>
    <row r="228" spans="3:26" ht="15" hidden="1" customHeight="1" x14ac:dyDescent="0.3">
      <c r="C228" s="20"/>
      <c r="D228" s="558">
        <v>173</v>
      </c>
      <c r="E228" s="568" t="str">
        <f ca="1">_xlfn.XLOOKUP(F228,Pareto!S:S,Pareto!T:T)</f>
        <v>Ferraz</v>
      </c>
      <c r="F228" s="1649" t="str">
        <f ca="1">_xlfn.XLOOKUP(K228,Pareto!V:V,Pareto!S:S)</f>
        <v>01 - Clientes com baixa margem de contribuição.</v>
      </c>
      <c r="G228" s="1650"/>
      <c r="H228" s="566" t="str">
        <f ca="1">_xlfn.XLOOKUP(F228,Pareto!S:S,Pareto!X:X)</f>
        <v>⏳ Em Execução</v>
      </c>
      <c r="I228" s="566" t="str">
        <f ca="1">_xlfn.XLOOKUP('5 Unidades  +'!F228,Pareto!S:S,Pareto!Z:Z)</f>
        <v/>
      </c>
      <c r="J228" s="559">
        <f ca="1">_xlfn.XLOOKUP(F228,Pareto!S:S,Pareto!U:U)</f>
        <v>0</v>
      </c>
      <c r="K228" s="559" t="str">
        <f ca="1">IFERROR(LARGE(Pareto!V:V,D228)," ")</f>
        <v xml:space="preserve"> </v>
      </c>
      <c r="L228" s="559" t="str">
        <f ca="1">_xlfn.XLOOKUP(F228,Pareto!S:S,Pareto!W:W)</f>
        <v/>
      </c>
      <c r="M228" s="560" t="e">
        <f t="shared" ca="1" si="5"/>
        <v>#VALUE!</v>
      </c>
      <c r="N228" s="20"/>
      <c r="O228" s="20"/>
      <c r="P228" s="20"/>
      <c r="Q228" s="20"/>
      <c r="R228" s="20"/>
      <c r="S228" s="20"/>
      <c r="T228" s="20"/>
      <c r="U228" s="20"/>
      <c r="V228" s="20"/>
      <c r="W228" s="20"/>
      <c r="X228" s="20"/>
      <c r="Y228" s="20"/>
      <c r="Z228" s="20"/>
    </row>
    <row r="229" spans="3:26" ht="15" hidden="1" customHeight="1" x14ac:dyDescent="0.3">
      <c r="C229" s="20"/>
      <c r="D229" s="561">
        <v>174</v>
      </c>
      <c r="E229" s="567" t="str">
        <f ca="1">_xlfn.XLOOKUP(F229,Pareto!S:S,Pareto!T:T)</f>
        <v>Ferraz</v>
      </c>
      <c r="F229" s="1651" t="str">
        <f ca="1">_xlfn.XLOOKUP(K229,Pareto!V:V,Pareto!S:S)</f>
        <v>01 - Clientes com baixa margem de contribuição.</v>
      </c>
      <c r="G229" s="1652"/>
      <c r="H229" s="567" t="str">
        <f ca="1">_xlfn.XLOOKUP(F229,Pareto!S:S,Pareto!X:X)</f>
        <v>⏳ Em Execução</v>
      </c>
      <c r="I229" s="567" t="str">
        <f ca="1">_xlfn.XLOOKUP('5 Unidades  +'!F229,Pareto!S:S,Pareto!Z:Z)</f>
        <v/>
      </c>
      <c r="J229" s="562">
        <f ca="1">_xlfn.XLOOKUP(F229,Pareto!S:S,Pareto!U:U)</f>
        <v>0</v>
      </c>
      <c r="K229" s="562" t="str">
        <f ca="1">IFERROR(LARGE(Pareto!V:V,D229)," ")</f>
        <v xml:space="preserve"> </v>
      </c>
      <c r="L229" s="562" t="str">
        <f ca="1">_xlfn.XLOOKUP(F229,Pareto!S:S,Pareto!W:W)</f>
        <v/>
      </c>
      <c r="M229" s="563" t="e">
        <f t="shared" ca="1" si="5"/>
        <v>#VALUE!</v>
      </c>
      <c r="N229" s="20"/>
      <c r="O229" s="20"/>
      <c r="P229" s="20"/>
      <c r="Q229" s="20"/>
      <c r="R229" s="20"/>
      <c r="S229" s="20"/>
      <c r="T229" s="20"/>
      <c r="U229" s="20"/>
      <c r="V229" s="20"/>
      <c r="W229" s="20"/>
      <c r="X229" s="20"/>
      <c r="Y229" s="20"/>
      <c r="Z229" s="20"/>
    </row>
    <row r="230" spans="3:26" ht="15" hidden="1" customHeight="1" x14ac:dyDescent="0.3">
      <c r="C230" s="20"/>
      <c r="D230" s="558">
        <v>175</v>
      </c>
      <c r="E230" s="568" t="str">
        <f ca="1">_xlfn.XLOOKUP(F230,Pareto!S:S,Pareto!T:T)</f>
        <v>Ferraz</v>
      </c>
      <c r="F230" s="1649" t="str">
        <f ca="1">_xlfn.XLOOKUP(K230,Pareto!V:V,Pareto!S:S)</f>
        <v>01 - Clientes com baixa margem de contribuição.</v>
      </c>
      <c r="G230" s="1650"/>
      <c r="H230" s="566" t="str">
        <f ca="1">_xlfn.XLOOKUP(F230,Pareto!S:S,Pareto!X:X)</f>
        <v>⏳ Em Execução</v>
      </c>
      <c r="I230" s="566" t="str">
        <f ca="1">_xlfn.XLOOKUP('5 Unidades  +'!F230,Pareto!S:S,Pareto!Z:Z)</f>
        <v/>
      </c>
      <c r="J230" s="559">
        <f ca="1">_xlfn.XLOOKUP(F230,Pareto!S:S,Pareto!U:U)</f>
        <v>0</v>
      </c>
      <c r="K230" s="559" t="str">
        <f ca="1">IFERROR(LARGE(Pareto!V:V,D230)," ")</f>
        <v xml:space="preserve"> </v>
      </c>
      <c r="L230" s="559" t="str">
        <f ca="1">_xlfn.XLOOKUP(F230,Pareto!S:S,Pareto!W:W)</f>
        <v/>
      </c>
      <c r="M230" s="560" t="e">
        <f t="shared" ca="1" si="5"/>
        <v>#VALUE!</v>
      </c>
      <c r="N230" s="20"/>
      <c r="O230" s="20"/>
      <c r="P230" s="20"/>
      <c r="Q230" s="20"/>
      <c r="R230" s="20"/>
      <c r="S230" s="20"/>
      <c r="T230" s="20"/>
      <c r="U230" s="20"/>
      <c r="V230" s="20"/>
      <c r="W230" s="20"/>
      <c r="X230" s="20"/>
      <c r="Y230" s="20"/>
      <c r="Z230" s="20"/>
    </row>
    <row r="231" spans="3:26" ht="15" hidden="1" customHeight="1" x14ac:dyDescent="0.3">
      <c r="C231" s="20"/>
      <c r="D231" s="561">
        <v>176</v>
      </c>
      <c r="E231" s="567" t="str">
        <f ca="1">_xlfn.XLOOKUP(F231,Pareto!S:S,Pareto!T:T)</f>
        <v>Ferraz</v>
      </c>
      <c r="F231" s="1651" t="str">
        <f ca="1">_xlfn.XLOOKUP(K231,Pareto!V:V,Pareto!S:S)</f>
        <v>01 - Clientes com baixa margem de contribuição.</v>
      </c>
      <c r="G231" s="1652"/>
      <c r="H231" s="567" t="str">
        <f ca="1">_xlfn.XLOOKUP(F231,Pareto!S:S,Pareto!X:X)</f>
        <v>⏳ Em Execução</v>
      </c>
      <c r="I231" s="567" t="str">
        <f ca="1">_xlfn.XLOOKUP('5 Unidades  +'!F231,Pareto!S:S,Pareto!Z:Z)</f>
        <v/>
      </c>
      <c r="J231" s="562">
        <f ca="1">_xlfn.XLOOKUP(F231,Pareto!S:S,Pareto!U:U)</f>
        <v>0</v>
      </c>
      <c r="K231" s="562" t="str">
        <f ca="1">IFERROR(LARGE(Pareto!V:V,D231)," ")</f>
        <v xml:space="preserve"> </v>
      </c>
      <c r="L231" s="562" t="str">
        <f ca="1">_xlfn.XLOOKUP(F231,Pareto!S:S,Pareto!W:W)</f>
        <v/>
      </c>
      <c r="M231" s="563" t="e">
        <f t="shared" ca="1" si="5"/>
        <v>#VALUE!</v>
      </c>
      <c r="N231" s="20"/>
      <c r="O231" s="20"/>
      <c r="P231" s="20"/>
      <c r="Q231" s="20"/>
      <c r="R231" s="20"/>
      <c r="S231" s="20"/>
      <c r="T231" s="20"/>
      <c r="U231" s="20"/>
      <c r="V231" s="20"/>
      <c r="W231" s="20"/>
      <c r="X231" s="20"/>
      <c r="Y231" s="20"/>
      <c r="Z231" s="20"/>
    </row>
    <row r="232" spans="3:26" ht="15" hidden="1" customHeight="1" x14ac:dyDescent="0.3">
      <c r="C232" s="20"/>
      <c r="D232" s="558">
        <v>177</v>
      </c>
      <c r="E232" s="568" t="str">
        <f ca="1">_xlfn.XLOOKUP(F232,Pareto!S:S,Pareto!T:T)</f>
        <v>Ferraz</v>
      </c>
      <c r="F232" s="1649" t="str">
        <f ca="1">_xlfn.XLOOKUP(K232,Pareto!V:V,Pareto!S:S)</f>
        <v>01 - Clientes com baixa margem de contribuição.</v>
      </c>
      <c r="G232" s="1650"/>
      <c r="H232" s="566" t="str">
        <f ca="1">_xlfn.XLOOKUP(F232,Pareto!S:S,Pareto!X:X)</f>
        <v>⏳ Em Execução</v>
      </c>
      <c r="I232" s="566" t="str">
        <f ca="1">_xlfn.XLOOKUP('5 Unidades  +'!F232,Pareto!S:S,Pareto!Z:Z)</f>
        <v/>
      </c>
      <c r="J232" s="559">
        <f ca="1">_xlfn.XLOOKUP(F232,Pareto!S:S,Pareto!U:U)</f>
        <v>0</v>
      </c>
      <c r="K232" s="559" t="str">
        <f ca="1">IFERROR(LARGE(Pareto!V:V,D232)," ")</f>
        <v xml:space="preserve"> </v>
      </c>
      <c r="L232" s="559" t="str">
        <f ca="1">_xlfn.XLOOKUP(F232,Pareto!S:S,Pareto!W:W)</f>
        <v/>
      </c>
      <c r="M232" s="560" t="e">
        <f t="shared" ca="1" si="5"/>
        <v>#VALUE!</v>
      </c>
      <c r="N232" s="20"/>
      <c r="O232" s="20"/>
      <c r="P232" s="20"/>
      <c r="Q232" s="20"/>
      <c r="R232" s="20"/>
      <c r="S232" s="20"/>
      <c r="T232" s="20"/>
      <c r="U232" s="20"/>
      <c r="V232" s="20"/>
      <c r="W232" s="20"/>
      <c r="X232" s="20"/>
      <c r="Y232" s="20"/>
      <c r="Z232" s="20"/>
    </row>
    <row r="233" spans="3:26" ht="15" hidden="1" customHeight="1" x14ac:dyDescent="0.3">
      <c r="C233" s="20"/>
      <c r="D233" s="561">
        <v>178</v>
      </c>
      <c r="E233" s="567" t="str">
        <f ca="1">_xlfn.XLOOKUP(F233,Pareto!S:S,Pareto!T:T)</f>
        <v>Ferraz</v>
      </c>
      <c r="F233" s="1651" t="str">
        <f ca="1">_xlfn.XLOOKUP(K233,Pareto!V:V,Pareto!S:S)</f>
        <v>01 - Clientes com baixa margem de contribuição.</v>
      </c>
      <c r="G233" s="1652"/>
      <c r="H233" s="567" t="str">
        <f ca="1">_xlfn.XLOOKUP(F233,Pareto!S:S,Pareto!X:X)</f>
        <v>⏳ Em Execução</v>
      </c>
      <c r="I233" s="567" t="str">
        <f ca="1">_xlfn.XLOOKUP('5 Unidades  +'!F233,Pareto!S:S,Pareto!Z:Z)</f>
        <v/>
      </c>
      <c r="J233" s="562">
        <f ca="1">_xlfn.XLOOKUP(F233,Pareto!S:S,Pareto!U:U)</f>
        <v>0</v>
      </c>
      <c r="K233" s="562" t="str">
        <f ca="1">IFERROR(LARGE(Pareto!V:V,D233)," ")</f>
        <v xml:space="preserve"> </v>
      </c>
      <c r="L233" s="562" t="str">
        <f ca="1">_xlfn.XLOOKUP(F233,Pareto!S:S,Pareto!W:W)</f>
        <v/>
      </c>
      <c r="M233" s="563" t="e">
        <f t="shared" ca="1" si="5"/>
        <v>#VALUE!</v>
      </c>
      <c r="N233" s="20"/>
      <c r="O233" s="20"/>
      <c r="P233" s="20"/>
      <c r="Q233" s="20"/>
      <c r="R233" s="20"/>
      <c r="S233" s="20"/>
      <c r="T233" s="20"/>
      <c r="U233" s="20"/>
      <c r="V233" s="20"/>
      <c r="W233" s="20"/>
      <c r="X233" s="20"/>
      <c r="Y233" s="20"/>
      <c r="Z233" s="20"/>
    </row>
    <row r="234" spans="3:26" ht="15" hidden="1" customHeight="1" x14ac:dyDescent="0.3">
      <c r="C234" s="20"/>
      <c r="D234" s="558">
        <v>179</v>
      </c>
      <c r="E234" s="568" t="str">
        <f ca="1">_xlfn.XLOOKUP(F234,Pareto!S:S,Pareto!T:T)</f>
        <v>Ferraz</v>
      </c>
      <c r="F234" s="1649" t="str">
        <f ca="1">_xlfn.XLOOKUP(K234,Pareto!V:V,Pareto!S:S)</f>
        <v>01 - Clientes com baixa margem de contribuição.</v>
      </c>
      <c r="G234" s="1650"/>
      <c r="H234" s="566" t="str">
        <f ca="1">_xlfn.XLOOKUP(F234,Pareto!S:S,Pareto!X:X)</f>
        <v>⏳ Em Execução</v>
      </c>
      <c r="I234" s="566" t="str">
        <f ca="1">_xlfn.XLOOKUP('5 Unidades  +'!F234,Pareto!S:S,Pareto!Z:Z)</f>
        <v/>
      </c>
      <c r="J234" s="559">
        <f ca="1">_xlfn.XLOOKUP(F234,Pareto!S:S,Pareto!U:U)</f>
        <v>0</v>
      </c>
      <c r="K234" s="559" t="str">
        <f ca="1">IFERROR(LARGE(Pareto!V:V,D234)," ")</f>
        <v xml:space="preserve"> </v>
      </c>
      <c r="L234" s="559" t="str">
        <f ca="1">_xlfn.XLOOKUP(F234,Pareto!S:S,Pareto!W:W)</f>
        <v/>
      </c>
      <c r="M234" s="560" t="e">
        <f t="shared" ca="1" si="5"/>
        <v>#VALUE!</v>
      </c>
      <c r="N234" s="20"/>
      <c r="O234" s="20"/>
      <c r="P234" s="20"/>
      <c r="Q234" s="20"/>
      <c r="R234" s="20"/>
      <c r="S234" s="20"/>
      <c r="T234" s="20"/>
      <c r="U234" s="20"/>
      <c r="V234" s="20"/>
      <c r="W234" s="20"/>
      <c r="X234" s="20"/>
      <c r="Y234" s="20"/>
      <c r="Z234" s="20"/>
    </row>
    <row r="235" spans="3:26" ht="15" hidden="1" customHeight="1" x14ac:dyDescent="0.3">
      <c r="C235" s="20"/>
      <c r="D235" s="561">
        <v>180</v>
      </c>
      <c r="E235" s="567" t="str">
        <f ca="1">_xlfn.XLOOKUP(F235,Pareto!S:S,Pareto!T:T)</f>
        <v>Ferraz</v>
      </c>
      <c r="F235" s="1651" t="str">
        <f ca="1">_xlfn.XLOOKUP(K235,Pareto!V:V,Pareto!S:S)</f>
        <v>01 - Clientes com baixa margem de contribuição.</v>
      </c>
      <c r="G235" s="1652"/>
      <c r="H235" s="567" t="str">
        <f ca="1">_xlfn.XLOOKUP(F235,Pareto!S:S,Pareto!X:X)</f>
        <v>⏳ Em Execução</v>
      </c>
      <c r="I235" s="567" t="str">
        <f ca="1">_xlfn.XLOOKUP('5 Unidades  +'!F235,Pareto!S:S,Pareto!Z:Z)</f>
        <v/>
      </c>
      <c r="J235" s="562">
        <f ca="1">_xlfn.XLOOKUP(F235,Pareto!S:S,Pareto!U:U)</f>
        <v>0</v>
      </c>
      <c r="K235" s="562" t="str">
        <f ca="1">IFERROR(LARGE(Pareto!V:V,D235)," ")</f>
        <v xml:space="preserve"> </v>
      </c>
      <c r="L235" s="562" t="str">
        <f ca="1">_xlfn.XLOOKUP(F235,Pareto!S:S,Pareto!W:W)</f>
        <v/>
      </c>
      <c r="M235" s="563" t="e">
        <f t="shared" ca="1" si="5"/>
        <v>#VALUE!</v>
      </c>
      <c r="N235" s="20"/>
      <c r="O235" s="20"/>
      <c r="P235" s="20"/>
      <c r="Q235" s="20"/>
      <c r="R235" s="20"/>
      <c r="S235" s="20"/>
      <c r="T235" s="20"/>
      <c r="U235" s="20"/>
      <c r="V235" s="20"/>
      <c r="W235" s="20"/>
      <c r="X235" s="20"/>
      <c r="Y235" s="20"/>
      <c r="Z235" s="20"/>
    </row>
    <row r="236" spans="3:26" ht="15" hidden="1" customHeight="1" x14ac:dyDescent="0.3">
      <c r="C236" s="20"/>
      <c r="D236" s="558">
        <v>181</v>
      </c>
      <c r="E236" s="568" t="str">
        <f ca="1">_xlfn.XLOOKUP(F236,Pareto!S:S,Pareto!T:T)</f>
        <v>Ferraz</v>
      </c>
      <c r="F236" s="1649" t="str">
        <f ca="1">_xlfn.XLOOKUP(K236,Pareto!V:V,Pareto!S:S)</f>
        <v>01 - Clientes com baixa margem de contribuição.</v>
      </c>
      <c r="G236" s="1650"/>
      <c r="H236" s="566" t="str">
        <f ca="1">_xlfn.XLOOKUP(F236,Pareto!S:S,Pareto!X:X)</f>
        <v>⏳ Em Execução</v>
      </c>
      <c r="I236" s="566" t="str">
        <f ca="1">_xlfn.XLOOKUP('5 Unidades  +'!F236,Pareto!S:S,Pareto!Z:Z)</f>
        <v/>
      </c>
      <c r="J236" s="559">
        <f ca="1">_xlfn.XLOOKUP(F236,Pareto!S:S,Pareto!U:U)</f>
        <v>0</v>
      </c>
      <c r="K236" s="559" t="str">
        <f ca="1">IFERROR(LARGE(Pareto!V:V,D236)," ")</f>
        <v xml:space="preserve"> </v>
      </c>
      <c r="L236" s="559" t="str">
        <f ca="1">_xlfn.XLOOKUP(F236,Pareto!S:S,Pareto!W:W)</f>
        <v/>
      </c>
      <c r="M236" s="560" t="e">
        <f t="shared" ca="1" si="5"/>
        <v>#VALUE!</v>
      </c>
      <c r="N236" s="20"/>
      <c r="O236" s="20"/>
      <c r="P236" s="20"/>
      <c r="Q236" s="20"/>
      <c r="R236" s="20"/>
      <c r="S236" s="20"/>
      <c r="T236" s="20"/>
      <c r="U236" s="20"/>
      <c r="V236" s="20"/>
      <c r="W236" s="20"/>
      <c r="X236" s="20"/>
      <c r="Y236" s="20"/>
      <c r="Z236" s="20"/>
    </row>
    <row r="237" spans="3:26" ht="15" hidden="1" customHeight="1" x14ac:dyDescent="0.3">
      <c r="C237" s="20"/>
      <c r="D237" s="561">
        <v>182</v>
      </c>
      <c r="E237" s="567" t="str">
        <f ca="1">_xlfn.XLOOKUP(F237,Pareto!S:S,Pareto!T:T)</f>
        <v>Ferraz</v>
      </c>
      <c r="F237" s="1651" t="str">
        <f ca="1">_xlfn.XLOOKUP(K237,Pareto!V:V,Pareto!S:S)</f>
        <v>01 - Clientes com baixa margem de contribuição.</v>
      </c>
      <c r="G237" s="1652"/>
      <c r="H237" s="567" t="str">
        <f ca="1">_xlfn.XLOOKUP(F237,Pareto!S:S,Pareto!X:X)</f>
        <v>⏳ Em Execução</v>
      </c>
      <c r="I237" s="567" t="str">
        <f ca="1">_xlfn.XLOOKUP('5 Unidades  +'!F237,Pareto!S:S,Pareto!Z:Z)</f>
        <v/>
      </c>
      <c r="J237" s="562">
        <f ca="1">_xlfn.XLOOKUP(F237,Pareto!S:S,Pareto!U:U)</f>
        <v>0</v>
      </c>
      <c r="K237" s="562" t="str">
        <f ca="1">IFERROR(LARGE(Pareto!V:V,D237)," ")</f>
        <v xml:space="preserve"> </v>
      </c>
      <c r="L237" s="562" t="str">
        <f ca="1">_xlfn.XLOOKUP(F237,Pareto!S:S,Pareto!W:W)</f>
        <v/>
      </c>
      <c r="M237" s="563" t="e">
        <f t="shared" ca="1" si="5"/>
        <v>#VALUE!</v>
      </c>
      <c r="N237" s="20"/>
      <c r="O237" s="20"/>
      <c r="P237" s="20"/>
      <c r="Q237" s="20"/>
      <c r="R237" s="20"/>
      <c r="S237" s="20"/>
      <c r="T237" s="20"/>
      <c r="U237" s="20"/>
      <c r="V237" s="20"/>
      <c r="W237" s="20"/>
      <c r="X237" s="20"/>
      <c r="Y237" s="20"/>
      <c r="Z237" s="20"/>
    </row>
    <row r="238" spans="3:26" ht="15" hidden="1" customHeight="1" x14ac:dyDescent="0.3">
      <c r="C238" s="20"/>
      <c r="D238" s="558">
        <v>183</v>
      </c>
      <c r="E238" s="568" t="str">
        <f ca="1">_xlfn.XLOOKUP(F238,Pareto!S:S,Pareto!T:T)</f>
        <v>Ferraz</v>
      </c>
      <c r="F238" s="1649" t="str">
        <f ca="1">_xlfn.XLOOKUP(K238,Pareto!V:V,Pareto!S:S)</f>
        <v>01 - Clientes com baixa margem de contribuição.</v>
      </c>
      <c r="G238" s="1650"/>
      <c r="H238" s="566" t="str">
        <f ca="1">_xlfn.XLOOKUP(F238,Pareto!S:S,Pareto!X:X)</f>
        <v>⏳ Em Execução</v>
      </c>
      <c r="I238" s="566" t="str">
        <f ca="1">_xlfn.XLOOKUP('5 Unidades  +'!F238,Pareto!S:S,Pareto!Z:Z)</f>
        <v/>
      </c>
      <c r="J238" s="559">
        <f ca="1">_xlfn.XLOOKUP(F238,Pareto!S:S,Pareto!U:U)</f>
        <v>0</v>
      </c>
      <c r="K238" s="559" t="str">
        <f ca="1">IFERROR(LARGE(Pareto!V:V,D238)," ")</f>
        <v xml:space="preserve"> </v>
      </c>
      <c r="L238" s="559" t="str">
        <f ca="1">_xlfn.XLOOKUP(F238,Pareto!S:S,Pareto!W:W)</f>
        <v/>
      </c>
      <c r="M238" s="560" t="e">
        <f t="shared" ca="1" si="5"/>
        <v>#VALUE!</v>
      </c>
      <c r="N238" s="20"/>
      <c r="O238" s="20"/>
      <c r="P238" s="20"/>
      <c r="Q238" s="20"/>
      <c r="R238" s="20"/>
      <c r="S238" s="20"/>
      <c r="T238" s="20"/>
      <c r="U238" s="20"/>
      <c r="V238" s="20"/>
      <c r="W238" s="20"/>
      <c r="X238" s="20"/>
      <c r="Y238" s="20"/>
      <c r="Z238" s="20"/>
    </row>
    <row r="239" spans="3:26" ht="15" hidden="1" customHeight="1" x14ac:dyDescent="0.3">
      <c r="C239" s="20"/>
      <c r="D239" s="561">
        <v>184</v>
      </c>
      <c r="E239" s="567" t="str">
        <f ca="1">_xlfn.XLOOKUP(F239,Pareto!S:S,Pareto!T:T)</f>
        <v>Ferraz</v>
      </c>
      <c r="F239" s="1651" t="str">
        <f ca="1">_xlfn.XLOOKUP(K239,Pareto!V:V,Pareto!S:S)</f>
        <v>01 - Clientes com baixa margem de contribuição.</v>
      </c>
      <c r="G239" s="1652"/>
      <c r="H239" s="567" t="str">
        <f ca="1">_xlfn.XLOOKUP(F239,Pareto!S:S,Pareto!X:X)</f>
        <v>⏳ Em Execução</v>
      </c>
      <c r="I239" s="567" t="str">
        <f ca="1">_xlfn.XLOOKUP('5 Unidades  +'!F239,Pareto!S:S,Pareto!Z:Z)</f>
        <v/>
      </c>
      <c r="J239" s="562">
        <f ca="1">_xlfn.XLOOKUP(F239,Pareto!S:S,Pareto!U:U)</f>
        <v>0</v>
      </c>
      <c r="K239" s="562" t="str">
        <f ca="1">IFERROR(LARGE(Pareto!V:V,D239)," ")</f>
        <v xml:space="preserve"> </v>
      </c>
      <c r="L239" s="562" t="str">
        <f ca="1">_xlfn.XLOOKUP(F239,Pareto!S:S,Pareto!W:W)</f>
        <v/>
      </c>
      <c r="M239" s="563" t="e">
        <f t="shared" ca="1" si="5"/>
        <v>#VALUE!</v>
      </c>
      <c r="N239" s="20"/>
      <c r="O239" s="20"/>
      <c r="P239" s="20"/>
      <c r="Q239" s="20"/>
      <c r="R239" s="20"/>
      <c r="S239" s="20"/>
      <c r="T239" s="20"/>
      <c r="U239" s="20"/>
      <c r="V239" s="20"/>
      <c r="W239" s="20"/>
      <c r="X239" s="20"/>
      <c r="Y239" s="20"/>
      <c r="Z239" s="20"/>
    </row>
    <row r="240" spans="3:26" ht="15" hidden="1" customHeight="1" x14ac:dyDescent="0.3">
      <c r="C240" s="20"/>
      <c r="D240" s="558">
        <v>185</v>
      </c>
      <c r="E240" s="568" t="str">
        <f ca="1">_xlfn.XLOOKUP(F240,Pareto!S:S,Pareto!T:T)</f>
        <v>Ferraz</v>
      </c>
      <c r="F240" s="1649" t="str">
        <f ca="1">_xlfn.XLOOKUP(K240,Pareto!V:V,Pareto!S:S)</f>
        <v>01 - Clientes com baixa margem de contribuição.</v>
      </c>
      <c r="G240" s="1650"/>
      <c r="H240" s="566" t="str">
        <f ca="1">_xlfn.XLOOKUP(F240,Pareto!S:S,Pareto!X:X)</f>
        <v>⏳ Em Execução</v>
      </c>
      <c r="I240" s="566" t="str">
        <f ca="1">_xlfn.XLOOKUP('5 Unidades  +'!F240,Pareto!S:S,Pareto!Z:Z)</f>
        <v/>
      </c>
      <c r="J240" s="559">
        <f ca="1">_xlfn.XLOOKUP(F240,Pareto!S:S,Pareto!U:U)</f>
        <v>0</v>
      </c>
      <c r="K240" s="559" t="str">
        <f ca="1">IFERROR(LARGE(Pareto!V:V,D240)," ")</f>
        <v xml:space="preserve"> </v>
      </c>
      <c r="L240" s="559" t="str">
        <f ca="1">_xlfn.XLOOKUP(F240,Pareto!S:S,Pareto!W:W)</f>
        <v/>
      </c>
      <c r="M240" s="560" t="e">
        <f t="shared" ca="1" si="5"/>
        <v>#VALUE!</v>
      </c>
      <c r="N240" s="20"/>
      <c r="O240" s="20"/>
      <c r="P240" s="20"/>
      <c r="Q240" s="20"/>
      <c r="R240" s="20"/>
      <c r="S240" s="20"/>
      <c r="T240" s="20"/>
      <c r="U240" s="20"/>
      <c r="V240" s="20"/>
      <c r="W240" s="20"/>
      <c r="X240" s="20"/>
      <c r="Y240" s="20"/>
      <c r="Z240" s="20"/>
    </row>
    <row r="241" spans="3:26" ht="15" hidden="1" customHeight="1" x14ac:dyDescent="0.3">
      <c r="C241" s="20"/>
      <c r="D241" s="561">
        <v>186</v>
      </c>
      <c r="E241" s="567" t="str">
        <f ca="1">_xlfn.XLOOKUP(F241,Pareto!S:S,Pareto!T:T)</f>
        <v>Ferraz</v>
      </c>
      <c r="F241" s="1651" t="str">
        <f ca="1">_xlfn.XLOOKUP(K241,Pareto!V:V,Pareto!S:S)</f>
        <v>01 - Clientes com baixa margem de contribuição.</v>
      </c>
      <c r="G241" s="1652"/>
      <c r="H241" s="567" t="str">
        <f ca="1">_xlfn.XLOOKUP(F241,Pareto!S:S,Pareto!X:X)</f>
        <v>⏳ Em Execução</v>
      </c>
      <c r="I241" s="567" t="str">
        <f ca="1">_xlfn.XLOOKUP('5 Unidades  +'!F241,Pareto!S:S,Pareto!Z:Z)</f>
        <v/>
      </c>
      <c r="J241" s="562">
        <f ca="1">_xlfn.XLOOKUP(F241,Pareto!S:S,Pareto!U:U)</f>
        <v>0</v>
      </c>
      <c r="K241" s="562" t="str">
        <f ca="1">IFERROR(LARGE(Pareto!V:V,D241)," ")</f>
        <v xml:space="preserve"> </v>
      </c>
      <c r="L241" s="562" t="str">
        <f ca="1">_xlfn.XLOOKUP(F241,Pareto!S:S,Pareto!W:W)</f>
        <v/>
      </c>
      <c r="M241" s="563" t="e">
        <f t="shared" ca="1" si="5"/>
        <v>#VALUE!</v>
      </c>
      <c r="N241" s="20"/>
      <c r="O241" s="20"/>
      <c r="P241" s="20"/>
      <c r="Q241" s="20"/>
      <c r="R241" s="20"/>
      <c r="S241" s="20"/>
      <c r="T241" s="20"/>
      <c r="U241" s="20"/>
      <c r="V241" s="20"/>
      <c r="W241" s="20"/>
      <c r="X241" s="20"/>
      <c r="Y241" s="20"/>
      <c r="Z241" s="20"/>
    </row>
    <row r="242" spans="3:26" ht="15" hidden="1" customHeight="1" x14ac:dyDescent="0.3">
      <c r="C242" s="20"/>
      <c r="D242" s="558">
        <v>187</v>
      </c>
      <c r="E242" s="568" t="str">
        <f ca="1">_xlfn.XLOOKUP(F242,Pareto!S:S,Pareto!T:T)</f>
        <v>Ferraz</v>
      </c>
      <c r="F242" s="1649" t="str">
        <f ca="1">_xlfn.XLOOKUP(K242,Pareto!V:V,Pareto!S:S)</f>
        <v>01 - Clientes com baixa margem de contribuição.</v>
      </c>
      <c r="G242" s="1650"/>
      <c r="H242" s="566" t="str">
        <f ca="1">_xlfn.XLOOKUP(F242,Pareto!S:S,Pareto!X:X)</f>
        <v>⏳ Em Execução</v>
      </c>
      <c r="I242" s="566" t="str">
        <f ca="1">_xlfn.XLOOKUP('5 Unidades  +'!F242,Pareto!S:S,Pareto!Z:Z)</f>
        <v/>
      </c>
      <c r="J242" s="559">
        <f ca="1">_xlfn.XLOOKUP(F242,Pareto!S:S,Pareto!U:U)</f>
        <v>0</v>
      </c>
      <c r="K242" s="559" t="str">
        <f ca="1">IFERROR(LARGE(Pareto!V:V,D242)," ")</f>
        <v xml:space="preserve"> </v>
      </c>
      <c r="L242" s="559" t="str">
        <f ca="1">_xlfn.XLOOKUP(F242,Pareto!S:S,Pareto!W:W)</f>
        <v/>
      </c>
      <c r="M242" s="560" t="e">
        <f t="shared" ca="1" si="5"/>
        <v>#VALUE!</v>
      </c>
      <c r="N242" s="20"/>
      <c r="O242" s="20"/>
      <c r="P242" s="20"/>
      <c r="Q242" s="20"/>
      <c r="R242" s="20"/>
      <c r="S242" s="20"/>
      <c r="T242" s="20"/>
      <c r="U242" s="20"/>
      <c r="V242" s="20"/>
      <c r="W242" s="20"/>
      <c r="X242" s="20"/>
      <c r="Y242" s="20"/>
      <c r="Z242" s="20"/>
    </row>
    <row r="243" spans="3:26" ht="15" hidden="1" customHeight="1" x14ac:dyDescent="0.3">
      <c r="C243" s="20"/>
      <c r="D243" s="561">
        <v>188</v>
      </c>
      <c r="E243" s="567" t="str">
        <f ca="1">_xlfn.XLOOKUP(F243,Pareto!S:S,Pareto!T:T)</f>
        <v>Ferraz</v>
      </c>
      <c r="F243" s="1651" t="str">
        <f ca="1">_xlfn.XLOOKUP(K243,Pareto!V:V,Pareto!S:S)</f>
        <v>01 - Clientes com baixa margem de contribuição.</v>
      </c>
      <c r="G243" s="1652"/>
      <c r="H243" s="567" t="str">
        <f ca="1">_xlfn.XLOOKUP(F243,Pareto!S:S,Pareto!X:X)</f>
        <v>⏳ Em Execução</v>
      </c>
      <c r="I243" s="567" t="str">
        <f ca="1">_xlfn.XLOOKUP('5 Unidades  +'!F243,Pareto!S:S,Pareto!Z:Z)</f>
        <v/>
      </c>
      <c r="J243" s="562">
        <f ca="1">_xlfn.XLOOKUP(F243,Pareto!S:S,Pareto!U:U)</f>
        <v>0</v>
      </c>
      <c r="K243" s="562" t="str">
        <f ca="1">IFERROR(LARGE(Pareto!V:V,D243)," ")</f>
        <v xml:space="preserve"> </v>
      </c>
      <c r="L243" s="562" t="str">
        <f ca="1">_xlfn.XLOOKUP(F243,Pareto!S:S,Pareto!W:W)</f>
        <v/>
      </c>
      <c r="M243" s="563" t="e">
        <f t="shared" ca="1" si="5"/>
        <v>#VALUE!</v>
      </c>
      <c r="N243" s="20"/>
      <c r="O243" s="20"/>
      <c r="P243" s="20"/>
      <c r="Q243" s="20"/>
      <c r="R243" s="20"/>
      <c r="S243" s="20"/>
      <c r="T243" s="20"/>
      <c r="U243" s="20"/>
      <c r="V243" s="20"/>
      <c r="W243" s="20"/>
      <c r="X243" s="20"/>
      <c r="Y243" s="20"/>
      <c r="Z243" s="20"/>
    </row>
    <row r="244" spans="3:26" ht="15" hidden="1" customHeight="1" x14ac:dyDescent="0.3">
      <c r="C244" s="20"/>
      <c r="D244" s="558">
        <v>189</v>
      </c>
      <c r="E244" s="568" t="str">
        <f ca="1">_xlfn.XLOOKUP(F244,Pareto!S:S,Pareto!T:T)</f>
        <v>Ferraz</v>
      </c>
      <c r="F244" s="1649" t="str">
        <f ca="1">_xlfn.XLOOKUP(K244,Pareto!V:V,Pareto!S:S)</f>
        <v>01 - Clientes com baixa margem de contribuição.</v>
      </c>
      <c r="G244" s="1650"/>
      <c r="H244" s="566" t="str">
        <f ca="1">_xlfn.XLOOKUP(F244,Pareto!S:S,Pareto!X:X)</f>
        <v>⏳ Em Execução</v>
      </c>
      <c r="I244" s="566" t="str">
        <f ca="1">_xlfn.XLOOKUP('5 Unidades  +'!F244,Pareto!S:S,Pareto!Z:Z)</f>
        <v/>
      </c>
      <c r="J244" s="559">
        <f ca="1">_xlfn.XLOOKUP(F244,Pareto!S:S,Pareto!U:U)</f>
        <v>0</v>
      </c>
      <c r="K244" s="559" t="str">
        <f ca="1">IFERROR(LARGE(Pareto!V:V,D244)," ")</f>
        <v xml:space="preserve"> </v>
      </c>
      <c r="L244" s="559" t="str">
        <f ca="1">_xlfn.XLOOKUP(F244,Pareto!S:S,Pareto!W:W)</f>
        <v/>
      </c>
      <c r="M244" s="560" t="e">
        <f t="shared" ca="1" si="5"/>
        <v>#VALUE!</v>
      </c>
      <c r="N244" s="20"/>
      <c r="O244" s="20"/>
      <c r="P244" s="20"/>
      <c r="Q244" s="20"/>
      <c r="R244" s="20"/>
      <c r="S244" s="20"/>
      <c r="T244" s="20"/>
      <c r="U244" s="20"/>
      <c r="V244" s="20"/>
      <c r="W244" s="20"/>
      <c r="X244" s="20"/>
      <c r="Y244" s="20"/>
      <c r="Z244" s="20"/>
    </row>
    <row r="245" spans="3:26" ht="15" hidden="1" customHeight="1" x14ac:dyDescent="0.3">
      <c r="C245" s="20"/>
      <c r="D245" s="561">
        <v>190</v>
      </c>
      <c r="E245" s="567" t="str">
        <f ca="1">_xlfn.XLOOKUP(F245,Pareto!S:S,Pareto!T:T)</f>
        <v>Ferraz</v>
      </c>
      <c r="F245" s="1651" t="str">
        <f ca="1">_xlfn.XLOOKUP(K245,Pareto!V:V,Pareto!S:S)</f>
        <v>01 - Clientes com baixa margem de contribuição.</v>
      </c>
      <c r="G245" s="1652"/>
      <c r="H245" s="567" t="str">
        <f ca="1">_xlfn.XLOOKUP(F245,Pareto!S:S,Pareto!X:X)</f>
        <v>⏳ Em Execução</v>
      </c>
      <c r="I245" s="567" t="str">
        <f ca="1">_xlfn.XLOOKUP('5 Unidades  +'!F245,Pareto!S:S,Pareto!Z:Z)</f>
        <v/>
      </c>
      <c r="J245" s="562">
        <f ca="1">_xlfn.XLOOKUP(F245,Pareto!S:S,Pareto!U:U)</f>
        <v>0</v>
      </c>
      <c r="K245" s="562" t="str">
        <f ca="1">IFERROR(LARGE(Pareto!V:V,D245)," ")</f>
        <v xml:space="preserve"> </v>
      </c>
      <c r="L245" s="562" t="str">
        <f ca="1">_xlfn.XLOOKUP(F245,Pareto!S:S,Pareto!W:W)</f>
        <v/>
      </c>
      <c r="M245" s="563" t="e">
        <f t="shared" ca="1" si="5"/>
        <v>#VALUE!</v>
      </c>
      <c r="N245" s="20"/>
      <c r="O245" s="20"/>
      <c r="P245" s="20"/>
      <c r="Q245" s="20"/>
      <c r="R245" s="20"/>
      <c r="S245" s="20"/>
      <c r="T245" s="20"/>
      <c r="U245" s="20"/>
      <c r="V245" s="20"/>
      <c r="W245" s="20"/>
      <c r="X245" s="20"/>
      <c r="Y245" s="20"/>
      <c r="Z245" s="20"/>
    </row>
    <row r="246" spans="3:26" ht="15" hidden="1" customHeight="1" x14ac:dyDescent="0.3">
      <c r="C246" s="20"/>
      <c r="D246" s="558">
        <v>191</v>
      </c>
      <c r="E246" s="568" t="str">
        <f ca="1">_xlfn.XLOOKUP(F246,Pareto!S:S,Pareto!T:T)</f>
        <v>Ferraz</v>
      </c>
      <c r="F246" s="1649" t="str">
        <f ca="1">_xlfn.XLOOKUP(K246,Pareto!V:V,Pareto!S:S)</f>
        <v>01 - Clientes com baixa margem de contribuição.</v>
      </c>
      <c r="G246" s="1650"/>
      <c r="H246" s="566" t="str">
        <f ca="1">_xlfn.XLOOKUP(F246,Pareto!S:S,Pareto!X:X)</f>
        <v>⏳ Em Execução</v>
      </c>
      <c r="I246" s="566" t="str">
        <f ca="1">_xlfn.XLOOKUP('5 Unidades  +'!F246,Pareto!S:S,Pareto!Z:Z)</f>
        <v/>
      </c>
      <c r="J246" s="559">
        <f ca="1">_xlfn.XLOOKUP(F246,Pareto!S:S,Pareto!U:U)</f>
        <v>0</v>
      </c>
      <c r="K246" s="559" t="str">
        <f ca="1">IFERROR(LARGE(Pareto!V:V,D246)," ")</f>
        <v xml:space="preserve"> </v>
      </c>
      <c r="L246" s="559" t="str">
        <f ca="1">_xlfn.XLOOKUP(F246,Pareto!S:S,Pareto!W:W)</f>
        <v/>
      </c>
      <c r="M246" s="560" t="e">
        <f t="shared" ca="1" si="5"/>
        <v>#VALUE!</v>
      </c>
      <c r="N246" s="20"/>
      <c r="O246" s="20"/>
      <c r="P246" s="20"/>
      <c r="Q246" s="20"/>
      <c r="R246" s="20"/>
      <c r="S246" s="20"/>
      <c r="T246" s="20"/>
      <c r="U246" s="20"/>
      <c r="V246" s="20"/>
      <c r="W246" s="20"/>
      <c r="X246" s="20"/>
      <c r="Y246" s="20"/>
      <c r="Z246" s="20"/>
    </row>
    <row r="247" spans="3:26" ht="15" hidden="1" customHeight="1" x14ac:dyDescent="0.3">
      <c r="C247" s="20"/>
      <c r="D247" s="561">
        <v>192</v>
      </c>
      <c r="E247" s="567" t="str">
        <f ca="1">_xlfn.XLOOKUP(F247,Pareto!S:S,Pareto!T:T)</f>
        <v>Ferraz</v>
      </c>
      <c r="F247" s="1651" t="str">
        <f ca="1">_xlfn.XLOOKUP(K247,Pareto!V:V,Pareto!S:S)</f>
        <v>01 - Clientes com baixa margem de contribuição.</v>
      </c>
      <c r="G247" s="1652"/>
      <c r="H247" s="567" t="str">
        <f ca="1">_xlfn.XLOOKUP(F247,Pareto!S:S,Pareto!X:X)</f>
        <v>⏳ Em Execução</v>
      </c>
      <c r="I247" s="567" t="str">
        <f ca="1">_xlfn.XLOOKUP('5 Unidades  +'!F247,Pareto!S:S,Pareto!Z:Z)</f>
        <v/>
      </c>
      <c r="J247" s="562">
        <f ca="1">_xlfn.XLOOKUP(F247,Pareto!S:S,Pareto!U:U)</f>
        <v>0</v>
      </c>
      <c r="K247" s="562" t="str">
        <f ca="1">IFERROR(LARGE(Pareto!V:V,D247)," ")</f>
        <v xml:space="preserve"> </v>
      </c>
      <c r="L247" s="562" t="str">
        <f ca="1">_xlfn.XLOOKUP(F247,Pareto!S:S,Pareto!W:W)</f>
        <v/>
      </c>
      <c r="M247" s="563" t="e">
        <f t="shared" ca="1" si="5"/>
        <v>#VALUE!</v>
      </c>
      <c r="N247" s="20"/>
      <c r="O247" s="20"/>
      <c r="P247" s="20"/>
      <c r="Q247" s="20"/>
      <c r="R247" s="20"/>
      <c r="S247" s="20"/>
      <c r="T247" s="20"/>
      <c r="U247" s="20"/>
      <c r="V247" s="20"/>
      <c r="W247" s="20"/>
      <c r="X247" s="20"/>
      <c r="Y247" s="20"/>
      <c r="Z247" s="20"/>
    </row>
    <row r="248" spans="3:26" ht="15" hidden="1" customHeight="1" x14ac:dyDescent="0.3">
      <c r="C248" s="20"/>
      <c r="D248" s="558">
        <v>193</v>
      </c>
      <c r="E248" s="568" t="str">
        <f ca="1">_xlfn.XLOOKUP(F248,Pareto!S:S,Pareto!T:T)</f>
        <v>Ferraz</v>
      </c>
      <c r="F248" s="1649" t="str">
        <f ca="1">_xlfn.XLOOKUP(K248,Pareto!V:V,Pareto!S:S)</f>
        <v>01 - Clientes com baixa margem de contribuição.</v>
      </c>
      <c r="G248" s="1650"/>
      <c r="H248" s="566" t="str">
        <f ca="1">_xlfn.XLOOKUP(F248,Pareto!S:S,Pareto!X:X)</f>
        <v>⏳ Em Execução</v>
      </c>
      <c r="I248" s="566" t="str">
        <f ca="1">_xlfn.XLOOKUP('5 Unidades  +'!F248,Pareto!S:S,Pareto!Z:Z)</f>
        <v/>
      </c>
      <c r="J248" s="559">
        <f ca="1">_xlfn.XLOOKUP(F248,Pareto!S:S,Pareto!U:U)</f>
        <v>0</v>
      </c>
      <c r="K248" s="559" t="str">
        <f ca="1">IFERROR(LARGE(Pareto!V:V,D248)," ")</f>
        <v xml:space="preserve"> </v>
      </c>
      <c r="L248" s="559" t="str">
        <f ca="1">_xlfn.XLOOKUP(F248,Pareto!S:S,Pareto!W:W)</f>
        <v/>
      </c>
      <c r="M248" s="560" t="e">
        <f t="shared" ref="M248:M259" ca="1" si="6">IF(L248="",-K248,L248-K248)</f>
        <v>#VALUE!</v>
      </c>
      <c r="N248" s="20"/>
      <c r="O248" s="20"/>
      <c r="P248" s="20"/>
      <c r="Q248" s="20"/>
      <c r="R248" s="20"/>
      <c r="S248" s="20"/>
      <c r="T248" s="20"/>
      <c r="U248" s="20"/>
      <c r="V248" s="20"/>
      <c r="W248" s="20"/>
      <c r="X248" s="20"/>
      <c r="Y248" s="20"/>
      <c r="Z248" s="20"/>
    </row>
    <row r="249" spans="3:26" ht="15" hidden="1" customHeight="1" x14ac:dyDescent="0.3">
      <c r="C249" s="20"/>
      <c r="D249" s="561">
        <v>194</v>
      </c>
      <c r="E249" s="567" t="str">
        <f ca="1">_xlfn.XLOOKUP(F249,Pareto!S:S,Pareto!T:T)</f>
        <v>Ferraz</v>
      </c>
      <c r="F249" s="1651" t="str">
        <f ca="1">_xlfn.XLOOKUP(K249,Pareto!V:V,Pareto!S:S)</f>
        <v>01 - Clientes com baixa margem de contribuição.</v>
      </c>
      <c r="G249" s="1652"/>
      <c r="H249" s="567" t="str">
        <f ca="1">_xlfn.XLOOKUP(F249,Pareto!S:S,Pareto!X:X)</f>
        <v>⏳ Em Execução</v>
      </c>
      <c r="I249" s="567" t="str">
        <f ca="1">_xlfn.XLOOKUP('5 Unidades  +'!F249,Pareto!S:S,Pareto!Z:Z)</f>
        <v/>
      </c>
      <c r="J249" s="562">
        <f ca="1">_xlfn.XLOOKUP(F249,Pareto!S:S,Pareto!U:U)</f>
        <v>0</v>
      </c>
      <c r="K249" s="562" t="str">
        <f ca="1">IFERROR(LARGE(Pareto!V:V,D249)," ")</f>
        <v xml:space="preserve"> </v>
      </c>
      <c r="L249" s="562" t="str">
        <f ca="1">_xlfn.XLOOKUP(F249,Pareto!S:S,Pareto!W:W)</f>
        <v/>
      </c>
      <c r="M249" s="563" t="e">
        <f t="shared" ca="1" si="6"/>
        <v>#VALUE!</v>
      </c>
      <c r="N249" s="20"/>
      <c r="O249" s="20"/>
      <c r="P249" s="20"/>
      <c r="Q249" s="20"/>
      <c r="R249" s="20"/>
      <c r="S249" s="20"/>
      <c r="T249" s="20"/>
      <c r="U249" s="20"/>
      <c r="V249" s="20"/>
      <c r="W249" s="20"/>
      <c r="X249" s="20"/>
      <c r="Y249" s="20"/>
      <c r="Z249" s="20"/>
    </row>
    <row r="250" spans="3:26" ht="15" hidden="1" customHeight="1" x14ac:dyDescent="0.3">
      <c r="C250" s="20"/>
      <c r="D250" s="558">
        <v>195</v>
      </c>
      <c r="E250" s="568" t="str">
        <f ca="1">_xlfn.XLOOKUP(F250,Pareto!S:S,Pareto!T:T)</f>
        <v>Ferraz</v>
      </c>
      <c r="F250" s="1649" t="str">
        <f ca="1">_xlfn.XLOOKUP(K250,Pareto!V:V,Pareto!S:S)</f>
        <v>01 - Clientes com baixa margem de contribuição.</v>
      </c>
      <c r="G250" s="1650"/>
      <c r="H250" s="566" t="str">
        <f ca="1">_xlfn.XLOOKUP(F250,Pareto!S:S,Pareto!X:X)</f>
        <v>⏳ Em Execução</v>
      </c>
      <c r="I250" s="566" t="str">
        <f ca="1">_xlfn.XLOOKUP('5 Unidades  +'!F250,Pareto!S:S,Pareto!Z:Z)</f>
        <v/>
      </c>
      <c r="J250" s="559">
        <f ca="1">_xlfn.XLOOKUP(F250,Pareto!S:S,Pareto!U:U)</f>
        <v>0</v>
      </c>
      <c r="K250" s="559" t="str">
        <f ca="1">IFERROR(LARGE(Pareto!V:V,D250)," ")</f>
        <v xml:space="preserve"> </v>
      </c>
      <c r="L250" s="559" t="str">
        <f ca="1">_xlfn.XLOOKUP(F250,Pareto!S:S,Pareto!W:W)</f>
        <v/>
      </c>
      <c r="M250" s="560" t="e">
        <f t="shared" ca="1" si="6"/>
        <v>#VALUE!</v>
      </c>
      <c r="N250" s="20"/>
      <c r="O250" s="20"/>
      <c r="P250" s="20"/>
      <c r="Q250" s="20"/>
      <c r="R250" s="20"/>
      <c r="S250" s="20"/>
      <c r="T250" s="20"/>
      <c r="U250" s="20"/>
      <c r="V250" s="20"/>
      <c r="W250" s="20"/>
      <c r="X250" s="20"/>
      <c r="Y250" s="20"/>
      <c r="Z250" s="20"/>
    </row>
    <row r="251" spans="3:26" ht="15" hidden="1" customHeight="1" x14ac:dyDescent="0.3">
      <c r="C251" s="20"/>
      <c r="D251" s="561">
        <v>196</v>
      </c>
      <c r="E251" s="567" t="str">
        <f ca="1">_xlfn.XLOOKUP(F251,Pareto!S:S,Pareto!T:T)</f>
        <v>Ferraz</v>
      </c>
      <c r="F251" s="1651" t="str">
        <f ca="1">_xlfn.XLOOKUP(K251,Pareto!V:V,Pareto!S:S)</f>
        <v>01 - Clientes com baixa margem de contribuição.</v>
      </c>
      <c r="G251" s="1652"/>
      <c r="H251" s="567" t="str">
        <f ca="1">_xlfn.XLOOKUP(F251,Pareto!S:S,Pareto!X:X)</f>
        <v>⏳ Em Execução</v>
      </c>
      <c r="I251" s="567" t="str">
        <f ca="1">_xlfn.XLOOKUP('5 Unidades  +'!F251,Pareto!S:S,Pareto!Z:Z)</f>
        <v/>
      </c>
      <c r="J251" s="562">
        <f ca="1">_xlfn.XLOOKUP(F251,Pareto!S:S,Pareto!U:U)</f>
        <v>0</v>
      </c>
      <c r="K251" s="562" t="str">
        <f ca="1">IFERROR(LARGE(Pareto!V:V,D251)," ")</f>
        <v xml:space="preserve"> </v>
      </c>
      <c r="L251" s="562" t="str">
        <f ca="1">_xlfn.XLOOKUP(F251,Pareto!S:S,Pareto!W:W)</f>
        <v/>
      </c>
      <c r="M251" s="563" t="e">
        <f t="shared" ca="1" si="6"/>
        <v>#VALUE!</v>
      </c>
      <c r="N251" s="20"/>
      <c r="O251" s="20"/>
      <c r="P251" s="20"/>
      <c r="Q251" s="20"/>
      <c r="R251" s="20"/>
      <c r="S251" s="20"/>
      <c r="T251" s="20"/>
      <c r="U251" s="20"/>
      <c r="V251" s="20"/>
      <c r="W251" s="20"/>
      <c r="X251" s="20"/>
      <c r="Y251" s="20"/>
      <c r="Z251" s="20"/>
    </row>
    <row r="252" spans="3:26" ht="15" hidden="1" customHeight="1" x14ac:dyDescent="0.3">
      <c r="C252" s="20"/>
      <c r="D252" s="558">
        <v>197</v>
      </c>
      <c r="E252" s="568" t="str">
        <f ca="1">_xlfn.XLOOKUP(F252,Pareto!S:S,Pareto!T:T)</f>
        <v>Ferraz</v>
      </c>
      <c r="F252" s="1649" t="str">
        <f ca="1">_xlfn.XLOOKUP(K252,Pareto!V:V,Pareto!S:S)</f>
        <v>01 - Clientes com baixa margem de contribuição.</v>
      </c>
      <c r="G252" s="1650"/>
      <c r="H252" s="566" t="str">
        <f ca="1">_xlfn.XLOOKUP(F252,Pareto!S:S,Pareto!X:X)</f>
        <v>⏳ Em Execução</v>
      </c>
      <c r="I252" s="566" t="str">
        <f ca="1">_xlfn.XLOOKUP('5 Unidades  +'!F252,Pareto!S:S,Pareto!Z:Z)</f>
        <v/>
      </c>
      <c r="J252" s="559">
        <f ca="1">_xlfn.XLOOKUP(F252,Pareto!S:S,Pareto!U:U)</f>
        <v>0</v>
      </c>
      <c r="K252" s="559" t="str">
        <f ca="1">IFERROR(LARGE(Pareto!V:V,D252)," ")</f>
        <v xml:space="preserve"> </v>
      </c>
      <c r="L252" s="559" t="str">
        <f ca="1">_xlfn.XLOOKUP(F252,Pareto!S:S,Pareto!W:W)</f>
        <v/>
      </c>
      <c r="M252" s="560" t="e">
        <f t="shared" ca="1" si="6"/>
        <v>#VALUE!</v>
      </c>
      <c r="N252" s="20"/>
      <c r="O252" s="20"/>
      <c r="P252" s="20"/>
      <c r="Q252" s="20"/>
      <c r="R252" s="20"/>
      <c r="S252" s="20"/>
      <c r="T252" s="20"/>
      <c r="U252" s="20"/>
      <c r="V252" s="20"/>
      <c r="W252" s="20"/>
      <c r="X252" s="20"/>
      <c r="Y252" s="20"/>
      <c r="Z252" s="20"/>
    </row>
    <row r="253" spans="3:26" ht="15" hidden="1" customHeight="1" x14ac:dyDescent="0.3">
      <c r="C253" s="20"/>
      <c r="D253" s="561">
        <v>198</v>
      </c>
      <c r="E253" s="567" t="str">
        <f ca="1">_xlfn.XLOOKUP(F253,Pareto!S:S,Pareto!T:T)</f>
        <v>Ferraz</v>
      </c>
      <c r="F253" s="1651" t="str">
        <f ca="1">_xlfn.XLOOKUP(K253,Pareto!V:V,Pareto!S:S)</f>
        <v>01 - Clientes com baixa margem de contribuição.</v>
      </c>
      <c r="G253" s="1652"/>
      <c r="H253" s="567" t="str">
        <f ca="1">_xlfn.XLOOKUP(F253,Pareto!S:S,Pareto!X:X)</f>
        <v>⏳ Em Execução</v>
      </c>
      <c r="I253" s="567" t="str">
        <f ca="1">_xlfn.XLOOKUP('5 Unidades  +'!F253,Pareto!S:S,Pareto!Z:Z)</f>
        <v/>
      </c>
      <c r="J253" s="562">
        <f ca="1">_xlfn.XLOOKUP(F253,Pareto!S:S,Pareto!U:U)</f>
        <v>0</v>
      </c>
      <c r="K253" s="562" t="str">
        <f ca="1">IFERROR(LARGE(Pareto!V:V,D253)," ")</f>
        <v xml:space="preserve"> </v>
      </c>
      <c r="L253" s="562" t="str">
        <f ca="1">_xlfn.XLOOKUP(F253,Pareto!S:S,Pareto!W:W)</f>
        <v/>
      </c>
      <c r="M253" s="563" t="e">
        <f t="shared" ca="1" si="6"/>
        <v>#VALUE!</v>
      </c>
      <c r="N253" s="20"/>
      <c r="O253" s="20"/>
      <c r="P253" s="20"/>
      <c r="Q253" s="20"/>
      <c r="R253" s="20"/>
      <c r="S253" s="20"/>
      <c r="T253" s="20"/>
      <c r="U253" s="20"/>
      <c r="V253" s="20"/>
      <c r="W253" s="20"/>
      <c r="X253" s="20"/>
      <c r="Y253" s="20"/>
      <c r="Z253" s="20"/>
    </row>
    <row r="254" spans="3:26" ht="15" hidden="1" customHeight="1" x14ac:dyDescent="0.3">
      <c r="C254" s="20"/>
      <c r="D254" s="558">
        <v>199</v>
      </c>
      <c r="E254" s="568" t="str">
        <f ca="1">_xlfn.XLOOKUP(F254,Pareto!S:S,Pareto!T:T)</f>
        <v>Ferraz</v>
      </c>
      <c r="F254" s="1649" t="str">
        <f ca="1">_xlfn.XLOOKUP(K254,Pareto!V:V,Pareto!S:S)</f>
        <v>01 - Clientes com baixa margem de contribuição.</v>
      </c>
      <c r="G254" s="1650"/>
      <c r="H254" s="566" t="str">
        <f ca="1">_xlfn.XLOOKUP(F254,Pareto!S:S,Pareto!X:X)</f>
        <v>⏳ Em Execução</v>
      </c>
      <c r="I254" s="566" t="str">
        <f ca="1">_xlfn.XLOOKUP('5 Unidades  +'!F254,Pareto!S:S,Pareto!Z:Z)</f>
        <v/>
      </c>
      <c r="J254" s="559">
        <f ca="1">_xlfn.XLOOKUP(F254,Pareto!S:S,Pareto!U:U)</f>
        <v>0</v>
      </c>
      <c r="K254" s="559" t="str">
        <f ca="1">IFERROR(LARGE(Pareto!V:V,D254)," ")</f>
        <v xml:space="preserve"> </v>
      </c>
      <c r="L254" s="559" t="str">
        <f ca="1">_xlfn.XLOOKUP(F254,Pareto!S:S,Pareto!W:W)</f>
        <v/>
      </c>
      <c r="M254" s="560" t="e">
        <f t="shared" ca="1" si="6"/>
        <v>#VALUE!</v>
      </c>
      <c r="N254" s="20"/>
      <c r="O254" s="20"/>
      <c r="P254" s="20"/>
      <c r="Q254" s="20"/>
      <c r="R254" s="20"/>
      <c r="S254" s="20"/>
      <c r="T254" s="20"/>
      <c r="U254" s="20"/>
      <c r="V254" s="20"/>
      <c r="W254" s="20"/>
      <c r="X254" s="20"/>
      <c r="Y254" s="20"/>
      <c r="Z254" s="20"/>
    </row>
    <row r="255" spans="3:26" ht="15" hidden="1" customHeight="1" x14ac:dyDescent="0.3">
      <c r="C255" s="20"/>
      <c r="D255" s="561">
        <v>200</v>
      </c>
      <c r="E255" s="567" t="str">
        <f ca="1">_xlfn.XLOOKUP(F255,Pareto!S:S,Pareto!T:T)</f>
        <v>Ferraz</v>
      </c>
      <c r="F255" s="1651" t="str">
        <f ca="1">_xlfn.XLOOKUP(K255,Pareto!V:V,Pareto!S:S)</f>
        <v>01 - Clientes com baixa margem de contribuição.</v>
      </c>
      <c r="G255" s="1652"/>
      <c r="H255" s="567" t="str">
        <f ca="1">_xlfn.XLOOKUP(F255,Pareto!S:S,Pareto!X:X)</f>
        <v>⏳ Em Execução</v>
      </c>
      <c r="I255" s="567" t="str">
        <f ca="1">_xlfn.XLOOKUP('5 Unidades  +'!F255,Pareto!S:S,Pareto!Z:Z)</f>
        <v/>
      </c>
      <c r="J255" s="562">
        <f ca="1">_xlfn.XLOOKUP(F255,Pareto!S:S,Pareto!U:U)</f>
        <v>0</v>
      </c>
      <c r="K255" s="562" t="str">
        <f ca="1">IFERROR(LARGE(Pareto!V:V,D255)," ")</f>
        <v xml:space="preserve"> </v>
      </c>
      <c r="L255" s="562" t="str">
        <f ca="1">_xlfn.XLOOKUP(F255,Pareto!S:S,Pareto!W:W)</f>
        <v/>
      </c>
      <c r="M255" s="563" t="e">
        <f t="shared" ca="1" si="6"/>
        <v>#VALUE!</v>
      </c>
      <c r="N255" s="20"/>
      <c r="O255" s="20"/>
      <c r="P255" s="20"/>
      <c r="Q255" s="20"/>
      <c r="R255" s="20"/>
      <c r="S255" s="20"/>
      <c r="T255" s="20"/>
      <c r="U255" s="20"/>
      <c r="V255" s="20"/>
      <c r="W255" s="20"/>
      <c r="X255" s="20"/>
      <c r="Y255" s="20"/>
      <c r="Z255" s="20"/>
    </row>
    <row r="256" spans="3:26" ht="15" hidden="1" customHeight="1" x14ac:dyDescent="0.3">
      <c r="C256" s="20"/>
      <c r="D256" s="558">
        <v>201</v>
      </c>
      <c r="E256" s="568" t="str">
        <f ca="1">_xlfn.XLOOKUP(F256,Pareto!S:S,Pareto!T:T)</f>
        <v>Ferraz</v>
      </c>
      <c r="F256" s="1649" t="str">
        <f ca="1">_xlfn.XLOOKUP(K256,Pareto!V:V,Pareto!S:S)</f>
        <v>01 - Clientes com baixa margem de contribuição.</v>
      </c>
      <c r="G256" s="1650"/>
      <c r="H256" s="566" t="str">
        <f ca="1">_xlfn.XLOOKUP(F256,Pareto!S:S,Pareto!X:X)</f>
        <v>⏳ Em Execução</v>
      </c>
      <c r="I256" s="566" t="str">
        <f ca="1">_xlfn.XLOOKUP('5 Unidades  +'!F256,Pareto!S:S,Pareto!Z:Z)</f>
        <v/>
      </c>
      <c r="J256" s="559">
        <f ca="1">_xlfn.XLOOKUP(F256,Pareto!S:S,Pareto!U:U)</f>
        <v>0</v>
      </c>
      <c r="K256" s="559" t="str">
        <f ca="1">IFERROR(LARGE(Pareto!V:V,D256)," ")</f>
        <v xml:space="preserve"> </v>
      </c>
      <c r="L256" s="559" t="str">
        <f ca="1">_xlfn.XLOOKUP(F256,Pareto!S:S,Pareto!W:W)</f>
        <v/>
      </c>
      <c r="M256" s="560" t="e">
        <f t="shared" ca="1" si="6"/>
        <v>#VALUE!</v>
      </c>
      <c r="N256" s="20"/>
      <c r="O256" s="20"/>
      <c r="P256" s="20"/>
      <c r="Q256" s="20"/>
      <c r="R256" s="20"/>
      <c r="S256" s="20"/>
      <c r="T256" s="20"/>
      <c r="U256" s="20"/>
      <c r="V256" s="20"/>
      <c r="W256" s="20"/>
      <c r="X256" s="20"/>
      <c r="Y256" s="20"/>
      <c r="Z256" s="20"/>
    </row>
    <row r="257" spans="3:26" ht="15" hidden="1" customHeight="1" x14ac:dyDescent="0.3">
      <c r="C257" s="20"/>
      <c r="D257" s="561">
        <v>202</v>
      </c>
      <c r="E257" s="567" t="str">
        <f ca="1">_xlfn.XLOOKUP(F257,Pareto!S:S,Pareto!T:T)</f>
        <v>Ferraz</v>
      </c>
      <c r="F257" s="1651" t="str">
        <f ca="1">_xlfn.XLOOKUP(K257,Pareto!V:V,Pareto!S:S)</f>
        <v>01 - Clientes com baixa margem de contribuição.</v>
      </c>
      <c r="G257" s="1652"/>
      <c r="H257" s="567" t="str">
        <f ca="1">_xlfn.XLOOKUP(F257,Pareto!S:S,Pareto!X:X)</f>
        <v>⏳ Em Execução</v>
      </c>
      <c r="I257" s="567" t="str">
        <f ca="1">_xlfn.XLOOKUP('5 Unidades  +'!F257,Pareto!S:S,Pareto!Z:Z)</f>
        <v/>
      </c>
      <c r="J257" s="562">
        <f ca="1">_xlfn.XLOOKUP(F257,Pareto!S:S,Pareto!U:U)</f>
        <v>0</v>
      </c>
      <c r="K257" s="562" t="str">
        <f ca="1">IFERROR(LARGE(Pareto!V:V,D257)," ")</f>
        <v xml:space="preserve"> </v>
      </c>
      <c r="L257" s="562" t="str">
        <f ca="1">_xlfn.XLOOKUP(F257,Pareto!S:S,Pareto!W:W)</f>
        <v/>
      </c>
      <c r="M257" s="563" t="e">
        <f t="shared" ca="1" si="6"/>
        <v>#VALUE!</v>
      </c>
      <c r="N257" s="20"/>
      <c r="O257" s="20"/>
      <c r="P257" s="20"/>
      <c r="Q257" s="20"/>
      <c r="R257" s="20"/>
      <c r="S257" s="20"/>
      <c r="T257" s="20"/>
      <c r="U257" s="20"/>
      <c r="V257" s="20"/>
      <c r="W257" s="20"/>
      <c r="X257" s="20"/>
      <c r="Y257" s="20"/>
      <c r="Z257" s="20"/>
    </row>
    <row r="258" spans="3:26" ht="15" hidden="1" customHeight="1" x14ac:dyDescent="0.3">
      <c r="C258" s="20"/>
      <c r="D258" s="558">
        <v>203</v>
      </c>
      <c r="E258" s="568" t="str">
        <f ca="1">_xlfn.XLOOKUP(F258,Pareto!S:S,Pareto!T:T)</f>
        <v>Ferraz</v>
      </c>
      <c r="F258" s="1649" t="str">
        <f ca="1">_xlfn.XLOOKUP(K258,Pareto!V:V,Pareto!S:S)</f>
        <v>01 - Clientes com baixa margem de contribuição.</v>
      </c>
      <c r="G258" s="1650"/>
      <c r="H258" s="566" t="str">
        <f ca="1">_xlfn.XLOOKUP(F258,Pareto!S:S,Pareto!X:X)</f>
        <v>⏳ Em Execução</v>
      </c>
      <c r="I258" s="566" t="str">
        <f ca="1">_xlfn.XLOOKUP('5 Unidades  +'!F258,Pareto!S:S,Pareto!Z:Z)</f>
        <v/>
      </c>
      <c r="J258" s="559">
        <f ca="1">_xlfn.XLOOKUP(F258,Pareto!S:S,Pareto!U:U)</f>
        <v>0</v>
      </c>
      <c r="K258" s="559" t="str">
        <f ca="1">IFERROR(LARGE(Pareto!V:V,D258)," ")</f>
        <v xml:space="preserve"> </v>
      </c>
      <c r="L258" s="559" t="str">
        <f ca="1">_xlfn.XLOOKUP(F258,Pareto!S:S,Pareto!W:W)</f>
        <v/>
      </c>
      <c r="M258" s="560" t="e">
        <f t="shared" ca="1" si="6"/>
        <v>#VALUE!</v>
      </c>
      <c r="N258" s="20"/>
      <c r="O258" s="20"/>
      <c r="P258" s="20"/>
      <c r="Q258" s="20"/>
      <c r="R258" s="20"/>
      <c r="S258" s="20"/>
      <c r="T258" s="20"/>
      <c r="U258" s="20"/>
      <c r="V258" s="20"/>
      <c r="W258" s="20"/>
      <c r="X258" s="20"/>
      <c r="Y258" s="20"/>
      <c r="Z258" s="20"/>
    </row>
    <row r="259" spans="3:26" ht="15" hidden="1" customHeight="1" x14ac:dyDescent="0.3">
      <c r="C259" s="20"/>
      <c r="D259" s="561">
        <v>204</v>
      </c>
      <c r="E259" s="567" t="str">
        <f ca="1">_xlfn.XLOOKUP(F259,Pareto!S:S,Pareto!T:T)</f>
        <v>Ferraz</v>
      </c>
      <c r="F259" s="1651" t="str">
        <f ca="1">_xlfn.XLOOKUP(K259,Pareto!V:V,Pareto!S:S)</f>
        <v>01 - Clientes com baixa margem de contribuição.</v>
      </c>
      <c r="G259" s="1652"/>
      <c r="H259" s="567" t="str">
        <f ca="1">_xlfn.XLOOKUP(F259,Pareto!S:S,Pareto!X:X)</f>
        <v>⏳ Em Execução</v>
      </c>
      <c r="I259" s="567" t="str">
        <f ca="1">_xlfn.XLOOKUP('5 Unidades  +'!F259,Pareto!S:S,Pareto!Z:Z)</f>
        <v/>
      </c>
      <c r="J259" s="562">
        <f ca="1">_xlfn.XLOOKUP(F259,Pareto!S:S,Pareto!U:U)</f>
        <v>0</v>
      </c>
      <c r="K259" s="562" t="str">
        <f ca="1">IFERROR(LARGE(Pareto!V:V,D259)," ")</f>
        <v xml:space="preserve"> </v>
      </c>
      <c r="L259" s="562" t="str">
        <f ca="1">_xlfn.XLOOKUP(F259,Pareto!S:S,Pareto!W:W)</f>
        <v/>
      </c>
      <c r="M259" s="563" t="e">
        <f t="shared" ca="1" si="6"/>
        <v>#VALUE!</v>
      </c>
      <c r="N259" s="20"/>
      <c r="O259" s="20"/>
      <c r="P259" s="20"/>
      <c r="Q259" s="20"/>
      <c r="R259" s="20"/>
      <c r="S259" s="20"/>
      <c r="T259" s="20"/>
      <c r="U259" s="20"/>
      <c r="V259" s="20"/>
      <c r="W259" s="20"/>
      <c r="X259" s="20"/>
      <c r="Y259" s="20"/>
      <c r="Z259" s="20"/>
    </row>
    <row r="260" spans="3:26" ht="15" customHeight="1" x14ac:dyDescent="0.3">
      <c r="C260" s="20"/>
      <c r="D260" s="20"/>
      <c r="E260" s="20"/>
      <c r="F260" s="20"/>
      <c r="G260" s="20"/>
      <c r="H260" s="20"/>
      <c r="I260" s="20"/>
      <c r="J260" s="564">
        <f ca="1">SUBTOTAL(9,J55:J155)</f>
        <v>11604337.56259972</v>
      </c>
      <c r="K260" s="564">
        <f ca="1">SUM(K56:K155)</f>
        <v>8835611.0982907955</v>
      </c>
      <c r="L260" s="564" cm="1">
        <f t="array" aca="1" ref="L260" ca="1">SUM(IFERROR(L56:L155,0))</f>
        <v>6125508.4416509168</v>
      </c>
      <c r="M260" s="564">
        <f ca="1">L260-K260</f>
        <v>-2710102.6566398786</v>
      </c>
      <c r="N260" s="20"/>
      <c r="O260" s="20"/>
      <c r="P260" s="20"/>
      <c r="Q260" s="20"/>
      <c r="R260" s="20"/>
      <c r="S260" s="20"/>
      <c r="T260" s="20"/>
      <c r="U260" s="20"/>
      <c r="V260" s="20"/>
      <c r="W260" s="20"/>
      <c r="X260" s="20"/>
      <c r="Y260" s="20"/>
      <c r="Z260" s="20"/>
    </row>
    <row r="261" spans="3:26" ht="15" customHeight="1" x14ac:dyDescent="0.3">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3:26" ht="15" customHeight="1" x14ac:dyDescent="0.3">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3:26" ht="15" customHeight="1" x14ac:dyDescent="0.3">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3:26" ht="15" customHeight="1" x14ac:dyDescent="0.3">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3:26" ht="15" customHeight="1" x14ac:dyDescent="0.3">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3:26" ht="15" customHeight="1" x14ac:dyDescent="0.3">
      <c r="C266" s="20"/>
      <c r="D266" s="20" t="s">
        <v>78</v>
      </c>
      <c r="E266" s="20" t="s">
        <v>116</v>
      </c>
      <c r="F266" s="20" t="s">
        <v>117</v>
      </c>
      <c r="G266" s="20"/>
      <c r="H266" s="20"/>
      <c r="I266" s="20"/>
      <c r="J266" s="20"/>
      <c r="K266" s="20"/>
      <c r="L266" s="20"/>
      <c r="M266" s="20"/>
      <c r="N266" s="20"/>
      <c r="O266" s="20"/>
      <c r="P266" s="20"/>
      <c r="Q266" s="20"/>
      <c r="R266" s="20"/>
      <c r="S266" s="20"/>
      <c r="T266" s="20"/>
      <c r="U266" s="20"/>
      <c r="V266" s="20"/>
      <c r="W266" s="20"/>
      <c r="X266" s="20"/>
      <c r="Y266" s="20"/>
      <c r="Z266" s="20"/>
    </row>
    <row r="267" spans="3:26" ht="15" customHeight="1" x14ac:dyDescent="0.3">
      <c r="C267" s="20"/>
      <c r="D267" s="20" t="s">
        <v>26</v>
      </c>
      <c r="E267" s="556">
        <f ca="1">SUMIF($E$56:$E$259,D267,$K$56:$K$259)</f>
        <v>3358648.1900757565</v>
      </c>
      <c r="F267" s="556">
        <f ca="1">SUMIF($E$56:$E$259,D267,$L$56:$L$259)</f>
        <v>1282436.3115068001</v>
      </c>
      <c r="G267" s="20"/>
      <c r="H267" s="20"/>
      <c r="I267" s="20"/>
      <c r="J267" s="20"/>
      <c r="K267" s="20"/>
      <c r="L267" s="20"/>
      <c r="M267" s="20"/>
      <c r="N267" s="20"/>
      <c r="O267" s="20"/>
      <c r="P267" s="20"/>
      <c r="Q267" s="20"/>
      <c r="R267" s="20"/>
      <c r="S267" s="20"/>
      <c r="T267" s="20"/>
      <c r="U267" s="20"/>
      <c r="V267" s="20"/>
      <c r="W267" s="20"/>
      <c r="X267" s="20"/>
      <c r="Y267" s="20"/>
      <c r="Z267" s="20"/>
    </row>
    <row r="268" spans="3:26" ht="15" customHeight="1" x14ac:dyDescent="0.3">
      <c r="C268" s="20"/>
      <c r="D268" s="20" t="s">
        <v>22</v>
      </c>
      <c r="E268" s="556">
        <f t="shared" ref="E268:E272" ca="1" si="7">SUMIF($E$56:$E$259,D268,$K$56:$K$259)</f>
        <v>1731364.5434949494</v>
      </c>
      <c r="F268" s="556">
        <f t="shared" ref="F268:F272" ca="1" si="8">SUMIF($E$56:$E$259,D268,$L$56:$L$259)</f>
        <v>1892595.3699999999</v>
      </c>
      <c r="G268" s="20"/>
      <c r="H268" s="20"/>
      <c r="I268" s="20"/>
      <c r="J268" s="20"/>
      <c r="K268" s="20"/>
      <c r="L268" s="20"/>
      <c r="M268" s="20"/>
      <c r="N268" s="20"/>
      <c r="O268" s="20"/>
      <c r="P268" s="20"/>
      <c r="Q268" s="20"/>
      <c r="R268" s="20"/>
      <c r="S268" s="20"/>
      <c r="T268" s="20"/>
      <c r="U268" s="20"/>
      <c r="V268" s="20"/>
      <c r="W268" s="20"/>
      <c r="X268" s="20"/>
      <c r="Y268" s="20"/>
      <c r="Z268" s="20"/>
    </row>
    <row r="269" spans="3:26" ht="15" customHeight="1" x14ac:dyDescent="0.3">
      <c r="C269" s="20"/>
      <c r="D269" s="20" t="s">
        <v>124</v>
      </c>
      <c r="E269" s="556">
        <f t="shared" ca="1" si="7"/>
        <v>1044577.599141414</v>
      </c>
      <c r="F269" s="556">
        <f t="shared" ca="1" si="8"/>
        <v>1158700.6800000002</v>
      </c>
      <c r="G269" s="20"/>
      <c r="H269" s="20"/>
      <c r="I269" s="20"/>
      <c r="J269" s="20"/>
      <c r="K269" s="20"/>
      <c r="L269" s="20"/>
      <c r="M269" s="20"/>
      <c r="N269" s="20"/>
      <c r="O269" s="20"/>
      <c r="P269" s="20"/>
      <c r="Q269" s="20"/>
      <c r="R269" s="20"/>
      <c r="S269" s="20"/>
      <c r="T269" s="20"/>
      <c r="U269" s="20"/>
      <c r="V269" s="20"/>
      <c r="W269" s="20"/>
      <c r="X269" s="20"/>
      <c r="Y269" s="20"/>
      <c r="Z269" s="20"/>
    </row>
    <row r="270" spans="3:26" ht="15" customHeight="1" x14ac:dyDescent="0.3">
      <c r="C270" s="20"/>
      <c r="D270" s="20" t="s">
        <v>21</v>
      </c>
      <c r="E270" s="556">
        <f t="shared" ca="1" si="7"/>
        <v>1179699.9151639636</v>
      </c>
      <c r="F270" s="556">
        <f t="shared" ca="1" si="8"/>
        <v>997266.68408181961</v>
      </c>
      <c r="G270" s="20"/>
      <c r="H270" s="20"/>
      <c r="I270" s="20"/>
      <c r="J270" s="20"/>
      <c r="K270" s="20"/>
      <c r="L270" s="20"/>
      <c r="M270" s="20"/>
      <c r="N270" s="20"/>
      <c r="O270" s="20"/>
      <c r="P270" s="20"/>
      <c r="Q270" s="20"/>
      <c r="R270" s="20"/>
      <c r="S270" s="20"/>
      <c r="T270" s="20"/>
      <c r="U270" s="20"/>
      <c r="V270" s="20"/>
      <c r="W270" s="20"/>
      <c r="X270" s="20"/>
      <c r="Y270" s="20"/>
      <c r="Z270" s="20"/>
    </row>
    <row r="271" spans="3:26" ht="15" customHeight="1" x14ac:dyDescent="0.3">
      <c r="C271" s="20"/>
      <c r="D271" s="20" t="s">
        <v>25</v>
      </c>
      <c r="E271" s="556">
        <f t="shared" ca="1" si="7"/>
        <v>348094.47742676776</v>
      </c>
      <c r="F271" s="556">
        <f t="shared" ca="1" si="8"/>
        <v>331443.94717433047</v>
      </c>
      <c r="G271" s="20"/>
      <c r="H271" s="20"/>
      <c r="I271" s="20"/>
      <c r="J271" s="20"/>
      <c r="K271" s="20"/>
      <c r="L271" s="20"/>
      <c r="M271" s="20"/>
      <c r="N271" s="20"/>
      <c r="O271" s="20"/>
      <c r="P271" s="20"/>
      <c r="Q271" s="20"/>
      <c r="R271" s="20"/>
      <c r="S271" s="20"/>
      <c r="T271" s="20"/>
      <c r="U271" s="20"/>
      <c r="V271" s="20"/>
      <c r="W271" s="20"/>
      <c r="X271" s="20"/>
      <c r="Y271" s="20"/>
      <c r="Z271" s="20"/>
    </row>
    <row r="272" spans="3:26" ht="15" customHeight="1" x14ac:dyDescent="0.3">
      <c r="C272" s="20"/>
      <c r="D272" s="20" t="s">
        <v>24</v>
      </c>
      <c r="E272" s="556">
        <f t="shared" ca="1" si="7"/>
        <v>1176931.5429879394</v>
      </c>
      <c r="F272" s="556">
        <f t="shared" ca="1" si="8"/>
        <v>463507.44888796966</v>
      </c>
      <c r="G272" s="20"/>
      <c r="H272" s="20"/>
      <c r="I272" s="20"/>
      <c r="J272" s="20"/>
      <c r="K272" s="20"/>
      <c r="L272" s="20"/>
      <c r="M272" s="20"/>
      <c r="N272" s="20"/>
      <c r="O272" s="20"/>
      <c r="P272" s="20"/>
      <c r="Q272" s="20"/>
      <c r="R272" s="20"/>
      <c r="S272" s="20"/>
      <c r="T272" s="20"/>
      <c r="U272" s="20"/>
      <c r="V272" s="20"/>
      <c r="W272" s="20"/>
      <c r="X272" s="20"/>
      <c r="Y272" s="20"/>
      <c r="Z272" s="20"/>
    </row>
    <row r="273" spans="3:26" ht="15" customHeight="1" x14ac:dyDescent="0.3">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3:26" ht="15" customHeight="1" x14ac:dyDescent="0.3">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3:26" ht="15" customHeight="1" x14ac:dyDescent="0.3">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3:26" ht="15" customHeight="1" x14ac:dyDescent="0.3">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3:26" ht="15" customHeight="1" x14ac:dyDescent="0.3">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3:26" ht="15" customHeight="1" x14ac:dyDescent="0.3">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3:26" ht="15" customHeight="1" x14ac:dyDescent="0.3">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3:26" ht="15" customHeight="1" x14ac:dyDescent="0.3">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3:26" ht="15" customHeight="1" x14ac:dyDescent="0.3">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3:26" ht="15" customHeight="1" x14ac:dyDescent="0.3">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3:26" ht="15" customHeight="1" x14ac:dyDescent="0.3">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3:26" ht="15" customHeight="1" x14ac:dyDescent="0.3">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3:26" ht="15" customHeight="1" x14ac:dyDescent="0.3">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3:26" ht="15" customHeight="1" x14ac:dyDescent="0.3">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3:26" ht="15" customHeight="1" x14ac:dyDescent="0.3">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3:26" ht="15" customHeight="1" x14ac:dyDescent="0.3">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3:26" ht="15" customHeight="1" x14ac:dyDescent="0.3">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3:26" ht="15" customHeight="1" x14ac:dyDescent="0.3">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3:26" ht="15" customHeight="1" x14ac:dyDescent="0.3">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3:26" ht="15" customHeight="1" x14ac:dyDescent="0.3">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3:26" ht="15" customHeight="1" x14ac:dyDescent="0.3">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3:26" ht="15" customHeight="1" x14ac:dyDescent="0.3">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3:26" ht="15" customHeight="1" x14ac:dyDescent="0.3">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3:26" ht="15" customHeight="1" x14ac:dyDescent="0.3">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3:26" ht="15" customHeight="1" x14ac:dyDescent="0.3">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3:26" ht="15" customHeight="1" x14ac:dyDescent="0.3">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3:26" ht="15" customHeight="1" x14ac:dyDescent="0.3">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3:26" ht="15" customHeight="1" x14ac:dyDescent="0.3">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3:26" ht="15" customHeight="1" x14ac:dyDescent="0.3">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3:26" ht="15" customHeight="1" x14ac:dyDescent="0.3">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3:26" ht="15" customHeight="1" x14ac:dyDescent="0.3">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3:26" ht="15" customHeight="1" x14ac:dyDescent="0.3">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3:26" ht="15" customHeight="1" x14ac:dyDescent="0.3">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3:26" ht="15" customHeight="1" x14ac:dyDescent="0.3">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3:26" ht="15" customHeight="1" x14ac:dyDescent="0.3">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3:26" ht="15" customHeight="1" x14ac:dyDescent="0.3">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3:26" ht="15" customHeight="1" x14ac:dyDescent="0.3">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3:26" ht="15" customHeight="1" x14ac:dyDescent="0.3">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3:26" ht="15" customHeight="1" x14ac:dyDescent="0.3">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3:26" ht="15" customHeight="1" x14ac:dyDescent="0.3">
      <c r="D312" s="20"/>
      <c r="E312" s="20"/>
      <c r="F312" s="20"/>
      <c r="G312" s="20"/>
      <c r="H312" s="20"/>
      <c r="U312" s="20"/>
      <c r="V312" s="20"/>
      <c r="W312" s="20"/>
      <c r="X312" s="20"/>
      <c r="Y312" s="20"/>
      <c r="Z312" s="20"/>
    </row>
    <row r="313" spans="3:26" ht="15" customHeight="1" x14ac:dyDescent="0.3">
      <c r="U313" s="20"/>
      <c r="V313" s="20"/>
      <c r="W313" s="20"/>
      <c r="X313" s="20"/>
      <c r="Y313" s="20"/>
      <c r="Z313" s="20"/>
    </row>
    <row r="314" spans="3:26" ht="15" customHeight="1" x14ac:dyDescent="0.3">
      <c r="U314" s="20"/>
      <c r="V314" s="20"/>
      <c r="W314" s="20"/>
      <c r="X314" s="20"/>
      <c r="Y314" s="20"/>
      <c r="Z314" s="20"/>
    </row>
    <row r="315" spans="3:26" ht="15" customHeight="1" x14ac:dyDescent="0.3">
      <c r="U315" s="20"/>
      <c r="V315" s="20"/>
      <c r="W315" s="20"/>
      <c r="X315" s="20"/>
      <c r="Y315" s="20"/>
      <c r="Z315" s="20"/>
    </row>
    <row r="316" spans="3:26" ht="15" customHeight="1" x14ac:dyDescent="0.3">
      <c r="U316" s="20"/>
      <c r="V316" s="20"/>
      <c r="W316" s="20"/>
      <c r="X316" s="20"/>
      <c r="Y316" s="20"/>
      <c r="Z316" s="20"/>
    </row>
    <row r="317" spans="3:26" ht="15" customHeight="1" x14ac:dyDescent="0.3">
      <c r="U317" s="20"/>
      <c r="V317" s="20"/>
      <c r="W317" s="20"/>
      <c r="X317" s="20"/>
      <c r="Y317" s="20"/>
      <c r="Z317" s="20"/>
    </row>
    <row r="318" spans="3:26" ht="15" customHeight="1" x14ac:dyDescent="0.3">
      <c r="U318" s="20"/>
      <c r="V318" s="20"/>
      <c r="W318" s="20"/>
      <c r="X318" s="20"/>
      <c r="Y318" s="20"/>
      <c r="Z318" s="20"/>
    </row>
    <row r="319" spans="3:26" ht="15" customHeight="1" x14ac:dyDescent="0.3">
      <c r="U319" s="20"/>
      <c r="V319" s="20"/>
      <c r="W319" s="20"/>
      <c r="X319" s="20"/>
      <c r="Y319" s="20"/>
      <c r="Z319" s="20"/>
    </row>
    <row r="320" spans="3:26" ht="15" customHeight="1" x14ac:dyDescent="0.3">
      <c r="U320" s="20"/>
      <c r="V320" s="20"/>
      <c r="W320" s="20"/>
      <c r="X320" s="20"/>
      <c r="Y320" s="20"/>
      <c r="Z320" s="20"/>
    </row>
    <row r="321" spans="21:26" ht="15" customHeight="1" x14ac:dyDescent="0.3">
      <c r="U321" s="20"/>
      <c r="V321" s="20"/>
      <c r="W321" s="20"/>
      <c r="X321" s="20"/>
      <c r="Y321" s="20"/>
      <c r="Z321" s="20"/>
    </row>
    <row r="322" spans="21:26" ht="15" customHeight="1" x14ac:dyDescent="0.3">
      <c r="U322" s="20"/>
      <c r="V322" s="20"/>
      <c r="W322" s="20"/>
      <c r="X322" s="20"/>
      <c r="Y322" s="20"/>
      <c r="Z322" s="20"/>
    </row>
    <row r="323" spans="21:26" ht="15" customHeight="1" x14ac:dyDescent="0.3">
      <c r="U323" s="20"/>
      <c r="V323" s="20"/>
      <c r="W323" s="20"/>
      <c r="X323" s="20"/>
      <c r="Y323" s="20"/>
      <c r="Z323" s="20"/>
    </row>
    <row r="324" spans="21:26" ht="15" customHeight="1" x14ac:dyDescent="0.3">
      <c r="U324" s="20"/>
      <c r="V324" s="20"/>
      <c r="W324" s="20"/>
      <c r="X324" s="20"/>
      <c r="Y324" s="20"/>
      <c r="Z324" s="20"/>
    </row>
    <row r="325" spans="21:26" ht="15" customHeight="1" x14ac:dyDescent="0.3">
      <c r="U325" s="20"/>
      <c r="V325" s="20"/>
      <c r="W325" s="20"/>
      <c r="X325" s="20"/>
      <c r="Y325" s="20"/>
      <c r="Z325" s="20"/>
    </row>
    <row r="326" spans="21:26" ht="15" customHeight="1" x14ac:dyDescent="0.3">
      <c r="U326" s="20"/>
      <c r="V326" s="20"/>
      <c r="W326" s="20"/>
      <c r="X326" s="20"/>
      <c r="Y326" s="20"/>
      <c r="Z326" s="20"/>
    </row>
    <row r="327" spans="21:26" ht="15" customHeight="1" x14ac:dyDescent="0.3">
      <c r="U327" s="20"/>
      <c r="V327" s="20"/>
      <c r="W327" s="20"/>
      <c r="X327" s="20"/>
      <c r="Y327" s="20"/>
      <c r="Z327" s="20"/>
    </row>
    <row r="328" spans="21:26" ht="15" customHeight="1" x14ac:dyDescent="0.3">
      <c r="U328" s="20"/>
      <c r="V328" s="20"/>
      <c r="W328" s="20"/>
      <c r="X328" s="20"/>
      <c r="Y328" s="20"/>
      <c r="Z328" s="20"/>
    </row>
    <row r="329" spans="21:26" ht="15" customHeight="1" x14ac:dyDescent="0.3">
      <c r="U329" s="20"/>
      <c r="V329" s="20"/>
      <c r="W329" s="20"/>
      <c r="X329" s="20"/>
      <c r="Y329" s="20"/>
      <c r="Z329" s="20"/>
    </row>
    <row r="330" spans="21:26" ht="15" customHeight="1" x14ac:dyDescent="0.3">
      <c r="U330" s="20"/>
      <c r="V330" s="20"/>
      <c r="W330" s="20"/>
      <c r="X330" s="20"/>
      <c r="Y330" s="20"/>
      <c r="Z330" s="20"/>
    </row>
    <row r="331" spans="21:26" ht="15" customHeight="1" x14ac:dyDescent="0.3">
      <c r="U331" s="20"/>
      <c r="V331" s="20"/>
      <c r="W331" s="20"/>
      <c r="X331" s="20"/>
      <c r="Y331" s="20"/>
      <c r="Z331" s="20"/>
    </row>
    <row r="332" spans="21:26" ht="15" customHeight="1" x14ac:dyDescent="0.3">
      <c r="U332" s="20"/>
      <c r="V332" s="20"/>
      <c r="W332" s="20"/>
      <c r="X332" s="20"/>
      <c r="Y332" s="20"/>
      <c r="Z332" s="20"/>
    </row>
    <row r="333" spans="21:26" ht="15" customHeight="1" x14ac:dyDescent="0.3">
      <c r="U333" s="20"/>
      <c r="V333" s="20"/>
      <c r="W333" s="20"/>
      <c r="X333" s="20"/>
      <c r="Y333" s="20"/>
      <c r="Z333" s="20"/>
    </row>
    <row r="334" spans="21:26" ht="15" customHeight="1" x14ac:dyDescent="0.3">
      <c r="U334" s="20"/>
      <c r="V334" s="20"/>
      <c r="W334" s="20"/>
      <c r="X334" s="20"/>
      <c r="Y334" s="20"/>
      <c r="Z334" s="20"/>
    </row>
    <row r="335" spans="21:26" ht="15" customHeight="1" x14ac:dyDescent="0.3">
      <c r="U335" s="20"/>
      <c r="V335" s="20"/>
      <c r="W335" s="20"/>
      <c r="X335" s="20"/>
      <c r="Y335" s="20"/>
      <c r="Z335" s="20"/>
    </row>
    <row r="336" spans="21:26" ht="15" customHeight="1" x14ac:dyDescent="0.3">
      <c r="U336" s="20"/>
      <c r="V336" s="20"/>
      <c r="W336" s="20"/>
      <c r="X336" s="20"/>
      <c r="Y336" s="20"/>
      <c r="Z336" s="20"/>
    </row>
    <row r="337" spans="21:26" ht="15" customHeight="1" x14ac:dyDescent="0.3">
      <c r="U337" s="20"/>
      <c r="V337" s="20"/>
      <c r="W337" s="20"/>
      <c r="X337" s="20"/>
      <c r="Y337" s="20"/>
      <c r="Z337" s="20"/>
    </row>
    <row r="338" spans="21:26" ht="15" customHeight="1" x14ac:dyDescent="0.3">
      <c r="U338" s="20"/>
      <c r="V338" s="20"/>
      <c r="W338" s="20"/>
      <c r="X338" s="20"/>
      <c r="Y338" s="20"/>
      <c r="Z338" s="20"/>
    </row>
    <row r="339" spans="21:26" ht="15" customHeight="1" x14ac:dyDescent="0.3">
      <c r="U339" s="20"/>
      <c r="V339" s="20"/>
      <c r="W339" s="20"/>
      <c r="X339" s="20"/>
      <c r="Y339" s="20"/>
      <c r="Z339" s="20"/>
    </row>
    <row r="340" spans="21:26" ht="15" customHeight="1" x14ac:dyDescent="0.3">
      <c r="U340" s="20"/>
      <c r="V340" s="20"/>
      <c r="W340" s="20"/>
      <c r="X340" s="20"/>
      <c r="Y340" s="20"/>
      <c r="Z340" s="20"/>
    </row>
    <row r="341" spans="21:26" ht="15" customHeight="1" x14ac:dyDescent="0.3">
      <c r="U341" s="20"/>
      <c r="V341" s="20"/>
      <c r="W341" s="20"/>
      <c r="X341" s="20"/>
      <c r="Y341" s="20"/>
      <c r="Z341" s="20"/>
    </row>
    <row r="342" spans="21:26" ht="15" customHeight="1" x14ac:dyDescent="0.3">
      <c r="U342" s="20"/>
      <c r="V342" s="20"/>
      <c r="W342" s="20"/>
      <c r="X342" s="20"/>
      <c r="Y342" s="20"/>
      <c r="Z342" s="20"/>
    </row>
    <row r="343" spans="21:26" ht="15" customHeight="1" x14ac:dyDescent="0.3">
      <c r="U343" s="20"/>
      <c r="V343" s="20"/>
      <c r="W343" s="20"/>
      <c r="X343" s="20"/>
      <c r="Y343" s="20"/>
      <c r="Z343" s="20"/>
    </row>
    <row r="344" spans="21:26" ht="15" customHeight="1" x14ac:dyDescent="0.3">
      <c r="U344" s="20"/>
      <c r="V344" s="20"/>
      <c r="W344" s="20"/>
      <c r="X344" s="20"/>
      <c r="Y344" s="20"/>
      <c r="Z344" s="20"/>
    </row>
    <row r="345" spans="21:26" ht="15" customHeight="1" x14ac:dyDescent="0.3">
      <c r="U345" s="20"/>
      <c r="V345" s="20"/>
      <c r="W345" s="20"/>
      <c r="X345" s="20"/>
      <c r="Y345" s="20"/>
      <c r="Z345" s="20"/>
    </row>
    <row r="346" spans="21:26" ht="15" customHeight="1" x14ac:dyDescent="0.3">
      <c r="U346" s="20"/>
      <c r="V346" s="20"/>
      <c r="W346" s="20"/>
      <c r="X346" s="20"/>
      <c r="Y346" s="20"/>
      <c r="Z346" s="20"/>
    </row>
    <row r="347" spans="21:26" ht="15" customHeight="1" x14ac:dyDescent="0.3">
      <c r="U347" s="20"/>
      <c r="V347" s="20"/>
      <c r="W347" s="20"/>
      <c r="X347" s="20"/>
      <c r="Y347" s="20"/>
      <c r="Z347" s="20"/>
    </row>
    <row r="348" spans="21:26" ht="15" customHeight="1" x14ac:dyDescent="0.3">
      <c r="U348" s="20"/>
      <c r="V348" s="20"/>
      <c r="W348" s="20"/>
      <c r="X348" s="20"/>
      <c r="Y348" s="20"/>
      <c r="Z348" s="20"/>
    </row>
    <row r="349" spans="21:26" ht="15" customHeight="1" x14ac:dyDescent="0.3">
      <c r="U349" s="20"/>
      <c r="V349" s="20"/>
      <c r="W349" s="20"/>
      <c r="X349" s="20"/>
      <c r="Y349" s="20"/>
      <c r="Z349" s="20"/>
    </row>
    <row r="350" spans="21:26" ht="15" customHeight="1" x14ac:dyDescent="0.3">
      <c r="U350" s="20"/>
      <c r="V350" s="20"/>
      <c r="W350" s="20"/>
      <c r="X350" s="20"/>
      <c r="Y350" s="20"/>
      <c r="Z350" s="20"/>
    </row>
    <row r="351" spans="21:26" ht="15" customHeight="1" x14ac:dyDescent="0.3">
      <c r="U351" s="20"/>
      <c r="V351" s="20"/>
      <c r="W351" s="20"/>
      <c r="X351" s="20"/>
      <c r="Y351" s="20"/>
      <c r="Z351" s="20"/>
    </row>
    <row r="352" spans="21:26" ht="15" customHeight="1" x14ac:dyDescent="0.3">
      <c r="U352" s="20"/>
      <c r="V352" s="20"/>
      <c r="W352" s="20"/>
      <c r="X352" s="20"/>
      <c r="Y352" s="20"/>
      <c r="Z352" s="20"/>
    </row>
    <row r="353" spans="21:26" ht="15" customHeight="1" x14ac:dyDescent="0.3">
      <c r="U353" s="20"/>
      <c r="V353" s="20"/>
      <c r="W353" s="20"/>
      <c r="X353" s="20"/>
      <c r="Y353" s="20"/>
      <c r="Z353" s="20"/>
    </row>
    <row r="354" spans="21:26" ht="15" customHeight="1" x14ac:dyDescent="0.3">
      <c r="U354" s="20"/>
      <c r="V354" s="20"/>
      <c r="W354" s="20"/>
      <c r="X354" s="20"/>
      <c r="Y354" s="20"/>
      <c r="Z354" s="20"/>
    </row>
    <row r="355" spans="21:26" ht="15" customHeight="1" x14ac:dyDescent="0.3">
      <c r="U355" s="20"/>
      <c r="V355" s="20"/>
      <c r="W355" s="20"/>
      <c r="X355" s="20"/>
      <c r="Y355" s="20"/>
      <c r="Z355" s="20"/>
    </row>
    <row r="356" spans="21:26" ht="15" customHeight="1" x14ac:dyDescent="0.3">
      <c r="U356" s="20"/>
      <c r="V356" s="20"/>
      <c r="W356" s="20"/>
      <c r="X356" s="20"/>
      <c r="Y356" s="20"/>
      <c r="Z356" s="20"/>
    </row>
    <row r="357" spans="21:26" ht="15" customHeight="1" x14ac:dyDescent="0.3">
      <c r="U357" s="20"/>
      <c r="V357" s="20"/>
      <c r="W357" s="20"/>
      <c r="X357" s="20"/>
      <c r="Y357" s="20"/>
      <c r="Z357" s="20"/>
    </row>
    <row r="358" spans="21:26" ht="15" customHeight="1" x14ac:dyDescent="0.3">
      <c r="U358" s="20"/>
      <c r="V358" s="20"/>
      <c r="W358" s="20"/>
      <c r="X358" s="20"/>
      <c r="Y358" s="20"/>
      <c r="Z358" s="20"/>
    </row>
  </sheetData>
  <sheetProtection selectLockedCells="1" selectUnlockedCells="1"/>
  <autoFilter ref="D55:M259" xr:uid="{2118386B-FF62-4363-8709-53270BF3324E}">
    <filterColumn colId="2" showButton="0"/>
    <filterColumn colId="6">
      <filters>
        <filter val="R$ 1.584,87"/>
        <filter val="R$ 1.962,46"/>
        <filter val="R$ 101.344,25"/>
        <filter val="R$ 106.763,16"/>
        <filter val="R$ 11.223,44"/>
        <filter val="R$ 114.604,43"/>
        <filter val="R$ 126.310,64"/>
        <filter val="R$ 128.251,50"/>
        <filter val="R$ 13.137,64"/>
        <filter val="R$ 13.303,35"/>
        <filter val="R$ 13.636,36"/>
        <filter val="R$ 138.092,84"/>
        <filter val="R$ 14.341,05"/>
        <filter val="R$ 142.025,58"/>
        <filter val="R$ 145.740,83"/>
        <filter val="R$ 151.815,13"/>
        <filter val="R$ 152.396,00"/>
        <filter val="R$ 153.302,58"/>
        <filter val="R$ 16.500,00"/>
        <filter val="R$ 160.178,29"/>
        <filter val="R$ 160.746,75"/>
        <filter val="R$ 17.427,61"/>
        <filter val="R$ 17.505,54"/>
        <filter val="R$ 175.018,02"/>
        <filter val="R$ 183.134,17"/>
        <filter val="R$ 189.414,00"/>
        <filter val="R$ 2.241,91"/>
        <filter val="R$ 2.266,67"/>
        <filter val="R$ 2.352,27"/>
        <filter val="R$ 2.387,07"/>
        <filter val="R$ 2.430.268,79"/>
        <filter val="R$ 2.928,00"/>
        <filter val="R$ 202.515,94"/>
        <filter val="R$ 21.098,91"/>
        <filter val="R$ 21.316,94"/>
        <filter val="R$ 235.531,33"/>
        <filter val="R$ 24.000,00"/>
        <filter val="R$ 264.492,50"/>
        <filter val="R$ 29.532,29"/>
        <filter val="R$ 3.546,84"/>
        <filter val="R$ 3.570,00"/>
        <filter val="R$ 3.656,94"/>
        <filter val="R$ 3.972,39"/>
        <filter val="R$ 30.921,50"/>
        <filter val="R$ 306,00"/>
        <filter val="R$ 31.739,17"/>
        <filter val="R$ 32.702,00"/>
        <filter val="R$ 32.819,17"/>
        <filter val="R$ 33.838,06"/>
        <filter val="R$ 350.506,33"/>
        <filter val="R$ 37.054,54"/>
        <filter val="R$ 37.365,58"/>
        <filter val="R$ 37.746,60"/>
        <filter val="R$ 38.893,96"/>
        <filter val="R$ 39.476,28"/>
        <filter val="R$ 4.200,00"/>
        <filter val="R$ 4.840,00"/>
        <filter val="R$ 41.104,57"/>
        <filter val="R$ 41.310,32"/>
        <filter val="R$ 41.632,63"/>
        <filter val="R$ 42.000,00"/>
        <filter val="R$ 446.423,79"/>
        <filter val="R$ 46.052,00"/>
        <filter val="R$ 46.996,93"/>
        <filter val="R$ 5.000,00"/>
        <filter val="R$ 520.985,23"/>
        <filter val="R$ 54.000,00"/>
        <filter val="R$ 56.610,76"/>
        <filter val="R$ 57.455,18"/>
        <filter val="R$ 58.100,00"/>
        <filter val="R$ 59.652,76"/>
        <filter val="R$ 60.000,00"/>
        <filter val="R$ 60.340,00"/>
        <filter val="R$ 72.500,00"/>
        <filter val="R$ 75.000,00"/>
        <filter val="R$ 76.500,00"/>
        <filter val="R$ 76.753,75"/>
        <filter val="R$ 77.062,50"/>
        <filter val="R$ 79.688,58"/>
        <filter val="R$ 84.366,10"/>
        <filter val="R$ 842.612,59"/>
        <filter val="R$ 89.750,00"/>
        <filter val="R$ 90.667,32"/>
        <filter val="R$ 99.381,26"/>
      </filters>
    </filterColumn>
  </autoFilter>
  <sortState xmlns:xlrd2="http://schemas.microsoft.com/office/spreadsheetml/2017/richdata2" ref="D267:F272">
    <sortCondition descending="1" ref="F266:F272"/>
  </sortState>
  <mergeCells count="232">
    <mergeCell ref="F256:G256"/>
    <mergeCell ref="F257:G257"/>
    <mergeCell ref="F258:G258"/>
    <mergeCell ref="F259:G259"/>
    <mergeCell ref="F251:G251"/>
    <mergeCell ref="F252:G252"/>
    <mergeCell ref="F253:G253"/>
    <mergeCell ref="F254:G254"/>
    <mergeCell ref="F255:G255"/>
    <mergeCell ref="F246:G246"/>
    <mergeCell ref="F247:G247"/>
    <mergeCell ref="F248:G248"/>
    <mergeCell ref="F249:G249"/>
    <mergeCell ref="F250:G250"/>
    <mergeCell ref="F241:G241"/>
    <mergeCell ref="F242:G242"/>
    <mergeCell ref="F243:G243"/>
    <mergeCell ref="F244:G244"/>
    <mergeCell ref="F245:G245"/>
    <mergeCell ref="F236:G236"/>
    <mergeCell ref="F237:G237"/>
    <mergeCell ref="F238:G238"/>
    <mergeCell ref="F239:G239"/>
    <mergeCell ref="F240:G240"/>
    <mergeCell ref="F231:G231"/>
    <mergeCell ref="F232:G232"/>
    <mergeCell ref="F233:G233"/>
    <mergeCell ref="F234:G234"/>
    <mergeCell ref="F235:G235"/>
    <mergeCell ref="F226:G226"/>
    <mergeCell ref="F227:G227"/>
    <mergeCell ref="F228:G228"/>
    <mergeCell ref="F229:G229"/>
    <mergeCell ref="F230:G230"/>
    <mergeCell ref="F221:G221"/>
    <mergeCell ref="F222:G222"/>
    <mergeCell ref="F223:G223"/>
    <mergeCell ref="F224:G224"/>
    <mergeCell ref="F225:G225"/>
    <mergeCell ref="F216:G216"/>
    <mergeCell ref="F217:G217"/>
    <mergeCell ref="F218:G218"/>
    <mergeCell ref="F219:G219"/>
    <mergeCell ref="F220:G220"/>
    <mergeCell ref="F211:G211"/>
    <mergeCell ref="F212:G212"/>
    <mergeCell ref="F213:G213"/>
    <mergeCell ref="F214:G214"/>
    <mergeCell ref="F215:G215"/>
    <mergeCell ref="F206:G206"/>
    <mergeCell ref="F207:G207"/>
    <mergeCell ref="F208:G208"/>
    <mergeCell ref="F209:G209"/>
    <mergeCell ref="F210:G210"/>
    <mergeCell ref="F201:G201"/>
    <mergeCell ref="F202:G202"/>
    <mergeCell ref="F203:G203"/>
    <mergeCell ref="F204:G204"/>
    <mergeCell ref="F205:G205"/>
    <mergeCell ref="F196:G196"/>
    <mergeCell ref="F197:G197"/>
    <mergeCell ref="F198:G198"/>
    <mergeCell ref="F199:G199"/>
    <mergeCell ref="F200:G200"/>
    <mergeCell ref="F191:G191"/>
    <mergeCell ref="F192:G192"/>
    <mergeCell ref="F193:G193"/>
    <mergeCell ref="F194:G194"/>
    <mergeCell ref="F195:G195"/>
    <mergeCell ref="F186:G186"/>
    <mergeCell ref="F187:G187"/>
    <mergeCell ref="F188:G188"/>
    <mergeCell ref="F189:G189"/>
    <mergeCell ref="F190:G190"/>
    <mergeCell ref="F181:G181"/>
    <mergeCell ref="F182:G182"/>
    <mergeCell ref="F183:G183"/>
    <mergeCell ref="F184:G184"/>
    <mergeCell ref="F185:G185"/>
    <mergeCell ref="F176:G176"/>
    <mergeCell ref="F177:G177"/>
    <mergeCell ref="F178:G178"/>
    <mergeCell ref="F179:G179"/>
    <mergeCell ref="F180:G180"/>
    <mergeCell ref="F171:G171"/>
    <mergeCell ref="F172:G172"/>
    <mergeCell ref="F173:G173"/>
    <mergeCell ref="F174:G174"/>
    <mergeCell ref="F175:G175"/>
    <mergeCell ref="F166:G166"/>
    <mergeCell ref="F167:G167"/>
    <mergeCell ref="F168:G168"/>
    <mergeCell ref="F169:G169"/>
    <mergeCell ref="F170:G170"/>
    <mergeCell ref="F161:G161"/>
    <mergeCell ref="F162:G162"/>
    <mergeCell ref="F163:G163"/>
    <mergeCell ref="F164:G164"/>
    <mergeCell ref="F165:G165"/>
    <mergeCell ref="F156:G156"/>
    <mergeCell ref="F157:G157"/>
    <mergeCell ref="F158:G158"/>
    <mergeCell ref="F159:G159"/>
    <mergeCell ref="F160:G160"/>
    <mergeCell ref="F151:G151"/>
    <mergeCell ref="F152:G152"/>
    <mergeCell ref="F153:G153"/>
    <mergeCell ref="F154:G154"/>
    <mergeCell ref="F155:G155"/>
    <mergeCell ref="F146:G146"/>
    <mergeCell ref="F147:G147"/>
    <mergeCell ref="F148:G148"/>
    <mergeCell ref="F149:G149"/>
    <mergeCell ref="F150:G150"/>
    <mergeCell ref="F141:G141"/>
    <mergeCell ref="F142:G142"/>
    <mergeCell ref="F143:G143"/>
    <mergeCell ref="F144:G144"/>
    <mergeCell ref="F145:G145"/>
    <mergeCell ref="F136:G136"/>
    <mergeCell ref="F137:G137"/>
    <mergeCell ref="F138:G138"/>
    <mergeCell ref="F139:G139"/>
    <mergeCell ref="F140:G140"/>
    <mergeCell ref="F131:G131"/>
    <mergeCell ref="F132:G132"/>
    <mergeCell ref="F133:G133"/>
    <mergeCell ref="F134:G134"/>
    <mergeCell ref="F135:G135"/>
    <mergeCell ref="F126:G126"/>
    <mergeCell ref="F127:G127"/>
    <mergeCell ref="F128:G128"/>
    <mergeCell ref="F129:G129"/>
    <mergeCell ref="F130:G130"/>
    <mergeCell ref="F121:G121"/>
    <mergeCell ref="F122:G122"/>
    <mergeCell ref="F123:G123"/>
    <mergeCell ref="F124:G124"/>
    <mergeCell ref="F125:G125"/>
    <mergeCell ref="F116:G116"/>
    <mergeCell ref="F117:G117"/>
    <mergeCell ref="F118:G118"/>
    <mergeCell ref="F119:G119"/>
    <mergeCell ref="F120:G120"/>
    <mergeCell ref="F111:G111"/>
    <mergeCell ref="F112:G112"/>
    <mergeCell ref="F113:G113"/>
    <mergeCell ref="F114:G114"/>
    <mergeCell ref="F115:G115"/>
    <mergeCell ref="F106:G106"/>
    <mergeCell ref="F107:G107"/>
    <mergeCell ref="F108:G108"/>
    <mergeCell ref="F109:G109"/>
    <mergeCell ref="F110:G110"/>
    <mergeCell ref="F101:G101"/>
    <mergeCell ref="F102:G102"/>
    <mergeCell ref="F103:G103"/>
    <mergeCell ref="F104:G104"/>
    <mergeCell ref="F105:G105"/>
    <mergeCell ref="F96:G96"/>
    <mergeCell ref="F97:G97"/>
    <mergeCell ref="F98:G98"/>
    <mergeCell ref="F99:G99"/>
    <mergeCell ref="F100:G100"/>
    <mergeCell ref="F91:G91"/>
    <mergeCell ref="F92:G92"/>
    <mergeCell ref="F93:G93"/>
    <mergeCell ref="F94:G94"/>
    <mergeCell ref="F95:G95"/>
    <mergeCell ref="F86:G86"/>
    <mergeCell ref="F87:G87"/>
    <mergeCell ref="F88:G88"/>
    <mergeCell ref="F89:G89"/>
    <mergeCell ref="F90:G90"/>
    <mergeCell ref="F81:G81"/>
    <mergeCell ref="F82:G82"/>
    <mergeCell ref="F83:G83"/>
    <mergeCell ref="F84:G84"/>
    <mergeCell ref="F85:G85"/>
    <mergeCell ref="F76:G76"/>
    <mergeCell ref="F77:G77"/>
    <mergeCell ref="F78:G78"/>
    <mergeCell ref="F79:G79"/>
    <mergeCell ref="F80:G80"/>
    <mergeCell ref="F71:G71"/>
    <mergeCell ref="F72:G72"/>
    <mergeCell ref="F73:G73"/>
    <mergeCell ref="F74:G74"/>
    <mergeCell ref="F75:G75"/>
    <mergeCell ref="F66:G66"/>
    <mergeCell ref="F67:G67"/>
    <mergeCell ref="F68:G68"/>
    <mergeCell ref="F69:G69"/>
    <mergeCell ref="F70:G70"/>
    <mergeCell ref="F61:G61"/>
    <mergeCell ref="F62:G62"/>
    <mergeCell ref="F63:G63"/>
    <mergeCell ref="F64:G64"/>
    <mergeCell ref="F65:G65"/>
    <mergeCell ref="F55:G55"/>
    <mergeCell ref="L14:L16"/>
    <mergeCell ref="M14:M16"/>
    <mergeCell ref="N14:O16"/>
    <mergeCell ref="F56:G56"/>
    <mergeCell ref="F57:G57"/>
    <mergeCell ref="F58:G58"/>
    <mergeCell ref="F59:G59"/>
    <mergeCell ref="F60:G60"/>
    <mergeCell ref="D3:R3"/>
    <mergeCell ref="D4:S4"/>
    <mergeCell ref="H6:I6"/>
    <mergeCell ref="L6:M6"/>
    <mergeCell ref="N6:O6"/>
    <mergeCell ref="P6:S6"/>
    <mergeCell ref="M12:M13"/>
    <mergeCell ref="L12:L13"/>
    <mergeCell ref="L11:O11"/>
    <mergeCell ref="I11:K11"/>
    <mergeCell ref="D7:D9"/>
    <mergeCell ref="F7:F9"/>
    <mergeCell ref="N12:O13"/>
    <mergeCell ref="N7:O9"/>
    <mergeCell ref="Q7:R7"/>
    <mergeCell ref="Q8:R8"/>
    <mergeCell ref="Q9:R9"/>
    <mergeCell ref="P11:R11"/>
    <mergeCell ref="H7:I9"/>
    <mergeCell ref="L7:M9"/>
    <mergeCell ref="E7:E9"/>
    <mergeCell ref="G7:G9"/>
    <mergeCell ref="J7:J9"/>
    <mergeCell ref="K7:K9"/>
  </mergeCells>
  <conditionalFormatting sqref="E31:I33">
    <cfRule type="aboveAverage" dxfId="135" priority="7"/>
  </conditionalFormatting>
  <conditionalFormatting sqref="E24:L25">
    <cfRule type="aboveAverage" dxfId="134" priority="15"/>
  </conditionalFormatting>
  <conditionalFormatting sqref="E27:L27">
    <cfRule type="cellIs" dxfId="133" priority="3" operator="lessThanOrEqual">
      <formula>-0.1</formula>
    </cfRule>
  </conditionalFormatting>
  <conditionalFormatting sqref="E27:L30">
    <cfRule type="aboveAverage" dxfId="132" priority="16"/>
  </conditionalFormatting>
  <conditionalFormatting sqref="M56:M259">
    <cfRule type="cellIs" dxfId="131" priority="1" operator="greaterThanOrEqual">
      <formula>1</formula>
    </cfRule>
    <cfRule type="cellIs" dxfId="130" priority="2" operator="less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 id="{8475071C-2C2E-4AA8-8C1A-2309C499E572}">
            <x14:iconSet iconSet="3Stars">
              <x14:cfvo type="percent">
                <xm:f>0</xm:f>
              </x14:cfvo>
              <x14:cfvo type="percent">
                <xm:f>33</xm:f>
              </x14:cfvo>
              <x14:cfvo type="percent">
                <xm:f>67</xm:f>
              </x14:cfvo>
            </x14:iconSet>
          </x14:cfRule>
          <xm:sqref>P7:P9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390"/>
  <sheetViews>
    <sheetView topLeftCell="L2" zoomScale="70" zoomScaleNormal="70" workbookViewId="0">
      <selection activeCell="T6" sqref="T6:T25"/>
    </sheetView>
  </sheetViews>
  <sheetFormatPr defaultColWidth="8.5546875" defaultRowHeight="14.4" x14ac:dyDescent="0.3"/>
  <cols>
    <col min="1" max="1" width="35" style="62" customWidth="1"/>
    <col min="2" max="2" width="31.44140625" style="62" customWidth="1"/>
    <col min="3" max="3" width="33.44140625" style="62" customWidth="1"/>
    <col min="4" max="4" width="42.5546875" style="62" customWidth="1"/>
    <col min="5" max="5" width="30.44140625" style="62" customWidth="1"/>
    <col min="6" max="6" width="24.44140625" style="62" customWidth="1"/>
    <col min="7" max="7" width="17.5546875" style="62" customWidth="1"/>
    <col min="8" max="8" width="21" style="62" customWidth="1"/>
    <col min="9" max="9" width="38.44140625" style="62" customWidth="1"/>
    <col min="10" max="10" width="19.44140625" style="62" bestFit="1" customWidth="1"/>
    <col min="11" max="11" width="26.44140625" style="62" customWidth="1"/>
    <col min="12" max="12" width="32" style="62" customWidth="1"/>
    <col min="13" max="13" width="21.5546875" style="62" customWidth="1"/>
    <col min="14" max="14" width="23" style="62" customWidth="1"/>
    <col min="15" max="15" width="20.77734375" style="62" customWidth="1"/>
    <col min="16" max="16" width="19.44140625" style="62" hidden="1" customWidth="1"/>
    <col min="17" max="17" width="23" style="62" hidden="1" customWidth="1"/>
    <col min="18" max="18" width="22.5546875" style="62" customWidth="1"/>
    <col min="19" max="19" width="23.5546875" style="62" customWidth="1"/>
    <col min="20" max="20" width="19.44140625" style="62" customWidth="1"/>
    <col min="21" max="21" width="23.5546875" style="62" hidden="1" customWidth="1"/>
    <col min="22" max="22" width="20.44140625" style="62" hidden="1" customWidth="1"/>
    <col min="23" max="23" width="19" style="62" hidden="1" customWidth="1"/>
    <col min="24" max="24" width="18.44140625" style="62" hidden="1" customWidth="1"/>
    <col min="25" max="25" width="21.5546875" style="62" hidden="1" customWidth="1"/>
    <col min="26" max="26" width="20.44140625" style="62" hidden="1" customWidth="1"/>
    <col min="27" max="27" width="21.5546875" style="62" customWidth="1"/>
    <col min="28" max="28" width="25.5546875" style="62" customWidth="1"/>
    <col min="29" max="29" width="21.44140625" style="62" bestFit="1" customWidth="1"/>
    <col min="30" max="30" width="22.5546875" style="62" bestFit="1" customWidth="1"/>
    <col min="31" max="31" width="20.44140625" style="62" bestFit="1" customWidth="1"/>
    <col min="32" max="32" width="21.5546875" style="62" bestFit="1" customWidth="1"/>
    <col min="33" max="33" width="16" style="62" bestFit="1" customWidth="1"/>
    <col min="34" max="34" width="18" style="62" customWidth="1"/>
    <col min="35" max="35" width="17.5546875" style="62" bestFit="1" customWidth="1"/>
    <col min="36" max="36" width="27.5546875" style="62" bestFit="1" customWidth="1"/>
    <col min="37" max="37" width="28.44140625" style="62" customWidth="1"/>
    <col min="38" max="38" width="255.5546875" style="62" bestFit="1" customWidth="1"/>
    <col min="39" max="39" width="14.44140625" style="62" bestFit="1" customWidth="1"/>
    <col min="40" max="40" width="5.5546875" style="62" bestFit="1" customWidth="1"/>
    <col min="41" max="41" width="25.44140625" style="62" customWidth="1"/>
    <col min="42" max="42" width="19.5546875" style="62" bestFit="1" customWidth="1"/>
    <col min="43" max="43" width="35" style="62" bestFit="1" customWidth="1"/>
    <col min="44" max="44" width="20.44140625" style="62" bestFit="1" customWidth="1"/>
    <col min="45" max="45" width="35" style="62" bestFit="1" customWidth="1"/>
    <col min="46" max="46" width="8.5546875" style="62"/>
    <col min="47" max="48" width="17.44140625" style="62" bestFit="1" customWidth="1"/>
    <col min="49" max="16384" width="8.5546875" style="62"/>
  </cols>
  <sheetData>
    <row r="1" spans="1:52" ht="50.1" customHeight="1" x14ac:dyDescent="0.3">
      <c r="A1" s="1434" t="s">
        <v>125</v>
      </c>
      <c r="B1" s="1434"/>
      <c r="C1" s="1434"/>
      <c r="D1" s="1434"/>
      <c r="E1" s="1434"/>
      <c r="F1" s="1434"/>
      <c r="G1" s="1434"/>
      <c r="H1" s="1434"/>
      <c r="I1" s="1434"/>
      <c r="J1" s="1434"/>
      <c r="K1" s="1434"/>
      <c r="L1" s="1434"/>
      <c r="M1" s="1434"/>
      <c r="N1" s="1434"/>
      <c r="O1" s="1434"/>
      <c r="P1" s="1434"/>
      <c r="Q1" s="1434"/>
      <c r="R1" s="1434"/>
      <c r="S1" s="1434"/>
      <c r="T1" s="1434"/>
      <c r="U1" s="1434"/>
      <c r="V1" s="1434"/>
      <c r="W1" s="1434"/>
      <c r="X1" s="1434"/>
      <c r="Y1" s="1434"/>
      <c r="Z1" s="1434"/>
      <c r="AA1" s="1434"/>
      <c r="AB1" s="1434"/>
      <c r="AC1" s="1434"/>
      <c r="AD1" s="1434"/>
      <c r="AE1" s="1434"/>
      <c r="AF1" s="1434"/>
    </row>
    <row r="2" spans="1:52" ht="25.35" customHeight="1" x14ac:dyDescent="0.3">
      <c r="A2" s="1443" t="s">
        <v>46</v>
      </c>
      <c r="B2" s="1443"/>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3"/>
      <c r="AD2" s="1443"/>
      <c r="AE2" s="1443"/>
      <c r="AF2" s="1443"/>
    </row>
    <row r="3" spans="1:52" ht="17.25"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row>
    <row r="4" spans="1:52" ht="22.35" customHeight="1" x14ac:dyDescent="0.3">
      <c r="A4" s="970" t="s">
        <v>126</v>
      </c>
      <c r="B4" s="475" t="s">
        <v>48</v>
      </c>
      <c r="C4" s="976" t="s">
        <v>49</v>
      </c>
      <c r="D4" s="478" t="s">
        <v>50</v>
      </c>
      <c r="E4" s="1683" t="s">
        <v>51</v>
      </c>
      <c r="F4" s="1684"/>
      <c r="G4" s="1687" t="s">
        <v>52</v>
      </c>
      <c r="H4" s="1688"/>
      <c r="I4" s="903" t="s">
        <v>53</v>
      </c>
      <c r="J4" s="1797" t="s">
        <v>127</v>
      </c>
      <c r="K4" s="1798"/>
      <c r="L4" s="1799" t="s">
        <v>55</v>
      </c>
      <c r="M4" s="1800"/>
      <c r="N4" s="47" t="s">
        <v>128</v>
      </c>
      <c r="O4" s="1441" t="s">
        <v>129</v>
      </c>
      <c r="P4" s="1442"/>
      <c r="Q4" s="1442"/>
      <c r="R4" s="1442"/>
      <c r="S4" s="1442"/>
      <c r="T4" s="1442"/>
      <c r="U4" s="1442"/>
      <c r="V4" s="1442"/>
      <c r="W4" s="1442"/>
      <c r="X4" s="1442"/>
      <c r="Y4" s="1442"/>
      <c r="Z4" s="1442"/>
      <c r="AA4" s="1442"/>
      <c r="AB4" s="1442"/>
      <c r="AC4" s="1442"/>
      <c r="AD4" s="1442"/>
      <c r="AE4" s="1442"/>
      <c r="AF4" s="1442"/>
      <c r="AP4" s="62" t="s">
        <v>130</v>
      </c>
      <c r="AQ4" s="62" t="s">
        <v>131</v>
      </c>
      <c r="AU4" s="62">
        <v>2025</v>
      </c>
      <c r="AV4" s="62">
        <v>2026</v>
      </c>
    </row>
    <row r="5" spans="1:52" ht="45" customHeight="1" x14ac:dyDescent="0.3">
      <c r="A5" s="971">
        <f>Parâmetros!E5</f>
        <v>6947000</v>
      </c>
      <c r="B5" s="906">
        <f>SUM(I55:I176)</f>
        <v>4661058.1710948786</v>
      </c>
      <c r="C5" s="977">
        <f>AV53</f>
        <v>4424279.5789672695</v>
      </c>
      <c r="D5" s="907">
        <f>AU53</f>
        <v>2988619.2534324778</v>
      </c>
      <c r="E5" s="1806">
        <f>SUM(N55:N176)</f>
        <v>2877285.2020731708</v>
      </c>
      <c r="F5" s="1806"/>
      <c r="G5" s="1685">
        <f>SUM(E9,E11:E13)</f>
        <v>1008795.9945070647</v>
      </c>
      <c r="H5" s="1686"/>
      <c r="I5" s="908">
        <f>E8+E10</f>
        <v>137181.16</v>
      </c>
      <c r="J5" s="1795">
        <f>G5/A5</f>
        <v>0.14521318475702674</v>
      </c>
      <c r="K5" s="1796"/>
      <c r="L5" s="1871">
        <f ca="1">SUM(G8:G10)</f>
        <v>57</v>
      </c>
      <c r="M5" s="1872"/>
      <c r="N5" s="230"/>
      <c r="O5" s="359" t="s">
        <v>132</v>
      </c>
      <c r="P5" s="359" t="s">
        <v>77</v>
      </c>
      <c r="Q5" s="363" t="s">
        <v>133</v>
      </c>
      <c r="R5" s="363" t="s">
        <v>134</v>
      </c>
      <c r="S5" s="363" t="s">
        <v>135</v>
      </c>
      <c r="T5" s="507" t="s">
        <v>136</v>
      </c>
      <c r="U5" s="1801" t="s">
        <v>137</v>
      </c>
      <c r="V5" s="1802"/>
      <c r="W5" s="1802"/>
      <c r="X5" s="1802"/>
      <c r="Y5" s="1803"/>
      <c r="Z5" s="359" t="s">
        <v>138</v>
      </c>
      <c r="AA5" s="359" t="s">
        <v>139</v>
      </c>
      <c r="AB5" s="359" t="s">
        <v>140</v>
      </c>
      <c r="AC5" s="359" t="s">
        <v>141</v>
      </c>
      <c r="AD5" s="359" t="s">
        <v>142</v>
      </c>
      <c r="AE5" s="363" t="s">
        <v>143</v>
      </c>
      <c r="AF5" s="47"/>
      <c r="AG5" s="47"/>
      <c r="AH5" s="47"/>
      <c r="AI5" s="47"/>
      <c r="AS5" s="114">
        <v>0.32929999999999998</v>
      </c>
      <c r="AT5" s="188">
        <v>0.92279999999999995</v>
      </c>
      <c r="AW5" s="62" t="s">
        <v>144</v>
      </c>
      <c r="AX5" s="62">
        <v>0.92610000000000003</v>
      </c>
      <c r="AY5" s="62">
        <v>0.95</v>
      </c>
    </row>
    <row r="6" spans="1:52" ht="15.6" customHeight="1" x14ac:dyDescent="0.3">
      <c r="A6" s="1661" t="s">
        <v>145</v>
      </c>
      <c r="B6" s="1661"/>
      <c r="C6" s="1661"/>
      <c r="D6" s="1661"/>
      <c r="E6" s="1661"/>
      <c r="F6" s="1661" t="s">
        <v>64</v>
      </c>
      <c r="G6" s="1661"/>
      <c r="H6" s="1662"/>
      <c r="I6" s="1659" t="s">
        <v>65</v>
      </c>
      <c r="J6" s="1660"/>
      <c r="K6" s="1660"/>
      <c r="L6" s="1873"/>
      <c r="M6" s="1874"/>
      <c r="N6" s="831"/>
      <c r="O6" s="349" cm="1">
        <f t="array" ref="O6:O25">_xlfn.SEQUENCE(20)</f>
        <v>1</v>
      </c>
      <c r="P6" s="371" t="str">
        <f t="shared" ref="P6:P25" si="0">_xlfn.XLOOKUP(U6,$C$55:$C$176,$A$55:$A$176)</f>
        <v>BSW</v>
      </c>
      <c r="Q6" s="350">
        <f>MAX(I55:I176)</f>
        <v>450000.00900000002</v>
      </c>
      <c r="R6" s="508">
        <f t="shared" ref="R6:R25" si="1">_xlfn.XLOOKUP(Q6,$I$55:$I$176,$N$55:$N$176)</f>
        <v>446423.79</v>
      </c>
      <c r="S6" s="499">
        <f>_xlfn.XLOOKUP(U6,$C$55:$C$176,$J$55:$J$176)</f>
        <v>46082</v>
      </c>
      <c r="T6" s="508" cm="1">
        <f t="array" aca="1" ref="T6" ca="1">SUMPRODUCT(($C$55:$C$175=U6)*(U$54:$AI$54&lt;=TODAY())*(ISNUMBER(U$56:$AI$176)),U$56:$AI$176)</f>
        <v>282888.46469920909</v>
      </c>
      <c r="U6" s="1458" t="str">
        <f>IFERROR(HYPERLINK(INDEX($D$55:$D$176,MATCH(Q6,$I$55:$I$176,0)),INDEX($C$55:$C$176,MATCH(Q6,$I$55:$I$176,0))
   ),
)</f>
        <v>29 - DA000489Z_DA000490Z - STC Scania M_</v>
      </c>
      <c r="V6" s="1458"/>
      <c r="W6" s="1458"/>
      <c r="X6" s="1458"/>
      <c r="Y6" s="1458"/>
      <c r="Z6" s="375">
        <f t="shared" ref="Z6:Z25" si="2">Q6/$C$5</f>
        <v>0.10171147662983825</v>
      </c>
      <c r="AA6" s="352">
        <f>Z6</f>
        <v>0.10171147662983825</v>
      </c>
      <c r="AB6" s="353" cm="1">
        <f t="array" ref="AB6">IFERROR(INDEX($T$55:$T$176,MATCH(1,($AP$55:$AP$176=U6)*($S$55:$S$176="Previsto"), 0) ), "")</f>
        <v>1</v>
      </c>
      <c r="AC6" s="353" cm="1">
        <f t="array" ref="AC6">IFERROR( INDEX($T$55:$T$176,MATCH(1,($AP$55:$AP$176=U6)*($S$55:$S$176="Real"),0)),"")</f>
        <v>1</v>
      </c>
      <c r="AD6" s="373" t="str">
        <f>IF(OR(AB6="",AC6=""),"",IF(AC6=100%,"CONCLUÍDO",IF(AC6=0,IF(AB6=0,"PROJETO NÃO INICIADO","FALTA DE ACOMPANHAMENTO"),IF(AC6&gt;AB6,"ADIANTADO",IF(AC6=AB6,"CONFORME PLANEJADO","ATRASO")))))</f>
        <v>CONCLUÍDO</v>
      </c>
      <c r="AE6" s="353" cm="1">
        <f t="array" ref="AE6:AE25">_xlfn.XLOOKUP($U$6:$U$25,$C$55:$C$176,$R$55:$R$176)</f>
        <v>1</v>
      </c>
      <c r="AF6" s="47"/>
      <c r="AG6" s="47"/>
      <c r="AH6" s="47"/>
      <c r="AI6" s="47"/>
      <c r="AS6" s="114">
        <v>0.41660000000000003</v>
      </c>
      <c r="AT6" s="188">
        <v>0.91520000000000001</v>
      </c>
      <c r="AW6" s="62" t="s">
        <v>146</v>
      </c>
      <c r="AX6" s="62">
        <v>0.50170000000000003</v>
      </c>
      <c r="AY6" s="62">
        <v>0.57999999999999996</v>
      </c>
    </row>
    <row r="7" spans="1:52" ht="20.100000000000001" customHeight="1" x14ac:dyDescent="0.3">
      <c r="A7" s="49" t="s">
        <v>67</v>
      </c>
      <c r="B7" s="49" t="s">
        <v>68</v>
      </c>
      <c r="C7" s="49" t="s">
        <v>69</v>
      </c>
      <c r="D7" s="49" t="s">
        <v>70</v>
      </c>
      <c r="E7" s="49" t="s">
        <v>71</v>
      </c>
      <c r="F7" s="49" t="s">
        <v>72</v>
      </c>
      <c r="G7" s="49" t="s">
        <v>68</v>
      </c>
      <c r="H7" s="518" t="s">
        <v>73</v>
      </c>
      <c r="I7" s="1427" t="s">
        <v>74</v>
      </c>
      <c r="J7" s="1568" t="s">
        <v>75</v>
      </c>
      <c r="K7" s="1657" t="s">
        <v>147</v>
      </c>
      <c r="L7" s="1873"/>
      <c r="M7" s="1874"/>
      <c r="N7" s="47"/>
      <c r="O7" s="354">
        <v>2</v>
      </c>
      <c r="P7" s="372" t="str">
        <f t="shared" si="0"/>
        <v>BSW</v>
      </c>
      <c r="Q7" s="355">
        <f t="shared" ref="Q7:Q25" si="3">IFERROR(LARGE($I$55:$I$176,O7)," ")</f>
        <v>331600</v>
      </c>
      <c r="R7" s="509">
        <f t="shared" si="1"/>
        <v>160178.29</v>
      </c>
      <c r="S7" s="500">
        <f t="shared" ref="S7:S25" si="4">_xlfn.XLOOKUP(U7,$C$55:$C$176,$J$55:$J$176)</f>
        <v>46082</v>
      </c>
      <c r="T7" s="509" cm="1">
        <f t="array" aca="1" ref="T7" ca="1">SUMPRODUCT(($C$55:$C$175=U7)*(U$54:$AI$54&lt;=TODAY())*(ISNUMBER(U$56:$AI$176)),U$56:$AI$176)</f>
        <v>84365.272032240013</v>
      </c>
      <c r="U7" s="1459" t="str">
        <f t="shared" ref="U7:U24" si="5">IFERROR(HYPERLINK(INDEX($D$55:$D$176,MATCH(Q7,$I$55:$I$176,0)),INDEX($C$55:$C$176,MATCH(Q7,$I$55:$I$176,0))
   ),
   ""
)</f>
        <v>01 - Redução de peso bruto DA000489A</v>
      </c>
      <c r="V7" s="1459"/>
      <c r="W7" s="1459"/>
      <c r="X7" s="1459"/>
      <c r="Y7" s="1459"/>
      <c r="Z7" s="376">
        <f t="shared" si="2"/>
        <v>7.4950055502008575E-2</v>
      </c>
      <c r="AA7" s="357">
        <f t="shared" ref="AA7:AA14" si="6">Z7+AA6</f>
        <v>0.17666153213184682</v>
      </c>
      <c r="AB7" s="358" cm="1">
        <f t="array" ref="AB7">IFERROR(INDEX($T$55:$T$176,MATCH(1,($AP$55:$AP$176=U7)*($S$55:$S$176="Previsto"), 0) ), "")</f>
        <v>1</v>
      </c>
      <c r="AC7" s="358" cm="1">
        <f t="array" ref="AC7">IFERROR( INDEX($T$55:$T$176,MATCH(1,($AP$55:$AP$176=U7)*($S$55:$S$176="Real"),0)),"")</f>
        <v>1</v>
      </c>
      <c r="AD7" s="374" t="str">
        <f t="shared" ref="AD7:AD25" si="7">IF(OR(AB7="",AC7=""),"",IF(AC7=100%,"CONCLUÍDO",IF(AC7=0,IF(AB7=0,"PROJETO NÃO INICIADO","FALTA DE ACOMPANHAMENTO"),IF(AC7&gt;AB7,"ADIANTADO",IF(AC7=AB7,"CONFORME PLANEJADO","ATRASO")))))</f>
        <v>CONCLUÍDO</v>
      </c>
      <c r="AE7" s="358">
        <v>1</v>
      </c>
      <c r="AF7" s="47"/>
      <c r="AG7" s="47"/>
      <c r="AH7" s="47"/>
      <c r="AI7" s="47"/>
      <c r="AS7" s="114">
        <v>0.46660000000000001</v>
      </c>
      <c r="AT7" s="188">
        <v>0.92020000000000002</v>
      </c>
      <c r="AW7" s="62" t="s">
        <v>148</v>
      </c>
      <c r="AX7" s="62">
        <v>0.95499999999999996</v>
      </c>
      <c r="AY7" s="62">
        <v>0.96499999999999997</v>
      </c>
    </row>
    <row r="8" spans="1:52" ht="18" customHeight="1" x14ac:dyDescent="0.3">
      <c r="A8" s="48" t="s">
        <v>57</v>
      </c>
      <c r="B8" s="884">
        <f t="shared" ref="B8:B10" si="8">COUNTIF($A$55:$A$176,A8)</f>
        <v>0</v>
      </c>
      <c r="C8" s="237">
        <f>SUMIF($A$55:$A$176,A8,$I$55:$I$176)</f>
        <v>0</v>
      </c>
      <c r="D8" s="237">
        <f>SUMIF($A$55:$A$176,A8,$N$55:$N$176)</f>
        <v>0</v>
      </c>
      <c r="E8" s="899">
        <f>SUMIFS($AK$55:$AK$176,$S$55:$S$176,"Previsto",$AS$55:$AS$176,A8)</f>
        <v>0</v>
      </c>
      <c r="F8" s="53" t="s">
        <v>81</v>
      </c>
      <c r="G8" s="54">
        <f ca="1">COUNTIF($O$55:$O$176,F8)</f>
        <v>45</v>
      </c>
      <c r="H8" s="519">
        <f ca="1">SUMIF($O$55:$O$176,F8,$I$55:$I$176)</f>
        <v>3446352.1700960789</v>
      </c>
      <c r="I8" s="1428"/>
      <c r="J8" s="1569"/>
      <c r="K8" s="1658"/>
      <c r="L8" s="1873"/>
      <c r="M8" s="1874"/>
      <c r="N8" s="47"/>
      <c r="O8" s="349">
        <v>3</v>
      </c>
      <c r="P8" s="371" t="str">
        <f t="shared" si="0"/>
        <v>Kaizen - Ganho Recorrente</v>
      </c>
      <c r="Q8" s="350">
        <f t="shared" si="3"/>
        <v>288000.00300000003</v>
      </c>
      <c r="R8" s="508">
        <f t="shared" si="1"/>
        <v>189414</v>
      </c>
      <c r="S8" s="499">
        <f t="shared" si="4"/>
        <v>46143</v>
      </c>
      <c r="T8" s="508" cm="1">
        <f t="array" aca="1" ref="T8" ca="1">SUMPRODUCT(($C$55:$C$175=U8)*(U$54:$AI$54&lt;=TODAY())*(ISNUMBER(U$56:$AI$176)),U$56:$AI$176)</f>
        <v>17242</v>
      </c>
      <c r="U8" s="1458" t="str">
        <f t="shared" si="5"/>
        <v>06 - Produtividade</v>
      </c>
      <c r="V8" s="1458"/>
      <c r="W8" s="1458"/>
      <c r="X8" s="1458"/>
      <c r="Y8" s="1458"/>
      <c r="Z8" s="375">
        <f t="shared" si="2"/>
        <v>6.5095344419266107E-2</v>
      </c>
      <c r="AA8" s="352">
        <f t="shared" si="6"/>
        <v>0.24175687655111294</v>
      </c>
      <c r="AB8" s="353" cm="1">
        <f t="array" ref="AB8">IFERROR(INDEX($T$55:$T$176,MATCH(1,($AP$55:$AP$176=U8)*($S$55:$S$176="Previsto"), 0) ), "")</f>
        <v>0.96</v>
      </c>
      <c r="AC8" s="353" cm="1">
        <f t="array" ref="AC8">IFERROR( INDEX($T$55:$T$176,MATCH(1,($AP$55:$AP$176=U8)*($S$55:$S$176="Real"),0)),"")</f>
        <v>0.98</v>
      </c>
      <c r="AD8" s="373" t="str">
        <f t="shared" ref="AD8:AD13" si="9">IF(OR(AB8="",AC8=""),"",IF(AC8=100%,"CONCLUÍDO",IF(AC8=0,IF(AB8=0,"PROJETO NÃO INICIADO","FALTA DE ACOMPANHAMENTO"),IF(AC8&gt;AB8,"ADIANTADO",IF(AC8=AB8,"CONFORME PLANEJADO","ATRASO")))))</f>
        <v>ADIANTADO</v>
      </c>
      <c r="AE8" s="353">
        <v>1</v>
      </c>
      <c r="AG8" s="47"/>
      <c r="AH8" s="47"/>
      <c r="AI8" s="47"/>
      <c r="AJ8" s="47"/>
      <c r="AT8" s="114">
        <v>0.54359999999999997</v>
      </c>
      <c r="AU8" s="188">
        <v>0.92059999999999997</v>
      </c>
      <c r="AY8" s="190">
        <f>AX7*AX6*AX5</f>
        <v>0.44371627335000002</v>
      </c>
      <c r="AZ8" s="190">
        <f>AY7*AY6*AY5</f>
        <v>0.53171499999999994</v>
      </c>
    </row>
    <row r="9" spans="1:52" ht="20.100000000000001" customHeight="1" x14ac:dyDescent="0.3">
      <c r="A9" s="48" t="s">
        <v>59</v>
      </c>
      <c r="B9" s="884">
        <f t="shared" si="8"/>
        <v>16</v>
      </c>
      <c r="C9" s="237">
        <f t="shared" ref="C9:C10" si="10">SUMIF($A$55:$A$176,A9,$I$55:$I$176)</f>
        <v>1102734.3094000001</v>
      </c>
      <c r="D9" s="237">
        <f t="shared" ref="D9:D10" si="11">SUMIF($A$55:$A$176,A9,$N$55:$N$176)</f>
        <v>651481.30000000005</v>
      </c>
      <c r="E9" s="899">
        <f>SUMIFS($AK$55:$AK$176,$S$55:$S$176,"Real",$AS$55:$AS$176,A9)</f>
        <v>237950.70250000001</v>
      </c>
      <c r="F9" s="55" t="s">
        <v>83</v>
      </c>
      <c r="G9" s="239">
        <f ca="1">COUNTIF($O$55:$O$176,F9)</f>
        <v>12</v>
      </c>
      <c r="H9" s="520">
        <f ca="1">SUMIF($O$55:$O$176,F9,$I$55:$I$176)</f>
        <v>1214706.0009988002</v>
      </c>
      <c r="I9" s="1429">
        <f>E207</f>
        <v>1</v>
      </c>
      <c r="J9" s="1807">
        <f>F207</f>
        <v>0.91666666666666663</v>
      </c>
      <c r="K9" s="1653">
        <f>L214</f>
        <v>0.25252525000000009</v>
      </c>
      <c r="L9" s="1873"/>
      <c r="M9" s="1874"/>
      <c r="N9" s="47"/>
      <c r="O9" s="354">
        <v>4</v>
      </c>
      <c r="P9" s="372" t="str">
        <f t="shared" si="0"/>
        <v>BSW</v>
      </c>
      <c r="Q9" s="355">
        <f t="shared" si="3"/>
        <v>288000.00009897997</v>
      </c>
      <c r="R9" s="509">
        <f t="shared" si="1"/>
        <v>175018.02</v>
      </c>
      <c r="S9" s="500">
        <f t="shared" si="4"/>
        <v>46143</v>
      </c>
      <c r="T9" s="509" cm="1">
        <f t="array" aca="1" ref="T9" ca="1">SUMPRODUCT(($C$55:$C$175=U9)*(U$54:$AI$54&lt;=TODAY())*(ISNUMBER(U$56:$AI$176)),U$56:$AI$176)</f>
        <v>51802.779346892305</v>
      </c>
      <c r="U9" s="1459" t="str">
        <f t="shared" ref="U9" si="12">IFERROR(HYPERLINK(INDEX($D$55:$D$176,MATCH(Q9,$I$55:$I$176,0)),INDEX($C$55:$C$176,MATCH(Q9,$I$55:$I$176,0))
   ),
   ""
)</f>
        <v>26 - Redução_de_MP - DJ000059Z_DJ000060Z</v>
      </c>
      <c r="V9" s="1459"/>
      <c r="W9" s="1459"/>
      <c r="X9" s="1459"/>
      <c r="Y9" s="1459"/>
      <c r="Z9" s="376">
        <f t="shared" si="2"/>
        <v>6.5095343763561603E-2</v>
      </c>
      <c r="AA9" s="357">
        <f t="shared" si="6"/>
        <v>0.30685222031467452</v>
      </c>
      <c r="AB9" s="358" cm="1">
        <f t="array" ref="AB9">IFERROR(INDEX($T$55:$T$176,MATCH(1,($AP$55:$AP$176=U9)*($S$55:$S$176="Previsto"), 0) ), "")</f>
        <v>1</v>
      </c>
      <c r="AC9" s="358" cm="1">
        <f t="array" ref="AC9">IFERROR( INDEX($T$55:$T$176,MATCH(1,($AP$55:$AP$176=U9)*($S$55:$S$176="Real"),0)),"")</f>
        <v>1</v>
      </c>
      <c r="AD9" s="374" t="str">
        <f t="shared" si="9"/>
        <v>CONCLUÍDO</v>
      </c>
      <c r="AE9" s="358">
        <v>1</v>
      </c>
      <c r="AH9" s="47"/>
      <c r="AI9" s="47"/>
      <c r="AJ9" s="47"/>
      <c r="AT9" s="114">
        <v>0.51229999999999998</v>
      </c>
      <c r="AU9" s="188">
        <v>0.92300000000000004</v>
      </c>
    </row>
    <row r="10" spans="1:52" ht="20.100000000000001" customHeight="1" x14ac:dyDescent="0.3">
      <c r="A10" s="48" t="s">
        <v>61</v>
      </c>
      <c r="B10" s="884">
        <f t="shared" si="8"/>
        <v>4</v>
      </c>
      <c r="C10" s="237">
        <f t="shared" si="10"/>
        <v>137181.16</v>
      </c>
      <c r="D10" s="237">
        <f t="shared" si="11"/>
        <v>0</v>
      </c>
      <c r="E10" s="899">
        <f>SUMIFS($AK$55:$AK$176,$S$55:$S$176,"Previsto",$AS$55:$AS$176,A10)</f>
        <v>137181.16</v>
      </c>
      <c r="F10" s="241" t="s">
        <v>85</v>
      </c>
      <c r="G10" s="242">
        <f ca="1">COUNTIF($O$55:$O$176,F10)</f>
        <v>0</v>
      </c>
      <c r="H10" s="521">
        <f ca="1">SUMIF($O$55:$O$176,F10,$I$55:$I$176)</f>
        <v>0</v>
      </c>
      <c r="I10" s="1430"/>
      <c r="J10" s="1808"/>
      <c r="K10" s="1654"/>
      <c r="L10" s="1875"/>
      <c r="M10" s="1876"/>
      <c r="N10" s="47"/>
      <c r="O10" s="349">
        <v>5</v>
      </c>
      <c r="P10" s="371" t="str">
        <f t="shared" si="0"/>
        <v>BSW</v>
      </c>
      <c r="Q10" s="350">
        <f t="shared" si="3"/>
        <v>270000</v>
      </c>
      <c r="R10" s="508">
        <f t="shared" si="1"/>
        <v>128107.04</v>
      </c>
      <c r="S10" s="499">
        <f t="shared" si="4"/>
        <v>46235</v>
      </c>
      <c r="T10" s="508" cm="1">
        <f t="array" aca="1" ref="T10" ca="1">SUMPRODUCT(($C$55:$C$175=U10)*(U$54:$AI$54&lt;=TODAY())*(ISNUMBER(U$56:$AI$176)),U$56:$AI$176)</f>
        <v>0</v>
      </c>
      <c r="U10" s="1458" t="str">
        <f t="shared" si="5"/>
        <v>23 - Redução do peso bruto VW000581Z / VW000582Z</v>
      </c>
      <c r="V10" s="1458"/>
      <c r="W10" s="1458"/>
      <c r="X10" s="1458"/>
      <c r="Y10" s="1458"/>
      <c r="Z10" s="375">
        <f t="shared" si="2"/>
        <v>6.102688475736525E-2</v>
      </c>
      <c r="AA10" s="352">
        <f t="shared" si="6"/>
        <v>0.36787910507203975</v>
      </c>
      <c r="AB10" s="353" cm="1">
        <f t="array" ref="AB10">IFERROR(INDEX($T$55:$T$176,MATCH(1,($AP$55:$AP$176=U10)*($S$55:$S$176="Previsto"), 0) ), "")</f>
        <v>0.2</v>
      </c>
      <c r="AC10" s="353" cm="1">
        <f t="array" ref="AC10">IFERROR( INDEX($T$55:$T$176,MATCH(1,($AP$55:$AP$176=U10)*($S$55:$S$176="Real"),0)),"")</f>
        <v>0.25</v>
      </c>
      <c r="AD10" s="373" t="str">
        <f t="shared" si="9"/>
        <v>ADIANTADO</v>
      </c>
      <c r="AE10" s="353">
        <v>0.8</v>
      </c>
      <c r="AG10" s="47"/>
      <c r="AH10" s="47"/>
      <c r="AI10" s="47"/>
      <c r="AJ10" s="47"/>
      <c r="AT10" s="114">
        <v>0.52159999999999995</v>
      </c>
      <c r="AU10" s="188">
        <v>0.91649999999999998</v>
      </c>
    </row>
    <row r="11" spans="1:52" ht="20.100000000000001" customHeight="1" x14ac:dyDescent="0.3">
      <c r="A11" s="48" t="s">
        <v>89</v>
      </c>
      <c r="B11" s="884">
        <f>COUNTIF($A$55:$A$176,A11)</f>
        <v>0</v>
      </c>
      <c r="C11" s="237">
        <f>SUMIF($A$55:$A$176,A11,$I$55:$I$176)</f>
        <v>0</v>
      </c>
      <c r="D11" s="237">
        <f>SUMIF($A$55:$A$176,B11,$I$55:$I$176)</f>
        <v>0</v>
      </c>
      <c r="E11" s="899">
        <f>SUMIFS($AK$55:$AK$176,$S$55:$S$176,"Real",$AS$55:$AS$176,A11)</f>
        <v>0</v>
      </c>
      <c r="F11" s="47"/>
      <c r="G11" s="47"/>
      <c r="I11" s="47"/>
      <c r="J11" s="47"/>
      <c r="K11" s="47"/>
      <c r="L11" s="47"/>
      <c r="M11" s="47"/>
      <c r="N11" s="832"/>
      <c r="O11" s="354">
        <v>6</v>
      </c>
      <c r="P11" s="372" t="str">
        <f t="shared" si="0"/>
        <v>BSW</v>
      </c>
      <c r="Q11" s="355">
        <f t="shared" si="3"/>
        <v>236000</v>
      </c>
      <c r="R11" s="509">
        <f t="shared" si="1"/>
        <v>77354.64</v>
      </c>
      <c r="S11" s="500">
        <f t="shared" si="4"/>
        <v>46174</v>
      </c>
      <c r="T11" s="509" cm="1">
        <f t="array" aca="1" ref="T11" ca="1">SUMPRODUCT(($C$55:$C$175=U11)*(U$54:$AI$54&lt;=TODAY())*(ISNUMBER(U$56:$AI$176)),U$56:$AI$176)</f>
        <v>12498.573232819546</v>
      </c>
      <c r="U11" s="1459" t="str">
        <f t="shared" si="5"/>
        <v>52 - Redução de MP - GM000458Z / GM000459Z</v>
      </c>
      <c r="V11" s="1459"/>
      <c r="W11" s="1459"/>
      <c r="X11" s="1459"/>
      <c r="Y11" s="1459"/>
      <c r="Z11" s="376">
        <f t="shared" si="2"/>
        <v>5.3342017787919256E-2</v>
      </c>
      <c r="AA11" s="357">
        <f t="shared" si="6"/>
        <v>0.421221122859959</v>
      </c>
      <c r="AB11" s="358" cm="1">
        <f t="array" aca="1" ref="AB11" ca="1">IFERROR(INDEX($T$55:$T$176,MATCH(1,($AP$55:$AP$176=U11)*($S$55:$S$176="Previsto"), 0) ), "")</f>
        <v>1</v>
      </c>
      <c r="AC11" s="358" cm="1">
        <f t="array" ref="AC11">IFERROR( INDEX($T$55:$T$176,MATCH(1,($AP$55:$AP$176=U11)*($S$55:$S$176="Real"),0)),"")</f>
        <v>1</v>
      </c>
      <c r="AD11" s="374" t="str">
        <f t="shared" ca="1" si="9"/>
        <v>CONCLUÍDO</v>
      </c>
      <c r="AE11" s="358">
        <v>1</v>
      </c>
      <c r="AG11" s="47"/>
      <c r="AH11" s="47"/>
      <c r="AI11" s="47"/>
      <c r="AJ11" s="47"/>
      <c r="AT11" s="114">
        <v>0.52170000000000005</v>
      </c>
      <c r="AU11" s="188">
        <v>0.92369999999999997</v>
      </c>
    </row>
    <row r="12" spans="1:52" ht="20.100000000000001" customHeight="1" x14ac:dyDescent="0.3">
      <c r="A12" s="48" t="s">
        <v>90</v>
      </c>
      <c r="B12" s="884">
        <f>COUNTIF($A$55:$A$176,A12)</f>
        <v>0</v>
      </c>
      <c r="C12" s="237">
        <f>SUMIF($A$55:$A$176,A12,$I$55:$I$176)</f>
        <v>0</v>
      </c>
      <c r="D12" s="237">
        <f>SUMIF($A$55:$A$176,A12,$N$55:$N$176)</f>
        <v>0</v>
      </c>
      <c r="E12" s="899">
        <f>SUMIFS($AK$55:$AK$176,$S$55:$S$176,"Real",$AS$55:$AS$176,A12)</f>
        <v>0</v>
      </c>
      <c r="F12" s="47"/>
      <c r="G12" s="47"/>
      <c r="H12" s="47"/>
      <c r="I12" s="47"/>
      <c r="J12" s="47"/>
      <c r="K12" s="47"/>
      <c r="L12" s="47"/>
      <c r="M12" s="47"/>
      <c r="N12" s="47"/>
      <c r="O12" s="349">
        <v>7</v>
      </c>
      <c r="P12" s="371" t="str">
        <f t="shared" si="0"/>
        <v>BSW</v>
      </c>
      <c r="Q12" s="350">
        <f t="shared" si="3"/>
        <v>230000</v>
      </c>
      <c r="R12" s="508">
        <f t="shared" si="1"/>
        <v>115018</v>
      </c>
      <c r="S12" s="499">
        <f t="shared" si="4"/>
        <v>46204</v>
      </c>
      <c r="T12" s="508" cm="1">
        <f t="array" aca="1" ref="T12" ca="1">SUMPRODUCT(($C$55:$C$175=U12)*(U$54:$AI$54&lt;=TODAY())*(ISNUMBER(U$56:$AI$176)),U$56:$AI$176)</f>
        <v>28959.052121999986</v>
      </c>
      <c r="U12" s="1458" t="str">
        <f t="shared" si="5"/>
        <v>44 - Mudança de fonte Usiminas para Arcelor</v>
      </c>
      <c r="V12" s="1458"/>
      <c r="W12" s="1458"/>
      <c r="X12" s="1458"/>
      <c r="Y12" s="1458"/>
      <c r="Z12" s="375">
        <f t="shared" si="2"/>
        <v>5.1985864793311139E-2</v>
      </c>
      <c r="AA12" s="352">
        <f t="shared" si="6"/>
        <v>0.47320698765327013</v>
      </c>
      <c r="AB12" s="353" cm="1">
        <f t="array" ref="AB12">IFERROR(INDEX($T$55:$T$176,MATCH(1,($AP$55:$AP$176=U12)*($S$55:$S$176="Previsto"), 0) ), "")</f>
        <v>0.28999999999999998</v>
      </c>
      <c r="AC12" s="353" cm="1">
        <f t="array" ref="AC12">IFERROR( INDEX($T$55:$T$176,MATCH(1,($AP$55:$AP$176=U12)*($S$55:$S$176="Real"),0)),"")</f>
        <v>0.36</v>
      </c>
      <c r="AD12" s="373" t="str">
        <f t="shared" si="9"/>
        <v>ADIANTADO</v>
      </c>
      <c r="AE12" s="353">
        <v>0.2</v>
      </c>
      <c r="AG12" s="47"/>
      <c r="AH12" s="47"/>
      <c r="AI12" s="47"/>
      <c r="AJ12" s="47"/>
      <c r="AT12" s="114">
        <v>0.5746</v>
      </c>
      <c r="AU12" s="188">
        <v>0.93600000000000005</v>
      </c>
    </row>
    <row r="13" spans="1:52" ht="20.100000000000001" customHeight="1" x14ac:dyDescent="0.35">
      <c r="A13" s="48" t="s">
        <v>91</v>
      </c>
      <c r="B13" s="884">
        <f>COUNTIF($A$55:$A$176,A13)</f>
        <v>37</v>
      </c>
      <c r="C13" s="237">
        <f>SUMIF($A$55:$A$176,A13,$I$55:$I$176)</f>
        <v>3421142.7016948787</v>
      </c>
      <c r="D13" s="237">
        <f>SUMIF($A$55:$A$176,A13,$N$55:$N$176)</f>
        <v>2225803.9020731715</v>
      </c>
      <c r="E13" s="899">
        <f>SUMIFS($AK$55:$AK$176,$S$55:$S$176,"Real",$AS$55:$AS$176,A13)</f>
        <v>770845.29200706468</v>
      </c>
      <c r="F13" s="47"/>
      <c r="G13" s="47"/>
      <c r="H13" s="47"/>
      <c r="I13" s="47"/>
      <c r="J13" s="47"/>
      <c r="K13" s="47"/>
      <c r="L13" s="168"/>
      <c r="M13" s="752"/>
      <c r="N13" s="752"/>
      <c r="O13" s="354">
        <v>8</v>
      </c>
      <c r="P13" s="372" t="str">
        <f t="shared" si="0"/>
        <v>Kaizen - Ganho Recorrente</v>
      </c>
      <c r="Q13" s="355">
        <f t="shared" si="3"/>
        <v>228000</v>
      </c>
      <c r="R13" s="509">
        <f t="shared" si="1"/>
        <v>152396</v>
      </c>
      <c r="S13" s="500">
        <f t="shared" si="4"/>
        <v>46082</v>
      </c>
      <c r="T13" s="509" cm="1">
        <f t="array" aca="1" ref="T13" ca="1">SUMPRODUCT(($C$55:$C$175=U13)*(U$54:$AI$54&lt;=TODAY())*(ISNUMBER(U$56:$AI$176)),U$56:$AI$176)</f>
        <v>72521</v>
      </c>
      <c r="U13" s="1459" t="str">
        <f t="shared" si="5"/>
        <v>16 - Eficiência de MO na linha de Solda e Montagem</v>
      </c>
      <c r="V13" s="1459"/>
      <c r="W13" s="1459"/>
      <c r="X13" s="1459"/>
      <c r="Y13" s="1459"/>
      <c r="Z13" s="376">
        <f t="shared" si="2"/>
        <v>5.1533813795108435E-2</v>
      </c>
      <c r="AA13" s="357">
        <f t="shared" si="6"/>
        <v>0.52474080144837854</v>
      </c>
      <c r="AB13" s="358" cm="1">
        <f t="array" ref="AB13">IFERROR(INDEX($T$55:$T$176,MATCH(1,($AP$55:$AP$176=U13)*($S$55:$S$176="Previsto"), 0) ), "")</f>
        <v>1</v>
      </c>
      <c r="AC13" s="358" cm="1">
        <f t="array" ref="AC13">IFERROR( INDEX($T$55:$T$176,MATCH(1,($AP$55:$AP$176=U13)*($S$55:$S$176="Real"),0)),"")</f>
        <v>1</v>
      </c>
      <c r="AD13" s="374" t="str">
        <f t="shared" si="9"/>
        <v>CONCLUÍDO</v>
      </c>
      <c r="AE13" s="358">
        <v>1</v>
      </c>
      <c r="AG13" s="47"/>
      <c r="AH13" s="47"/>
      <c r="AI13" s="47"/>
      <c r="AJ13" s="47"/>
      <c r="AT13" s="114">
        <v>0.5423</v>
      </c>
      <c r="AU13" s="188">
        <v>0.93600000000000005</v>
      </c>
    </row>
    <row r="14" spans="1:52" ht="20.100000000000001" customHeight="1" x14ac:dyDescent="0.3">
      <c r="A14" s="166" t="s">
        <v>29</v>
      </c>
      <c r="B14" s="885">
        <f>SUM(B8:B13)</f>
        <v>57</v>
      </c>
      <c r="C14" s="244">
        <f>SUM(C8:C13)</f>
        <v>4661058.1710948786</v>
      </c>
      <c r="D14" s="244">
        <f>SUM(D8:D13)</f>
        <v>2877285.2020731717</v>
      </c>
      <c r="E14" s="244">
        <f>SUM(E8:E13)</f>
        <v>1145977.1545070647</v>
      </c>
      <c r="F14" s="47"/>
      <c r="G14" s="47"/>
      <c r="H14" s="47"/>
      <c r="I14" s="47"/>
      <c r="J14" s="47"/>
      <c r="K14" s="47"/>
      <c r="L14" s="47"/>
      <c r="M14" s="47"/>
      <c r="N14" s="47"/>
      <c r="O14" s="349">
        <v>9</v>
      </c>
      <c r="P14" s="371" t="str">
        <f t="shared" si="0"/>
        <v>BSW</v>
      </c>
      <c r="Q14" s="350">
        <f t="shared" si="3"/>
        <v>223200</v>
      </c>
      <c r="R14" s="508">
        <f t="shared" si="1"/>
        <v>202515.94</v>
      </c>
      <c r="S14" s="499">
        <f t="shared" si="4"/>
        <v>46174</v>
      </c>
      <c r="T14" s="508" cm="1">
        <f t="array" aca="1" ref="T14" ca="1">SUMPRODUCT(($C$55:$C$175=U14)*(U$54:$AI$54&lt;=TODAY())*(ISNUMBER(U$56:$AI$176)),U$56:$AI$176)</f>
        <v>27146.623922454113</v>
      </c>
      <c r="U14" s="1458" t="str">
        <f t="shared" si="5"/>
        <v>57 - AlmaCAM_Redução de Peso</v>
      </c>
      <c r="V14" s="1458"/>
      <c r="W14" s="1458"/>
      <c r="X14" s="1458"/>
      <c r="Y14" s="1458"/>
      <c r="Z14" s="375">
        <f t="shared" si="2"/>
        <v>5.0448891399421936E-2</v>
      </c>
      <c r="AA14" s="352">
        <f t="shared" si="6"/>
        <v>0.57518969284780042</v>
      </c>
      <c r="AB14" s="353" cm="1">
        <f t="array" aca="1" ref="AB14" ca="1">IFERROR(INDEX($T$55:$T$176,MATCH(1,($AP$55:$AP$176=U14)*($S$55:$S$176="Previsto"), 0) ), "")</f>
        <v>1</v>
      </c>
      <c r="AC14" s="353" cm="1">
        <f t="array" ref="AC14">IFERROR( INDEX($T$55:$T$176,MATCH(1,($AP$55:$AP$176=U14)*($S$55:$S$176="Real"),0)),"")</f>
        <v>1</v>
      </c>
      <c r="AD14" s="373" t="str">
        <f t="shared" ca="1" si="7"/>
        <v>CONCLUÍDO</v>
      </c>
      <c r="AE14" s="353">
        <v>1</v>
      </c>
      <c r="AF14" s="47"/>
      <c r="AG14" s="47"/>
      <c r="AH14" s="47"/>
      <c r="AI14" s="47"/>
      <c r="AS14" s="114">
        <v>0.54720000000000002</v>
      </c>
      <c r="AT14" s="188">
        <v>0.91149999999999998</v>
      </c>
    </row>
    <row r="15" spans="1:52" ht="20.100000000000001" customHeight="1" x14ac:dyDescent="0.3">
      <c r="A15" s="1655"/>
      <c r="B15" s="1655"/>
      <c r="C15" s="1655"/>
      <c r="D15" s="1655"/>
      <c r="E15" s="1655"/>
      <c r="F15" s="47" t="s">
        <v>95</v>
      </c>
      <c r="G15" s="832">
        <f>SUMIF($B$55:$B$176,F15,$N$55:$N$176)</f>
        <v>2225803.9020731715</v>
      </c>
      <c r="H15" s="47"/>
      <c r="I15" s="47"/>
      <c r="J15" s="47"/>
      <c r="K15" s="47"/>
      <c r="L15" s="47"/>
      <c r="M15" s="47"/>
      <c r="N15" s="47"/>
      <c r="O15" s="354">
        <v>10</v>
      </c>
      <c r="P15" s="372" t="str">
        <f t="shared" si="0"/>
        <v>Kaizen - Ganho Recorrente</v>
      </c>
      <c r="Q15" s="355">
        <f t="shared" si="3"/>
        <v>210000</v>
      </c>
      <c r="R15" s="509">
        <f t="shared" si="1"/>
        <v>122500</v>
      </c>
      <c r="S15" s="500">
        <f t="shared" si="4"/>
        <v>46174</v>
      </c>
      <c r="T15" s="509" cm="1">
        <f t="array" aca="1" ref="T15" ca="1">SUMPRODUCT(($C$55:$C$175=U15)*(U$54:$AI$54&lt;=TODAY())*(ISNUMBER(U$56:$AI$176)),U$56:$AI$176)</f>
        <v>35000</v>
      </c>
      <c r="U15" s="1459" t="str">
        <f t="shared" si="5"/>
        <v>42 - Aluguel de Compressor</v>
      </c>
      <c r="V15" s="1459"/>
      <c r="W15" s="1459"/>
      <c r="X15" s="1459"/>
      <c r="Y15" s="1459"/>
      <c r="Z15" s="376">
        <f t="shared" si="2"/>
        <v>4.7465354811284083E-2</v>
      </c>
      <c r="AA15" s="357">
        <f t="shared" ref="AA15:AA25" si="13">Z15+AA14</f>
        <v>0.62265504765908453</v>
      </c>
      <c r="AB15" s="358" cm="1">
        <f t="array" ref="AB15">IFERROR(INDEX($T$55:$T$176,MATCH(1,($AP$55:$AP$176=U15)*($S$55:$S$176="Previsto"), 0) ), "")</f>
        <v>1</v>
      </c>
      <c r="AC15" s="358" cm="1">
        <f t="array" ref="AC15">IFERROR( INDEX($T$55:$T$176,MATCH(1,($AP$55:$AP$176=U15)*($S$55:$S$176="Real"),0)),"")</f>
        <v>1</v>
      </c>
      <c r="AD15" s="374" t="str">
        <f t="shared" si="7"/>
        <v>CONCLUÍDO</v>
      </c>
      <c r="AE15" s="358">
        <v>1</v>
      </c>
      <c r="AF15" s="47"/>
      <c r="AG15" s="47"/>
      <c r="AH15" s="47"/>
      <c r="AI15" s="47"/>
      <c r="AS15" s="114">
        <v>0.54830000000000001</v>
      </c>
      <c r="AT15" s="188">
        <v>0.92290000000000005</v>
      </c>
    </row>
    <row r="16" spans="1:52" ht="20.100000000000001" customHeight="1" x14ac:dyDescent="0.3">
      <c r="A16" s="1656"/>
      <c r="B16" s="1656"/>
      <c r="C16" s="1656"/>
      <c r="D16" s="1656"/>
      <c r="E16" s="1656"/>
      <c r="F16" s="47" t="s">
        <v>97</v>
      </c>
      <c r="G16" s="832">
        <f>SUMIF($B$55:$B$176,F16,$N$55:$N$176)</f>
        <v>605429.30000000005</v>
      </c>
      <c r="H16" s="47"/>
      <c r="I16" s="47"/>
      <c r="J16" s="47"/>
      <c r="K16" s="47"/>
      <c r="L16" s="47"/>
      <c r="M16" s="47"/>
      <c r="N16" s="47"/>
      <c r="O16" s="349">
        <v>11</v>
      </c>
      <c r="P16" s="371" t="str">
        <f t="shared" si="0"/>
        <v>BSW</v>
      </c>
      <c r="Q16" s="350">
        <f t="shared" si="3"/>
        <v>189200</v>
      </c>
      <c r="R16" s="508">
        <f t="shared" si="1"/>
        <v>70963.59</v>
      </c>
      <c r="S16" s="499">
        <f t="shared" si="4"/>
        <v>46235</v>
      </c>
      <c r="T16" s="508" cm="1">
        <f t="array" aca="1" ref="T16" ca="1">SUMPRODUCT(($C$55:$C$175=U16)*(U$54:$AI$54&lt;=TODAY())*(ISNUMBER(U$56:$AI$176)),U$56:$AI$176)</f>
        <v>0</v>
      </c>
      <c r="U16" s="1458" t="str">
        <f t="shared" si="5"/>
        <v>47 - REDUÇÃO DE MP DJ000079Z – 80Z</v>
      </c>
      <c r="V16" s="1458"/>
      <c r="W16" s="1458"/>
      <c r="X16" s="1458"/>
      <c r="Y16" s="1458"/>
      <c r="Z16" s="375">
        <f t="shared" si="2"/>
        <v>4.2764024429975941E-2</v>
      </c>
      <c r="AA16" s="352">
        <f t="shared" si="13"/>
        <v>0.66541907208906048</v>
      </c>
      <c r="AB16" s="353" cm="1">
        <f t="array" ref="AB16">IFERROR(INDEX($T$55:$T$176,MATCH(1,($AP$55:$AP$176=U16)*($S$55:$S$176="Previsto"), 0) ), "")</f>
        <v>0.24</v>
      </c>
      <c r="AC16" s="353" cm="1">
        <f t="array" ref="AC16">IFERROR( INDEX($T$55:$T$176,MATCH(1,($AP$55:$AP$176=U16)*($S$55:$S$176="Real"),0)),"")</f>
        <v>0.38</v>
      </c>
      <c r="AD16" s="373" t="str">
        <f t="shared" si="7"/>
        <v>ADIANTADO</v>
      </c>
      <c r="AE16" s="353">
        <v>0.5</v>
      </c>
      <c r="AF16" s="47"/>
      <c r="AG16" s="47"/>
      <c r="AH16" s="47"/>
      <c r="AI16" s="47"/>
      <c r="AS16" s="114">
        <v>0.49580000000000002</v>
      </c>
      <c r="AT16" s="188">
        <v>0.96419999999999995</v>
      </c>
    </row>
    <row r="17" spans="1:47" ht="20.100000000000001" customHeight="1" x14ac:dyDescent="0.3">
      <c r="A17" s="47"/>
      <c r="B17" s="47"/>
      <c r="C17" s="47"/>
      <c r="D17" s="47"/>
      <c r="E17" s="47"/>
      <c r="F17" s="47" t="s">
        <v>99</v>
      </c>
      <c r="G17" s="832">
        <f>SUMIF($B$55:$B$176,F17,$N$55:$N$176)</f>
        <v>0</v>
      </c>
      <c r="H17" s="47"/>
      <c r="I17" s="47"/>
      <c r="J17" s="47"/>
      <c r="K17" s="47"/>
      <c r="L17" s="47"/>
      <c r="M17" s="47"/>
      <c r="N17" s="47"/>
      <c r="O17" s="354">
        <v>12</v>
      </c>
      <c r="P17" s="372" t="str">
        <f t="shared" si="0"/>
        <v>BSW</v>
      </c>
      <c r="Q17" s="355">
        <f t="shared" si="3"/>
        <v>115000</v>
      </c>
      <c r="R17" s="509">
        <f t="shared" si="1"/>
        <v>39111.769999999997</v>
      </c>
      <c r="S17" s="500">
        <f t="shared" si="4"/>
        <v>46235</v>
      </c>
      <c r="T17" s="509" cm="1">
        <f t="array" aca="1" ref="T17" ca="1">SUMPRODUCT(($C$55:$C$175=U17)*(U$54:$AI$54&lt;=TODAY())*(ISNUMBER(U$56:$AI$176)),U$56:$AI$176)</f>
        <v>0</v>
      </c>
      <c r="U17" s="1459" t="str">
        <f t="shared" si="5"/>
        <v>30 - DA000491Z_DE000492Z - STC Scania G_</v>
      </c>
      <c r="V17" s="1459"/>
      <c r="W17" s="1459"/>
      <c r="X17" s="1459"/>
      <c r="Y17" s="1459"/>
      <c r="Z17" s="376">
        <f t="shared" si="2"/>
        <v>2.5992932396655569E-2</v>
      </c>
      <c r="AA17" s="357">
        <f t="shared" si="13"/>
        <v>0.69141200448571605</v>
      </c>
      <c r="AB17" s="358" cm="1">
        <f t="array" ref="AB17">IFERROR(INDEX($T$55:$T$176,MATCH(1,($AP$55:$AP$176=U17)*($S$55:$S$176="Previsto"), 0) ), "")</f>
        <v>1</v>
      </c>
      <c r="AC17" s="358" cm="1">
        <f t="array" ref="AC17">IFERROR( INDEX($T$55:$T$176,MATCH(1,($AP$55:$AP$176=U17)*($S$55:$S$176="Real"),0)),"")</f>
        <v>0.95</v>
      </c>
      <c r="AD17" s="374" t="str">
        <f t="shared" si="7"/>
        <v>ATRASO</v>
      </c>
      <c r="AE17" s="358">
        <v>1</v>
      </c>
      <c r="AF17" s="47"/>
      <c r="AG17" s="47"/>
      <c r="AH17" s="47"/>
      <c r="AI17" s="47"/>
      <c r="AS17" s="187">
        <f>AVERAGE(AS5:AS16)</f>
        <v>0.46729999999999999</v>
      </c>
      <c r="AT17" s="187">
        <f>AVERAGE(AT5:AT16)</f>
        <v>0.73107500000000003</v>
      </c>
      <c r="AU17" s="189">
        <f>AT17*AS17</f>
        <v>0.34163134750000002</v>
      </c>
    </row>
    <row r="18" spans="1:47" ht="20.100000000000001" customHeight="1" x14ac:dyDescent="0.3">
      <c r="A18" s="47"/>
      <c r="B18" s="47"/>
      <c r="C18" s="47"/>
      <c r="D18" s="47"/>
      <c r="E18" s="47"/>
      <c r="F18" s="47" t="s">
        <v>101</v>
      </c>
      <c r="G18" s="832">
        <f>SUMIF($B$55:$B$176,F18,$N$55:$N$176)</f>
        <v>46052</v>
      </c>
      <c r="H18" s="47"/>
      <c r="I18" s="47"/>
      <c r="J18" s="47"/>
      <c r="K18" s="47"/>
      <c r="L18" s="47"/>
      <c r="M18" s="47"/>
      <c r="N18" s="47"/>
      <c r="O18" s="349">
        <v>13</v>
      </c>
      <c r="P18" s="371" t="str">
        <f t="shared" si="0"/>
        <v>Kaizen - Custo Evitado</v>
      </c>
      <c r="Q18" s="350">
        <f t="shared" si="3"/>
        <v>106763.16</v>
      </c>
      <c r="R18" s="508">
        <f t="shared" si="1"/>
        <v>0</v>
      </c>
      <c r="S18" s="499">
        <f t="shared" si="4"/>
        <v>46054</v>
      </c>
      <c r="T18" s="508" cm="1">
        <f t="array" aca="1" ref="T18" ca="1">SUMPRODUCT(($C$55:$C$175=U18)*(U$54:$AI$54&lt;=TODAY())*(ISNUMBER(U$56:$AI$176)),U$56:$AI$176)</f>
        <v>0</v>
      </c>
      <c r="U18" s="1458" t="str">
        <f t="shared" si="5"/>
        <v>02 - Redução na quantidade de lâmpadas acessa, na produção</v>
      </c>
      <c r="V18" s="1458"/>
      <c r="W18" s="1458"/>
      <c r="X18" s="1458"/>
      <c r="Y18" s="1458"/>
      <c r="Z18" s="375">
        <f t="shared" si="2"/>
        <v>2.4131196524637584E-2</v>
      </c>
      <c r="AA18" s="352">
        <f t="shared" si="13"/>
        <v>0.71554320101035362</v>
      </c>
      <c r="AB18" s="353" cm="1">
        <f t="array" ref="AB18">IFERROR(INDEX($T$55:$T$176,MATCH(1,($AP$55:$AP$176=U18)*($S$55:$S$176="Previsto"), 0) ), "")</f>
        <v>1</v>
      </c>
      <c r="AC18" s="353" cm="1">
        <f t="array" ref="AC18">IFERROR( INDEX($T$55:$T$176,MATCH(1,($AP$55:$AP$176=U18)*($S$55:$S$176="Real"),0)),"")</f>
        <v>1</v>
      </c>
      <c r="AD18" s="373" t="str">
        <f t="shared" si="7"/>
        <v>CONCLUÍDO</v>
      </c>
      <c r="AE18" s="353">
        <v>1</v>
      </c>
      <c r="AF18" s="47"/>
      <c r="AG18" s="47"/>
      <c r="AH18" s="47"/>
      <c r="AI18" s="47"/>
    </row>
    <row r="19" spans="1:47" ht="20.100000000000001" customHeight="1" x14ac:dyDescent="0.3">
      <c r="A19" s="47"/>
      <c r="B19" s="47"/>
      <c r="C19" s="47"/>
      <c r="D19" s="47"/>
      <c r="E19" s="47"/>
      <c r="F19" s="47"/>
      <c r="G19" s="47"/>
      <c r="H19" s="47"/>
      <c r="I19" s="47"/>
      <c r="J19" s="47"/>
      <c r="K19" s="47"/>
      <c r="L19" s="47"/>
      <c r="M19" s="47"/>
      <c r="N19" s="47"/>
      <c r="O19" s="354">
        <v>14</v>
      </c>
      <c r="P19" s="372" t="str">
        <f t="shared" si="0"/>
        <v>BSW</v>
      </c>
      <c r="Q19" s="355">
        <f t="shared" si="3"/>
        <v>106000</v>
      </c>
      <c r="R19" s="509">
        <f t="shared" si="1"/>
        <v>99381.26</v>
      </c>
      <c r="S19" s="500">
        <f t="shared" si="4"/>
        <v>46136</v>
      </c>
      <c r="T19" s="509" cm="1">
        <f t="array" aca="1" ref="T19" ca="1">SUMPRODUCT(($C$55:$C$175=U19)*(U$54:$AI$54&lt;=TODAY())*(ISNUMBER(U$56:$AI$176)),U$56:$AI$176)</f>
        <v>76638.269723999692</v>
      </c>
      <c r="U19" s="1459" t="str">
        <f t="shared" si="5"/>
        <v>45 - Redução de MP GM000409Z</v>
      </c>
      <c r="V19" s="1459"/>
      <c r="W19" s="1459"/>
      <c r="X19" s="1459"/>
      <c r="Y19" s="1459"/>
      <c r="Z19" s="376">
        <f t="shared" si="2"/>
        <v>2.3958702904743393E-2</v>
      </c>
      <c r="AA19" s="357">
        <f t="shared" si="13"/>
        <v>0.73950190391509707</v>
      </c>
      <c r="AB19" s="358" cm="1">
        <f t="array" ref="AB19">IFERROR(INDEX($T$55:$T$176,MATCH(1,($AP$55:$AP$176=U19)*($S$55:$S$176="Previsto"), 0) ), "")</f>
        <v>0.88</v>
      </c>
      <c r="AC19" s="358" cm="1">
        <f t="array" ref="AC19">IFERROR( INDEX($T$55:$T$176,MATCH(1,($AP$55:$AP$176=U19)*($S$55:$S$176="Real"),0)),"")</f>
        <v>1</v>
      </c>
      <c r="AD19" s="374" t="str">
        <f t="shared" si="7"/>
        <v>CONCLUÍDO</v>
      </c>
      <c r="AE19" s="358">
        <v>1</v>
      </c>
      <c r="AF19" s="47"/>
      <c r="AG19" s="47"/>
      <c r="AH19" s="47"/>
      <c r="AI19" s="47"/>
    </row>
    <row r="20" spans="1:47" ht="20.100000000000001" customHeight="1" x14ac:dyDescent="0.3">
      <c r="A20" s="47"/>
      <c r="B20" s="47"/>
      <c r="C20" s="47"/>
      <c r="D20" s="47"/>
      <c r="E20" s="47"/>
      <c r="F20" s="47"/>
      <c r="G20" s="47"/>
      <c r="H20" s="47"/>
      <c r="I20" s="47"/>
      <c r="J20" s="47"/>
      <c r="K20" s="47"/>
      <c r="L20" s="47"/>
      <c r="M20" s="47"/>
      <c r="N20" s="47"/>
      <c r="O20" s="349">
        <v>15</v>
      </c>
      <c r="P20" s="371" t="str">
        <f t="shared" si="0"/>
        <v>Kaizen - Ganho Recorrente</v>
      </c>
      <c r="Q20" s="350">
        <f t="shared" si="3"/>
        <v>96000</v>
      </c>
      <c r="R20" s="508">
        <f t="shared" si="1"/>
        <v>43105</v>
      </c>
      <c r="S20" s="499">
        <f t="shared" si="4"/>
        <v>46235</v>
      </c>
      <c r="T20" s="508" cm="1">
        <f t="array" aca="1" ref="T20" ca="1">SUMPRODUCT(($C$55:$C$175=U20)*(U$54:$AI$54&lt;=TODAY())*(ISNUMBER(U$56:$AI$176)),U$56:$AI$176)</f>
        <v>0</v>
      </c>
      <c r="U20" s="1458" t="str">
        <f t="shared" si="5"/>
        <v>43 - Automação Boomerang</v>
      </c>
      <c r="V20" s="1458"/>
      <c r="W20" s="1458"/>
      <c r="X20" s="1458"/>
      <c r="Y20" s="1458"/>
      <c r="Z20" s="375">
        <f t="shared" si="2"/>
        <v>2.1698447913729865E-2</v>
      </c>
      <c r="AA20" s="352">
        <f t="shared" si="13"/>
        <v>0.76120035182882695</v>
      </c>
      <c r="AB20" s="353" cm="1">
        <f t="array" ref="AB20">IFERROR(INDEX($T$55:$T$176,MATCH(1,($AP$55:$AP$176=U20)*($S$55:$S$176="Previsto"), 0) ), "")</f>
        <v>0.3</v>
      </c>
      <c r="AC20" s="353" cm="1">
        <f t="array" ref="AC20">IFERROR( INDEX($T$55:$T$176,MATCH(1,($AP$55:$AP$176=U20)*($S$55:$S$176="Real"),0)),"")</f>
        <v>0.32</v>
      </c>
      <c r="AD20" s="373" t="str">
        <f t="shared" si="7"/>
        <v>ADIANTADO</v>
      </c>
      <c r="AE20" s="353">
        <v>1</v>
      </c>
      <c r="AF20" s="47"/>
      <c r="AG20" s="47"/>
      <c r="AH20" s="47"/>
      <c r="AI20" s="47"/>
    </row>
    <row r="21" spans="1:47" ht="20.100000000000001" customHeight="1" x14ac:dyDescent="0.3">
      <c r="A21" s="47"/>
      <c r="B21" s="47"/>
      <c r="C21" s="47"/>
      <c r="D21" s="47"/>
      <c r="E21" s="47"/>
      <c r="F21" s="47"/>
      <c r="G21" s="47"/>
      <c r="H21" s="47"/>
      <c r="I21" s="47"/>
      <c r="J21" s="47"/>
      <c r="K21" s="47"/>
      <c r="L21" s="47"/>
      <c r="M21" s="47"/>
      <c r="N21" s="47"/>
      <c r="O21" s="354">
        <v>16</v>
      </c>
      <c r="P21" s="372" t="str">
        <f t="shared" si="0"/>
        <v>BSW</v>
      </c>
      <c r="Q21" s="355">
        <f t="shared" si="3"/>
        <v>92500</v>
      </c>
      <c r="R21" s="509">
        <f t="shared" si="1"/>
        <v>153302.57999999999</v>
      </c>
      <c r="S21" s="500">
        <f t="shared" si="4"/>
        <v>46174</v>
      </c>
      <c r="T21" s="509" cm="1">
        <f t="array" aca="1" ref="T21" ca="1">SUMPRODUCT(($C$55:$C$175=U21)*(U$54:$AI$54&lt;=TODAY())*(ISNUMBER(U$56:$AI$176)),U$56:$AI$176)</f>
        <v>0</v>
      </c>
      <c r="U21" s="1459" t="str">
        <f t="shared" si="5"/>
        <v>50 - Suporte da lanterna MB003681</v>
      </c>
      <c r="V21" s="1459"/>
      <c r="W21" s="1459"/>
      <c r="X21" s="1459"/>
      <c r="Y21" s="1459"/>
      <c r="Z21" s="376">
        <f t="shared" si="2"/>
        <v>2.0907358666875132E-2</v>
      </c>
      <c r="AA21" s="357">
        <f t="shared" si="13"/>
        <v>0.78210771049570205</v>
      </c>
      <c r="AB21" s="358" cm="1">
        <f t="array" ref="AB21">IFERROR(INDEX($T$55:$T$176,MATCH(1,($AP$55:$AP$176=U21)*($S$55:$S$176="Previsto"), 0) ), "")</f>
        <v>0.86</v>
      </c>
      <c r="AC21" s="358" cm="1">
        <f t="array" ref="AC21">IFERROR( INDEX($T$55:$T$176,MATCH(1,($AP$55:$AP$176=U21)*($S$55:$S$176="Real"),0)),"")</f>
        <v>0.86</v>
      </c>
      <c r="AD21" s="374" t="str">
        <f t="shared" si="7"/>
        <v>CONFORME PLANEJADO</v>
      </c>
      <c r="AE21" s="358">
        <v>1</v>
      </c>
      <c r="AF21" s="47"/>
      <c r="AG21" s="47"/>
      <c r="AH21" s="47"/>
      <c r="AI21" s="47"/>
    </row>
    <row r="22" spans="1:47" ht="20.100000000000001" customHeight="1" x14ac:dyDescent="0.3">
      <c r="A22" s="47"/>
      <c r="B22" s="47"/>
      <c r="C22" s="47"/>
      <c r="D22" s="47"/>
      <c r="E22" s="47"/>
      <c r="F22" s="47"/>
      <c r="G22" s="47"/>
      <c r="H22" s="47"/>
      <c r="I22" s="47"/>
      <c r="J22" s="47"/>
      <c r="K22" s="47"/>
      <c r="L22" s="47"/>
      <c r="M22" s="47"/>
      <c r="N22" s="47"/>
      <c r="O22" s="349">
        <v>17</v>
      </c>
      <c r="P22" s="371" t="str">
        <f t="shared" si="0"/>
        <v>BSW</v>
      </c>
      <c r="Q22" s="350">
        <f t="shared" si="3"/>
        <v>91200</v>
      </c>
      <c r="R22" s="508">
        <f t="shared" si="1"/>
        <v>24530.27</v>
      </c>
      <c r="S22" s="499">
        <f t="shared" si="4"/>
        <v>46204</v>
      </c>
      <c r="T22" s="508" cm="1">
        <f t="array" aca="1" ref="T22" ca="1">SUMPRODUCT(($C$55:$C$175=U22)*(U$54:$AI$54&lt;=TODAY())*(ISNUMBER(U$56:$AI$176)),U$56:$AI$176)</f>
        <v>3614.0313599999999</v>
      </c>
      <c r="U22" s="1458" t="str">
        <f t="shared" si="5"/>
        <v>56 -Redução de Peso Bruto do item SV001141LA / SV001142LA</v>
      </c>
      <c r="V22" s="1458"/>
      <c r="W22" s="1458"/>
      <c r="X22" s="1458"/>
      <c r="Y22" s="1458"/>
      <c r="Z22" s="375">
        <f t="shared" si="2"/>
        <v>2.0613525518043373E-2</v>
      </c>
      <c r="AA22" s="352">
        <f t="shared" si="13"/>
        <v>0.80272123601374545</v>
      </c>
      <c r="AB22" s="353" cm="1">
        <f t="array" aca="1" ref="AB22" ca="1">IFERROR(INDEX($T$55:$T$176,MATCH(1,($AP$55:$AP$176=U22)*($S$55:$S$176="Previsto"), 0) ), "")</f>
        <v>1</v>
      </c>
      <c r="AC22" s="353" cm="1">
        <f t="array" ref="AC22">IFERROR( INDEX($T$55:$T$176,MATCH(1,($AP$55:$AP$176=U22)*($S$55:$S$176="Real"),0)),"")</f>
        <v>1</v>
      </c>
      <c r="AD22" s="373" t="str">
        <f t="shared" ca="1" si="7"/>
        <v>CONCLUÍDO</v>
      </c>
      <c r="AE22" s="353">
        <v>1</v>
      </c>
      <c r="AF22" s="47"/>
      <c r="AG22" s="47"/>
      <c r="AH22" s="47"/>
      <c r="AI22" s="47"/>
    </row>
    <row r="23" spans="1:47" ht="20.100000000000001" customHeight="1" x14ac:dyDescent="0.3">
      <c r="A23" s="47"/>
      <c r="B23" s="47"/>
      <c r="C23" s="47"/>
      <c r="D23" s="47"/>
      <c r="E23" s="47"/>
      <c r="F23" s="47"/>
      <c r="G23" s="47"/>
      <c r="H23" s="47"/>
      <c r="I23" s="47"/>
      <c r="J23" s="47"/>
      <c r="K23" s="47"/>
      <c r="L23" s="47"/>
      <c r="M23" s="47"/>
      <c r="N23" s="47"/>
      <c r="O23" s="354">
        <v>18</v>
      </c>
      <c r="P23" s="372" t="str">
        <f t="shared" si="0"/>
        <v>BSW</v>
      </c>
      <c r="Q23" s="355">
        <f t="shared" si="3"/>
        <v>90000.000000098997</v>
      </c>
      <c r="R23" s="509">
        <f t="shared" si="1"/>
        <v>41632.629999999997</v>
      </c>
      <c r="S23" s="500">
        <f t="shared" si="4"/>
        <v>46174</v>
      </c>
      <c r="T23" s="509" cm="1">
        <f t="array" aca="1" ref="T23" ca="1">SUMPRODUCT(($C$55:$C$175=U23)*(U$54:$AI$54&lt;=TODAY())*(ISNUMBER(U$56:$AI$176)),U$56:$AI$176)</f>
        <v>11219.737999999988</v>
      </c>
      <c r="U23" s="1459" t="str">
        <f t="shared" si="5"/>
        <v>27 - DA000459AA - STC Volvo_</v>
      </c>
      <c r="V23" s="1459"/>
      <c r="W23" s="1459"/>
      <c r="X23" s="1459"/>
      <c r="Y23" s="1459"/>
      <c r="Z23" s="376">
        <f t="shared" si="2"/>
        <v>2.0342294919144126E-2</v>
      </c>
      <c r="AA23" s="357">
        <f t="shared" si="13"/>
        <v>0.82306353093288953</v>
      </c>
      <c r="AB23" s="358" cm="1">
        <f t="array" ref="AB23">IFERROR(INDEX($T$55:$T$176,MATCH(1,($AP$55:$AP$176=U23)*($S$55:$S$176="Previsto"), 0) ), "")</f>
        <v>1</v>
      </c>
      <c r="AC23" s="358" cm="1">
        <f t="array" ref="AC23">IFERROR( INDEX($T$55:$T$176,MATCH(1,($AP$55:$AP$176=U23)*($S$55:$S$176="Real"),0)),"")</f>
        <v>1</v>
      </c>
      <c r="AD23" s="374" t="str">
        <f t="shared" si="7"/>
        <v>CONCLUÍDO</v>
      </c>
      <c r="AE23" s="358">
        <v>1</v>
      </c>
      <c r="AF23" s="47"/>
      <c r="AG23" s="47"/>
      <c r="AH23" s="47"/>
      <c r="AI23" s="47"/>
    </row>
    <row r="24" spans="1:47" ht="20.100000000000001" customHeight="1" x14ac:dyDescent="0.3">
      <c r="A24" s="47"/>
      <c r="B24" s="47"/>
      <c r="C24" s="47"/>
      <c r="D24" s="47"/>
      <c r="E24" s="47"/>
      <c r="F24" s="47"/>
      <c r="G24" s="47"/>
      <c r="H24" s="47"/>
      <c r="I24" s="47"/>
      <c r="J24" s="47"/>
      <c r="K24" s="47"/>
      <c r="L24" s="47"/>
      <c r="M24" s="47"/>
      <c r="N24" s="47"/>
      <c r="O24" s="349">
        <v>19</v>
      </c>
      <c r="P24" s="371" t="str">
        <f t="shared" si="0"/>
        <v>Kaizen - Ganho Recorrente</v>
      </c>
      <c r="Q24" s="350">
        <f t="shared" si="3"/>
        <v>68000</v>
      </c>
      <c r="R24" s="508">
        <f t="shared" si="1"/>
        <v>56610.76</v>
      </c>
      <c r="S24" s="499">
        <f t="shared" si="4"/>
        <v>46082</v>
      </c>
      <c r="T24" s="508" cm="1">
        <f t="array" aca="1" ref="T24" ca="1">SUMPRODUCT(($C$55:$C$175=U24)*(U$54:$AI$54&lt;=TODAY())*(ISNUMBER(U$56:$AI$176)),U$56:$AI$176)</f>
        <v>25732.162500000013</v>
      </c>
      <c r="U24" s="1458" t="str">
        <f t="shared" si="5"/>
        <v>05 - Empilhadeira - Diadema</v>
      </c>
      <c r="V24" s="1458"/>
      <c r="W24" s="1458"/>
      <c r="X24" s="1458"/>
      <c r="Y24" s="1458"/>
      <c r="Z24" s="375">
        <f t="shared" si="2"/>
        <v>1.5369733938891988E-2</v>
      </c>
      <c r="AA24" s="352">
        <f t="shared" si="13"/>
        <v>0.83843326487178149</v>
      </c>
      <c r="AB24" s="353" cm="1">
        <f t="array" ref="AB24">IFERROR(INDEX($T$55:$T$176,MATCH(1,($AP$55:$AP$176=U24)*($S$55:$S$176="Previsto"), 0) ), "")</f>
        <v>1</v>
      </c>
      <c r="AC24" s="353" cm="1">
        <f t="array" ref="AC24">IFERROR( INDEX($T$55:$T$176,MATCH(1,($AP$55:$AP$176=U24)*($S$55:$S$176="Real"),0)),"")</f>
        <v>1</v>
      </c>
      <c r="AD24" s="373" t="str">
        <f t="shared" si="7"/>
        <v>CONCLUÍDO</v>
      </c>
      <c r="AE24" s="353">
        <v>1</v>
      </c>
      <c r="AF24" s="47"/>
      <c r="AG24" s="47"/>
      <c r="AH24" s="47"/>
      <c r="AI24" s="47"/>
    </row>
    <row r="25" spans="1:47" ht="20.100000000000001" customHeight="1" x14ac:dyDescent="0.3">
      <c r="A25" s="47"/>
      <c r="B25" s="47"/>
      <c r="C25" s="47"/>
      <c r="D25" s="47"/>
      <c r="E25" s="47"/>
      <c r="F25" s="47"/>
      <c r="G25" s="47"/>
      <c r="H25" s="47"/>
      <c r="I25" s="47"/>
      <c r="J25" s="47"/>
      <c r="K25" s="47"/>
      <c r="L25" s="47"/>
      <c r="M25" s="47"/>
      <c r="N25" s="47"/>
      <c r="O25" s="404">
        <v>20</v>
      </c>
      <c r="P25" s="405" t="str">
        <f t="shared" si="0"/>
        <v>BSW</v>
      </c>
      <c r="Q25" s="406">
        <f t="shared" si="3"/>
        <v>64554.69</v>
      </c>
      <c r="R25" s="510">
        <f t="shared" si="1"/>
        <v>41104.57</v>
      </c>
      <c r="S25" s="500">
        <f t="shared" si="4"/>
        <v>46082</v>
      </c>
      <c r="T25" s="509" cm="1">
        <f t="array" aca="1" ref="T25" ca="1">SUMPRODUCT(($C$55:$C$175=U25)*(U$54:$AI$54&lt;=TODAY())*(ISNUMBER(U$56:$AI$176)),U$56:$AI$176)</f>
        <v>23365.017324000008</v>
      </c>
      <c r="U25" s="1459" t="str">
        <f>IFERROR(
   HYPERLINK(
      INDEX(Diadema!$D$55:$D$176,
             MATCH(Q25,Diadema!$I$55:$I$176,0)
      ),
      INDEX(Diadema!$C$55:$C$176,
             MATCH(Q25,Diadema!$I$55:$I$176,0)
      )
   ),
   ""
)</f>
        <v>41 - Redução de Peso Bruto do item SV001141LA</v>
      </c>
      <c r="V25" s="1459"/>
      <c r="W25" s="1459"/>
      <c r="X25" s="1459"/>
      <c r="Y25" s="1459"/>
      <c r="Z25" s="376">
        <f t="shared" si="2"/>
        <v>1.4591006026583107E-2</v>
      </c>
      <c r="AA25" s="357">
        <f t="shared" si="13"/>
        <v>0.85302427089836463</v>
      </c>
      <c r="AB25" s="358" cm="1">
        <f t="array" ref="AB25">IFERROR(INDEX($T$55:$T$176,MATCH(1,($AP$55:$AP$176=U25)*($S$55:$S$176="Previsto"), 0) ), "")</f>
        <v>1</v>
      </c>
      <c r="AC25" s="358" cm="1">
        <f t="array" ref="AC25">IFERROR( INDEX($T$55:$T$176,MATCH(1,($AP$55:$AP$176=U25)*($S$55:$S$176="Real"),0)),"")</f>
        <v>1</v>
      </c>
      <c r="AD25" s="374" t="str">
        <f t="shared" si="7"/>
        <v>CONCLUÍDO</v>
      </c>
      <c r="AE25" s="358">
        <v>1</v>
      </c>
      <c r="AF25" s="47"/>
      <c r="AG25" s="47"/>
      <c r="AH25" s="47"/>
      <c r="AI25" s="47"/>
    </row>
    <row r="26" spans="1:47" ht="20.100000000000001" customHeight="1" x14ac:dyDescent="0.3">
      <c r="A26" s="47"/>
      <c r="B26" s="47"/>
      <c r="C26" s="47"/>
      <c r="D26" s="47"/>
      <c r="E26" s="47"/>
      <c r="F26" s="47"/>
      <c r="G26" s="47"/>
      <c r="H26" s="47"/>
      <c r="I26" s="47"/>
      <c r="J26" s="47"/>
      <c r="K26" s="47"/>
      <c r="L26" s="47"/>
      <c r="M26" s="47"/>
      <c r="N26" s="47"/>
      <c r="O26" s="1461" t="s">
        <v>149</v>
      </c>
      <c r="P26" s="1462"/>
      <c r="Q26" s="407">
        <f>SUM(Q6:Q25)</f>
        <v>3774017.8620990794</v>
      </c>
      <c r="R26" s="511">
        <f>SUM(R6:R25)</f>
        <v>2338668.1499999994</v>
      </c>
      <c r="S26" s="47"/>
      <c r="T26" s="47"/>
      <c r="U26" s="47"/>
      <c r="V26" s="47"/>
      <c r="W26" s="47"/>
      <c r="X26" s="47"/>
      <c r="Y26" s="47"/>
      <c r="Z26" s="47"/>
      <c r="AA26" s="47"/>
      <c r="AB26" s="47"/>
      <c r="AC26" s="47"/>
      <c r="AD26" s="47"/>
      <c r="AE26" s="47"/>
      <c r="AF26" s="47"/>
    </row>
    <row r="27" spans="1:47" ht="15.6" x14ac:dyDescent="0.3">
      <c r="A27" s="63" t="s">
        <v>150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47"/>
    </row>
    <row r="28" spans="1:47" ht="27" customHeight="1" x14ac:dyDescent="0.3">
      <c r="A28" s="64" t="s">
        <v>151</v>
      </c>
      <c r="B28" s="65" t="s">
        <v>31</v>
      </c>
      <c r="C28" s="65" t="s">
        <v>152</v>
      </c>
      <c r="D28" s="65" t="s">
        <v>153</v>
      </c>
      <c r="E28" s="65" t="s">
        <v>154</v>
      </c>
      <c r="F28" s="65" t="s">
        <v>155</v>
      </c>
      <c r="G28" s="65" t="s">
        <v>156</v>
      </c>
      <c r="H28" s="65" t="s">
        <v>157</v>
      </c>
      <c r="I28" s="66" t="s">
        <v>158</v>
      </c>
      <c r="J28" s="65" t="s">
        <v>159</v>
      </c>
      <c r="K28" s="66" t="s">
        <v>160</v>
      </c>
      <c r="L28" s="608" t="s">
        <v>161</v>
      </c>
      <c r="M28" s="66" t="s">
        <v>162</v>
      </c>
      <c r="N28" s="65" t="s">
        <v>163</v>
      </c>
      <c r="O28" s="66" t="s">
        <v>164</v>
      </c>
      <c r="P28" s="65" t="s">
        <v>165</v>
      </c>
      <c r="Q28" s="66" t="s">
        <v>166</v>
      </c>
      <c r="R28" s="65" t="s">
        <v>167</v>
      </c>
      <c r="S28" s="66" t="s">
        <v>168</v>
      </c>
      <c r="T28" s="65" t="s">
        <v>169</v>
      </c>
      <c r="U28" s="66" t="s">
        <v>170</v>
      </c>
      <c r="V28" s="65" t="s">
        <v>171</v>
      </c>
      <c r="W28" s="66" t="s">
        <v>172</v>
      </c>
      <c r="X28" s="65" t="s">
        <v>173</v>
      </c>
      <c r="Y28" s="66" t="s">
        <v>174</v>
      </c>
      <c r="Z28" s="65" t="s">
        <v>175</v>
      </c>
      <c r="AA28" s="66" t="s">
        <v>176</v>
      </c>
      <c r="AB28" s="65" t="s">
        <v>177</v>
      </c>
      <c r="AC28" s="66" t="s">
        <v>178</v>
      </c>
      <c r="AD28" s="492" t="s">
        <v>179</v>
      </c>
      <c r="AE28" s="494" t="s">
        <v>180</v>
      </c>
      <c r="AF28" s="47"/>
    </row>
    <row r="29" spans="1:47" x14ac:dyDescent="0.3">
      <c r="A29" s="67" t="s">
        <v>181</v>
      </c>
      <c r="B29" s="68" t="s">
        <v>182</v>
      </c>
      <c r="C29" s="197" t="s">
        <v>183</v>
      </c>
      <c r="D29" s="69" t="s">
        <v>184</v>
      </c>
      <c r="E29" s="197" t="s">
        <v>185</v>
      </c>
      <c r="F29" s="304">
        <v>0.34599999999999997</v>
      </c>
      <c r="G29" s="304">
        <v>0.36099999999999999</v>
      </c>
      <c r="H29" s="703">
        <v>0.32100000000000001</v>
      </c>
      <c r="I29" s="307" t="s">
        <v>186</v>
      </c>
      <c r="J29" s="702">
        <v>0.33</v>
      </c>
      <c r="K29" s="606" t="s">
        <v>186</v>
      </c>
      <c r="L29" s="701">
        <v>0.32600000000000001</v>
      </c>
      <c r="M29" s="607" t="s">
        <v>186</v>
      </c>
      <c r="N29" s="788">
        <v>0.35799999999999998</v>
      </c>
      <c r="O29" s="785" t="s">
        <v>186</v>
      </c>
      <c r="P29" s="304">
        <v>0.35799999999999998</v>
      </c>
      <c r="Q29" s="307" t="s">
        <v>186</v>
      </c>
      <c r="R29" s="304">
        <v>0.315</v>
      </c>
      <c r="S29" s="307" t="s">
        <v>186</v>
      </c>
      <c r="T29" s="304">
        <v>0.28999999999999998</v>
      </c>
      <c r="U29" s="307"/>
      <c r="V29" s="259"/>
      <c r="W29" s="307"/>
      <c r="X29" s="259"/>
      <c r="Y29" s="489"/>
      <c r="Z29" s="305"/>
      <c r="AA29" s="489" t="s">
        <v>186</v>
      </c>
      <c r="AB29" s="305"/>
      <c r="AC29" s="489"/>
      <c r="AD29" s="305"/>
      <c r="AE29" s="493"/>
      <c r="AF29" s="297"/>
    </row>
    <row r="30" spans="1:47" x14ac:dyDescent="0.3">
      <c r="A30" s="67" t="s">
        <v>181</v>
      </c>
      <c r="B30" s="68" t="s">
        <v>187</v>
      </c>
      <c r="C30" s="197" t="s">
        <v>183</v>
      </c>
      <c r="D30" s="68" t="s">
        <v>184</v>
      </c>
      <c r="E30" s="197" t="s">
        <v>188</v>
      </c>
      <c r="F30" s="306">
        <v>3.0000000000000001E-3</v>
      </c>
      <c r="G30" s="306">
        <v>2E-3</v>
      </c>
      <c r="H30" s="451">
        <v>2.0100000000000001E-3</v>
      </c>
      <c r="I30" s="307" t="s">
        <v>189</v>
      </c>
      <c r="J30" s="306">
        <v>6.4999999999999997E-3</v>
      </c>
      <c r="K30" s="606" t="s">
        <v>189</v>
      </c>
      <c r="L30" s="306">
        <v>4.1999999999999997E-3</v>
      </c>
      <c r="M30" s="607" t="s">
        <v>189</v>
      </c>
      <c r="N30" s="789">
        <v>4.3E-3</v>
      </c>
      <c r="O30" s="786" t="s">
        <v>189</v>
      </c>
      <c r="P30" s="306">
        <v>2.8E-3</v>
      </c>
      <c r="Q30" s="307" t="s">
        <v>189</v>
      </c>
      <c r="R30" s="306">
        <v>2.0999999999999999E-3</v>
      </c>
      <c r="S30" s="307" t="s">
        <v>189</v>
      </c>
      <c r="T30" s="306">
        <v>3.3999999999999998E-3</v>
      </c>
      <c r="U30" s="307"/>
      <c r="V30" s="307"/>
      <c r="W30" s="307"/>
      <c r="X30" s="307"/>
      <c r="Y30" s="490"/>
      <c r="Z30" s="307"/>
      <c r="AA30" s="490"/>
      <c r="AB30" s="307"/>
      <c r="AC30" s="490"/>
      <c r="AD30" s="307"/>
      <c r="AE30" s="490"/>
      <c r="AF30" s="297"/>
    </row>
    <row r="31" spans="1:47" x14ac:dyDescent="0.3">
      <c r="A31" s="67" t="s">
        <v>190</v>
      </c>
      <c r="B31" s="68" t="s">
        <v>191</v>
      </c>
      <c r="C31" s="197" t="s">
        <v>183</v>
      </c>
      <c r="D31" s="68" t="s">
        <v>192</v>
      </c>
      <c r="E31" s="197" t="s">
        <v>185</v>
      </c>
      <c r="F31" s="306">
        <v>0.501</v>
      </c>
      <c r="G31" s="306">
        <v>0.56000000000000005</v>
      </c>
      <c r="H31" s="306">
        <v>0.48430000000000001</v>
      </c>
      <c r="I31" s="307" t="s">
        <v>193</v>
      </c>
      <c r="J31" s="306">
        <f>J33*J34*J35</f>
        <v>0.51104831887200008</v>
      </c>
      <c r="K31" s="606" t="s">
        <v>194</v>
      </c>
      <c r="L31" s="306">
        <f>L33*L34*L35</f>
        <v>0.66519873403199992</v>
      </c>
      <c r="M31" s="607" t="s">
        <v>194</v>
      </c>
      <c r="N31" s="788">
        <v>0.72019999999999995</v>
      </c>
      <c r="O31" s="785" t="s">
        <v>194</v>
      </c>
      <c r="P31" s="306">
        <v>0.69489999999999996</v>
      </c>
      <c r="Q31" s="307" t="s">
        <v>194</v>
      </c>
      <c r="R31" s="945">
        <v>0.68279999999999996</v>
      </c>
      <c r="S31" s="307" t="s">
        <v>194</v>
      </c>
      <c r="T31" s="945">
        <v>0.68259999999999998</v>
      </c>
      <c r="U31" s="307" t="s">
        <v>194</v>
      </c>
      <c r="V31" s="307"/>
      <c r="W31" s="307"/>
      <c r="X31" s="307"/>
      <c r="Y31" s="489"/>
      <c r="Z31" s="305"/>
      <c r="AA31" s="489" t="s">
        <v>194</v>
      </c>
      <c r="AB31" s="305"/>
      <c r="AC31" s="489"/>
      <c r="AD31" s="305"/>
      <c r="AE31" s="489"/>
      <c r="AF31" s="297"/>
    </row>
    <row r="32" spans="1:47" x14ac:dyDescent="0.3">
      <c r="A32" s="67" t="s">
        <v>190</v>
      </c>
      <c r="B32" s="68" t="s">
        <v>195</v>
      </c>
      <c r="C32" s="197" t="s">
        <v>183</v>
      </c>
      <c r="D32" s="68" t="s">
        <v>184</v>
      </c>
      <c r="E32" s="197" t="s">
        <v>185</v>
      </c>
      <c r="F32" s="451">
        <v>0.56200000000000006</v>
      </c>
      <c r="G32" s="451">
        <v>0.64</v>
      </c>
      <c r="H32" s="451">
        <v>0.55100000000000005</v>
      </c>
      <c r="I32" s="307" t="s">
        <v>193</v>
      </c>
      <c r="J32" s="306">
        <v>0.56100000000000005</v>
      </c>
      <c r="K32" s="606" t="s">
        <v>193</v>
      </c>
      <c r="L32" s="308">
        <v>0.53</v>
      </c>
      <c r="M32" s="607" t="s">
        <v>196</v>
      </c>
      <c r="N32" s="789">
        <v>0.50800000000000001</v>
      </c>
      <c r="O32" s="786" t="s">
        <v>196</v>
      </c>
      <c r="P32" s="306">
        <v>0.52300000000000002</v>
      </c>
      <c r="Q32" s="307" t="s">
        <v>196</v>
      </c>
      <c r="R32" s="306">
        <v>0.59499999999999997</v>
      </c>
      <c r="S32" s="307" t="s">
        <v>196</v>
      </c>
      <c r="T32" s="306">
        <v>0.61499999999999999</v>
      </c>
      <c r="U32" s="307" t="s">
        <v>194</v>
      </c>
      <c r="V32" s="307"/>
      <c r="W32" s="307"/>
      <c r="X32" s="307"/>
      <c r="Y32" s="490"/>
      <c r="Z32" s="307"/>
      <c r="AA32" s="490" t="s">
        <v>194</v>
      </c>
      <c r="AB32" s="307"/>
      <c r="AC32" s="490"/>
      <c r="AD32" s="307"/>
      <c r="AE32" s="490"/>
      <c r="AF32" s="297"/>
    </row>
    <row r="33" spans="1:34" x14ac:dyDescent="0.3">
      <c r="A33" s="67" t="s">
        <v>190</v>
      </c>
      <c r="B33" s="68" t="s">
        <v>197</v>
      </c>
      <c r="C33" s="197" t="s">
        <v>183</v>
      </c>
      <c r="D33" s="68" t="s">
        <v>192</v>
      </c>
      <c r="E33" s="197" t="s">
        <v>185</v>
      </c>
      <c r="F33" s="306">
        <v>0.92610000000000003</v>
      </c>
      <c r="G33" s="306">
        <v>0.95</v>
      </c>
      <c r="H33" s="306">
        <v>0.8992</v>
      </c>
      <c r="I33" s="307" t="s">
        <v>193</v>
      </c>
      <c r="J33" s="306">
        <v>0.88790000000000002</v>
      </c>
      <c r="K33" s="606" t="s">
        <v>194</v>
      </c>
      <c r="L33" s="306">
        <v>0.95079999999999998</v>
      </c>
      <c r="M33" s="607" t="s">
        <v>194</v>
      </c>
      <c r="N33" s="788">
        <v>0.97170000000000001</v>
      </c>
      <c r="O33" s="785" t="s">
        <v>194</v>
      </c>
      <c r="P33" s="306">
        <v>0.94610000000000005</v>
      </c>
      <c r="Q33" s="307" t="s">
        <v>194</v>
      </c>
      <c r="R33" s="306">
        <v>0.9294</v>
      </c>
      <c r="S33" s="307" t="s">
        <v>194</v>
      </c>
      <c r="T33" s="306">
        <v>0.95420000000000005</v>
      </c>
      <c r="U33" s="307" t="s">
        <v>194</v>
      </c>
      <c r="V33" s="307"/>
      <c r="W33" s="307"/>
      <c r="X33" s="307"/>
      <c r="Y33" s="489"/>
      <c r="Z33" s="305"/>
      <c r="AA33" s="489" t="s">
        <v>194</v>
      </c>
      <c r="AB33" s="305"/>
      <c r="AC33" s="489"/>
      <c r="AD33" s="305"/>
      <c r="AE33" s="489"/>
      <c r="AF33" s="297"/>
    </row>
    <row r="34" spans="1:34" x14ac:dyDescent="0.3">
      <c r="A34" s="67" t="s">
        <v>190</v>
      </c>
      <c r="B34" s="68" t="s">
        <v>198</v>
      </c>
      <c r="C34" s="197" t="s">
        <v>183</v>
      </c>
      <c r="D34" s="68" t="s">
        <v>192</v>
      </c>
      <c r="E34" s="197" t="s">
        <v>185</v>
      </c>
      <c r="F34" s="306">
        <v>0.95499999999999996</v>
      </c>
      <c r="G34" s="306">
        <v>0.96499999999999997</v>
      </c>
      <c r="H34" s="306">
        <v>0.99950000000000006</v>
      </c>
      <c r="I34" s="307" t="s">
        <v>199</v>
      </c>
      <c r="J34" s="306">
        <v>0.99960000000000004</v>
      </c>
      <c r="K34" s="606" t="s">
        <v>199</v>
      </c>
      <c r="L34" s="306">
        <v>0.99960000000000004</v>
      </c>
      <c r="M34" s="607" t="s">
        <v>194</v>
      </c>
      <c r="N34" s="789">
        <v>0.99970000000000003</v>
      </c>
      <c r="O34" s="786" t="s">
        <v>194</v>
      </c>
      <c r="P34" s="306">
        <v>0.99970000000000003</v>
      </c>
      <c r="Q34" s="307" t="s">
        <v>194</v>
      </c>
      <c r="R34" s="308">
        <v>1</v>
      </c>
      <c r="S34" s="307" t="s">
        <v>194</v>
      </c>
      <c r="T34" s="306">
        <v>0.99939999999999996</v>
      </c>
      <c r="U34" s="307" t="s">
        <v>194</v>
      </c>
      <c r="V34" s="307"/>
      <c r="W34" s="307"/>
      <c r="X34" s="307"/>
      <c r="Y34" s="490"/>
      <c r="Z34" s="307"/>
      <c r="AA34" s="490" t="s">
        <v>194</v>
      </c>
      <c r="AB34" s="307"/>
      <c r="AC34" s="490"/>
      <c r="AD34" s="307"/>
      <c r="AE34" s="490"/>
      <c r="AF34" s="297"/>
    </row>
    <row r="35" spans="1:34" x14ac:dyDescent="0.3">
      <c r="A35" s="67" t="s">
        <v>190</v>
      </c>
      <c r="B35" s="68" t="s">
        <v>200</v>
      </c>
      <c r="C35" s="197" t="s">
        <v>183</v>
      </c>
      <c r="D35" s="68" t="s">
        <v>192</v>
      </c>
      <c r="E35" s="197" t="s">
        <v>185</v>
      </c>
      <c r="F35" s="306">
        <v>0.95899999999999996</v>
      </c>
      <c r="G35" s="308">
        <v>0.97</v>
      </c>
      <c r="H35" s="306">
        <v>0.53890000000000005</v>
      </c>
      <c r="I35" s="307" t="s">
        <v>199</v>
      </c>
      <c r="J35" s="306">
        <v>0.57579999999999998</v>
      </c>
      <c r="K35" s="606" t="s">
        <v>199</v>
      </c>
      <c r="L35" s="306">
        <v>0.69989999999999997</v>
      </c>
      <c r="M35" s="607" t="s">
        <v>194</v>
      </c>
      <c r="N35" s="788">
        <v>0.74139999999999995</v>
      </c>
      <c r="O35" s="785" t="s">
        <v>194</v>
      </c>
      <c r="P35" s="306">
        <v>0.73470000000000002</v>
      </c>
      <c r="Q35" s="307" t="s">
        <v>194</v>
      </c>
      <c r="R35" s="307">
        <v>73.47</v>
      </c>
      <c r="S35" s="307" t="s">
        <v>194</v>
      </c>
      <c r="T35" s="306">
        <v>0.71579999999999999</v>
      </c>
      <c r="U35" s="307" t="s">
        <v>194</v>
      </c>
      <c r="V35" s="307"/>
      <c r="W35" s="307"/>
      <c r="X35" s="307"/>
      <c r="Y35" s="489"/>
      <c r="Z35" s="305"/>
      <c r="AA35" s="489" t="s">
        <v>194</v>
      </c>
      <c r="AB35" s="305"/>
      <c r="AC35" s="489"/>
      <c r="AD35" s="305"/>
      <c r="AE35" s="489"/>
      <c r="AF35" s="297"/>
    </row>
    <row r="36" spans="1:34" x14ac:dyDescent="0.3">
      <c r="A36" s="67" t="s">
        <v>190</v>
      </c>
      <c r="B36" s="68" t="s">
        <v>201</v>
      </c>
      <c r="C36" s="197" t="s">
        <v>202</v>
      </c>
      <c r="D36" s="68" t="s">
        <v>184</v>
      </c>
      <c r="E36" s="197" t="s">
        <v>185</v>
      </c>
      <c r="F36" s="303" t="s">
        <v>203</v>
      </c>
      <c r="G36" s="303" t="s">
        <v>204</v>
      </c>
      <c r="H36" s="342">
        <v>0.625</v>
      </c>
      <c r="I36" s="307" t="s">
        <v>205</v>
      </c>
      <c r="J36" s="342">
        <v>0.54166666666666663</v>
      </c>
      <c r="K36" s="606" t="s">
        <v>205</v>
      </c>
      <c r="L36" s="342">
        <v>0.875</v>
      </c>
      <c r="M36" s="607" t="s">
        <v>205</v>
      </c>
      <c r="N36" s="790">
        <v>1.5</v>
      </c>
      <c r="O36" s="786" t="s">
        <v>205</v>
      </c>
      <c r="P36" s="876">
        <v>1.5</v>
      </c>
      <c r="Q36" s="307" t="s">
        <v>205</v>
      </c>
      <c r="R36" s="876">
        <v>2.0833333333333335</v>
      </c>
      <c r="S36" s="307" t="s">
        <v>205</v>
      </c>
      <c r="T36" s="876"/>
      <c r="U36" s="307"/>
      <c r="V36" s="307"/>
      <c r="W36" s="307"/>
      <c r="X36" s="307"/>
      <c r="Y36" s="490"/>
      <c r="Z36" s="307"/>
      <c r="AA36" s="490"/>
      <c r="AB36" s="307"/>
      <c r="AC36" s="490"/>
      <c r="AD36" s="307"/>
      <c r="AE36" s="490"/>
      <c r="AF36" s="297"/>
    </row>
    <row r="37" spans="1:34" x14ac:dyDescent="0.3">
      <c r="A37" s="67" t="s">
        <v>190</v>
      </c>
      <c r="B37" s="68" t="s">
        <v>206</v>
      </c>
      <c r="C37" s="197" t="s">
        <v>202</v>
      </c>
      <c r="D37" s="68" t="s">
        <v>184</v>
      </c>
      <c r="E37" s="197" t="s">
        <v>188</v>
      </c>
      <c r="F37" s="303" t="s">
        <v>207</v>
      </c>
      <c r="G37" s="303" t="s">
        <v>208</v>
      </c>
      <c r="H37" s="303" t="s">
        <v>209</v>
      </c>
      <c r="I37" s="307" t="s">
        <v>210</v>
      </c>
      <c r="J37" s="342">
        <v>4.8611111111111112E-2</v>
      </c>
      <c r="K37" s="606" t="s">
        <v>205</v>
      </c>
      <c r="L37" s="342">
        <v>5.2083333333333336E-2</v>
      </c>
      <c r="M37" s="607" t="s">
        <v>205</v>
      </c>
      <c r="N37" s="791">
        <v>3.1944444444444442E-2</v>
      </c>
      <c r="O37" s="785" t="s">
        <v>205</v>
      </c>
      <c r="P37" s="342">
        <v>3.888888888888889E-2</v>
      </c>
      <c r="Q37" s="307" t="s">
        <v>205</v>
      </c>
      <c r="R37" s="342">
        <v>0.14374999999999999</v>
      </c>
      <c r="S37" s="307" t="s">
        <v>205</v>
      </c>
      <c r="T37" s="342"/>
      <c r="U37" s="307"/>
      <c r="V37" s="307"/>
      <c r="W37" s="307"/>
      <c r="X37" s="307"/>
      <c r="Y37" s="489"/>
      <c r="Z37" s="305"/>
      <c r="AA37" s="489"/>
      <c r="AB37" s="305"/>
      <c r="AC37" s="489"/>
      <c r="AD37" s="305"/>
      <c r="AE37" s="489"/>
      <c r="AF37" s="297"/>
    </row>
    <row r="38" spans="1:34" x14ac:dyDescent="0.3">
      <c r="A38" s="67" t="s">
        <v>190</v>
      </c>
      <c r="B38" s="68" t="s">
        <v>211</v>
      </c>
      <c r="C38" s="197" t="s">
        <v>212</v>
      </c>
      <c r="D38" s="68" t="s">
        <v>184</v>
      </c>
      <c r="E38" s="197" t="s">
        <v>188</v>
      </c>
      <c r="F38" s="309">
        <v>91000</v>
      </c>
      <c r="G38" s="309">
        <v>73000</v>
      </c>
      <c r="H38" s="309">
        <v>108458.31</v>
      </c>
      <c r="I38" s="307" t="s">
        <v>194</v>
      </c>
      <c r="J38" s="309">
        <v>81579</v>
      </c>
      <c r="K38" s="606" t="s">
        <v>194</v>
      </c>
      <c r="L38" s="309">
        <v>95964</v>
      </c>
      <c r="M38" s="607" t="s">
        <v>194</v>
      </c>
      <c r="N38" s="792">
        <v>97861</v>
      </c>
      <c r="O38" s="786" t="s">
        <v>194</v>
      </c>
      <c r="P38" s="309">
        <v>96508</v>
      </c>
      <c r="Q38" s="307" t="s">
        <v>194</v>
      </c>
      <c r="R38" s="309">
        <v>205849</v>
      </c>
      <c r="S38" s="786" t="s">
        <v>194</v>
      </c>
      <c r="T38" s="309">
        <v>125874</v>
      </c>
      <c r="U38" s="307"/>
      <c r="V38" s="307"/>
      <c r="W38" s="307"/>
      <c r="X38" s="307"/>
      <c r="Y38" s="490"/>
      <c r="Z38" s="307"/>
      <c r="AA38" s="490" t="s">
        <v>194</v>
      </c>
      <c r="AB38" s="307"/>
      <c r="AC38" s="490"/>
      <c r="AD38" s="307"/>
      <c r="AE38" s="490"/>
      <c r="AF38" s="297"/>
    </row>
    <row r="39" spans="1:34" x14ac:dyDescent="0.3">
      <c r="A39" s="67" t="s">
        <v>190</v>
      </c>
      <c r="B39" s="68" t="s">
        <v>213</v>
      </c>
      <c r="C39" s="197" t="s">
        <v>212</v>
      </c>
      <c r="D39" s="68" t="s">
        <v>192</v>
      </c>
      <c r="E39" s="197" t="s">
        <v>188</v>
      </c>
      <c r="F39" s="482">
        <v>458000</v>
      </c>
      <c r="G39" s="482">
        <v>358737</v>
      </c>
      <c r="H39" s="482">
        <v>29000</v>
      </c>
      <c r="I39" s="307" t="s">
        <v>214</v>
      </c>
      <c r="J39" s="309">
        <v>30000</v>
      </c>
      <c r="K39" s="606" t="s">
        <v>214</v>
      </c>
      <c r="L39" s="309">
        <v>6176</v>
      </c>
      <c r="M39" s="607" t="s">
        <v>214</v>
      </c>
      <c r="N39" s="793">
        <v>5680</v>
      </c>
      <c r="O39" s="785" t="s">
        <v>215</v>
      </c>
      <c r="P39" s="307">
        <v>213.12</v>
      </c>
      <c r="Q39" s="307" t="s">
        <v>215</v>
      </c>
      <c r="R39" s="307">
        <v>0</v>
      </c>
      <c r="S39" s="307" t="s">
        <v>216</v>
      </c>
      <c r="T39" s="309">
        <v>2757</v>
      </c>
      <c r="U39" s="307"/>
      <c r="V39" s="307"/>
      <c r="W39" s="307"/>
      <c r="X39" s="307"/>
      <c r="Y39" s="489"/>
      <c r="Z39" s="305"/>
      <c r="AA39" s="489"/>
      <c r="AB39" s="305"/>
      <c r="AC39" s="489"/>
      <c r="AD39" s="305"/>
      <c r="AE39" s="489"/>
      <c r="AF39" s="297"/>
    </row>
    <row r="40" spans="1:34" x14ac:dyDescent="0.3">
      <c r="A40" s="67" t="s">
        <v>217</v>
      </c>
      <c r="B40" s="68" t="s">
        <v>218</v>
      </c>
      <c r="C40" s="197" t="s">
        <v>219</v>
      </c>
      <c r="D40" s="68" t="s">
        <v>184</v>
      </c>
      <c r="E40" s="197" t="s">
        <v>188</v>
      </c>
      <c r="F40" s="307" t="s">
        <v>93</v>
      </c>
      <c r="G40" s="307">
        <v>900</v>
      </c>
      <c r="H40" s="617">
        <v>60593</v>
      </c>
      <c r="I40" s="307" t="s">
        <v>220</v>
      </c>
      <c r="J40" s="309">
        <v>57795</v>
      </c>
      <c r="K40" s="606" t="s">
        <v>220</v>
      </c>
      <c r="L40" s="309">
        <v>19052</v>
      </c>
      <c r="M40" s="607" t="s">
        <v>220</v>
      </c>
      <c r="N40" s="792">
        <v>59710</v>
      </c>
      <c r="O40" s="786" t="s">
        <v>220</v>
      </c>
      <c r="P40" s="309">
        <v>60162</v>
      </c>
      <c r="Q40" s="307" t="s">
        <v>220</v>
      </c>
      <c r="R40" s="309">
        <v>32145</v>
      </c>
      <c r="S40" s="307" t="s">
        <v>220</v>
      </c>
      <c r="T40" s="309">
        <v>20426</v>
      </c>
      <c r="U40" s="307" t="s">
        <v>220</v>
      </c>
      <c r="V40" s="307"/>
      <c r="W40" s="307"/>
      <c r="X40" s="307"/>
      <c r="Y40" s="490"/>
      <c r="Z40" s="307"/>
      <c r="AA40" s="490" t="s">
        <v>220</v>
      </c>
      <c r="AB40" s="307"/>
      <c r="AC40" s="490"/>
      <c r="AD40" s="307"/>
      <c r="AE40" s="490"/>
      <c r="AF40" s="297"/>
    </row>
    <row r="41" spans="1:34" x14ac:dyDescent="0.3">
      <c r="A41" s="67" t="s">
        <v>217</v>
      </c>
      <c r="B41" s="68" t="s">
        <v>221</v>
      </c>
      <c r="C41" s="197" t="s">
        <v>219</v>
      </c>
      <c r="D41" s="68" t="s">
        <v>184</v>
      </c>
      <c r="E41" s="197" t="s">
        <v>188</v>
      </c>
      <c r="F41" s="307">
        <v>3347</v>
      </c>
      <c r="G41" s="307">
        <v>3000</v>
      </c>
      <c r="H41" s="441">
        <v>1</v>
      </c>
      <c r="I41" s="307" t="s">
        <v>222</v>
      </c>
      <c r="J41" s="307">
        <v>476</v>
      </c>
      <c r="K41" s="606" t="s">
        <v>223</v>
      </c>
      <c r="L41" s="307">
        <v>80</v>
      </c>
      <c r="M41" s="607" t="s">
        <v>224</v>
      </c>
      <c r="N41" s="794">
        <v>30</v>
      </c>
      <c r="O41" s="785" t="s">
        <v>225</v>
      </c>
      <c r="P41" s="307">
        <v>1</v>
      </c>
      <c r="Q41" s="307" t="s">
        <v>226</v>
      </c>
      <c r="R41" s="307">
        <v>0</v>
      </c>
      <c r="S41" s="307" t="s">
        <v>216</v>
      </c>
      <c r="T41" s="307">
        <v>5</v>
      </c>
      <c r="U41" s="307" t="s">
        <v>227</v>
      </c>
      <c r="V41" s="307"/>
      <c r="W41" s="307"/>
      <c r="X41" s="307"/>
      <c r="Y41" s="489"/>
      <c r="Z41" s="305"/>
      <c r="AA41" s="489" t="s">
        <v>227</v>
      </c>
      <c r="AB41" s="305"/>
      <c r="AC41" s="489"/>
      <c r="AD41" s="305"/>
      <c r="AE41" s="489"/>
      <c r="AF41" s="297"/>
    </row>
    <row r="42" spans="1:34" x14ac:dyDescent="0.3">
      <c r="A42" s="67" t="s">
        <v>217</v>
      </c>
      <c r="B42" s="68" t="s">
        <v>228</v>
      </c>
      <c r="C42" s="197" t="s">
        <v>183</v>
      </c>
      <c r="D42" s="68" t="s">
        <v>184</v>
      </c>
      <c r="E42" s="197" t="s">
        <v>188</v>
      </c>
      <c r="F42" s="306">
        <v>2.5999999999999999E-2</v>
      </c>
      <c r="G42" s="306">
        <v>1.6E-2</v>
      </c>
      <c r="H42" s="451">
        <v>9.7999999999999997E-3</v>
      </c>
      <c r="I42" s="307" t="s">
        <v>229</v>
      </c>
      <c r="J42" s="306">
        <v>1.4200000000000001E-2</v>
      </c>
      <c r="K42" s="606" t="s">
        <v>230</v>
      </c>
      <c r="L42" s="306">
        <v>1.06E-2</v>
      </c>
      <c r="M42" s="607" t="s">
        <v>229</v>
      </c>
      <c r="N42" s="789">
        <v>1.6199999999999999E-2</v>
      </c>
      <c r="O42" s="786" t="s">
        <v>230</v>
      </c>
      <c r="P42" s="306">
        <v>1.4200000000000001E-2</v>
      </c>
      <c r="Q42" s="307" t="s">
        <v>231</v>
      </c>
      <c r="R42" s="306">
        <v>1.7399999999999999E-2</v>
      </c>
      <c r="S42" s="307" t="s">
        <v>229</v>
      </c>
      <c r="T42" s="306">
        <v>1.34E-2</v>
      </c>
      <c r="U42" s="307"/>
      <c r="V42" s="307"/>
      <c r="W42" s="307"/>
      <c r="X42" s="307"/>
      <c r="Y42" s="490"/>
      <c r="Z42" s="307"/>
      <c r="AA42" s="490" t="s">
        <v>229</v>
      </c>
      <c r="AB42" s="307"/>
      <c r="AC42" s="490"/>
      <c r="AD42" s="307"/>
      <c r="AE42" s="490"/>
      <c r="AF42" s="297"/>
    </row>
    <row r="43" spans="1:34" x14ac:dyDescent="0.3">
      <c r="A43" s="67" t="s">
        <v>217</v>
      </c>
      <c r="B43" s="68" t="s">
        <v>232</v>
      </c>
      <c r="C43" s="197" t="s">
        <v>233</v>
      </c>
      <c r="D43" s="68" t="s">
        <v>234</v>
      </c>
      <c r="E43" s="197" t="s">
        <v>188</v>
      </c>
      <c r="F43" s="307">
        <v>49</v>
      </c>
      <c r="G43" s="307">
        <v>45</v>
      </c>
      <c r="H43" s="307">
        <v>1</v>
      </c>
      <c r="I43" s="307" t="s">
        <v>222</v>
      </c>
      <c r="J43" s="307">
        <v>2</v>
      </c>
      <c r="K43" s="606" t="s">
        <v>235</v>
      </c>
      <c r="L43" s="307">
        <v>2</v>
      </c>
      <c r="M43" s="607" t="s">
        <v>224</v>
      </c>
      <c r="N43" s="794">
        <v>2</v>
      </c>
      <c r="O43" s="787" t="s">
        <v>225</v>
      </c>
      <c r="P43" s="307">
        <v>3</v>
      </c>
      <c r="Q43" s="607" t="s">
        <v>226</v>
      </c>
      <c r="R43" s="307">
        <v>0</v>
      </c>
      <c r="S43" s="607" t="s">
        <v>216</v>
      </c>
      <c r="T43" s="307">
        <v>2</v>
      </c>
      <c r="U43" s="607" t="s">
        <v>225</v>
      </c>
      <c r="V43" s="307"/>
      <c r="W43" s="607"/>
      <c r="X43" s="307"/>
      <c r="Y43" s="637"/>
      <c r="Z43" s="305"/>
      <c r="AA43" s="489" t="s">
        <v>227</v>
      </c>
      <c r="AB43" s="305"/>
      <c r="AC43" s="637"/>
      <c r="AD43" s="305"/>
      <c r="AE43" s="637"/>
      <c r="AF43" s="297"/>
    </row>
    <row r="44" spans="1:34" x14ac:dyDescent="0.3">
      <c r="A44" s="301" t="s">
        <v>236</v>
      </c>
      <c r="B44" s="302" t="s">
        <v>237</v>
      </c>
      <c r="C44" s="346" t="s">
        <v>238</v>
      </c>
      <c r="D44" s="302" t="s">
        <v>184</v>
      </c>
      <c r="E44" s="346" t="s">
        <v>188</v>
      </c>
      <c r="F44" s="307">
        <v>28</v>
      </c>
      <c r="G44" s="307">
        <v>26</v>
      </c>
      <c r="H44" s="307">
        <v>32</v>
      </c>
      <c r="I44" s="307" t="s">
        <v>239</v>
      </c>
      <c r="J44" s="307">
        <v>30</v>
      </c>
      <c r="K44" s="606" t="s">
        <v>239</v>
      </c>
      <c r="L44" s="307">
        <v>13</v>
      </c>
      <c r="M44" s="607" t="s">
        <v>239</v>
      </c>
      <c r="N44" s="795">
        <v>0</v>
      </c>
      <c r="O44" s="786" t="s">
        <v>239</v>
      </c>
      <c r="P44" s="307">
        <v>0</v>
      </c>
      <c r="Q44" s="307" t="s">
        <v>239</v>
      </c>
      <c r="R44" s="307">
        <v>56</v>
      </c>
      <c r="S44" s="307" t="s">
        <v>239</v>
      </c>
      <c r="T44" s="307">
        <v>14</v>
      </c>
      <c r="U44" s="307" t="s">
        <v>239</v>
      </c>
      <c r="V44" s="307"/>
      <c r="W44" s="307"/>
      <c r="X44" s="307"/>
      <c r="Y44" s="490"/>
      <c r="Z44" s="307"/>
      <c r="AA44" s="490" t="s">
        <v>239</v>
      </c>
      <c r="AB44" s="307"/>
      <c r="AC44" s="490"/>
      <c r="AD44" s="307"/>
      <c r="AE44" s="490"/>
      <c r="AF44" s="297"/>
    </row>
    <row r="45" spans="1:34" ht="15.6" x14ac:dyDescent="0.3">
      <c r="A45" s="67" t="s">
        <v>240</v>
      </c>
      <c r="B45" s="68" t="s">
        <v>241</v>
      </c>
      <c r="C45" s="197" t="s">
        <v>183</v>
      </c>
      <c r="D45" s="68" t="s">
        <v>242</v>
      </c>
      <c r="E45" s="197" t="s">
        <v>185</v>
      </c>
      <c r="F45" s="308" t="s">
        <v>93</v>
      </c>
      <c r="G45" s="308">
        <v>1</v>
      </c>
      <c r="H45" s="308">
        <v>0</v>
      </c>
      <c r="I45" s="307" t="s">
        <v>243</v>
      </c>
      <c r="J45" s="308">
        <v>0.1</v>
      </c>
      <c r="K45" s="606" t="s">
        <v>123</v>
      </c>
      <c r="L45" s="308">
        <v>0.13</v>
      </c>
      <c r="M45" s="607" t="s">
        <v>123</v>
      </c>
      <c r="N45" s="796">
        <v>0.13</v>
      </c>
      <c r="O45" s="785" t="s">
        <v>123</v>
      </c>
      <c r="P45" s="308">
        <v>0.16</v>
      </c>
      <c r="Q45" s="307" t="s">
        <v>243</v>
      </c>
      <c r="R45" s="308">
        <v>0.16</v>
      </c>
      <c r="S45" s="307" t="s">
        <v>243</v>
      </c>
      <c r="T45" s="308">
        <v>0.52</v>
      </c>
      <c r="U45" s="307" t="s">
        <v>123</v>
      </c>
      <c r="V45" s="307"/>
      <c r="W45" s="307"/>
      <c r="X45" s="307"/>
      <c r="Y45" s="489"/>
      <c r="Z45" s="305"/>
      <c r="AA45" s="489" t="s">
        <v>123</v>
      </c>
      <c r="AB45" s="305"/>
      <c r="AC45" s="489"/>
      <c r="AD45" s="305"/>
      <c r="AE45" s="489"/>
      <c r="AF45" s="297"/>
      <c r="AG45" s="1409" t="s">
        <v>244</v>
      </c>
      <c r="AH45" s="1409"/>
    </row>
    <row r="46" spans="1:34" x14ac:dyDescent="0.3">
      <c r="A46" s="67" t="s">
        <v>245</v>
      </c>
      <c r="B46" s="68" t="s">
        <v>246</v>
      </c>
      <c r="C46" s="197" t="s">
        <v>183</v>
      </c>
      <c r="D46" s="68" t="s">
        <v>192</v>
      </c>
      <c r="E46" s="197" t="s">
        <v>185</v>
      </c>
      <c r="F46" s="308" t="s">
        <v>93</v>
      </c>
      <c r="G46" s="308">
        <v>1</v>
      </c>
      <c r="H46" s="308">
        <v>0.32</v>
      </c>
      <c r="I46" s="307" t="s">
        <v>247</v>
      </c>
      <c r="J46" s="308">
        <v>0.87</v>
      </c>
      <c r="K46" s="606" t="s">
        <v>247</v>
      </c>
      <c r="L46" s="308">
        <v>0.47</v>
      </c>
      <c r="M46" s="607" t="s">
        <v>248</v>
      </c>
      <c r="N46" s="797">
        <v>0.61</v>
      </c>
      <c r="O46" s="786" t="s">
        <v>248</v>
      </c>
      <c r="P46" s="308">
        <v>0.64</v>
      </c>
      <c r="Q46" s="307" t="s">
        <v>248</v>
      </c>
      <c r="R46" s="308">
        <v>1</v>
      </c>
      <c r="S46" s="307" t="s">
        <v>216</v>
      </c>
      <c r="T46" s="308">
        <v>1</v>
      </c>
      <c r="U46" s="307"/>
      <c r="V46" s="307"/>
      <c r="W46" s="307"/>
      <c r="X46" s="307"/>
      <c r="Y46" s="490"/>
      <c r="Z46" s="307"/>
      <c r="AA46" s="490"/>
      <c r="AB46" s="307"/>
      <c r="AC46" s="490"/>
      <c r="AD46" s="307"/>
      <c r="AE46" s="490"/>
      <c r="AF46" s="297"/>
      <c r="AG46" s="447" t="s">
        <v>249</v>
      </c>
      <c r="AH46" s="447" t="s">
        <v>250</v>
      </c>
    </row>
    <row r="47" spans="1:34" x14ac:dyDescent="0.3">
      <c r="A47" s="67" t="s">
        <v>190</v>
      </c>
      <c r="B47" s="68" t="s">
        <v>251</v>
      </c>
      <c r="C47" s="197" t="s">
        <v>202</v>
      </c>
      <c r="D47" s="68" t="s">
        <v>184</v>
      </c>
      <c r="E47" s="197" t="s">
        <v>185</v>
      </c>
      <c r="F47" s="303" t="s">
        <v>252</v>
      </c>
      <c r="G47" s="303" t="s">
        <v>253</v>
      </c>
      <c r="H47" s="303" t="s">
        <v>254</v>
      </c>
      <c r="I47" s="307" t="s">
        <v>255</v>
      </c>
      <c r="J47" s="303" t="s">
        <v>256</v>
      </c>
      <c r="K47" s="606" t="s">
        <v>255</v>
      </c>
      <c r="L47" s="303" t="s">
        <v>257</v>
      </c>
      <c r="M47" s="607" t="s">
        <v>255</v>
      </c>
      <c r="N47" s="798">
        <v>3.4520833333333334</v>
      </c>
      <c r="O47" s="785" t="s">
        <v>258</v>
      </c>
      <c r="P47" s="876">
        <v>4.728472222222222</v>
      </c>
      <c r="Q47" s="307" t="s">
        <v>259</v>
      </c>
      <c r="R47" s="876">
        <v>3.7180555555555554</v>
      </c>
      <c r="S47" s="307" t="s">
        <v>258</v>
      </c>
      <c r="T47" s="876">
        <v>5.0631944444444441</v>
      </c>
      <c r="U47" s="307" t="s">
        <v>258</v>
      </c>
      <c r="V47" s="307"/>
      <c r="W47" s="307"/>
      <c r="X47" s="307"/>
      <c r="Y47" s="489"/>
      <c r="Z47" s="305"/>
      <c r="AA47" s="489" t="s">
        <v>258</v>
      </c>
      <c r="AB47" s="305"/>
      <c r="AC47" s="489"/>
      <c r="AD47" s="305"/>
      <c r="AE47" s="489"/>
      <c r="AF47" s="297"/>
      <c r="AG47" s="228" t="s">
        <v>26</v>
      </c>
      <c r="AH47" s="448">
        <f>SUMIF($AM$55:$AM$106,AG47,$AO$55:$AO$106)</f>
        <v>0</v>
      </c>
    </row>
    <row r="48" spans="1:34" x14ac:dyDescent="0.3">
      <c r="A48" s="67" t="s">
        <v>190</v>
      </c>
      <c r="B48" s="68" t="s">
        <v>260</v>
      </c>
      <c r="C48" s="197" t="s">
        <v>202</v>
      </c>
      <c r="D48" s="68" t="s">
        <v>184</v>
      </c>
      <c r="E48" s="197" t="s">
        <v>188</v>
      </c>
      <c r="F48" s="303" t="s">
        <v>261</v>
      </c>
      <c r="G48" s="303" t="s">
        <v>262</v>
      </c>
      <c r="H48" s="342">
        <v>8.819444444444445E-2</v>
      </c>
      <c r="I48" s="307" t="s">
        <v>255</v>
      </c>
      <c r="J48" s="342">
        <v>5.8333333333333334E-2</v>
      </c>
      <c r="K48" s="606" t="s">
        <v>259</v>
      </c>
      <c r="L48" s="342">
        <v>6.1805555555555558E-2</v>
      </c>
      <c r="M48" s="607" t="s">
        <v>259</v>
      </c>
      <c r="N48" s="799">
        <v>0.10277777777777777</v>
      </c>
      <c r="O48" s="786" t="s">
        <v>255</v>
      </c>
      <c r="P48" s="342">
        <v>7.0833333333333331E-2</v>
      </c>
      <c r="Q48" s="307" t="s">
        <v>255</v>
      </c>
      <c r="R48" s="342">
        <v>6.8750000000000006E-2</v>
      </c>
      <c r="S48" s="307" t="s">
        <v>255</v>
      </c>
      <c r="T48" s="342">
        <v>7.1527777777777773E-2</v>
      </c>
      <c r="U48" s="307" t="s">
        <v>255</v>
      </c>
      <c r="V48" s="307"/>
      <c r="W48" s="307"/>
      <c r="X48" s="307"/>
      <c r="Y48" s="490"/>
      <c r="Z48" s="307"/>
      <c r="AA48" s="490" t="s">
        <v>255</v>
      </c>
      <c r="AB48" s="305"/>
      <c r="AC48" s="490"/>
      <c r="AD48" s="307"/>
      <c r="AE48" s="490"/>
      <c r="AF48" s="297"/>
      <c r="AG48" s="251" t="s">
        <v>27</v>
      </c>
      <c r="AH48" s="449">
        <f>SUMIF($AM$55:$AM$106,AG48,$AO$55:$AO$106)</f>
        <v>0</v>
      </c>
    </row>
    <row r="49" spans="1:48" x14ac:dyDescent="0.3">
      <c r="A49" s="67" t="s">
        <v>263</v>
      </c>
      <c r="B49" s="68" t="s">
        <v>264</v>
      </c>
      <c r="C49" s="197" t="s">
        <v>265</v>
      </c>
      <c r="D49" s="68" t="s">
        <v>184</v>
      </c>
      <c r="E49" s="197" t="s">
        <v>185</v>
      </c>
      <c r="F49" s="306"/>
      <c r="G49" s="306"/>
      <c r="H49" s="95">
        <v>170000</v>
      </c>
      <c r="I49" s="95"/>
      <c r="J49" s="95">
        <v>110000</v>
      </c>
      <c r="K49" s="95"/>
      <c r="L49" s="95">
        <v>487000</v>
      </c>
      <c r="M49" s="307"/>
      <c r="N49" s="307"/>
      <c r="O49" s="307"/>
      <c r="P49" s="307"/>
      <c r="Q49" s="307"/>
      <c r="R49" s="307"/>
      <c r="S49" s="307"/>
      <c r="T49" s="307"/>
      <c r="U49" s="307"/>
      <c r="V49" s="307"/>
      <c r="W49" s="307"/>
      <c r="X49" s="307"/>
      <c r="Y49" s="491"/>
      <c r="Z49" s="305"/>
      <c r="AA49" s="491"/>
      <c r="AC49" s="491"/>
      <c r="AD49" s="305"/>
      <c r="AE49" s="489"/>
      <c r="AF49" s="297"/>
      <c r="AG49" s="228" t="s">
        <v>266</v>
      </c>
      <c r="AH49" s="448">
        <f>SUMIF($AM$55:$AM$106,AG49,$AO$55:$AO$106)</f>
        <v>0</v>
      </c>
    </row>
    <row r="50" spans="1:48" x14ac:dyDescent="0.3">
      <c r="A50" s="67"/>
      <c r="B50" s="68"/>
      <c r="C50" s="68"/>
      <c r="D50" s="68"/>
      <c r="E50" s="68"/>
      <c r="F50" s="307"/>
      <c r="G50" s="307"/>
      <c r="H50" s="307"/>
      <c r="I50" s="307"/>
      <c r="J50" s="307"/>
      <c r="K50" s="307"/>
      <c r="L50" s="307"/>
      <c r="M50" s="307"/>
      <c r="N50" s="307"/>
      <c r="O50" s="307"/>
      <c r="P50" s="307"/>
      <c r="Q50" s="307"/>
      <c r="R50" s="307"/>
      <c r="S50" s="307"/>
      <c r="T50" s="307"/>
      <c r="U50" s="307"/>
      <c r="V50" s="307"/>
      <c r="W50" s="307"/>
      <c r="X50" s="307"/>
      <c r="Y50" s="307"/>
      <c r="Z50" s="307"/>
      <c r="AA50" s="307"/>
      <c r="AB50" s="307"/>
      <c r="AC50" s="307"/>
      <c r="AD50" s="307"/>
      <c r="AE50" s="490"/>
      <c r="AF50" s="297"/>
      <c r="AG50" s="251" t="s">
        <v>267</v>
      </c>
      <c r="AH50" s="449">
        <f>SUMIF($AM$55:$AM$106,AG50,$AO$55:$AO$106)</f>
        <v>0</v>
      </c>
    </row>
    <row r="51" spans="1:48" x14ac:dyDescent="0.3">
      <c r="A51" s="79"/>
      <c r="B51" s="80"/>
      <c r="C51" s="80"/>
      <c r="D51" s="80"/>
      <c r="E51" s="80"/>
      <c r="F51" s="258"/>
      <c r="G51" s="258"/>
      <c r="H51" s="258"/>
      <c r="I51" s="258"/>
      <c r="J51" s="258"/>
      <c r="K51" s="258"/>
      <c r="L51" s="258"/>
      <c r="M51" s="258"/>
      <c r="N51" s="258"/>
      <c r="O51" s="258"/>
      <c r="P51" s="258"/>
      <c r="Q51" s="258"/>
      <c r="R51" s="258"/>
      <c r="S51" s="258"/>
      <c r="T51" s="258"/>
      <c r="U51" s="258"/>
      <c r="V51" s="258"/>
      <c r="W51" s="258"/>
      <c r="X51" s="258"/>
      <c r="Y51" s="491"/>
      <c r="Z51" s="305"/>
      <c r="AA51" s="491"/>
      <c r="AB51" s="305"/>
      <c r="AC51" s="491"/>
      <c r="AD51" s="305"/>
      <c r="AE51" s="489"/>
      <c r="AF51" s="297"/>
      <c r="AG51" s="228" t="s">
        <v>268</v>
      </c>
      <c r="AH51" s="448">
        <f>SUMIF($AM$55:$AM$106,AG51,$AO$55:$AO$106)</f>
        <v>0</v>
      </c>
    </row>
    <row r="52" spans="1:48" x14ac:dyDescent="0.3">
      <c r="A52" s="963"/>
      <c r="B52" s="964"/>
      <c r="C52" s="964"/>
      <c r="D52" s="964"/>
      <c r="E52" s="964"/>
      <c r="F52" s="961"/>
      <c r="G52" s="961"/>
      <c r="H52" s="961"/>
      <c r="I52" s="961"/>
      <c r="J52" s="961"/>
      <c r="K52" s="961"/>
      <c r="L52" s="961"/>
      <c r="M52" s="961"/>
      <c r="N52" s="961"/>
      <c r="O52" s="961"/>
      <c r="P52" s="961"/>
      <c r="Q52" s="961"/>
      <c r="R52" s="961"/>
      <c r="S52" s="961"/>
      <c r="T52" s="961"/>
      <c r="U52" s="961"/>
      <c r="V52" s="962"/>
      <c r="W52" s="961"/>
      <c r="X52" s="962"/>
      <c r="Y52" s="47"/>
      <c r="Z52" s="47"/>
      <c r="AA52" s="47"/>
      <c r="AB52" s="47"/>
      <c r="AC52" s="47"/>
      <c r="AD52" s="47"/>
      <c r="AE52" s="47"/>
      <c r="AF52" s="47"/>
      <c r="AH52" s="47"/>
      <c r="AJ52" s="47"/>
    </row>
    <row r="53" spans="1:48" ht="15.6" x14ac:dyDescent="0.3">
      <c r="A53" s="208" t="s">
        <v>269</v>
      </c>
      <c r="B53" s="208"/>
      <c r="C53" s="208"/>
      <c r="D53" s="208"/>
      <c r="E53" s="208"/>
      <c r="F53" s="208"/>
      <c r="G53" s="208"/>
      <c r="H53" s="208"/>
      <c r="I53" s="208"/>
      <c r="J53" s="208"/>
      <c r="K53" s="208"/>
      <c r="L53" s="208"/>
      <c r="M53" s="208"/>
      <c r="N53" s="208"/>
      <c r="O53" s="208"/>
      <c r="P53" s="208"/>
      <c r="Q53" s="208"/>
      <c r="R53" s="208"/>
      <c r="S53" s="208"/>
      <c r="T53" s="82"/>
      <c r="U53" s="209"/>
      <c r="V53" s="208"/>
      <c r="W53" s="1858" t="s">
        <v>270</v>
      </c>
      <c r="X53" s="1858"/>
      <c r="Y53" s="1858"/>
      <c r="Z53" s="1784" t="s">
        <v>271</v>
      </c>
      <c r="AA53" s="1784"/>
      <c r="AB53" s="1784"/>
      <c r="AC53" s="1784"/>
      <c r="AD53" s="1784" t="s">
        <v>272</v>
      </c>
      <c r="AE53" s="1784"/>
      <c r="AF53" s="1784"/>
      <c r="AG53" s="1784"/>
      <c r="AH53" s="1784" t="s">
        <v>273</v>
      </c>
      <c r="AI53" s="1784"/>
      <c r="AJ53" s="1784"/>
      <c r="AK53" s="1784"/>
      <c r="AL53" s="83"/>
      <c r="AM53" s="1410"/>
      <c r="AN53" s="1410"/>
      <c r="AO53" s="1410"/>
      <c r="AP53" s="208"/>
      <c r="AU53" s="975">
        <f>SUM(AU55:AU176)</f>
        <v>2988619.2534324778</v>
      </c>
      <c r="AV53" s="975">
        <f>SUM(AV55:AV176)</f>
        <v>4424279.5789672695</v>
      </c>
    </row>
    <row r="54" spans="1:48" ht="53.85" customHeight="1" x14ac:dyDescent="0.3">
      <c r="A54" s="84" t="s">
        <v>274</v>
      </c>
      <c r="B54" s="84" t="s">
        <v>275</v>
      </c>
      <c r="C54" s="84" t="s">
        <v>276</v>
      </c>
      <c r="D54" s="84" t="s">
        <v>277</v>
      </c>
      <c r="E54" s="84" t="s">
        <v>278</v>
      </c>
      <c r="F54" s="84" t="s">
        <v>279</v>
      </c>
      <c r="G54" s="84" t="s">
        <v>280</v>
      </c>
      <c r="H54" s="84" t="s">
        <v>281</v>
      </c>
      <c r="I54" s="84" t="s">
        <v>282</v>
      </c>
      <c r="J54" s="84" t="s">
        <v>283</v>
      </c>
      <c r="K54" s="250" t="s">
        <v>284</v>
      </c>
      <c r="L54" s="438" t="s">
        <v>285</v>
      </c>
      <c r="M54" s="84" t="s">
        <v>286</v>
      </c>
      <c r="N54" s="84" t="s">
        <v>287</v>
      </c>
      <c r="O54" s="84" t="s">
        <v>72</v>
      </c>
      <c r="P54" s="84" t="s">
        <v>288</v>
      </c>
      <c r="Q54" s="84" t="s">
        <v>289</v>
      </c>
      <c r="R54" s="84" t="s">
        <v>143</v>
      </c>
      <c r="S54" s="84" t="s">
        <v>290</v>
      </c>
      <c r="T54" s="84" t="s">
        <v>291</v>
      </c>
      <c r="U54" s="85">
        <v>46023</v>
      </c>
      <c r="V54" s="85">
        <v>46054</v>
      </c>
      <c r="W54" s="85">
        <v>46082</v>
      </c>
      <c r="X54" s="86" t="s">
        <v>292</v>
      </c>
      <c r="Y54" s="85">
        <v>46113</v>
      </c>
      <c r="Z54" s="85">
        <v>46143</v>
      </c>
      <c r="AA54" s="85">
        <v>46174</v>
      </c>
      <c r="AB54" s="86" t="s">
        <v>293</v>
      </c>
      <c r="AC54" s="85">
        <v>46204</v>
      </c>
      <c r="AD54" s="85">
        <v>46235</v>
      </c>
      <c r="AE54" s="85">
        <v>46266</v>
      </c>
      <c r="AF54" s="86" t="s">
        <v>294</v>
      </c>
      <c r="AG54" s="85">
        <v>46296</v>
      </c>
      <c r="AH54" s="85">
        <v>46327</v>
      </c>
      <c r="AI54" s="85">
        <v>46357</v>
      </c>
      <c r="AJ54" s="84" t="s">
        <v>295</v>
      </c>
      <c r="AK54" s="84" t="s">
        <v>296</v>
      </c>
      <c r="AL54" s="84" t="s">
        <v>297</v>
      </c>
      <c r="AM54" s="84" t="s">
        <v>244</v>
      </c>
      <c r="AN54" s="84" t="s">
        <v>298</v>
      </c>
      <c r="AO54" s="84" t="s">
        <v>299</v>
      </c>
      <c r="AP54" s="62" t="s">
        <v>300</v>
      </c>
      <c r="AR54" s="507" t="s">
        <v>301</v>
      </c>
      <c r="AS54" s="507"/>
      <c r="AU54" s="507" t="s">
        <v>302</v>
      </c>
      <c r="AV54" s="507" t="s">
        <v>303</v>
      </c>
    </row>
    <row r="55" spans="1:48" ht="29.1" customHeight="1" x14ac:dyDescent="0.3">
      <c r="A55" s="1691" t="s">
        <v>91</v>
      </c>
      <c r="B55" s="1701" t="s">
        <v>95</v>
      </c>
      <c r="C55" s="1482" t="s">
        <v>304</v>
      </c>
      <c r="D55" s="1486" t="s">
        <v>305</v>
      </c>
      <c r="E55" s="1368" t="s">
        <v>306</v>
      </c>
      <c r="F55" s="1370" t="s">
        <v>307</v>
      </c>
      <c r="G55" s="1372">
        <v>46027</v>
      </c>
      <c r="H55" s="1372">
        <v>46087</v>
      </c>
      <c r="I55" s="1354">
        <v>331600</v>
      </c>
      <c r="J55" s="1376">
        <v>46082</v>
      </c>
      <c r="K55" s="1389">
        <f>IF(J55="", "", 12 - MONTH(J55) + 1)</f>
        <v>10</v>
      </c>
      <c r="L55" s="1354"/>
      <c r="M55" s="1350" t="s">
        <v>308</v>
      </c>
      <c r="N55" s="1764">
        <v>160178.29</v>
      </c>
      <c r="O55" s="1673" t="s">
        <v>81</v>
      </c>
      <c r="P55" s="1673" t="s">
        <v>309</v>
      </c>
      <c r="Q55" s="1673" t="s">
        <v>309</v>
      </c>
      <c r="R55" s="1327">
        <v>1</v>
      </c>
      <c r="S55" s="87" t="s">
        <v>116</v>
      </c>
      <c r="T55" s="725">
        <v>1</v>
      </c>
      <c r="U55" s="287">
        <f>IFERROR(IF(AND(U$54&gt;=EOMONTH($J55,-1)+1,U$54&lt;=EOMONTH(EOMONTH($J55,-1)+1,$K55-1)),IF(NOT(ISBLANK($N55)),$N55/$K55,$I55/$K55),0),0)</f>
        <v>0</v>
      </c>
      <c r="V55" s="287">
        <f>IFERROR(IF(AND(V$54&gt;=EOMONTH($J55,-1)+1,V$54&lt;=EOMONTH(EOMONTH($J55,-1)+1,$K55-1)),IF(NOT(ISBLANK($N55)),$N55/$K55,$I55/$K55),0),0)</f>
        <v>0</v>
      </c>
      <c r="W55" s="815">
        <f>IFERROR(IF(AND(W$54&gt;=EOMONTH($J55,-1)+1,W$54&lt;=EOMONTH(EOMONTH($J55,-1)+1,$K55-1)),IF(NOT(ISBLANK($N55)),$N55/$K55,$I55/$K55),0),0)</f>
        <v>16017.829000000002</v>
      </c>
      <c r="X55" s="89">
        <f>SUM(U55:W55)</f>
        <v>16017.829000000002</v>
      </c>
      <c r="Y55" s="287">
        <f>IFERROR(IF(AND(Y$54&gt;=EOMONTH($J55,-1)+1,Y$54&lt;=EOMONTH(EOMONTH($J55,-1)+1,$K55-1)),IF(NOT(ISBLANK($N55)),$N55/$K55,$I55/$K55),0),0)</f>
        <v>16017.829000000002</v>
      </c>
      <c r="Z55" s="287">
        <f>IFERROR(IF(AND(Z$54&gt;=EOMONTH($J55,-1)+1,Z$54&lt;=EOMONTH(EOMONTH($J55,-1)+1,$K55-1)),IF(NOT(ISBLANK($N55)),$N55/$K55,$I55/$K55),0),0)</f>
        <v>16017.829000000002</v>
      </c>
      <c r="AA55" s="287">
        <f>IFERROR(IF(AND(AA$54&gt;=EOMONTH($J55,-1)+1,AA$54&lt;=EOMONTH(EOMONTH($J55,-1)+1,$K55-1)),IF(NOT(ISBLANK($N55)),$N55/$K55,$I55/$K55),0),0)</f>
        <v>16017.829000000002</v>
      </c>
      <c r="AB55" s="89">
        <f t="shared" ref="AB55:AB56" si="14">SUM(Y55:AA55)</f>
        <v>48053.487000000008</v>
      </c>
      <c r="AC55" s="287">
        <f>IFERROR(IF(AND(AC$54&gt;=EOMONTH($J55,-1)+1,AC$54&lt;=EOMONTH(EOMONTH($J55,-1)+1,$K55-1)),IF(NOT(ISBLANK($N55)),$N55/$K55,$I55/$K55),0),0)</f>
        <v>16017.829000000002</v>
      </c>
      <c r="AD55" s="287">
        <f>IFERROR(IF(AND(AD$54&gt;=EOMONTH($J55,-1)+1,AD$54&lt;=EOMONTH(EOMONTH($J55,-1)+1,$K55-1)),IF(NOT(ISBLANK($N55)),$N55/$K55,$I55/$K55),0),0)</f>
        <v>16017.829000000002</v>
      </c>
      <c r="AE55" s="287">
        <f>IFERROR(IF(AND(AE$54&gt;=EOMONTH($J55,-1)+1,AE$54&lt;=EOMONTH(EOMONTH($J55,-1)+1,$K55-1)),IF(NOT(ISBLANK($N55)),$N55/$K55,$I55/$K55),0),0)</f>
        <v>16017.829000000002</v>
      </c>
      <c r="AF55" s="89">
        <f t="shared" ref="AF55:AF56" si="15">SUM(AC55:AE55)</f>
        <v>48053.487000000008</v>
      </c>
      <c r="AG55" s="287">
        <f>IFERROR(IF(AND(AG$54&gt;=EOMONTH($J55,-1)+1,AG$54&lt;=EOMONTH(EOMONTH($J55,-1)+1,$K55-1)),IF(NOT(ISBLANK($N55)),$N55/$K55,$I55/$K55),0),0)</f>
        <v>16017.829000000002</v>
      </c>
      <c r="AH55" s="287">
        <f>IFERROR(IF(AND(AH$54&gt;=EOMONTH($J55,-1)+1,AH$54&lt;=EOMONTH(EOMONTH($J55,-1)+1,$K55-1)),IF(NOT(ISBLANK($N55)),$N55/$K55,$I55/$K55),0),0)</f>
        <v>16017.829000000002</v>
      </c>
      <c r="AI55" s="287">
        <f>IFERROR(IF(AND(AI$54&gt;=EOMONTH($J55,-1)+1,AI$54&lt;=EOMONTH(EOMONTH($J55,-1)+1,$K55-1)),IF(NOT(ISBLANK($N55)),$N55/$K55,$I55/$K55),0),0)</f>
        <v>16017.829000000002</v>
      </c>
      <c r="AJ55" s="89">
        <f t="shared" ref="AJ55:AJ56" si="16">SUM(AG55:AI55)</f>
        <v>48053.487000000008</v>
      </c>
      <c r="AK55" s="90">
        <f>SUM(X55,AB55,AF55,AJ55)</f>
        <v>160178.29000000004</v>
      </c>
      <c r="AL55" s="98" t="s">
        <v>310</v>
      </c>
      <c r="AM55" s="1370"/>
      <c r="AN55" s="1411"/>
      <c r="AO55" s="1405">
        <f>N55*AN55</f>
        <v>0</v>
      </c>
      <c r="AP55" s="62" t="str">
        <f>C55</f>
        <v>01 - Redução de peso bruto DA000489A</v>
      </c>
      <c r="AQ55" s="62" t="s">
        <v>311</v>
      </c>
      <c r="AR55" s="508" cm="1">
        <f t="array" aca="1" ref="AR55" ca="1">IF(OR(AP55="",AP55=0),"",IF(SUMPRODUCT(($C$55:$C$175=AP55)*(U$54:$AI$54&lt;EOMONTH(TODAY(),-1)+1)*(ISNUMBER(U$55:$AI$175)),U$55:$AI$175)=0,"",SUMPRODUCT(($C$55:$C$175=AP55)*(U$54:$AI$54&lt;EOMONTH(TODAY(),-1)+1)*(ISNUMBER(U$55:$AI$175)),U$55:$AI$175)))</f>
        <v>80089.145000000004</v>
      </c>
      <c r="AS55" s="508" t="str">
        <f>A55</f>
        <v>BSW</v>
      </c>
      <c r="AU55" s="1566">
        <f>IF(OR(I55="",K55=""),0,(I55/12)*K55)</f>
        <v>276333.33333333331</v>
      </c>
      <c r="AV55" s="1566">
        <f>IF(OR(N55="",K55="",K55=0),0,(N55/K55)*12)</f>
        <v>192213.94800000003</v>
      </c>
    </row>
    <row r="56" spans="1:48" ht="29.1" customHeight="1" x14ac:dyDescent="0.3">
      <c r="A56" s="1692"/>
      <c r="B56" s="1702"/>
      <c r="C56" s="1483"/>
      <c r="D56" s="1539"/>
      <c r="E56" s="1369"/>
      <c r="F56" s="1371"/>
      <c r="G56" s="1373"/>
      <c r="H56" s="1373"/>
      <c r="I56" s="1355"/>
      <c r="J56" s="1377"/>
      <c r="K56" s="1390"/>
      <c r="L56" s="1355"/>
      <c r="M56" s="1460"/>
      <c r="N56" s="1355"/>
      <c r="O56" s="1674"/>
      <c r="P56" s="1674"/>
      <c r="Q56" s="1674"/>
      <c r="R56" s="1328"/>
      <c r="S56" s="87" t="s">
        <v>117</v>
      </c>
      <c r="T56" s="726">
        <v>1</v>
      </c>
      <c r="U56" s="287">
        <v>0</v>
      </c>
      <c r="V56" s="287"/>
      <c r="W56" s="287">
        <v>12674.077117600002</v>
      </c>
      <c r="X56" s="288">
        <f t="shared" ref="X56" si="17">SUM(U56:W56)</f>
        <v>12674.077117600002</v>
      </c>
      <c r="Y56" s="287">
        <v>17853.917330879998</v>
      </c>
      <c r="Z56" s="287">
        <v>21160.198318080002</v>
      </c>
      <c r="AA56" s="287">
        <v>19507.060000000001</v>
      </c>
      <c r="AB56" s="288">
        <f t="shared" si="14"/>
        <v>58521.175648959994</v>
      </c>
      <c r="AC56" s="287">
        <v>13170.019265680001</v>
      </c>
      <c r="AD56" s="287"/>
      <c r="AE56" s="287"/>
      <c r="AF56" s="288">
        <f t="shared" si="15"/>
        <v>13170.019265680001</v>
      </c>
      <c r="AG56" s="287"/>
      <c r="AH56" s="287"/>
      <c r="AI56" s="287"/>
      <c r="AJ56" s="288">
        <f t="shared" si="16"/>
        <v>0</v>
      </c>
      <c r="AK56" s="289">
        <f t="shared" ref="AK56:AK176" si="18">SUM(X56,AB56,AF56,AJ56)</f>
        <v>84365.272032239998</v>
      </c>
      <c r="AL56" s="337" t="s">
        <v>312</v>
      </c>
      <c r="AM56" s="1371"/>
      <c r="AN56" s="1412"/>
      <c r="AO56" s="1406"/>
      <c r="AP56" s="62" t="str">
        <f>C55</f>
        <v>01 - Redução de peso bruto DA000489A</v>
      </c>
      <c r="AQ56" s="62" t="s">
        <v>313</v>
      </c>
      <c r="AR56" s="508" cm="1">
        <f t="array" aca="1" ref="AR56" ca="1">IF(OR(AP56="",AP56=0),"",IF(SUMPRODUCT(($C$55:$C$175=AP56)*($U$54:AI$54&lt;=TODAY())*(ISNUMBER($U$56:AI$176)),$U$56:AI$176)=0,"",SUMPRODUCT(($C$55:$C$175=AP56)*($U$54:AI$54&lt;=TODAY())*(ISNUMBER($U$56:AI$176)),$U$56:AI$176)))</f>
        <v>84365.272032240013</v>
      </c>
      <c r="AS56" s="508" t="str">
        <f>A55</f>
        <v>BSW</v>
      </c>
      <c r="AU56" s="1567"/>
      <c r="AV56" s="1567"/>
    </row>
    <row r="57" spans="1:48" ht="29.1" customHeight="1" x14ac:dyDescent="0.3">
      <c r="A57" s="1407" t="s">
        <v>61</v>
      </c>
      <c r="B57" s="1708" t="s">
        <v>97</v>
      </c>
      <c r="C57" s="1465" t="s">
        <v>314</v>
      </c>
      <c r="D57" s="1534" t="s">
        <v>315</v>
      </c>
      <c r="E57" s="1449" t="s">
        <v>316</v>
      </c>
      <c r="F57" s="1451" t="s">
        <v>317</v>
      </c>
      <c r="G57" s="1834">
        <v>46032</v>
      </c>
      <c r="H57" s="1834">
        <v>46081</v>
      </c>
      <c r="I57" s="1844">
        <f>8896.93*12</f>
        <v>106763.16</v>
      </c>
      <c r="J57" s="1378">
        <v>46054</v>
      </c>
      <c r="K57" s="1387">
        <f t="shared" ref="K57" si="19">IF(J57="", "", 12 - MONTH(J57) + 1)</f>
        <v>11</v>
      </c>
      <c r="L57" s="1844"/>
      <c r="M57" s="1734"/>
      <c r="N57" s="1864"/>
      <c r="O57" s="1671" t="s">
        <v>81</v>
      </c>
      <c r="P57" s="1671" t="s">
        <v>309</v>
      </c>
      <c r="Q57" s="1671" t="s">
        <v>309</v>
      </c>
      <c r="R57" s="1334">
        <v>1</v>
      </c>
      <c r="S57" s="93" t="s">
        <v>116</v>
      </c>
      <c r="T57" s="727">
        <v>1</v>
      </c>
      <c r="U57" s="816">
        <f>IFERROR(IF(AND(U$54&gt;=EOMONTH($J57,-1)+1,U$54&lt;=EOMONTH(EOMONTH($J57,-1)+1,$K57-1)),IF(NOT(ISBLANK($N57)),$N57/$K57,$I57/$K57),0),0)</f>
        <v>0</v>
      </c>
      <c r="V57" s="816">
        <f>IFERROR(IF(AND(V$54&gt;=EOMONTH($J57,-1)+1,V$54&lt;=EOMONTH(EOMONTH($J57,-1)+1,$K57-1)),IF(NOT(ISBLANK($N57)),$N57/$K57,$I57/$K57),0),0)</f>
        <v>9705.7418181818193</v>
      </c>
      <c r="W57" s="816">
        <f>IFERROR(IF(AND(W$54&gt;=EOMONTH($J57,-1)+1,W$54&lt;=EOMONTH(EOMONTH($J57,-1)+1,$K57-1)),IF(NOT(ISBLANK($N57)),$N57/$K57,$I57/$K57),0),0)</f>
        <v>9705.7418181818193</v>
      </c>
      <c r="X57" s="89">
        <f t="shared" ref="X57:X63" si="20">SUM(U57:W57)</f>
        <v>19411.483636363639</v>
      </c>
      <c r="Y57" s="816">
        <f>IFERROR(IF(AND(Y$54&gt;=EOMONTH($J57,-1)+1,Y$54&lt;=EOMONTH(EOMONTH($J57,-1)+1,$K57-1)),IF(NOT(ISBLANK($N57)),$N57/$K57,$I57/$K57),0),0)</f>
        <v>9705.7418181818193</v>
      </c>
      <c r="Z57" s="498">
        <f>IFERROR(IF(AND(Z$54&gt;=EOMONTH($J57,-1)+1,Z$54&lt;=EOMONTH(EOMONTH($J57,-1)+1,$K57-1)),IF(NOT(ISBLANK($N57)),$N57/$K57,$I57/$K57),0),0)</f>
        <v>9705.7418181818193</v>
      </c>
      <c r="AA57" s="498">
        <f>IFERROR(IF(AND(AA$54&gt;=EOMONTH($J57,-1)+1,AA$54&lt;=EOMONTH(EOMONTH($J57,-1)+1,$K57-1)),IF(NOT(ISBLANK($N57)),$N57/$K57,$I57/$K57),0),0)</f>
        <v>9705.7418181818193</v>
      </c>
      <c r="AB57" s="89">
        <f t="shared" ref="AB57:AB62" si="21">SUM(Y57:AA57)</f>
        <v>29117.225454545456</v>
      </c>
      <c r="AC57" s="498">
        <f>IFERROR(IF(AND(AC$54&gt;=EOMONTH($J57,-1)+1,AC$54&lt;=EOMONTH(EOMONTH($J57,-1)+1,$K57-1)),IF(NOT(ISBLANK($N57)),$N57/$K57,$I57/$K57),0),0)</f>
        <v>9705.7418181818193</v>
      </c>
      <c r="AD57" s="498">
        <f>IFERROR(IF(AND(AD$54&gt;=EOMONTH($J57,-1)+1,AD$54&lt;=EOMONTH(EOMONTH($J57,-1)+1,$K57-1)),IF(NOT(ISBLANK($N57)),$N57/$K57,$I57/$K57),0),0)</f>
        <v>9705.7418181818193</v>
      </c>
      <c r="AE57" s="498">
        <f>IFERROR(IF(AND(AE$54&gt;=EOMONTH($J57,-1)+1,AE$54&lt;=EOMONTH(EOMONTH($J57,-1)+1,$K57-1)),IF(NOT(ISBLANK($N57)),$N57/$K57,$I57/$K57),0),0)</f>
        <v>9705.7418181818193</v>
      </c>
      <c r="AF57" s="89">
        <f t="shared" ref="AF57:AF62" si="22">SUM(AC57:AE57)</f>
        <v>29117.225454545456</v>
      </c>
      <c r="AG57" s="498">
        <f>IFERROR(IF(AND(AG$54&gt;=EOMONTH($J57,-1)+1,AG$54&lt;=EOMONTH(EOMONTH($J57,-1)+1,$K57-1)),IF(NOT(ISBLANK($N57)),$N57/$K57,$I57/$K57),0),0)</f>
        <v>9705.7418181818193</v>
      </c>
      <c r="AH57" s="498">
        <f>IFERROR(IF(AND(AH$54&gt;=EOMONTH($J57,-1)+1,AH$54&lt;=EOMONTH(EOMONTH($J57,-1)+1,$K57-1)),IF(NOT(ISBLANK($N57)),$N57/$K57,$I57/$K57),0),0)</f>
        <v>9705.7418181818193</v>
      </c>
      <c r="AI57" s="498">
        <f>IFERROR(IF(AND(AI$54&gt;=EOMONTH($J57,-1)+1,AI$54&lt;=EOMONTH(EOMONTH($J57,-1)+1,$K57-1)),IF(NOT(ISBLANK($N57)),$N57/$K57,$I57/$K57),0),0)</f>
        <v>9705.7418181818193</v>
      </c>
      <c r="AJ57" s="89">
        <f t="shared" ref="AJ57:AJ68" si="23">SUM(AG57:AI57)</f>
        <v>29117.225454545456</v>
      </c>
      <c r="AK57" s="95">
        <f t="shared" si="18"/>
        <v>106763.16</v>
      </c>
      <c r="AL57" s="97" t="s">
        <v>318</v>
      </c>
      <c r="AM57" s="1407"/>
      <c r="AN57" s="1334"/>
      <c r="AO57" s="1403">
        <f>N57*AN57</f>
        <v>0</v>
      </c>
      <c r="AP57" s="62" t="str">
        <f>C57</f>
        <v>02 - Redução na quantidade de lâmpadas acessa, na produção</v>
      </c>
      <c r="AQ57" s="62" t="s">
        <v>311</v>
      </c>
      <c r="AR57" s="508" cm="1">
        <f t="array" aca="1" ref="AR57" ca="1">IF(OR(AP57="",AP57=0),"",IF(SUMPRODUCT(($C$55:$C$175=AP57)*(U$54:$AI$54&lt;EOMONTH(TODAY(),-1)+1)*(ISNUMBER(U$55:$AI$175)),U$55:$AI$175)=0,"",SUMPRODUCT(($C$55:$C$175=AP57)*(U$54:$AI$54&lt;EOMONTH(TODAY(),-1)+1)*(ISNUMBER(U$55:$AI$175)),U$55:$AI$175)))</f>
        <v>58234.45090909092</v>
      </c>
      <c r="AS57" s="508" t="str">
        <f>A57</f>
        <v>Kaizen - Custo Evitado</v>
      </c>
      <c r="AU57" s="1566">
        <f t="shared" ref="AU57" si="24">IF(OR(I57="",K57=""),0,(I57/12)*K57)</f>
        <v>97866.23000000001</v>
      </c>
      <c r="AV57" s="1566">
        <f t="shared" ref="AV57" si="25">IF(OR(N57="",K57="",K57=0),0,(N57/K57)*12)</f>
        <v>0</v>
      </c>
    </row>
    <row r="58" spans="1:48" ht="29.1" customHeight="1" x14ac:dyDescent="0.3">
      <c r="A58" s="1408"/>
      <c r="B58" s="1709"/>
      <c r="C58" s="1466"/>
      <c r="D58" s="1455"/>
      <c r="E58" s="1450"/>
      <c r="F58" s="1452"/>
      <c r="G58" s="1835"/>
      <c r="H58" s="1835"/>
      <c r="I58" s="1835"/>
      <c r="J58" s="1379"/>
      <c r="K58" s="1388"/>
      <c r="L58" s="1835"/>
      <c r="M58" s="1721"/>
      <c r="N58" s="1729"/>
      <c r="O58" s="1672"/>
      <c r="P58" s="1672"/>
      <c r="Q58" s="1672"/>
      <c r="R58" s="1330"/>
      <c r="S58" s="93" t="s">
        <v>117</v>
      </c>
      <c r="T58" s="727">
        <v>1</v>
      </c>
      <c r="U58" s="898"/>
      <c r="V58" s="1023"/>
      <c r="W58" s="1023"/>
      <c r="X58" s="965">
        <f t="shared" si="20"/>
        <v>0</v>
      </c>
      <c r="Y58" s="1023"/>
      <c r="Z58" s="1023"/>
      <c r="AA58" s="1023"/>
      <c r="AB58" s="965">
        <f t="shared" si="21"/>
        <v>0</v>
      </c>
      <c r="AC58" s="965"/>
      <c r="AD58" s="290"/>
      <c r="AE58" s="290"/>
      <c r="AF58" s="288">
        <f t="shared" si="22"/>
        <v>0</v>
      </c>
      <c r="AG58" s="290"/>
      <c r="AH58" s="290"/>
      <c r="AI58" s="290"/>
      <c r="AJ58" s="288">
        <f t="shared" si="23"/>
        <v>0</v>
      </c>
      <c r="AK58" s="291">
        <f t="shared" si="18"/>
        <v>0</v>
      </c>
      <c r="AL58" s="97" t="s">
        <v>319</v>
      </c>
      <c r="AM58" s="1408"/>
      <c r="AN58" s="1330"/>
      <c r="AO58" s="1404"/>
      <c r="AP58" s="62" t="str">
        <f>C57</f>
        <v>02 - Redução na quantidade de lâmpadas acessa, na produção</v>
      </c>
      <c r="AQ58" s="62" t="s">
        <v>313</v>
      </c>
      <c r="AR58" s="508" t="str" cm="1">
        <f t="array" aca="1" ref="AR58" ca="1">IF(OR(AP58="",AP58=0),"",IF(SUMPRODUCT(($C$55:$C$175=AP58)*($U$54:AI$54&lt;=TODAY())*(ISNUMBER($U$56:AI$176)),$U$56:AI$176)=0,"",SUMPRODUCT(($C$55:$C$175=AP58)*($U$54:AI$54&lt;=TODAY())*(ISNUMBER($U$56:AI$176)),$U$56:AI$176)))</f>
        <v/>
      </c>
      <c r="AS58" s="508" t="str">
        <f>A57</f>
        <v>Kaizen - Custo Evitado</v>
      </c>
      <c r="AU58" s="1567"/>
      <c r="AV58" s="1567"/>
    </row>
    <row r="59" spans="1:48" ht="29.1" customHeight="1" x14ac:dyDescent="0.3">
      <c r="A59" s="1380" t="s">
        <v>59</v>
      </c>
      <c r="B59" s="1701" t="s">
        <v>97</v>
      </c>
      <c r="C59" s="1482" t="s">
        <v>320</v>
      </c>
      <c r="D59" s="1486" t="s">
        <v>321</v>
      </c>
      <c r="E59" s="1368" t="s">
        <v>322</v>
      </c>
      <c r="F59" s="1370" t="s">
        <v>323</v>
      </c>
      <c r="G59" s="1372">
        <v>46023</v>
      </c>
      <c r="H59" s="1372">
        <v>46112</v>
      </c>
      <c r="I59" s="1354">
        <v>24000.000899999999</v>
      </c>
      <c r="J59" s="1376">
        <v>46082</v>
      </c>
      <c r="K59" s="1389">
        <f t="shared" ref="K59" si="26">IF(J59="", "", 12 - MONTH(J59) + 1)</f>
        <v>10</v>
      </c>
      <c r="L59" s="1354"/>
      <c r="M59" s="1859"/>
      <c r="N59" s="1861"/>
      <c r="O59" s="1673" t="s">
        <v>81</v>
      </c>
      <c r="P59" s="1673" t="s">
        <v>309</v>
      </c>
      <c r="Q59" s="1673" t="s">
        <v>309</v>
      </c>
      <c r="R59" s="1327">
        <v>1</v>
      </c>
      <c r="S59" s="87" t="s">
        <v>116</v>
      </c>
      <c r="T59" s="726">
        <v>1</v>
      </c>
      <c r="U59" s="287">
        <f>IFERROR(IF(AND(U$54&gt;=EOMONTH($J59,-1)+1,U$54&lt;=EOMONTH(EOMONTH($J59,-1)+1,$K59-1)),IF(NOT(ISBLANK($N59)),$N59/$K59,$I59/$K59),0),0)</f>
        <v>0</v>
      </c>
      <c r="V59" s="287">
        <f>IFERROR(IF(AND(V$54&gt;=EOMONTH($J59,-1)+1,V$54&lt;=EOMONTH(EOMONTH($J59,-1)+1,$K59-1)),IF(NOT(ISBLANK($N59)),$N59/$K59,$I59/$K59),0),0)</f>
        <v>0</v>
      </c>
      <c r="W59" s="527">
        <f>IFERROR(IF(AND(W$54&gt;=EOMONTH($J59,-1)+1,W$54&lt;=EOMONTH(EOMONTH($J59,-1)+1,$K59-1)),IF(NOT(ISBLANK($N59)),$N59/$K59,$I59/$K59),0),0)</f>
        <v>2400.00009</v>
      </c>
      <c r="X59" s="89">
        <f>SUM(U59:W59)</f>
        <v>2400.00009</v>
      </c>
      <c r="Y59" s="527">
        <f>IFERROR(IF(AND(Y$54&gt;=EOMONTH($J59,-1)+1,Y$54&lt;=EOMONTH(EOMONTH($J59,-1)+1,$K59-1)),IF(NOT(ISBLANK($N59)),$N59/$K59,$I59/$K59),0),0)</f>
        <v>2400.00009</v>
      </c>
      <c r="Z59" s="287">
        <f>IFERROR(IF(AND(Z$54&gt;=EOMONTH($J59,-1)+1,Z$54&lt;=EOMONTH(EOMONTH($J59,-1)+1,$K59-1)),IF(NOT(ISBLANK($N59)),$N59/$K59,$I59/$K59),0),0)</f>
        <v>2400.00009</v>
      </c>
      <c r="AA59" s="287">
        <f>IFERROR(IF(AND(AA$54&gt;=EOMONTH($J59,-1)+1,AA$54&lt;=EOMONTH(EOMONTH($J59,-1)+1,$K59-1)),IF(NOT(ISBLANK($N59)),$N59/$K59,$I59/$K59),0),0)</f>
        <v>2400.00009</v>
      </c>
      <c r="AB59" s="89">
        <f t="shared" si="21"/>
        <v>7200.0002700000005</v>
      </c>
      <c r="AC59" s="287">
        <f>IFERROR(IF(AND(AC$54&gt;=EOMONTH($J59,-1)+1,AC$54&lt;=EOMONTH(EOMONTH($J59,-1)+1,$K59-1)),IF(NOT(ISBLANK($N59)),$N59/$K59,$I59/$K59),0),0)</f>
        <v>2400.00009</v>
      </c>
      <c r="AD59" s="287">
        <f>IFERROR(IF(AND(AD$54&gt;=EOMONTH($J59,-1)+1,AD$54&lt;=EOMONTH(EOMONTH($J59,-1)+1,$K59-1)),IF(NOT(ISBLANK($N59)),$N59/$K59,$I59/$K59),0),0)</f>
        <v>2400.00009</v>
      </c>
      <c r="AE59" s="287">
        <f>IFERROR(IF(AND(AE$54&gt;=EOMONTH($J59,-1)+1,AE$54&lt;=EOMONTH(EOMONTH($J59,-1)+1,$K59-1)),IF(NOT(ISBLANK($N59)),$N59/$K59,$I59/$K59),0),0)</f>
        <v>2400.00009</v>
      </c>
      <c r="AF59" s="89">
        <f t="shared" si="22"/>
        <v>7200.0002700000005</v>
      </c>
      <c r="AG59" s="287">
        <f>IFERROR(IF(AND(AG$54&gt;=EOMONTH($J59,-1)+1,AG$54&lt;=EOMONTH(EOMONTH($J59,-1)+1,$K59-1)),IF(NOT(ISBLANK($N59)),$N59/$K59,$I59/$K59),0),0)</f>
        <v>2400.00009</v>
      </c>
      <c r="AH59" s="287">
        <f>IFERROR(IF(AND(AH$54&gt;=EOMONTH($J59,-1)+1,AH$54&lt;=EOMONTH(EOMONTH($J59,-1)+1,$K59-1)),IF(NOT(ISBLANK($N59)),$N59/$K59,$I59/$K59),0),0)</f>
        <v>2400.00009</v>
      </c>
      <c r="AI59" s="287">
        <f>IFERROR(IF(AND(AI$54&gt;=EOMONTH($J59,-1)+1,AI$54&lt;=EOMONTH(EOMONTH($J59,-1)+1,$K59-1)),IF(NOT(ISBLANK($N59)),$N59/$K59,$I59/$K59),0),0)</f>
        <v>2400.00009</v>
      </c>
      <c r="AJ59" s="89">
        <f t="shared" si="23"/>
        <v>7200.0002700000005</v>
      </c>
      <c r="AK59" s="90">
        <f t="shared" si="18"/>
        <v>24000.000900000003</v>
      </c>
      <c r="AL59" s="98" t="s">
        <v>324</v>
      </c>
      <c r="AM59" s="1370"/>
      <c r="AN59" s="1411"/>
      <c r="AO59" s="1405">
        <f>N59*AN59</f>
        <v>0</v>
      </c>
      <c r="AP59" s="62" t="str">
        <f>C59</f>
        <v>03 - Otimização de processo - Cavalo Marinho</v>
      </c>
      <c r="AQ59" s="62" t="s">
        <v>311</v>
      </c>
      <c r="AR59" s="508" cm="1">
        <f t="array" aca="1" ref="AR59" ca="1">IF(OR(AP59="",AP59=0),"",IF(SUMPRODUCT(($C$55:$C$175=AP59)*(U$54:$AI$54&lt;EOMONTH(TODAY(),-1)+1)*(ISNUMBER(U$55:$AI$175)),U$55:$AI$175)=0,"",SUMPRODUCT(($C$55:$C$175=AP59)*(U$54:$AI$54&lt;EOMONTH(TODAY(),-1)+1)*(ISNUMBER(U$55:$AI$175)),U$55:$AI$175)))</f>
        <v>12000.00045</v>
      </c>
      <c r="AS59" s="508" t="str">
        <f>A59</f>
        <v>Kaizen - Ganho Recorrente</v>
      </c>
      <c r="AU59" s="1566">
        <f t="shared" ref="AU59" si="27">IF(OR(I59="",K59=""),0,(I59/12)*K59)</f>
        <v>20000.000749999999</v>
      </c>
      <c r="AV59" s="1566">
        <f t="shared" ref="AV59" si="28">IF(OR(N59="",K59="",K59=0),0,(N59/K59)*12)</f>
        <v>0</v>
      </c>
    </row>
    <row r="60" spans="1:48" ht="29.1" customHeight="1" x14ac:dyDescent="0.3">
      <c r="A60" s="1381"/>
      <c r="B60" s="1702"/>
      <c r="C60" s="1483"/>
      <c r="D60" s="1539"/>
      <c r="E60" s="1369"/>
      <c r="F60" s="1371"/>
      <c r="G60" s="1373"/>
      <c r="H60" s="1373"/>
      <c r="I60" s="1355"/>
      <c r="J60" s="1377"/>
      <c r="K60" s="1390"/>
      <c r="L60" s="1355"/>
      <c r="M60" s="1860"/>
      <c r="N60" s="1392"/>
      <c r="O60" s="1674"/>
      <c r="P60" s="1674"/>
      <c r="Q60" s="1674"/>
      <c r="R60" s="1328"/>
      <c r="S60" s="87" t="s">
        <v>117</v>
      </c>
      <c r="T60" s="726">
        <v>1</v>
      </c>
      <c r="U60" s="287"/>
      <c r="V60" s="287"/>
      <c r="W60" s="731"/>
      <c r="X60" s="288">
        <f t="shared" si="20"/>
        <v>0</v>
      </c>
      <c r="Y60" s="731"/>
      <c r="Z60" s="731"/>
      <c r="AA60" s="731"/>
      <c r="AB60" s="288">
        <f t="shared" si="21"/>
        <v>0</v>
      </c>
      <c r="AC60" s="287"/>
      <c r="AD60" s="287"/>
      <c r="AE60" s="287"/>
      <c r="AF60" s="288">
        <f t="shared" si="22"/>
        <v>0</v>
      </c>
      <c r="AG60" s="287"/>
      <c r="AH60" s="287"/>
      <c r="AI60" s="287"/>
      <c r="AJ60" s="288">
        <f t="shared" si="23"/>
        <v>0</v>
      </c>
      <c r="AK60" s="289">
        <f t="shared" si="18"/>
        <v>0</v>
      </c>
      <c r="AL60" s="92" t="s">
        <v>325</v>
      </c>
      <c r="AM60" s="1371"/>
      <c r="AN60" s="1412"/>
      <c r="AO60" s="1406"/>
      <c r="AP60" s="62" t="str">
        <f>C59</f>
        <v>03 - Otimização de processo - Cavalo Marinho</v>
      </c>
      <c r="AQ60" s="62" t="s">
        <v>313</v>
      </c>
      <c r="AR60" s="508" t="str" cm="1">
        <f t="array" aca="1" ref="AR60" ca="1">IF(OR(AP60="",AP60=0),"",IF(SUMPRODUCT(($C$55:$C$175=AP60)*($U$54:AI$54&lt;=TODAY())*(ISNUMBER($U$56:AI$176)),$U$56:AI$176)=0,"",SUMPRODUCT(($C$55:$C$175=AP60)*($U$54:AI$54&lt;=TODAY())*(ISNUMBER($U$56:AI$176)),$U$56:AI$176)))</f>
        <v/>
      </c>
      <c r="AS60" s="508" t="str">
        <f>A59</f>
        <v>Kaizen - Ganho Recorrente</v>
      </c>
      <c r="AU60" s="1567"/>
      <c r="AV60" s="1567"/>
    </row>
    <row r="61" spans="1:48" ht="29.1" customHeight="1" x14ac:dyDescent="0.3">
      <c r="A61" s="1407" t="s">
        <v>59</v>
      </c>
      <c r="B61" s="1708" t="s">
        <v>97</v>
      </c>
      <c r="C61" s="1465" t="s">
        <v>326</v>
      </c>
      <c r="D61" s="1356" t="s">
        <v>327</v>
      </c>
      <c r="E61" s="1449" t="s">
        <v>328</v>
      </c>
      <c r="F61" s="1451" t="s">
        <v>329</v>
      </c>
      <c r="G61" s="1785">
        <v>46023</v>
      </c>
      <c r="H61" s="1785">
        <v>46054</v>
      </c>
      <c r="I61" s="1844">
        <v>42000</v>
      </c>
      <c r="J61" s="1378">
        <v>46082</v>
      </c>
      <c r="K61" s="1387">
        <f t="shared" ref="K61" si="29">IF(J61="", "", 12 - MONTH(J61) + 1)</f>
        <v>10</v>
      </c>
      <c r="L61" s="1395"/>
      <c r="M61" s="1859"/>
      <c r="N61" s="1393"/>
      <c r="O61" s="1671" t="s">
        <v>81</v>
      </c>
      <c r="P61" s="1671" t="s">
        <v>309</v>
      </c>
      <c r="Q61" s="1671" t="s">
        <v>309</v>
      </c>
      <c r="R61" s="1334">
        <v>1</v>
      </c>
      <c r="S61" s="93" t="s">
        <v>116</v>
      </c>
      <c r="T61" s="727">
        <v>1</v>
      </c>
      <c r="U61" s="498">
        <f>IFERROR(IF(AND(U$54&gt;=EOMONTH($J61,-1)+1,U$54&lt;=EOMONTH(EOMONTH($J61,-1)+1,$K61-1)),IF(NOT(ISBLANK($N61)),$N61/$K61,$I61/$K61),0),0)</f>
        <v>0</v>
      </c>
      <c r="V61" s="498">
        <f>IFERROR(IF(AND(V$54&gt;=EOMONTH($J61,-1)+1,V$54&lt;=EOMONTH(EOMONTH($J61,-1)+1,$K61-1)),IF(NOT(ISBLANK($N61)),$N61/$K61,$I61/$K61),0),0)</f>
        <v>0</v>
      </c>
      <c r="W61" s="596">
        <f>IFERROR(IF(AND(W$54&gt;=EOMONTH($J61,-1)+1,W$54&lt;=EOMONTH(EOMONTH($J61,-1)+1,$K61-1)),IF(NOT(ISBLANK($N61)),$N61/$K61,$I61/$K61),0),0)</f>
        <v>4200</v>
      </c>
      <c r="X61" s="89">
        <f>SUM(U61:W61)</f>
        <v>4200</v>
      </c>
      <c r="Y61" s="596">
        <f>IFERROR(IF(AND(Y$54&gt;=EOMONTH($J61,-1)+1,Y$54&lt;=EOMONTH(EOMONTH($J61,-1)+1,$K61-1)),IF(NOT(ISBLANK($N61)),$N61/$K61,$I61/$K61),0),0)</f>
        <v>4200</v>
      </c>
      <c r="Z61" s="498">
        <f>IFERROR(IF(AND(Z$54&gt;=EOMONTH($J61,-1)+1,Z$54&lt;=EOMONTH(EOMONTH($J61,-1)+1,$K61-1)),IF(NOT(ISBLANK($N61)),$N61/$K61,$I61/$K61),0),0)</f>
        <v>4200</v>
      </c>
      <c r="AA61" s="498">
        <f>IFERROR(IF(AND(AA$54&gt;=EOMONTH($J61,-1)+1,AA$54&lt;=EOMONTH(EOMONTH($J61,-1)+1,$K61-1)),IF(NOT(ISBLANK($N61)),$N61/$K61,$I61/$K61),0),0)</f>
        <v>4200</v>
      </c>
      <c r="AB61" s="89">
        <f t="shared" si="21"/>
        <v>12600</v>
      </c>
      <c r="AC61" s="498">
        <f>IFERROR(IF(AND(AC$54&gt;=EOMONTH($J61,-1)+1,AC$54&lt;=EOMONTH(EOMONTH($J61,-1)+1,$K61-1)),IF(NOT(ISBLANK($N61)),$N61/$K61,$I61/$K61),0),0)</f>
        <v>4200</v>
      </c>
      <c r="AD61" s="498">
        <f>IFERROR(IF(AND(AD$54&gt;=EOMONTH($J61,-1)+1,AD$54&lt;=EOMONTH(EOMONTH($J61,-1)+1,$K61-1)),IF(NOT(ISBLANK($N61)),$N61/$K61,$I61/$K61),0),0)</f>
        <v>4200</v>
      </c>
      <c r="AE61" s="498">
        <f>IFERROR(IF(AND(AE$54&gt;=EOMONTH($J61,-1)+1,AE$54&lt;=EOMONTH(EOMONTH($J61,-1)+1,$K61-1)),IF(NOT(ISBLANK($N61)),$N61/$K61,$I61/$K61),0),0)</f>
        <v>4200</v>
      </c>
      <c r="AF61" s="89">
        <f t="shared" si="22"/>
        <v>12600</v>
      </c>
      <c r="AG61" s="498">
        <f>IFERROR(IF(AND(AG$54&gt;=EOMONTH($J61,-1)+1,AG$54&lt;=EOMONTH(EOMONTH($J61,-1)+1,$K61-1)),IF(NOT(ISBLANK($N61)),$N61/$K61,$I61/$K61),0),0)</f>
        <v>4200</v>
      </c>
      <c r="AH61" s="498">
        <f>IFERROR(IF(AND(AH$54&gt;=EOMONTH($J61,-1)+1,AH$54&lt;=EOMONTH(EOMONTH($J61,-1)+1,$K61-1)),IF(NOT(ISBLANK($N61)),$N61/$K61,$I61/$K61),0),0)</f>
        <v>4200</v>
      </c>
      <c r="AI61" s="498">
        <f>IFERROR(IF(AND(AI$54&gt;=EOMONTH($J61,-1)+1,AI$54&lt;=EOMONTH(EOMONTH($J61,-1)+1,$K61-1)),IF(NOT(ISBLANK($N61)),$N61/$K61,$I61/$K61),0),0)</f>
        <v>4200</v>
      </c>
      <c r="AJ61" s="89">
        <f>SUM(AG61:AI61)</f>
        <v>12600</v>
      </c>
      <c r="AK61" s="95">
        <f t="shared" si="18"/>
        <v>42000</v>
      </c>
      <c r="AL61" s="97" t="s">
        <v>330</v>
      </c>
      <c r="AM61" s="1407"/>
      <c r="AN61" s="1334"/>
      <c r="AO61" s="1403">
        <f>N61*AN61</f>
        <v>0</v>
      </c>
      <c r="AP61" s="62" t="str">
        <f>C61</f>
        <v>04 - Otimização de processo - Pulmão</v>
      </c>
      <c r="AQ61" s="62" t="s">
        <v>311</v>
      </c>
      <c r="AR61" s="508" cm="1">
        <f t="array" aca="1" ref="AR61" ca="1">IF(OR(AP61="",AP61=0),"",IF(SUMPRODUCT(($C$55:$C$175=AP61)*(U$54:$AI$54&lt;EOMONTH(TODAY(),-1)+1)*(ISNUMBER(U$55:$AI$175)),U$55:$AI$175)=0,"",SUMPRODUCT(($C$55:$C$175=AP61)*(U$54:$AI$54&lt;EOMONTH(TODAY(),-1)+1)*(ISNUMBER(U$55:$AI$175)),U$55:$AI$175)))</f>
        <v>21000</v>
      </c>
      <c r="AS61" s="508" t="str">
        <f>A61</f>
        <v>Kaizen - Ganho Recorrente</v>
      </c>
      <c r="AU61" s="1566">
        <f t="shared" ref="AU61" si="30">IF(OR(I61="",K61=""),0,(I61/12)*K61)</f>
        <v>35000</v>
      </c>
      <c r="AV61" s="1566">
        <f t="shared" ref="AV61" si="31">IF(OR(N61="",K61="",K61=0),0,(N61/K61)*12)</f>
        <v>0</v>
      </c>
    </row>
    <row r="62" spans="1:48" ht="29.1" customHeight="1" x14ac:dyDescent="0.3">
      <c r="A62" s="1408"/>
      <c r="B62" s="1709"/>
      <c r="C62" s="1466"/>
      <c r="D62" s="1455"/>
      <c r="E62" s="1450"/>
      <c r="F62" s="1452"/>
      <c r="G62" s="1786"/>
      <c r="H62" s="1786"/>
      <c r="I62" s="1835"/>
      <c r="J62" s="1379"/>
      <c r="K62" s="1388"/>
      <c r="L62" s="1396"/>
      <c r="M62" s="1860"/>
      <c r="N62" s="1394"/>
      <c r="O62" s="1672"/>
      <c r="P62" s="1672"/>
      <c r="Q62" s="1672"/>
      <c r="R62" s="1330"/>
      <c r="S62" s="93" t="s">
        <v>117</v>
      </c>
      <c r="T62" s="727">
        <v>1</v>
      </c>
      <c r="U62" s="290"/>
      <c r="V62" s="290"/>
      <c r="W62" s="731"/>
      <c r="X62" s="288">
        <f t="shared" si="20"/>
        <v>0</v>
      </c>
      <c r="Y62" s="731"/>
      <c r="Z62" s="731"/>
      <c r="AA62" s="731"/>
      <c r="AB62" s="288">
        <f t="shared" si="21"/>
        <v>0</v>
      </c>
      <c r="AC62" s="290"/>
      <c r="AD62" s="290"/>
      <c r="AE62" s="290"/>
      <c r="AF62" s="288">
        <f t="shared" si="22"/>
        <v>0</v>
      </c>
      <c r="AG62" s="290"/>
      <c r="AH62" s="290"/>
      <c r="AI62" s="290"/>
      <c r="AJ62" s="288">
        <f t="shared" si="23"/>
        <v>0</v>
      </c>
      <c r="AK62" s="291">
        <f t="shared" si="18"/>
        <v>0</v>
      </c>
      <c r="AL62" s="97" t="s">
        <v>331</v>
      </c>
      <c r="AM62" s="1408"/>
      <c r="AN62" s="1330"/>
      <c r="AO62" s="1404"/>
      <c r="AP62" s="62" t="str">
        <f>C61</f>
        <v>04 - Otimização de processo - Pulmão</v>
      </c>
      <c r="AQ62" s="62" t="s">
        <v>313</v>
      </c>
      <c r="AR62" s="508" t="str" cm="1">
        <f t="array" aca="1" ref="AR62" ca="1">IF(OR(AP62="",AP62=0),"",IF(SUMPRODUCT(($C$55:$C$175=AP62)*($U$54:AI$54&lt;=TODAY())*(ISNUMBER($U$56:AI$176)),$U$56:AI$176)=0,"",SUMPRODUCT(($C$55:$C$175=AP62)*($U$54:AI$54&lt;=TODAY())*(ISNUMBER($U$56:AI$176)),$U$56:AI$176)))</f>
        <v/>
      </c>
      <c r="AS62" s="508" t="str">
        <f>A61</f>
        <v>Kaizen - Ganho Recorrente</v>
      </c>
      <c r="AU62" s="1567"/>
      <c r="AV62" s="1567"/>
    </row>
    <row r="63" spans="1:48" ht="29.1" customHeight="1" x14ac:dyDescent="0.3">
      <c r="A63" s="1691" t="s">
        <v>59</v>
      </c>
      <c r="B63" s="1701" t="s">
        <v>97</v>
      </c>
      <c r="C63" s="1482" t="s">
        <v>332</v>
      </c>
      <c r="D63" s="1486" t="s">
        <v>333</v>
      </c>
      <c r="E63" s="1368" t="s">
        <v>334</v>
      </c>
      <c r="F63" s="1370" t="s">
        <v>317</v>
      </c>
      <c r="G63" s="1372">
        <v>46027</v>
      </c>
      <c r="H63" s="1372">
        <v>46078</v>
      </c>
      <c r="I63" s="1354">
        <v>68000</v>
      </c>
      <c r="J63" s="1376">
        <v>46082</v>
      </c>
      <c r="K63" s="1389">
        <f>IF(J63="", "", 12 - MONTH(J63) + 1)</f>
        <v>10</v>
      </c>
      <c r="L63" s="1354"/>
      <c r="M63" s="1770" t="s">
        <v>308</v>
      </c>
      <c r="N63" s="1730">
        <v>56610.76</v>
      </c>
      <c r="O63" s="1764" t="s">
        <v>81</v>
      </c>
      <c r="P63" s="1673" t="s">
        <v>309</v>
      </c>
      <c r="Q63" s="1673" t="s">
        <v>309</v>
      </c>
      <c r="R63" s="1327">
        <v>1</v>
      </c>
      <c r="S63" s="87" t="s">
        <v>116</v>
      </c>
      <c r="T63" s="726">
        <v>1</v>
      </c>
      <c r="U63" s="287">
        <f>IFERROR(IF(AND(U$54&gt;=EOMONTH($J63,-1)+1,U$54&lt;=EOMONTH(EOMONTH($J63,-1)+1,$K63-1)),IF(NOT(ISBLANK($N63)),$N63/$K63,$I63/$K63),0),0)</f>
        <v>0</v>
      </c>
      <c r="V63" s="287">
        <f>IFERROR(IF(AND(V$54&gt;=EOMONTH($J63,-1)+1,V$54&lt;=EOMONTH(EOMONTH($J63,-1)+1,$K63-1)),IF(NOT(ISBLANK($N63)),$N63/$K63,$I63/$K63),0),0)</f>
        <v>0</v>
      </c>
      <c r="W63" s="815">
        <f>IFERROR(IF(AND(W$54&gt;=EOMONTH($J63,-1)+1,W$54&lt;=EOMONTH(EOMONTH($J63,-1)+1,$K63-1)),IF(NOT(ISBLANK($N63)),$N63/$K63,$I63/$K63),0),0)</f>
        <v>5661.076</v>
      </c>
      <c r="X63" s="89">
        <f t="shared" si="20"/>
        <v>5661.076</v>
      </c>
      <c r="Y63" s="815">
        <f>IFERROR(IF(AND(Y$54&gt;=EOMONTH($J63,-1)+1,Y$54&lt;=EOMONTH(EOMONTH($J63,-1)+1,$K63-1)),IF(NOT(ISBLANK($N63)),$N63/$K63,$I63/$K63),0),0)</f>
        <v>5661.076</v>
      </c>
      <c r="Z63" s="287">
        <f>IFERROR(IF(AND(Z$54&gt;=EOMONTH($J63,-1)+1,Z$54&lt;=EOMONTH(EOMONTH($J63,-1)+1,$K63-1)),IF(NOT(ISBLANK($N63)),$N63/$K63,$I63/$K63),0),0)</f>
        <v>5661.076</v>
      </c>
      <c r="AA63" s="287">
        <f>IFERROR(IF(AND(AA$54&gt;=EOMONTH($J63,-1)+1,AA$54&lt;=EOMONTH(EOMONTH($J63,-1)+1,$K63-1)),IF(NOT(ISBLANK($N63)),$N63/$K63,$I63/$K63),0),0)</f>
        <v>5661.076</v>
      </c>
      <c r="AB63" s="89">
        <f t="shared" ref="AB63:AB76" si="32">SUM(Y63:AA63)</f>
        <v>16983.227999999999</v>
      </c>
      <c r="AC63" s="287">
        <f>IFERROR(IF(AND(AC$54&gt;=EOMONTH($J63,-1)+1,AC$54&lt;=EOMONTH(EOMONTH($J63,-1)+1,$K63-1)),IF(NOT(ISBLANK($N63)),$N63/$K63,$I63/$K63),0),0)</f>
        <v>5661.076</v>
      </c>
      <c r="AD63" s="287">
        <f>IFERROR(IF(AND(AD$54&gt;=EOMONTH($J63,-1)+1,AD$54&lt;=EOMONTH(EOMONTH($J63,-1)+1,$K63-1)),IF(NOT(ISBLANK($N63)),$N63/$K63,$I63/$K63),0),0)</f>
        <v>5661.076</v>
      </c>
      <c r="AE63" s="287">
        <f>IFERROR(IF(AND(AE$54&gt;=EOMONTH($J63,-1)+1,AE$54&lt;=EOMONTH(EOMONTH($J63,-1)+1,$K63-1)),IF(NOT(ISBLANK($N63)),$N63/$K63,$I63/$K63),0),0)</f>
        <v>5661.076</v>
      </c>
      <c r="AF63" s="89">
        <f t="shared" ref="AF63:AF76" si="33">SUM(AC63:AE63)</f>
        <v>16983.227999999999</v>
      </c>
      <c r="AG63" s="287">
        <f>IFERROR(IF(AND(AG$54&gt;=EOMONTH($J63,-1)+1,AG$54&lt;=EOMONTH(EOMONTH($J63,-1)+1,$K63-1)),IF(NOT(ISBLANK($N63)),$N63/$K63,$I63/$K63),0),0)</f>
        <v>5661.076</v>
      </c>
      <c r="AH63" s="287">
        <f>IFERROR(IF(AND(AH$54&gt;=EOMONTH($J63,-1)+1,AH$54&lt;=EOMONTH(EOMONTH($J63,-1)+1,$K63-1)),IF(NOT(ISBLANK($N63)),$N63/$K63,$I63/$K63),0),0)</f>
        <v>5661.076</v>
      </c>
      <c r="AI63" s="287">
        <f>IFERROR(IF(AND(AI$54&gt;=EOMONTH($J63,-1)+1,AI$54&lt;=EOMONTH(EOMONTH($J63,-1)+1,$K63-1)),IF(NOT(ISBLANK($N63)),$N63/$K63,$I63/$K63),0),0)</f>
        <v>5661.076</v>
      </c>
      <c r="AJ63" s="89">
        <f t="shared" si="23"/>
        <v>16983.227999999999</v>
      </c>
      <c r="AK63" s="90">
        <f t="shared" si="18"/>
        <v>56610.759999999995</v>
      </c>
      <c r="AL63" s="337" t="s">
        <v>335</v>
      </c>
      <c r="AM63" s="1370"/>
      <c r="AN63" s="1411"/>
      <c r="AO63" s="1405">
        <f>N63*AN63</f>
        <v>0</v>
      </c>
      <c r="AP63" s="62" t="str">
        <f>C63</f>
        <v>05 - Empilhadeira - Diadema</v>
      </c>
      <c r="AQ63" s="62" t="s">
        <v>311</v>
      </c>
      <c r="AR63" s="508" cm="1">
        <f t="array" aca="1" ref="AR63" ca="1">IF(OR(AP63="",AP63=0),"",IF(SUMPRODUCT(($C$55:$C$175=AP63)*(U$54:$AI$54&lt;EOMONTH(TODAY(),-1)+1)*(ISNUMBER(U$55:$AI$175)),U$55:$AI$175)=0,"",SUMPRODUCT(($C$55:$C$175=AP63)*(U$54:$AI$54&lt;EOMONTH(TODAY(),-1)+1)*(ISNUMBER(U$55:$AI$175)),U$55:$AI$175)))</f>
        <v>28305.38</v>
      </c>
      <c r="AS63" s="508" t="str">
        <f>A63</f>
        <v>Kaizen - Ganho Recorrente</v>
      </c>
      <c r="AU63" s="1566">
        <f t="shared" ref="AU63" si="34">IF(OR(I63="",K63=""),0,(I63/12)*K63)</f>
        <v>56666.666666666672</v>
      </c>
      <c r="AV63" s="1566">
        <f t="shared" ref="AV63" si="35">IF(OR(N63="",K63="",K63=0),0,(N63/K63)*12)</f>
        <v>67932.911999999997</v>
      </c>
    </row>
    <row r="64" spans="1:48" ht="29.1" customHeight="1" x14ac:dyDescent="0.3">
      <c r="A64" s="1692"/>
      <c r="B64" s="1702"/>
      <c r="C64" s="1483"/>
      <c r="D64" s="1539"/>
      <c r="E64" s="1369"/>
      <c r="F64" s="1371"/>
      <c r="G64" s="1373"/>
      <c r="H64" s="1373"/>
      <c r="I64" s="1355"/>
      <c r="J64" s="1377"/>
      <c r="K64" s="1390"/>
      <c r="L64" s="1355"/>
      <c r="M64" s="1771"/>
      <c r="N64" s="1475"/>
      <c r="O64" s="1765"/>
      <c r="P64" s="1674"/>
      <c r="Q64" s="1674"/>
      <c r="R64" s="1328"/>
      <c r="S64" s="87" t="s">
        <v>117</v>
      </c>
      <c r="T64" s="726">
        <v>1</v>
      </c>
      <c r="U64" s="287"/>
      <c r="V64" s="287">
        <v>0</v>
      </c>
      <c r="W64" s="287">
        <v>5146.4325000000026</v>
      </c>
      <c r="X64" s="288">
        <f t="shared" ref="X64:X76" si="36">SUM(U64:W64)</f>
        <v>5146.4325000000026</v>
      </c>
      <c r="Y64" s="287">
        <v>5146.4325000000026</v>
      </c>
      <c r="Z64" s="287">
        <v>5146.4325000000026</v>
      </c>
      <c r="AA64" s="287">
        <v>5146.4325000000026</v>
      </c>
      <c r="AB64" s="288">
        <f t="shared" si="32"/>
        <v>15439.297500000008</v>
      </c>
      <c r="AC64" s="287">
        <v>5146.4325000000026</v>
      </c>
      <c r="AD64" s="287"/>
      <c r="AE64" s="287"/>
      <c r="AF64" s="288">
        <f t="shared" si="33"/>
        <v>5146.4325000000026</v>
      </c>
      <c r="AG64" s="287"/>
      <c r="AH64" s="287"/>
      <c r="AI64" s="287"/>
      <c r="AJ64" s="288">
        <f t="shared" si="23"/>
        <v>0</v>
      </c>
      <c r="AK64" s="289">
        <f t="shared" si="18"/>
        <v>25732.162500000013</v>
      </c>
      <c r="AL64" s="92" t="s">
        <v>336</v>
      </c>
      <c r="AM64" s="1371"/>
      <c r="AN64" s="1412"/>
      <c r="AO64" s="1406"/>
      <c r="AP64" s="62" t="str">
        <f>C63</f>
        <v>05 - Empilhadeira - Diadema</v>
      </c>
      <c r="AQ64" s="62" t="s">
        <v>313</v>
      </c>
      <c r="AR64" s="508" cm="1">
        <f t="array" aca="1" ref="AR64" ca="1">IF(OR(AP64="",AP64=0),"",IF(SUMPRODUCT(($C$55:$C$175=AP64)*($U$54:AI$54&lt;=TODAY())*(ISNUMBER($U$56:AI$176)),$U$56:AI$176)=0,"",SUMPRODUCT(($C$55:$C$175=AP64)*($U$54:AI$54&lt;=TODAY())*(ISNUMBER($U$56:AI$176)),$U$56:AI$176)))</f>
        <v>25732.162500000013</v>
      </c>
      <c r="AS64" s="508" t="str">
        <f>A63</f>
        <v>Kaizen - Ganho Recorrente</v>
      </c>
      <c r="AU64" s="1567"/>
      <c r="AV64" s="1567"/>
    </row>
    <row r="65" spans="1:48" ht="29.1" customHeight="1" x14ac:dyDescent="0.3">
      <c r="A65" s="1693" t="s">
        <v>59</v>
      </c>
      <c r="B65" s="1708" t="s">
        <v>97</v>
      </c>
      <c r="C65" s="1465" t="s">
        <v>337</v>
      </c>
      <c r="D65" s="1356" t="s">
        <v>338</v>
      </c>
      <c r="E65" s="1449" t="s">
        <v>339</v>
      </c>
      <c r="F65" s="1451" t="s">
        <v>317</v>
      </c>
      <c r="G65" s="1785">
        <v>46070</v>
      </c>
      <c r="H65" s="1785">
        <v>46142</v>
      </c>
      <c r="I65" s="1706">
        <v>288000.00300000003</v>
      </c>
      <c r="J65" s="1378">
        <v>46143</v>
      </c>
      <c r="K65" s="1387">
        <f t="shared" ref="K65" si="37">IF(J65="", "", 12 - MONTH(J65) + 1)</f>
        <v>8</v>
      </c>
      <c r="L65" s="1395"/>
      <c r="M65" s="1720" t="s">
        <v>308</v>
      </c>
      <c r="N65" s="1728">
        <v>189414</v>
      </c>
      <c r="O65" s="1671" t="s">
        <v>81</v>
      </c>
      <c r="P65" s="1671" t="s">
        <v>309</v>
      </c>
      <c r="Q65" s="1671" t="s">
        <v>309</v>
      </c>
      <c r="R65" s="1334">
        <v>1</v>
      </c>
      <c r="S65" s="93" t="s">
        <v>116</v>
      </c>
      <c r="T65" s="727">
        <v>0.96</v>
      </c>
      <c r="U65" s="498">
        <f>IFERROR(IF(AND(U$54&gt;=EOMONTH($J65,-1)+1,U$54&lt;=EOMONTH(EOMONTH($J65,-1)+1,$K65-1)),IF(NOT(ISBLANK($N65)),$N65/$K65,$I65/$K65),0),0)</f>
        <v>0</v>
      </c>
      <c r="V65" s="498">
        <f>IFERROR(IF(AND(V$54&gt;=EOMONTH($J65,-1)+1,V$54&lt;=EOMONTH(EOMONTH($J65,-1)+1,$K65-1)),IF(NOT(ISBLANK($N65)),$N65/$K65,$I65/$K65),0),0)</f>
        <v>0</v>
      </c>
      <c r="W65" s="498">
        <f>IFERROR(IF(AND(W$54&gt;=EOMONTH($J65,-1)+1,W$54&lt;=EOMONTH(EOMONTH($J65,-1)+1,$K65-1)),IF(NOT(ISBLANK($N65)),$N65/$K65,$I65/$K65),0),0)</f>
        <v>0</v>
      </c>
      <c r="X65" s="89">
        <f t="shared" si="36"/>
        <v>0</v>
      </c>
      <c r="Y65" s="498">
        <f>IFERROR(IF(AND(Y$54&gt;=EOMONTH($J65,-1)+1,Y$54&lt;=EOMONTH(EOMONTH($J65,-1)+1,$K65-1)),IF(NOT(ISBLANK($N65)),$N65/$K65,$I65/$K65),0),0)</f>
        <v>0</v>
      </c>
      <c r="Z65" s="498">
        <f>IFERROR(IF(AND(Z$54&gt;=EOMONTH($J65,-1)+1,Z$54&lt;=EOMONTH(EOMONTH($J65,-1)+1,$K65-1)),IF(NOT(ISBLANK($N65)),$N65/$K65,$I65/$K65),0),0)</f>
        <v>23676.75</v>
      </c>
      <c r="AA65" s="498">
        <f>IFERROR(IF(AND(AA$54&gt;=EOMONTH($J65,-1)+1,AA$54&lt;=EOMONTH(EOMONTH($J65,-1)+1,$K65-1)),IF(NOT(ISBLANK($N65)),$N65/$K65,$I65/$K65),0),0)</f>
        <v>23676.75</v>
      </c>
      <c r="AB65" s="89">
        <f t="shared" si="32"/>
        <v>47353.5</v>
      </c>
      <c r="AC65" s="498">
        <f>IFERROR(IF(AND(AC$54&gt;=EOMONTH($J65,-1)+1,AC$54&lt;=EOMONTH(EOMONTH($J65,-1)+1,$K65-1)),IF(NOT(ISBLANK($N65)),$N65/$K65,$I65/$K65),0),0)</f>
        <v>23676.75</v>
      </c>
      <c r="AD65" s="498">
        <f>IFERROR(IF(AND(AD$54&gt;=EOMONTH($J65,-1)+1,AD$54&lt;=EOMONTH(EOMONTH($J65,-1)+1,$K65-1)),IF(NOT(ISBLANK($N65)),$N65/$K65,$I65/$K65),0),0)</f>
        <v>23676.75</v>
      </c>
      <c r="AE65" s="498">
        <f>IFERROR(IF(AND(AE$54&gt;=EOMONTH($J65,-1)+1,AE$54&lt;=EOMONTH(EOMONTH($J65,-1)+1,$K65-1)),IF(NOT(ISBLANK($N65)),$N65/$K65,$I65/$K65),0),0)</f>
        <v>23676.75</v>
      </c>
      <c r="AF65" s="89">
        <f t="shared" si="33"/>
        <v>71030.25</v>
      </c>
      <c r="AG65" s="498">
        <f>IFERROR(IF(AND(AG$54&gt;=EOMONTH($J65,-1)+1,AG$54&lt;=EOMONTH(EOMONTH($J65,-1)+1,$K65-1)),IF(NOT(ISBLANK($N65)),$N65/$K65,$I65/$K65),0),0)</f>
        <v>23676.75</v>
      </c>
      <c r="AH65" s="498">
        <f>IFERROR(IF(AND(AH$54&gt;=EOMONTH($J65,-1)+1,AH$54&lt;=EOMONTH(EOMONTH($J65,-1)+1,$K65-1)),IF(NOT(ISBLANK($N65)),$N65/$K65,$I65/$K65),0),0)</f>
        <v>23676.75</v>
      </c>
      <c r="AI65" s="498">
        <f>IFERROR(IF(AND(AI$54&gt;=EOMONTH($J65,-1)+1,AI$54&lt;=EOMONTH(EOMONTH($J65,-1)+1,$K65-1)),IF(NOT(ISBLANK($N65)),$N65/$K65,$I65/$K65),0),0)</f>
        <v>23676.75</v>
      </c>
      <c r="AJ65" s="89">
        <f t="shared" si="23"/>
        <v>71030.25</v>
      </c>
      <c r="AK65" s="95">
        <f t="shared" si="18"/>
        <v>189414</v>
      </c>
      <c r="AL65" s="97" t="s">
        <v>340</v>
      </c>
      <c r="AM65" s="1407"/>
      <c r="AN65" s="1334"/>
      <c r="AO65" s="1403">
        <f>N65*AN65</f>
        <v>0</v>
      </c>
      <c r="AP65" s="62" t="str">
        <f>C65</f>
        <v>06 - Produtividade</v>
      </c>
      <c r="AQ65" s="62" t="s">
        <v>311</v>
      </c>
      <c r="AR65" s="508" cm="1">
        <f t="array" aca="1" ref="AR65" ca="1">IF(OR(AP65="",AP65=0),"",IF(SUMPRODUCT(($C$55:$C$175=AP65)*(U$54:$AI$54&lt;EOMONTH(TODAY(),-1)+1)*(ISNUMBER(U$55:$AI$175)),U$55:$AI$175)=0,"",SUMPRODUCT(($C$55:$C$175=AP65)*(U$54:$AI$54&lt;EOMONTH(TODAY(),-1)+1)*(ISNUMBER(U$55:$AI$175)),U$55:$AI$175)))</f>
        <v>71030.25</v>
      </c>
      <c r="AS65" s="508" t="str">
        <f>A65</f>
        <v>Kaizen - Ganho Recorrente</v>
      </c>
      <c r="AU65" s="1566">
        <f t="shared" ref="AU65" si="38">IF(OR(I65="",K65=""),0,(I65/12)*K65)</f>
        <v>192000.00200000001</v>
      </c>
      <c r="AV65" s="1566">
        <f t="shared" ref="AV65" si="39">IF(OR(N65="",K65="",K65=0),0,(N65/K65)*12)</f>
        <v>284121</v>
      </c>
    </row>
    <row r="66" spans="1:48" ht="29.1" customHeight="1" x14ac:dyDescent="0.3">
      <c r="A66" s="1694"/>
      <c r="B66" s="1709"/>
      <c r="C66" s="1466"/>
      <c r="D66" s="1455"/>
      <c r="E66" s="1450"/>
      <c r="F66" s="1452"/>
      <c r="G66" s="1786"/>
      <c r="H66" s="1786"/>
      <c r="I66" s="1707"/>
      <c r="J66" s="1379"/>
      <c r="K66" s="1388"/>
      <c r="L66" s="1396"/>
      <c r="M66" s="1721"/>
      <c r="N66" s="1729"/>
      <c r="O66" s="1672"/>
      <c r="P66" s="1672"/>
      <c r="Q66" s="1672"/>
      <c r="R66" s="1330"/>
      <c r="S66" s="93" t="s">
        <v>117</v>
      </c>
      <c r="T66" s="727">
        <v>0.98</v>
      </c>
      <c r="U66" s="290"/>
      <c r="V66" s="290"/>
      <c r="W66" s="290"/>
      <c r="X66" s="288">
        <f t="shared" si="36"/>
        <v>0</v>
      </c>
      <c r="Y66" s="290"/>
      <c r="Z66" s="871">
        <v>17242</v>
      </c>
      <c r="AA66" s="290">
        <v>24596</v>
      </c>
      <c r="AB66" s="288">
        <f t="shared" si="32"/>
        <v>41838</v>
      </c>
      <c r="AC66" s="290">
        <v>-24596</v>
      </c>
      <c r="AD66" s="290"/>
      <c r="AE66" s="290"/>
      <c r="AF66" s="288">
        <f t="shared" si="33"/>
        <v>-24596</v>
      </c>
      <c r="AG66" s="290"/>
      <c r="AH66" s="290"/>
      <c r="AI66" s="290"/>
      <c r="AJ66" s="288">
        <f t="shared" si="23"/>
        <v>0</v>
      </c>
      <c r="AK66" s="291">
        <f t="shared" si="18"/>
        <v>17242</v>
      </c>
      <c r="AL66" s="97"/>
      <c r="AM66" s="1408"/>
      <c r="AN66" s="1330"/>
      <c r="AO66" s="1404"/>
      <c r="AP66" s="62" t="str">
        <f>C65</f>
        <v>06 - Produtividade</v>
      </c>
      <c r="AQ66" s="62" t="s">
        <v>313</v>
      </c>
      <c r="AR66" s="508" cm="1">
        <f t="array" aca="1" ref="AR66" ca="1">IF(OR(AP66="",AP66=0),"",IF(SUMPRODUCT(($C$55:$C$175=AP66)*($U$54:AI$54&lt;=TODAY())*(ISNUMBER($U$56:AI$176)),$U$56:AI$176)=0,"",SUMPRODUCT(($C$55:$C$175=AP66)*($U$54:AI$54&lt;=TODAY())*(ISNUMBER($U$56:AI$176)),$U$56:AI$176)))</f>
        <v>17242</v>
      </c>
      <c r="AS66" s="508" t="str">
        <f>A65</f>
        <v>Kaizen - Ganho Recorrente</v>
      </c>
      <c r="AU66" s="1567"/>
      <c r="AV66" s="1567"/>
    </row>
    <row r="67" spans="1:48" ht="29.1" customHeight="1" x14ac:dyDescent="0.3">
      <c r="A67" s="1380" t="s">
        <v>61</v>
      </c>
      <c r="B67" s="1701" t="s">
        <v>97</v>
      </c>
      <c r="C67" s="1482" t="s">
        <v>341</v>
      </c>
      <c r="D67" s="1486" t="s">
        <v>342</v>
      </c>
      <c r="E67" s="1368" t="s">
        <v>343</v>
      </c>
      <c r="F67" s="1370" t="s">
        <v>317</v>
      </c>
      <c r="G67" s="1372">
        <v>46037</v>
      </c>
      <c r="H67" s="1372">
        <v>46127</v>
      </c>
      <c r="I67" s="1354">
        <v>16500</v>
      </c>
      <c r="J67" s="1376">
        <v>46143</v>
      </c>
      <c r="K67" s="1389">
        <f t="shared" ref="K67" si="40">IF(J67="", "", 12 - MONTH(J67) + 1)</f>
        <v>8</v>
      </c>
      <c r="L67" s="1354"/>
      <c r="M67" s="1476"/>
      <c r="N67" s="1863"/>
      <c r="O67" s="1764" t="s">
        <v>81</v>
      </c>
      <c r="P67" s="1673" t="s">
        <v>309</v>
      </c>
      <c r="Q67" s="1779" t="s">
        <v>309</v>
      </c>
      <c r="R67" s="1327">
        <v>1</v>
      </c>
      <c r="S67" s="87" t="s">
        <v>116</v>
      </c>
      <c r="T67" s="726">
        <v>1</v>
      </c>
      <c r="U67" s="287">
        <f>IFERROR(IF(AND(U$54&gt;=EOMONTH($J67,-1)+1,U$54&lt;=EOMONTH(EOMONTH($J67,-1)+1,$K67-1)),IF(NOT(ISBLANK($N67)),$N67/$K67,$I67/$K67),0),0)</f>
        <v>0</v>
      </c>
      <c r="V67" s="287">
        <f>IFERROR(IF(AND(V$54&gt;=EOMONTH($J67,-1)+1,V$54&lt;=EOMONTH(EOMONTH($J67,-1)+1,$K67-1)),IF(NOT(ISBLANK($N67)),$N67/$K67,$I67/$K67),0),0)</f>
        <v>0</v>
      </c>
      <c r="W67" s="287">
        <f>IFERROR(IF(AND(W$54&gt;=EOMONTH($J67,-1)+1,W$54&lt;=EOMONTH(EOMONTH($J67,-1)+1,$K67-1)),IF(NOT(ISBLANK($N67)),$N67/$K67,$I67/$K67),0),0)</f>
        <v>0</v>
      </c>
      <c r="X67" s="89">
        <f t="shared" si="36"/>
        <v>0</v>
      </c>
      <c r="Y67" s="287">
        <f>IFERROR(IF(AND(Y$54&gt;=EOMONTH($J67,-1)+1,Y$54&lt;=EOMONTH(EOMONTH($J67,-1)+1,$K67-1)),IF(NOT(ISBLANK($N67)),$N67/$K67,$I67/$K67),0),0)</f>
        <v>0</v>
      </c>
      <c r="Z67" s="287">
        <f>IFERROR(IF(AND(Z$54&gt;=EOMONTH($J67,-1)+1,Z$54&lt;=EOMONTH(EOMONTH($J67,-1)+1,$K67-1)),IF(NOT(ISBLANK($N67)),$N67/$K67,$I67/$K67),0),0)</f>
        <v>2062.5</v>
      </c>
      <c r="AA67" s="287">
        <f>IFERROR(IF(AND(AA$54&gt;=EOMONTH($J67,-1)+1,AA$54&lt;=EOMONTH(EOMONTH($J67,-1)+1,$K67-1)),IF(NOT(ISBLANK($N67)),$N67/$K67,$I67/$K67),0),0)</f>
        <v>2062.5</v>
      </c>
      <c r="AB67" s="89">
        <f t="shared" si="32"/>
        <v>4125</v>
      </c>
      <c r="AC67" s="287">
        <f>IFERROR(IF(AND(AC$54&gt;=EOMONTH($J67,-1)+1,AC$54&lt;=EOMONTH(EOMONTH($J67,-1)+1,$K67-1)),IF(NOT(ISBLANK($N67)),$N67/$K67,$I67/$K67),0),0)</f>
        <v>2062.5</v>
      </c>
      <c r="AD67" s="287">
        <f>IFERROR(IF(AND(AD$54&gt;=EOMONTH($J67,-1)+1,AD$54&lt;=EOMONTH(EOMONTH($J67,-1)+1,$K67-1)),IF(NOT(ISBLANK($N67)),$N67/$K67,$I67/$K67),0),0)</f>
        <v>2062.5</v>
      </c>
      <c r="AE67" s="287">
        <f>IFERROR(IF(AND(AE$54&gt;=EOMONTH($J67,-1)+1,AE$54&lt;=EOMONTH(EOMONTH($J67,-1)+1,$K67-1)),IF(NOT(ISBLANK($N67)),$N67/$K67,$I67/$K67),0),0)</f>
        <v>2062.5</v>
      </c>
      <c r="AF67" s="89">
        <f t="shared" si="33"/>
        <v>6187.5</v>
      </c>
      <c r="AG67" s="287">
        <f>IFERROR(IF(AND(AG$54&gt;=EOMONTH($J67,-1)+1,AG$54&lt;=EOMONTH(EOMONTH($J67,-1)+1,$K67-1)),IF(NOT(ISBLANK($N67)),$N67/$K67,$I67/$K67),0),0)</f>
        <v>2062.5</v>
      </c>
      <c r="AH67" s="287">
        <f>IFERROR(IF(AND(AH$54&gt;=EOMONTH($J67,-1)+1,AH$54&lt;=EOMONTH(EOMONTH($J67,-1)+1,$K67-1)),IF(NOT(ISBLANK($N67)),$N67/$K67,$I67/$K67),0),0)</f>
        <v>2062.5</v>
      </c>
      <c r="AI67" s="287">
        <f>IFERROR(IF(AND(AI$54&gt;=EOMONTH($J67,-1)+1,AI$54&lt;=EOMONTH(EOMONTH($J67,-1)+1,$K67-1)),IF(NOT(ISBLANK($N67)),$N67/$K67,$I67/$K67),0),0)</f>
        <v>2062.5</v>
      </c>
      <c r="AJ67" s="89">
        <f t="shared" si="23"/>
        <v>6187.5</v>
      </c>
      <c r="AK67" s="90">
        <f t="shared" si="18"/>
        <v>16500</v>
      </c>
      <c r="AL67" s="92" t="s">
        <v>344</v>
      </c>
      <c r="AM67" s="1370"/>
      <c r="AN67" s="1411"/>
      <c r="AO67" s="1405">
        <f>N67*AN67</f>
        <v>0</v>
      </c>
      <c r="AP67" s="62" t="str">
        <f>C67</f>
        <v xml:space="preserve"> 07 - Consumo de água</v>
      </c>
      <c r="AQ67" s="62" t="s">
        <v>311</v>
      </c>
      <c r="AR67" s="508" cm="1">
        <f t="array" aca="1" ref="AR67" ca="1">IF(OR(AP67="",AP67=0),"",IF(SUMPRODUCT(($C$55:$C$175=AP67)*(U$54:$AI$54&lt;EOMONTH(TODAY(),-1)+1)*(ISNUMBER(U$55:$AI$175)),U$55:$AI$175)=0,"",SUMPRODUCT(($C$55:$C$175=AP67)*(U$54:$AI$54&lt;EOMONTH(TODAY(),-1)+1)*(ISNUMBER(U$55:$AI$175)),U$55:$AI$175)))</f>
        <v>6187.5</v>
      </c>
      <c r="AS67" s="508" t="str">
        <f>A67</f>
        <v>Kaizen - Custo Evitado</v>
      </c>
      <c r="AU67" s="1566">
        <f t="shared" ref="AU67" si="41">IF(OR(I67="",K67=""),0,(I67/12)*K67)</f>
        <v>11000</v>
      </c>
      <c r="AV67" s="1566">
        <f t="shared" ref="AV67" si="42">IF(OR(N67="",K67="",K67=0),0,(N67/K67)*12)</f>
        <v>0</v>
      </c>
    </row>
    <row r="68" spans="1:48" ht="29.1" customHeight="1" x14ac:dyDescent="0.3">
      <c r="A68" s="1381"/>
      <c r="B68" s="1702"/>
      <c r="C68" s="1483"/>
      <c r="D68" s="1487"/>
      <c r="E68" s="1369"/>
      <c r="F68" s="1371"/>
      <c r="G68" s="1373"/>
      <c r="H68" s="1373"/>
      <c r="I68" s="1355"/>
      <c r="J68" s="1377"/>
      <c r="K68" s="1390"/>
      <c r="L68" s="1355"/>
      <c r="M68" s="1778"/>
      <c r="N68" s="1392"/>
      <c r="O68" s="1765"/>
      <c r="P68" s="1674"/>
      <c r="Q68" s="1780"/>
      <c r="R68" s="1328"/>
      <c r="S68" s="87" t="s">
        <v>117</v>
      </c>
      <c r="T68" s="726">
        <v>0.95</v>
      </c>
      <c r="U68" s="287"/>
      <c r="V68" s="287"/>
      <c r="W68" s="287"/>
      <c r="X68" s="288">
        <f t="shared" si="36"/>
        <v>0</v>
      </c>
      <c r="Y68" s="287"/>
      <c r="Z68" s="287"/>
      <c r="AA68" s="287"/>
      <c r="AB68" s="288">
        <f t="shared" si="32"/>
        <v>0</v>
      </c>
      <c r="AC68" s="287"/>
      <c r="AD68" s="287"/>
      <c r="AE68" s="287"/>
      <c r="AF68" s="288">
        <f t="shared" si="33"/>
        <v>0</v>
      </c>
      <c r="AG68" s="287"/>
      <c r="AH68" s="287"/>
      <c r="AI68" s="287"/>
      <c r="AJ68" s="288">
        <f t="shared" si="23"/>
        <v>0</v>
      </c>
      <c r="AK68" s="289">
        <f t="shared" si="18"/>
        <v>0</v>
      </c>
      <c r="AL68" s="92"/>
      <c r="AM68" s="1371"/>
      <c r="AN68" s="1412"/>
      <c r="AO68" s="1406"/>
      <c r="AP68" s="62" t="str">
        <f>C67</f>
        <v xml:space="preserve"> 07 - Consumo de água</v>
      </c>
      <c r="AQ68" s="62" t="s">
        <v>313</v>
      </c>
      <c r="AR68" s="508" t="str" cm="1">
        <f t="array" aca="1" ref="AR68" ca="1">IF(OR(AP68="",AP68=0),"",IF(SUMPRODUCT(($C$55:$C$175=AP68)*($U$54:AI$54&lt;=TODAY())*(ISNUMBER($U$56:AI$176)),$U$56:AI$176)=0,"",SUMPRODUCT(($C$55:$C$175=AP68)*($U$54:AI$54&lt;=TODAY())*(ISNUMBER($U$56:AI$176)),$U$56:AI$176)))</f>
        <v/>
      </c>
      <c r="AS68" s="508" t="str">
        <f>A67</f>
        <v>Kaizen - Custo Evitado</v>
      </c>
      <c r="AU68" s="1567"/>
      <c r="AV68" s="1567"/>
    </row>
    <row r="69" spans="1:48" ht="29.1" customHeight="1" x14ac:dyDescent="0.3">
      <c r="A69" s="1693" t="s">
        <v>91</v>
      </c>
      <c r="B69" s="1708" t="s">
        <v>95</v>
      </c>
      <c r="C69" s="1465" t="s">
        <v>345</v>
      </c>
      <c r="D69" s="1356" t="s">
        <v>346</v>
      </c>
      <c r="E69" s="1449" t="s">
        <v>347</v>
      </c>
      <c r="F69" s="1451" t="s">
        <v>307</v>
      </c>
      <c r="G69" s="1785">
        <v>46036</v>
      </c>
      <c r="H69" s="1785">
        <v>46142</v>
      </c>
      <c r="I69" s="1488">
        <v>44400</v>
      </c>
      <c r="J69" s="1378">
        <v>46143</v>
      </c>
      <c r="K69" s="1387">
        <f t="shared" ref="K69" si="43">IF(J69="", "", 12 - MONTH(J69) + 1)</f>
        <v>8</v>
      </c>
      <c r="L69" s="1395"/>
      <c r="M69" s="1720" t="s">
        <v>308</v>
      </c>
      <c r="N69" s="1728">
        <v>13137.64</v>
      </c>
      <c r="O69" s="1663" t="s">
        <v>81</v>
      </c>
      <c r="P69" s="1663" t="s">
        <v>309</v>
      </c>
      <c r="Q69" s="1781" t="s">
        <v>309</v>
      </c>
      <c r="R69" s="1334">
        <v>0.5</v>
      </c>
      <c r="S69" s="93" t="s">
        <v>116</v>
      </c>
      <c r="T69" s="727">
        <v>0.97</v>
      </c>
      <c r="U69" s="498">
        <f>IFERROR(IF(AND(U$54&gt;=EOMONTH($J69,-1)+1,U$54&lt;=EOMONTH(EOMONTH($J69,-1)+1,$K69-1)),IF(NOT(ISBLANK($N69)),$N69/$K69,$I69/$K69),0),0)</f>
        <v>0</v>
      </c>
      <c r="V69" s="498">
        <f>IFERROR(IF(AND(V$54&gt;=EOMONTH($J69,-1)+1,V$54&lt;=EOMONTH(EOMONTH($J69,-1)+1,$K69-1)),IF(NOT(ISBLANK($N69)),$N69/$K69,$I69/$K69),0),0)</f>
        <v>0</v>
      </c>
      <c r="W69" s="498">
        <f>IFERROR(IF(AND(W$54&gt;=EOMONTH($J69,-1)+1,W$54&lt;=EOMONTH(EOMONTH($J69,-1)+1,$K69-1)),IF(NOT(ISBLANK($N69)),$N69/$K69,$I69/$K69),0),0)</f>
        <v>0</v>
      </c>
      <c r="X69" s="89">
        <f t="shared" si="36"/>
        <v>0</v>
      </c>
      <c r="Y69" s="498">
        <f>IFERROR(IF(AND(Y$54&gt;=EOMONTH($J69,-1)+1,Y$54&lt;=EOMONTH(EOMONTH($J69,-1)+1,$K69-1)),IF(NOT(ISBLANK($N69)),$N69/$K69,$I69/$K69),0),0)</f>
        <v>0</v>
      </c>
      <c r="Z69" s="498">
        <f>IFERROR(IF(AND(Z$54&gt;=EOMONTH($J69,-1)+1,Z$54&lt;=EOMONTH(EOMONTH($J69,-1)+1,$K69-1)),IF(NOT(ISBLANK($N69)),$N69/$K69,$I69/$K69),0),0)</f>
        <v>1642.2049999999999</v>
      </c>
      <c r="AA69" s="498">
        <f>IFERROR(IF(AND(AA$54&gt;=EOMONTH($J69,-1)+1,AA$54&lt;=EOMONTH(EOMONTH($J69,-1)+1,$K69-1)),IF(NOT(ISBLANK($N69)),$N69/$K69,$I69/$K69),0),0)</f>
        <v>1642.2049999999999</v>
      </c>
      <c r="AB69" s="89">
        <f t="shared" si="32"/>
        <v>3284.41</v>
      </c>
      <c r="AC69" s="498">
        <f>IFERROR(IF(AND(AC$54&gt;=EOMONTH($J69,-1)+1,AC$54&lt;=EOMONTH(EOMONTH($J69,-1)+1,$K69-1)),IF(NOT(ISBLANK($N69)),$N69/$K69,$I69/$K69),0),0)</f>
        <v>1642.2049999999999</v>
      </c>
      <c r="AD69" s="498">
        <f>IFERROR(IF(AND(AD$54&gt;=EOMONTH($J69,-1)+1,AD$54&lt;=EOMONTH(EOMONTH($J69,-1)+1,$K69-1)),IF(NOT(ISBLANK($N69)),$N69/$K69,$I69/$K69),0),0)</f>
        <v>1642.2049999999999</v>
      </c>
      <c r="AE69" s="498">
        <f>IFERROR(IF(AND(AE$54&gt;=EOMONTH($J69,-1)+1,AE$54&lt;=EOMONTH(EOMONTH($J69,-1)+1,$K69-1)),IF(NOT(ISBLANK($N69)),$N69/$K69,$I69/$K69),0),0)</f>
        <v>1642.2049999999999</v>
      </c>
      <c r="AF69" s="89">
        <f t="shared" si="33"/>
        <v>4926.6149999999998</v>
      </c>
      <c r="AG69" s="498">
        <f>IFERROR(IF(AND(AG$54&gt;=EOMONTH($J69,-1)+1,AG$54&lt;=EOMONTH(EOMONTH($J69,-1)+1,$K69-1)),IF(NOT(ISBLANK($N69)),$N69/$K69,$I69/$K69),0),0)</f>
        <v>1642.2049999999999</v>
      </c>
      <c r="AH69" s="498">
        <f>IFERROR(IF(AND(AH$54&gt;=EOMONTH($J69,-1)+1,AH$54&lt;=EOMONTH(EOMONTH($J69,-1)+1,$K69-1)),IF(NOT(ISBLANK($N69)),$N69/$K69,$I69/$K69),0),0)</f>
        <v>1642.2049999999999</v>
      </c>
      <c r="AI69" s="498">
        <f>IFERROR(IF(AND(AI$54&gt;=EOMONTH($J69,-1)+1,AI$54&lt;=EOMONTH(EOMONTH($J69,-1)+1,$K69-1)),IF(NOT(ISBLANK($N69)),$N69/$K69,$I69/$K69),0),0)</f>
        <v>1642.2049999999999</v>
      </c>
      <c r="AJ69" s="89">
        <f t="shared" ref="AJ69:AJ80" si="44">SUM(AG69:AI69)</f>
        <v>4926.6149999999998</v>
      </c>
      <c r="AK69" s="95">
        <f t="shared" si="18"/>
        <v>13137.64</v>
      </c>
      <c r="AL69" s="97" t="s">
        <v>348</v>
      </c>
      <c r="AM69" s="1407"/>
      <c r="AN69" s="1334"/>
      <c r="AO69" s="1403">
        <f>N69*AN69</f>
        <v>0</v>
      </c>
      <c r="AP69" s="62" t="str">
        <f>C69</f>
        <v>08 - Redução de peso bruto MB002446LA / MB003670LA / MB003671LA</v>
      </c>
      <c r="AQ69" s="62" t="s">
        <v>311</v>
      </c>
      <c r="AR69" s="508" cm="1">
        <f t="array" aca="1" ref="AR69" ca="1">IF(OR(AP69="",AP69=0),"",IF(SUMPRODUCT(($C$55:$C$175=AP69)*(U$54:$AI$54&lt;EOMONTH(TODAY(),-1)+1)*(ISNUMBER(U$55:$AI$175)),U$55:$AI$175)=0,"",SUMPRODUCT(($C$55:$C$175=AP69)*(U$54:$AI$54&lt;EOMONTH(TODAY(),-1)+1)*(ISNUMBER(U$55:$AI$175)),U$55:$AI$175)))</f>
        <v>4926.6149999999998</v>
      </c>
      <c r="AS69" s="508" t="str">
        <f>A69</f>
        <v>BSW</v>
      </c>
      <c r="AU69" s="1566">
        <f t="shared" ref="AU69" si="45">IF(OR(I69="",K69=""),0,(I69/12)*K69)</f>
        <v>29600</v>
      </c>
      <c r="AV69" s="1566">
        <f t="shared" ref="AV69" si="46">IF(OR(N69="",K69="",K69=0),0,(N69/K69)*12)</f>
        <v>19706.46</v>
      </c>
    </row>
    <row r="70" spans="1:48" ht="29.1" customHeight="1" x14ac:dyDescent="0.3">
      <c r="A70" s="1694"/>
      <c r="B70" s="1709"/>
      <c r="C70" s="1466"/>
      <c r="D70" s="1748"/>
      <c r="E70" s="1450"/>
      <c r="F70" s="1452"/>
      <c r="G70" s="1786"/>
      <c r="H70" s="1786"/>
      <c r="I70" s="1367"/>
      <c r="J70" s="1379"/>
      <c r="K70" s="1388"/>
      <c r="L70" s="1396"/>
      <c r="M70" s="1721"/>
      <c r="N70" s="1729"/>
      <c r="O70" s="1664"/>
      <c r="P70" s="1664"/>
      <c r="Q70" s="1664"/>
      <c r="R70" s="1330"/>
      <c r="S70" s="93" t="s">
        <v>117</v>
      </c>
      <c r="T70" s="727">
        <v>0.8</v>
      </c>
      <c r="U70" s="290"/>
      <c r="V70" s="290"/>
      <c r="W70" s="290"/>
      <c r="X70" s="288">
        <f t="shared" si="36"/>
        <v>0</v>
      </c>
      <c r="Y70" s="290"/>
      <c r="Z70" s="587">
        <v>3901.66</v>
      </c>
      <c r="AA70" s="587">
        <v>3319.777100000003</v>
      </c>
      <c r="AB70" s="288">
        <f t="shared" si="32"/>
        <v>7221.4371000000028</v>
      </c>
      <c r="AC70" s="290">
        <v>3858.7815000000032</v>
      </c>
      <c r="AD70" s="290"/>
      <c r="AE70" s="290"/>
      <c r="AF70" s="288">
        <f t="shared" si="33"/>
        <v>3858.7815000000032</v>
      </c>
      <c r="AG70" s="290"/>
      <c r="AH70" s="290"/>
      <c r="AI70" s="290"/>
      <c r="AJ70" s="288">
        <f t="shared" si="44"/>
        <v>0</v>
      </c>
      <c r="AK70" s="291">
        <f t="shared" si="18"/>
        <v>11080.218600000006</v>
      </c>
      <c r="AL70" s="338" t="s">
        <v>349</v>
      </c>
      <c r="AM70" s="1408"/>
      <c r="AN70" s="1330"/>
      <c r="AO70" s="1404"/>
      <c r="AP70" s="62" t="str">
        <f>C69</f>
        <v>08 - Redução de peso bruto MB002446LA / MB003670LA / MB003671LA</v>
      </c>
      <c r="AQ70" s="62" t="s">
        <v>313</v>
      </c>
      <c r="AR70" s="508" cm="1">
        <f t="array" aca="1" ref="AR70" ca="1">IF(OR(AP70="",AP70=0),"",IF(SUMPRODUCT(($C$55:$C$175=AP70)*($U$54:AI$54&lt;=TODAY())*(ISNUMBER($U$56:AI$176)),$U$56:AI$176)=0,"",SUMPRODUCT(($C$55:$C$175=AP70)*($U$54:AI$54&lt;=TODAY())*(ISNUMBER($U$56:AI$176)),$U$56:AI$176)))</f>
        <v>11080.218600000006</v>
      </c>
      <c r="AS70" s="508" t="str">
        <f>A69</f>
        <v>BSW</v>
      </c>
      <c r="AU70" s="1567"/>
      <c r="AV70" s="1567"/>
    </row>
    <row r="71" spans="1:48" ht="29.1" customHeight="1" x14ac:dyDescent="0.3">
      <c r="A71" s="1380" t="s">
        <v>61</v>
      </c>
      <c r="B71" s="1701" t="s">
        <v>97</v>
      </c>
      <c r="C71" s="1482" t="s">
        <v>350</v>
      </c>
      <c r="D71" s="1486" t="s">
        <v>351</v>
      </c>
      <c r="E71" s="1368" t="s">
        <v>352</v>
      </c>
      <c r="F71" s="1370" t="s">
        <v>317</v>
      </c>
      <c r="G71" s="1372">
        <v>46082</v>
      </c>
      <c r="H71" s="1726">
        <v>46233</v>
      </c>
      <c r="I71" s="1354">
        <f>1513*6</f>
        <v>9078</v>
      </c>
      <c r="J71" s="1376">
        <v>46235</v>
      </c>
      <c r="K71" s="1389">
        <f t="shared" ref="K71" si="47">IF(J71="", "", 12 - MONTH(J71) + 1)</f>
        <v>5</v>
      </c>
      <c r="L71" s="1354"/>
      <c r="M71" s="1476"/>
      <c r="N71" s="1863"/>
      <c r="O71" s="1689" t="s">
        <v>83</v>
      </c>
      <c r="P71" s="1678" t="s">
        <v>353</v>
      </c>
      <c r="Q71" s="1669">
        <v>46295</v>
      </c>
      <c r="R71" s="1327">
        <v>1</v>
      </c>
      <c r="S71" s="87" t="s">
        <v>116</v>
      </c>
      <c r="T71" s="726">
        <v>0.48</v>
      </c>
      <c r="U71" s="287">
        <f>IFERROR(IF(AND(U$54&gt;=EOMONTH($J71,-1)+1,U$54&lt;=EOMONTH(EOMONTH($J71,-1)+1,$K71-1)),IF(NOT(ISBLANK($N71)),$N71/$K71,$I71/$K71),0),0)</f>
        <v>0</v>
      </c>
      <c r="V71" s="287">
        <f>IFERROR(IF(AND(V$54&gt;=EOMONTH($J71,-1)+1,V$54&lt;=EOMONTH(EOMONTH($J71,-1)+1,$K71-1)),IF(NOT(ISBLANK($N71)),$N71/$K71,$I71/$K71),0),0)</f>
        <v>0</v>
      </c>
      <c r="W71" s="287">
        <f>IFERROR(IF(AND(W$54&gt;=EOMONTH($J71,-1)+1,W$54&lt;=EOMONTH(EOMONTH($J71,-1)+1,$K71-1)),IF(NOT(ISBLANK($N71)),$N71/$K71,$I71/$K71),0),0)</f>
        <v>0</v>
      </c>
      <c r="X71" s="89">
        <f t="shared" si="36"/>
        <v>0</v>
      </c>
      <c r="Y71" s="287">
        <f>IFERROR(IF(AND(Y$54&gt;=EOMONTH($J71,-1)+1,Y$54&lt;=EOMONTH(EOMONTH($J71,-1)+1,$K71-1)),IF(NOT(ISBLANK($N71)),$N71/$K71,$I71/$K71),0),0)</f>
        <v>0</v>
      </c>
      <c r="Z71" s="287">
        <f>IFERROR(IF(AND(Z$54&gt;=EOMONTH($J71,-1)+1,Z$54&lt;=EOMONTH(EOMONTH($J71,-1)+1,$K71-1)),IF(NOT(ISBLANK($N71)),$N71/$K71,$I71/$K71),0),0)</f>
        <v>0</v>
      </c>
      <c r="AA71" s="287">
        <f>IFERROR(IF(AND(AA$54&gt;=EOMONTH($J71,-1)+1,AA$54&lt;=EOMONTH(EOMONTH($J71,-1)+1,$K71-1)),IF(NOT(ISBLANK($N71)),$N71/$K71,$I71/$K71),0),0)</f>
        <v>0</v>
      </c>
      <c r="AB71" s="89">
        <f t="shared" si="32"/>
        <v>0</v>
      </c>
      <c r="AC71" s="287">
        <f>IFERROR(IF(AND(AC$54&gt;=EOMONTH($J71,-1)+1,AC$54&lt;=EOMONTH(EOMONTH($J71,-1)+1,$K71-1)),IF(NOT(ISBLANK($N71)),$N71/$K71,$I71/$K71),0),0)</f>
        <v>0</v>
      </c>
      <c r="AD71" s="287">
        <f>IFERROR(IF(AND(AD$54&gt;=EOMONTH($J71,-1)+1,AD$54&lt;=EOMONTH(EOMONTH($J71,-1)+1,$K71-1)),IF(NOT(ISBLANK($N71)),$N71/$K71,$I71/$K71),0),0)</f>
        <v>1815.6</v>
      </c>
      <c r="AE71" s="287">
        <f>IFERROR(IF(AND(AE$54&gt;=EOMONTH($J71,-1)+1,AE$54&lt;=EOMONTH(EOMONTH($J71,-1)+1,$K71-1)),IF(NOT(ISBLANK($N71)),$N71/$K71,$I71/$K71),0),0)</f>
        <v>1815.6</v>
      </c>
      <c r="AF71" s="89">
        <f t="shared" si="33"/>
        <v>3631.2</v>
      </c>
      <c r="AG71" s="287">
        <f>IFERROR(IF(AND(AG$54&gt;=EOMONTH($J71,-1)+1,AG$54&lt;=EOMONTH(EOMONTH($J71,-1)+1,$K71-1)),IF(NOT(ISBLANK($N71)),$N71/$K71,$I71/$K71),0),0)</f>
        <v>1815.6</v>
      </c>
      <c r="AH71" s="287">
        <f>IFERROR(IF(AND(AH$54&gt;=EOMONTH($J71,-1)+1,AH$54&lt;=EOMONTH(EOMONTH($J71,-1)+1,$K71-1)),IF(NOT(ISBLANK($N71)),$N71/$K71,$I71/$K71),0),0)</f>
        <v>1815.6</v>
      </c>
      <c r="AI71" s="287">
        <f>IFERROR(IF(AND(AI$54&gt;=EOMONTH($J71,-1)+1,AI$54&lt;=EOMONTH(EOMONTH($J71,-1)+1,$K71-1)),IF(NOT(ISBLANK($N71)),$N71/$K71,$I71/$K71),0),0)</f>
        <v>1815.6</v>
      </c>
      <c r="AJ71" s="89">
        <f t="shared" si="44"/>
        <v>5446.7999999999993</v>
      </c>
      <c r="AK71" s="90">
        <f t="shared" si="18"/>
        <v>9078</v>
      </c>
      <c r="AL71" s="92" t="s">
        <v>354</v>
      </c>
      <c r="AM71" s="1370"/>
      <c r="AN71" s="1411"/>
      <c r="AO71" s="1405">
        <f>N71*AN71</f>
        <v>0</v>
      </c>
      <c r="AP71" s="62" t="str">
        <f>C71</f>
        <v>09 - Taxa de Esgoto</v>
      </c>
      <c r="AQ71" s="62" t="s">
        <v>311</v>
      </c>
      <c r="AR71" s="508" t="str" cm="1">
        <f t="array" aca="1" ref="AR71" ca="1">IF(OR(AP71="",AP71=0),"",IF(SUMPRODUCT(($C$55:$C$175=AP71)*(U$54:$AI$54&lt;EOMONTH(TODAY(),-1)+1)*(ISNUMBER(U$55:$AI$175)),U$55:$AI$175)=0,"",SUMPRODUCT(($C$55:$C$175=AP71)*(U$54:$AI$54&lt;EOMONTH(TODAY(),-1)+1)*(ISNUMBER(U$55:$AI$175)),U$55:$AI$175)))</f>
        <v/>
      </c>
      <c r="AS71" s="508" t="str">
        <f>A71</f>
        <v>Kaizen - Custo Evitado</v>
      </c>
      <c r="AU71" s="1566">
        <f t="shared" ref="AU71" si="48">IF(OR(I71="",K71=""),0,(I71/12)*K71)</f>
        <v>3782.5</v>
      </c>
      <c r="AV71" s="1566">
        <f t="shared" ref="AV71" si="49">IF(OR(N71="",K71="",K71=0),0,(N71/K71)*12)</f>
        <v>0</v>
      </c>
    </row>
    <row r="72" spans="1:48" ht="29.1" customHeight="1" x14ac:dyDescent="0.3">
      <c r="A72" s="1381"/>
      <c r="B72" s="1702"/>
      <c r="C72" s="1483"/>
      <c r="D72" s="1487"/>
      <c r="E72" s="1369"/>
      <c r="F72" s="1371"/>
      <c r="G72" s="1373"/>
      <c r="H72" s="1727"/>
      <c r="I72" s="1355"/>
      <c r="J72" s="1377"/>
      <c r="K72" s="1390"/>
      <c r="L72" s="1355"/>
      <c r="M72" s="1778"/>
      <c r="N72" s="1392"/>
      <c r="O72" s="1690"/>
      <c r="P72" s="1679"/>
      <c r="Q72" s="1862"/>
      <c r="R72" s="1328"/>
      <c r="S72" s="87" t="s">
        <v>117</v>
      </c>
      <c r="T72" s="726">
        <v>0.56000000000000005</v>
      </c>
      <c r="U72" s="287"/>
      <c r="V72" s="287"/>
      <c r="W72" s="287"/>
      <c r="X72" s="288">
        <f t="shared" si="36"/>
        <v>0</v>
      </c>
      <c r="Y72" s="287"/>
      <c r="Z72" s="287"/>
      <c r="AA72" s="287"/>
      <c r="AB72" s="288">
        <f t="shared" si="32"/>
        <v>0</v>
      </c>
      <c r="AC72" s="287"/>
      <c r="AD72" s="287"/>
      <c r="AE72" s="287"/>
      <c r="AF72" s="288">
        <f t="shared" si="33"/>
        <v>0</v>
      </c>
      <c r="AG72" s="287"/>
      <c r="AH72" s="287"/>
      <c r="AI72" s="287"/>
      <c r="AJ72" s="288">
        <f t="shared" si="44"/>
        <v>0</v>
      </c>
      <c r="AK72" s="289">
        <f t="shared" si="18"/>
        <v>0</v>
      </c>
      <c r="AL72" s="92"/>
      <c r="AM72" s="1371"/>
      <c r="AN72" s="1412"/>
      <c r="AO72" s="1406"/>
      <c r="AP72" s="62" t="str">
        <f>C71</f>
        <v>09 - Taxa de Esgoto</v>
      </c>
      <c r="AQ72" s="62" t="s">
        <v>313</v>
      </c>
      <c r="AR72" s="508" t="str" cm="1">
        <f t="array" aca="1" ref="AR72" ca="1">IF(OR(AP72="",AP72=0),"",IF(SUMPRODUCT(($C$55:$C$175=AP72)*($U$54:AI$54&lt;=TODAY())*(ISNUMBER($U$56:AI$176)),$U$56:AI$176)=0,"",SUMPRODUCT(($C$55:$C$175=AP72)*($U$54:AI$54&lt;=TODAY())*(ISNUMBER($U$56:AI$176)),$U$56:AI$176)))</f>
        <v/>
      </c>
      <c r="AS72" s="508" t="str">
        <f>A71</f>
        <v>Kaizen - Custo Evitado</v>
      </c>
      <c r="AU72" s="1567"/>
      <c r="AV72" s="1567"/>
    </row>
    <row r="73" spans="1:48" ht="29.1" customHeight="1" x14ac:dyDescent="0.3">
      <c r="A73" s="1407" t="s">
        <v>59</v>
      </c>
      <c r="B73" s="1708" t="s">
        <v>97</v>
      </c>
      <c r="C73" s="1465" t="s">
        <v>355</v>
      </c>
      <c r="D73" s="1356" t="s">
        <v>356</v>
      </c>
      <c r="E73" s="1449" t="s">
        <v>357</v>
      </c>
      <c r="F73" s="1451" t="s">
        <v>358</v>
      </c>
      <c r="G73" s="1785">
        <v>46042</v>
      </c>
      <c r="H73" s="1840">
        <v>46388</v>
      </c>
      <c r="I73" s="1395">
        <v>2928</v>
      </c>
      <c r="J73" s="1378"/>
      <c r="K73" s="1387" t="str">
        <f t="shared" ref="K73" si="50">IF(J73="", "", 12 - MONTH(J73) + 1)</f>
        <v/>
      </c>
      <c r="L73" s="1395"/>
      <c r="M73" s="1352"/>
      <c r="N73" s="1393"/>
      <c r="O73" s="1334" t="s">
        <v>83</v>
      </c>
      <c r="P73" s="1703" t="s">
        <v>359</v>
      </c>
      <c r="Q73" s="1667">
        <v>46374</v>
      </c>
      <c r="R73" s="1334">
        <v>1</v>
      </c>
      <c r="S73" s="93" t="s">
        <v>116</v>
      </c>
      <c r="T73" s="727">
        <v>0.97</v>
      </c>
      <c r="U73" s="498">
        <f>IFERROR(IF(AND(U$54&gt;=EOMONTH($J73,-1)+1,U$54&lt;=EOMONTH(EOMONTH($J73,-1)+1,$K73-1)),IF(NOT(ISBLANK($N73)),$N73/$K73,$I73/$K73),0),0)</f>
        <v>0</v>
      </c>
      <c r="V73" s="498">
        <f>IFERROR(IF(AND(V$54&gt;=EOMONTH($J73,-1)+1,V$54&lt;=EOMONTH(EOMONTH($J73,-1)+1,$K73-1)),IF(NOT(ISBLANK($N73)),$N73/$K73,$I73/$K73),0),0)</f>
        <v>0</v>
      </c>
      <c r="W73" s="498">
        <f>IFERROR(IF(AND(W$54&gt;=EOMONTH($J73,-1)+1,W$54&lt;=EOMONTH(EOMONTH($J73,-1)+1,$K73-1)),IF(NOT(ISBLANK($N73)),$N73/$K73,$I73/$K73),0),0)</f>
        <v>0</v>
      </c>
      <c r="X73" s="89">
        <f t="shared" si="36"/>
        <v>0</v>
      </c>
      <c r="Y73" s="498">
        <f>IFERROR(IF(AND(Y$54&gt;=EOMONTH($J73,-1)+1,Y$54&lt;=EOMONTH(EOMONTH($J73,-1)+1,$K73-1)),IF(NOT(ISBLANK($N73)),$N73/$K73,$I73/$K73),0),0)</f>
        <v>0</v>
      </c>
      <c r="Z73" s="498">
        <f>IFERROR(IF(AND(Z$54&gt;=EOMONTH($J73,-1)+1,Z$54&lt;=EOMONTH(EOMONTH($J73,-1)+1,$K73-1)),IF(NOT(ISBLANK($N73)),$N73/$K73,$I73/$K73),0),0)</f>
        <v>0</v>
      </c>
      <c r="AA73" s="498">
        <f>IFERROR(IF(AND(AA$54&gt;=EOMONTH($J73,-1)+1,AA$54&lt;=EOMONTH(EOMONTH($J73,-1)+1,$K73-1)),IF(NOT(ISBLANK($N73)),$N73/$K73,$I73/$K73),0),0)</f>
        <v>0</v>
      </c>
      <c r="AB73" s="89">
        <f t="shared" si="32"/>
        <v>0</v>
      </c>
      <c r="AC73" s="498">
        <f>IFERROR(IF(AND(AC$54&gt;=EOMONTH($J73,-1)+1,AC$54&lt;=EOMONTH(EOMONTH($J73,-1)+1,$K73-1)),IF(NOT(ISBLANK($N73)),$N73/$K73,$I73/$K73),0),0)</f>
        <v>0</v>
      </c>
      <c r="AD73" s="498">
        <f>IFERROR(IF(AND(AD$54&gt;=EOMONTH($J73,-1)+1,AD$54&lt;=EOMONTH(EOMONTH($J73,-1)+1,$K73-1)),IF(NOT(ISBLANK($N73)),$N73/$K73,$I73/$K73),0),0)</f>
        <v>0</v>
      </c>
      <c r="AE73" s="498">
        <f>IFERROR(IF(AND(AE$54&gt;=EOMONTH($J73,-1)+1,AE$54&lt;=EOMONTH(EOMONTH($J73,-1)+1,$K73-1)),IF(NOT(ISBLANK($N73)),$N73/$K73,$I73/$K73),0),0)</f>
        <v>0</v>
      </c>
      <c r="AF73" s="89">
        <f t="shared" si="33"/>
        <v>0</v>
      </c>
      <c r="AG73" s="498">
        <f>IFERROR(IF(AND(AG$54&gt;=EOMONTH($J73,-1)+1,AG$54&lt;=EOMONTH(EOMONTH($J73,-1)+1,$K73-1)),IF(NOT(ISBLANK($N73)),$N73/$K73,$I73/$K73),0),0)</f>
        <v>0</v>
      </c>
      <c r="AH73" s="498">
        <f>IFERROR(IF(AND(AH$54&gt;=EOMONTH($J73,-1)+1,AH$54&lt;=EOMONTH(EOMONTH($J73,-1)+1,$K73-1)),IF(NOT(ISBLANK($N73)),$N73/$K73,$I73/$K73),0),0)</f>
        <v>0</v>
      </c>
      <c r="AI73" s="498">
        <f>IFERROR(IF(AND(AI$54&gt;=EOMONTH($J73,-1)+1,AI$54&lt;=EOMONTH(EOMONTH($J73,-1)+1,$K73-1)),IF(NOT(ISBLANK($N73)),$N73/$K73,$I73/$K73),0),0)</f>
        <v>0</v>
      </c>
      <c r="AJ73" s="89">
        <f t="shared" si="44"/>
        <v>0</v>
      </c>
      <c r="AK73" s="95">
        <f t="shared" si="18"/>
        <v>0</v>
      </c>
      <c r="AL73" s="338" t="s">
        <v>360</v>
      </c>
      <c r="AM73" s="1407"/>
      <c r="AN73" s="1334"/>
      <c r="AO73" s="1403">
        <f>N73*AN73</f>
        <v>0</v>
      </c>
      <c r="AP73" s="62" t="str">
        <f>C73</f>
        <v>10 - Padronização de arame de solda</v>
      </c>
      <c r="AQ73" s="62" t="s">
        <v>311</v>
      </c>
      <c r="AR73" s="508" t="str" cm="1">
        <f t="array" aca="1" ref="AR73" ca="1">IF(OR(AP73="",AP73=0),"",IF(SUMPRODUCT(($C$55:$C$175=AP73)*(U$54:$AI$54&lt;EOMONTH(TODAY(),-1)+1)*(ISNUMBER(U$55:$AI$175)),U$55:$AI$175)=0,"",SUMPRODUCT(($C$55:$C$175=AP73)*(U$54:$AI$54&lt;EOMONTH(TODAY(),-1)+1)*(ISNUMBER(U$55:$AI$175)),U$55:$AI$175)))</f>
        <v/>
      </c>
      <c r="AS73" s="508" t="str">
        <f>A73</f>
        <v>Kaizen - Ganho Recorrente</v>
      </c>
      <c r="AU73" s="1566">
        <f t="shared" ref="AU73" si="51">IF(OR(I73="",K73=""),0,(I73/12)*K73)</f>
        <v>0</v>
      </c>
      <c r="AV73" s="1566">
        <f t="shared" ref="AV73" si="52">IF(OR(N73="",K73="",K73=0),0,(N73/K73)*12)</f>
        <v>0</v>
      </c>
    </row>
    <row r="74" spans="1:48" ht="29.1" customHeight="1" x14ac:dyDescent="0.3">
      <c r="A74" s="1408"/>
      <c r="B74" s="1709"/>
      <c r="C74" s="1466"/>
      <c r="D74" s="1748"/>
      <c r="E74" s="1450"/>
      <c r="F74" s="1452"/>
      <c r="G74" s="1786"/>
      <c r="H74" s="1841"/>
      <c r="I74" s="1396"/>
      <c r="J74" s="1379"/>
      <c r="K74" s="1388"/>
      <c r="L74" s="1396"/>
      <c r="M74" s="1353"/>
      <c r="N74" s="1394"/>
      <c r="O74" s="1330"/>
      <c r="P74" s="1668"/>
      <c r="Q74" s="1668"/>
      <c r="R74" s="1330"/>
      <c r="S74" s="93" t="s">
        <v>117</v>
      </c>
      <c r="T74" s="727">
        <v>0.9</v>
      </c>
      <c r="U74" s="290"/>
      <c r="V74" s="290"/>
      <c r="W74" s="290"/>
      <c r="X74" s="288">
        <f t="shared" si="36"/>
        <v>0</v>
      </c>
      <c r="Y74" s="290"/>
      <c r="Z74" s="290"/>
      <c r="AA74" s="290"/>
      <c r="AB74" s="288">
        <f t="shared" si="32"/>
        <v>0</v>
      </c>
      <c r="AC74" s="290"/>
      <c r="AD74" s="290"/>
      <c r="AE74" s="290"/>
      <c r="AF74" s="288">
        <f t="shared" si="33"/>
        <v>0</v>
      </c>
      <c r="AG74" s="290"/>
      <c r="AH74" s="290"/>
      <c r="AI74" s="290"/>
      <c r="AJ74" s="288">
        <f t="shared" si="44"/>
        <v>0</v>
      </c>
      <c r="AK74" s="291">
        <f t="shared" si="18"/>
        <v>0</v>
      </c>
      <c r="AL74" s="97"/>
      <c r="AM74" s="1408"/>
      <c r="AN74" s="1330"/>
      <c r="AO74" s="1404"/>
      <c r="AP74" s="62" t="str">
        <f>C73</f>
        <v>10 - Padronização de arame de solda</v>
      </c>
      <c r="AQ74" s="62" t="s">
        <v>313</v>
      </c>
      <c r="AR74" s="508" t="str" cm="1">
        <f t="array" aca="1" ref="AR74" ca="1">IF(OR(AP74="",AP74=0),"",IF(SUMPRODUCT(($C$55:$C$175=AP74)*($U$54:AI$54&lt;=TODAY())*(ISNUMBER($U$56:AI$176)),$U$56:AI$176)=0,"",SUMPRODUCT(($C$55:$C$175=AP74)*($U$54:AI$54&lt;=TODAY())*(ISNUMBER($U$56:AI$176)),$U$56:AI$176)))</f>
        <v/>
      </c>
      <c r="AS74" s="508" t="str">
        <f>A73</f>
        <v>Kaizen - Ganho Recorrente</v>
      </c>
      <c r="AU74" s="1567"/>
      <c r="AV74" s="1567"/>
    </row>
    <row r="75" spans="1:48" ht="29.1" customHeight="1" x14ac:dyDescent="0.3">
      <c r="A75" s="1691" t="s">
        <v>59</v>
      </c>
      <c r="B75" s="1701" t="s">
        <v>97</v>
      </c>
      <c r="C75" s="1804" t="s">
        <v>361</v>
      </c>
      <c r="D75" s="1838" t="s">
        <v>309</v>
      </c>
      <c r="E75" s="1368" t="s">
        <v>362</v>
      </c>
      <c r="F75" s="1370" t="s">
        <v>317</v>
      </c>
      <c r="G75" s="1372">
        <v>46113</v>
      </c>
      <c r="H75" s="1372">
        <v>46113</v>
      </c>
      <c r="I75" s="1836">
        <f>3.071/2</f>
        <v>1.5355000000000001</v>
      </c>
      <c r="J75" s="1376">
        <v>46143</v>
      </c>
      <c r="K75" s="1389">
        <v>0</v>
      </c>
      <c r="L75" s="1354"/>
      <c r="M75" s="1770" t="s">
        <v>363</v>
      </c>
      <c r="N75" s="1391">
        <v>0</v>
      </c>
      <c r="O75" s="1764" t="s">
        <v>81</v>
      </c>
      <c r="P75" s="1673" t="s">
        <v>309</v>
      </c>
      <c r="Q75" s="1673" t="s">
        <v>309</v>
      </c>
      <c r="R75" s="1327">
        <v>1</v>
      </c>
      <c r="S75" s="87" t="s">
        <v>116</v>
      </c>
      <c r="T75" s="726">
        <v>1</v>
      </c>
      <c r="U75" s="287">
        <f>IFERROR(IF(AND(U$54&gt;=EOMONTH($J75,-1)+1,U$54&lt;=EOMONTH(EOMONTH($J75,-1)+1,$K75-1)),IF(NOT(ISBLANK($N75)),$N75/$K75,$I75/$K75),0),0)</f>
        <v>0</v>
      </c>
      <c r="V75" s="287">
        <f>IFERROR(IF(AND(V$54&gt;=EOMONTH($J75,-1)+1,V$54&lt;=EOMONTH(EOMONTH($J75,-1)+1,$K75-1)),IF(NOT(ISBLANK($N75)),$N75/$K75,$I75/$K75),0),0)</f>
        <v>0</v>
      </c>
      <c r="W75" s="287">
        <f>IFERROR(IF(AND(W$54&gt;=EOMONTH($J75,-1)+1,W$54&lt;=EOMONTH(EOMONTH($J75,-1)+1,$K75-1)),IF(NOT(ISBLANK($N75)),$N75/$K75,$I75/$K75),0),0)</f>
        <v>0</v>
      </c>
      <c r="X75" s="89">
        <f t="shared" si="36"/>
        <v>0</v>
      </c>
      <c r="Y75" s="287">
        <f>IFERROR(IF(AND(Y$54&gt;=EOMONTH($J75,-1)+1,Y$54&lt;=EOMONTH(EOMONTH($J75,-1)+1,$K75-1)),IF(NOT(ISBLANK($N75)),$N75/$K75,$I75/$K75),0),0)</f>
        <v>0</v>
      </c>
      <c r="Z75" s="287">
        <f>IFERROR(IF(AND(Z$54&gt;=EOMONTH($J75,-1)+1,Z$54&lt;=EOMONTH(EOMONTH($J75,-1)+1,$K75-1)),IF(NOT(ISBLANK($N75)),$N75/$K75,$I75/$K75),0),0)</f>
        <v>0</v>
      </c>
      <c r="AA75" s="287">
        <f>IFERROR(IF(AND(AA$54&gt;=EOMONTH($J75,-1)+1,AA$54&lt;=EOMONTH(EOMONTH($J75,-1)+1,$K75-1)),IF(NOT(ISBLANK($N75)),$N75/$K75,$I75/$K75),0),0)</f>
        <v>0</v>
      </c>
      <c r="AB75" s="89">
        <f t="shared" si="32"/>
        <v>0</v>
      </c>
      <c r="AC75" s="287">
        <f>IFERROR(IF(AND(AC$54&gt;=EOMONTH($J75,-1)+1,AC$54&lt;=EOMONTH(EOMONTH($J75,-1)+1,$K75-1)),IF(NOT(ISBLANK($N75)),$N75/$K75,$I75/$K75),0),0)</f>
        <v>0</v>
      </c>
      <c r="AD75" s="287">
        <f>IFERROR(IF(AND(AD$54&gt;=EOMONTH($J75,-1)+1,AD$54&lt;=EOMONTH(EOMONTH($J75,-1)+1,$K75-1)),IF(NOT(ISBLANK($N75)),$N75/$K75,$I75/$K75),0),0)</f>
        <v>0</v>
      </c>
      <c r="AE75" s="287">
        <f>IFERROR(IF(AND(AE$54&gt;=EOMONTH($J75,-1)+1,AE$54&lt;=EOMONTH(EOMONTH($J75,-1)+1,$K75-1)),IF(NOT(ISBLANK($N75)),$N75/$K75,$I75/$K75),0),0)</f>
        <v>0</v>
      </c>
      <c r="AF75" s="89">
        <f t="shared" si="33"/>
        <v>0</v>
      </c>
      <c r="AG75" s="287">
        <f>IFERROR(IF(AND(AG$54&gt;=EOMONTH($J75,-1)+1,AG$54&lt;=EOMONTH(EOMONTH($J75,-1)+1,$K75-1)),IF(NOT(ISBLANK($N75)),$N75/$K75,$I75/$K75),0),0)</f>
        <v>0</v>
      </c>
      <c r="AH75" s="287">
        <f>IFERROR(IF(AND(AH$54&gt;=EOMONTH($J75,-1)+1,AH$54&lt;=EOMONTH(EOMONTH($J75,-1)+1,$K75-1)),IF(NOT(ISBLANK($N75)),$N75/$K75,$I75/$K75),0),0)</f>
        <v>0</v>
      </c>
      <c r="AI75" s="287">
        <f>IFERROR(IF(AND(AI$54&gt;=EOMONTH($J75,-1)+1,AI$54&lt;=EOMONTH(EOMONTH($J75,-1)+1,$K75-1)),IF(NOT(ISBLANK($N75)),$N75/$K75,$I75/$K75),0),0)</f>
        <v>0</v>
      </c>
      <c r="AJ75" s="89">
        <f t="shared" si="44"/>
        <v>0</v>
      </c>
      <c r="AK75" s="90">
        <f t="shared" si="18"/>
        <v>0</v>
      </c>
      <c r="AL75" s="92"/>
      <c r="AM75" s="1370"/>
      <c r="AN75" s="1411"/>
      <c r="AO75" s="1405">
        <f>N75*AN75</f>
        <v>0</v>
      </c>
      <c r="AP75" s="62" t="str">
        <f>C75</f>
        <v>11 - Resourcing de DSL para DD</v>
      </c>
      <c r="AQ75" s="62" t="s">
        <v>311</v>
      </c>
      <c r="AR75" s="508" t="str" cm="1">
        <f t="array" aca="1" ref="AR75" ca="1">IF(OR(AP75="",AP75=0),"",IF(SUMPRODUCT(($C$55:$C$175=AP75)*(U$54:$AI$54&lt;EOMONTH(TODAY(),-1)+1)*(ISNUMBER(U$55:$AI$175)),U$55:$AI$175)=0,"",SUMPRODUCT(($C$55:$C$175=AP75)*(U$54:$AI$54&lt;EOMONTH(TODAY(),-1)+1)*(ISNUMBER(U$55:$AI$175)),U$55:$AI$175)))</f>
        <v/>
      </c>
      <c r="AS75" s="508" t="str">
        <f>A75</f>
        <v>Kaizen - Ganho Recorrente</v>
      </c>
      <c r="AU75" s="1566">
        <f t="shared" ref="AU75" si="53">IF(OR(I75="",K75=""),0,(I75/12)*K75)</f>
        <v>0</v>
      </c>
      <c r="AV75" s="1566">
        <f t="shared" ref="AV75" si="54">IF(OR(N75="",K75="",K75=0),0,(N75/K75)*12)</f>
        <v>0</v>
      </c>
    </row>
    <row r="76" spans="1:48" ht="29.1" customHeight="1" x14ac:dyDescent="0.3">
      <c r="A76" s="1692"/>
      <c r="B76" s="1702"/>
      <c r="C76" s="1805"/>
      <c r="D76" s="1839"/>
      <c r="E76" s="1369"/>
      <c r="F76" s="1371"/>
      <c r="G76" s="1373"/>
      <c r="H76" s="1373"/>
      <c r="I76" s="1837"/>
      <c r="J76" s="1377"/>
      <c r="K76" s="1390"/>
      <c r="L76" s="1355"/>
      <c r="M76" s="1771"/>
      <c r="N76" s="1877"/>
      <c r="O76" s="1765"/>
      <c r="P76" s="1674"/>
      <c r="Q76" s="1674"/>
      <c r="R76" s="1328"/>
      <c r="S76" s="87" t="s">
        <v>117</v>
      </c>
      <c r="T76" s="726">
        <v>0</v>
      </c>
      <c r="U76" s="287"/>
      <c r="V76" s="287"/>
      <c r="W76" s="287"/>
      <c r="X76" s="288">
        <f t="shared" si="36"/>
        <v>0</v>
      </c>
      <c r="Y76" s="287"/>
      <c r="Z76" s="287"/>
      <c r="AA76" s="287"/>
      <c r="AB76" s="288">
        <f t="shared" si="32"/>
        <v>0</v>
      </c>
      <c r="AC76" s="287"/>
      <c r="AD76" s="287"/>
      <c r="AE76" s="287"/>
      <c r="AF76" s="288">
        <f t="shared" si="33"/>
        <v>0</v>
      </c>
      <c r="AG76" s="287"/>
      <c r="AH76" s="287"/>
      <c r="AI76" s="287"/>
      <c r="AJ76" s="288">
        <f t="shared" si="44"/>
        <v>0</v>
      </c>
      <c r="AK76" s="289">
        <f t="shared" si="18"/>
        <v>0</v>
      </c>
      <c r="AL76" s="92"/>
      <c r="AM76" s="1371"/>
      <c r="AN76" s="1412"/>
      <c r="AO76" s="1406"/>
      <c r="AP76" s="62" t="str">
        <f>C75</f>
        <v>11 - Resourcing de DSL para DD</v>
      </c>
      <c r="AQ76" s="62" t="s">
        <v>313</v>
      </c>
      <c r="AR76" s="508" t="str" cm="1">
        <f t="array" aca="1" ref="AR76" ca="1">IF(OR(AP76="",AP76=0),"",IF(SUMPRODUCT(($C$55:$C$175=AP76)*($U$54:AI$54&lt;=TODAY())*(ISNUMBER($U$56:AI$176)),$U$56:AI$176)=0,"",SUMPRODUCT(($C$55:$C$175=AP76)*($U$54:AI$54&lt;=TODAY())*(ISNUMBER($U$56:AI$176)),$U$56:AI$176)))</f>
        <v/>
      </c>
      <c r="AS76" s="508" t="str">
        <f>A75</f>
        <v>Kaizen - Ganho Recorrente</v>
      </c>
      <c r="AU76" s="1567"/>
      <c r="AV76" s="1567"/>
    </row>
    <row r="77" spans="1:48" ht="29.1" customHeight="1" x14ac:dyDescent="0.3">
      <c r="A77" s="1693" t="s">
        <v>59</v>
      </c>
      <c r="B77" s="1708" t="s">
        <v>97</v>
      </c>
      <c r="C77" s="1482" t="s">
        <v>364</v>
      </c>
      <c r="D77" s="1356" t="s">
        <v>365</v>
      </c>
      <c r="E77" s="1449" t="s">
        <v>366</v>
      </c>
      <c r="F77" s="1451" t="s">
        <v>323</v>
      </c>
      <c r="G77" s="1785">
        <v>46023</v>
      </c>
      <c r="H77" s="1785">
        <v>46053</v>
      </c>
      <c r="I77" s="1488">
        <v>38583</v>
      </c>
      <c r="J77" s="1378">
        <v>46023</v>
      </c>
      <c r="K77" s="1387">
        <v>1</v>
      </c>
      <c r="L77" s="1395"/>
      <c r="M77" s="1478" t="s">
        <v>308</v>
      </c>
      <c r="N77" s="1728">
        <v>37746.6</v>
      </c>
      <c r="O77" s="1856" t="s">
        <v>81</v>
      </c>
      <c r="P77" s="1671" t="s">
        <v>309</v>
      </c>
      <c r="Q77" s="1671" t="s">
        <v>309</v>
      </c>
      <c r="R77" s="1849">
        <v>1</v>
      </c>
      <c r="S77" s="529" t="s">
        <v>116</v>
      </c>
      <c r="T77" s="728">
        <v>1</v>
      </c>
      <c r="U77" s="498">
        <f>IFERROR(IF(AND(U$54&gt;=EOMONTH($J77,-1)+1,U$54&lt;=EOMONTH(EOMONTH($J77,-1)+1,$K77-1)),IF(NOT(ISBLANK($N77)),$N77/$K77,$I77/$K77),0),0)</f>
        <v>37746.6</v>
      </c>
      <c r="V77" s="498">
        <f>IFERROR(IF(AND(V$54&gt;=EOMONTH($J77,-1)+1,V$54&lt;=EOMONTH(EOMONTH($J77,-1)+1,$K77-1)),IF(NOT(ISBLANK($N77)),$N77/$K77,$I77/$K77),0),0)</f>
        <v>0</v>
      </c>
      <c r="W77" s="498">
        <f>IFERROR(IF(AND(W$54&gt;=EOMONTH($J77,-1)+1,W$54&lt;=EOMONTH(EOMONTH($J77,-1)+1,$K77-1)),IF(NOT(ISBLANK($N77)),$N77/$K77,$I77/$K77),0),0)</f>
        <v>0</v>
      </c>
      <c r="X77" s="89">
        <f t="shared" ref="X77" si="55">SUM(U77:W77)</f>
        <v>37746.6</v>
      </c>
      <c r="Y77" s="498">
        <f>IFERROR(IF(AND(Y$54&gt;=EOMONTH($J77,-1)+1,Y$54&lt;=EOMONTH(EOMONTH($J77,-1)+1,$K77-1)),IF(NOT(ISBLANK($N77)),$N77/$K77,$I77/$K77),0),0)</f>
        <v>0</v>
      </c>
      <c r="Z77" s="498">
        <f>IFERROR(IF(AND(Z$54&gt;=EOMONTH($J77,-1)+1,Z$54&lt;=EOMONTH(EOMONTH($J77,-1)+1,$K77-1)),IF(NOT(ISBLANK($N77)),$N77/$K77,$I77/$K77),0),0)</f>
        <v>0</v>
      </c>
      <c r="AA77" s="498">
        <f>IFERROR(IF(AND(AA$54&gt;=EOMONTH($J77,-1)+1,AA$54&lt;=EOMONTH(EOMONTH($J77,-1)+1,$K77-1)),IF(NOT(ISBLANK($N77)),$N77/$K77,$I77/$K77),0),0)</f>
        <v>0</v>
      </c>
      <c r="AB77" s="89">
        <f t="shared" ref="AB77" si="56">SUM(Y77:AA77)</f>
        <v>0</v>
      </c>
      <c r="AC77" s="498">
        <f>IFERROR(IF(AND(AC$54&gt;=EOMONTH($J77,-1)+1,AC$54&lt;=EOMONTH(EOMONTH($J77,-1)+1,$K77-1)),IF(NOT(ISBLANK($N77)),$N77/$K77,$I77/$K77),0),0)</f>
        <v>0</v>
      </c>
      <c r="AD77" s="498">
        <f>IFERROR(IF(AND(AD$54&gt;=EOMONTH($J77,-1)+1,AD$54&lt;=EOMONTH(EOMONTH($J77,-1)+1,$K77-1)),IF(NOT(ISBLANK($N77)),$N77/$K77,$I77/$K77),0),0)</f>
        <v>0</v>
      </c>
      <c r="AE77" s="498">
        <f>IFERROR(IF(AND(AE$54&gt;=EOMONTH($J77,-1)+1,AE$54&lt;=EOMONTH(EOMONTH($J77,-1)+1,$K77-1)),IF(NOT(ISBLANK($N77)),$N77/$K77,$I77/$K77),0),0)</f>
        <v>0</v>
      </c>
      <c r="AF77" s="89">
        <f t="shared" ref="AF77" si="57">SUM(AC77:AE77)</f>
        <v>0</v>
      </c>
      <c r="AG77" s="498">
        <f>IFERROR(IF(AND(AG$54&gt;=EOMONTH($J77,-1)+1,AG$54&lt;=EOMONTH(EOMONTH($J77,-1)+1,$K77-1)),IF(NOT(ISBLANK($N77)),$N77/$K77,$I77/$K77),0),0)</f>
        <v>0</v>
      </c>
      <c r="AH77" s="498">
        <f>IFERROR(IF(AND(AH$54&gt;=EOMONTH($J77,-1)+1,AH$54&lt;=EOMONTH(EOMONTH($J77,-1)+1,$K77-1)),IF(NOT(ISBLANK($N77)),$N77/$K77,$I77/$K77),0),0)</f>
        <v>0</v>
      </c>
      <c r="AI77" s="498">
        <f>IFERROR(IF(AND(AI$54&gt;=EOMONTH($J77,-1)+1,AI$54&lt;=EOMONTH(EOMONTH($J77,-1)+1,$K77-1)),IF(NOT(ISBLANK($N77)),$N77/$K77,$I77/$K77),0),0)</f>
        <v>0</v>
      </c>
      <c r="AJ77" s="89">
        <f t="shared" si="44"/>
        <v>0</v>
      </c>
      <c r="AK77" s="95">
        <f t="shared" si="18"/>
        <v>37746.6</v>
      </c>
      <c r="AL77" s="150" t="s">
        <v>367</v>
      </c>
      <c r="AM77" s="1407"/>
      <c r="AN77" s="1334"/>
      <c r="AO77" s="1403">
        <f>N77*AN77</f>
        <v>0</v>
      </c>
      <c r="AP77" s="62" t="str">
        <f>C77</f>
        <v>12 - Aproveitamento de peças Obsoletas - A9583176540</v>
      </c>
      <c r="AQ77" s="62" t="s">
        <v>311</v>
      </c>
      <c r="AR77" s="508" cm="1">
        <f t="array" aca="1" ref="AR77" ca="1">IF(OR(AP77="",AP77=0),"",IF(SUMPRODUCT(($C$55:$C$175=AP77)*(U$54:$AI$54&lt;EOMONTH(TODAY(),-1)+1)*(ISNUMBER(U$55:$AI$175)),U$55:$AI$175)=0,"",SUMPRODUCT(($C$55:$C$175=AP77)*(U$54:$AI$54&lt;EOMONTH(TODAY(),-1)+1)*(ISNUMBER(U$55:$AI$175)),U$55:$AI$175)))</f>
        <v>37746.6</v>
      </c>
      <c r="AS77" s="508" t="str">
        <f>A77</f>
        <v>Kaizen - Ganho Recorrente</v>
      </c>
      <c r="AU77" s="1566">
        <v>38583</v>
      </c>
      <c r="AV77" s="1566">
        <v>37746.6</v>
      </c>
    </row>
    <row r="78" spans="1:48" ht="29.1" customHeight="1" x14ac:dyDescent="0.3">
      <c r="A78" s="1694"/>
      <c r="B78" s="1709"/>
      <c r="C78" s="1483"/>
      <c r="D78" s="1455"/>
      <c r="E78" s="1450"/>
      <c r="F78" s="1452"/>
      <c r="G78" s="1786"/>
      <c r="H78" s="1786"/>
      <c r="I78" s="1367"/>
      <c r="J78" s="1379"/>
      <c r="K78" s="1388"/>
      <c r="L78" s="1396"/>
      <c r="M78" s="1479"/>
      <c r="N78" s="1729"/>
      <c r="O78" s="1857"/>
      <c r="P78" s="1672"/>
      <c r="Q78" s="1672"/>
      <c r="R78" s="1850"/>
      <c r="S78" s="529" t="s">
        <v>117</v>
      </c>
      <c r="T78" s="728">
        <v>1</v>
      </c>
      <c r="U78" s="498">
        <f>N77</f>
        <v>37746.6</v>
      </c>
      <c r="V78" s="498">
        <v>0</v>
      </c>
      <c r="W78" s="290">
        <v>0</v>
      </c>
      <c r="X78" s="288">
        <f t="shared" ref="X78:X81" si="58">SUM(U78:W78)</f>
        <v>37746.6</v>
      </c>
      <c r="Y78" s="290">
        <v>0</v>
      </c>
      <c r="Z78" s="290"/>
      <c r="AA78" s="290"/>
      <c r="AB78" s="288">
        <f t="shared" ref="AB78:AB81" si="59">SUM(Y78:AA78)</f>
        <v>0</v>
      </c>
      <c r="AC78" s="290"/>
      <c r="AD78" s="290"/>
      <c r="AE78" s="290"/>
      <c r="AF78" s="288">
        <f t="shared" ref="AF78:AF81" si="60">SUM(AC78:AE78)</f>
        <v>0</v>
      </c>
      <c r="AG78" s="290"/>
      <c r="AH78" s="290"/>
      <c r="AI78" s="290"/>
      <c r="AJ78" s="288">
        <f t="shared" si="44"/>
        <v>0</v>
      </c>
      <c r="AK78" s="291">
        <f t="shared" si="18"/>
        <v>37746.6</v>
      </c>
      <c r="AL78" s="125" t="s">
        <v>368</v>
      </c>
      <c r="AM78" s="1408"/>
      <c r="AN78" s="1330"/>
      <c r="AO78" s="1404"/>
      <c r="AP78" s="62" t="str">
        <f>C77</f>
        <v>12 - Aproveitamento de peças Obsoletas - A9583176540</v>
      </c>
      <c r="AQ78" s="62" t="s">
        <v>313</v>
      </c>
      <c r="AR78" s="508" cm="1">
        <f t="array" aca="1" ref="AR78" ca="1">IF(OR(AP78="",AP78=0),"",IF(SUMPRODUCT(($C$55:$C$175=AP78)*($U$54:AI$54&lt;=TODAY())*(ISNUMBER($U$56:AI$176)),$U$56:AI$176)=0,"",SUMPRODUCT(($C$55:$C$175=AP78)*($U$54:AI$54&lt;=TODAY())*(ISNUMBER($U$56:AI$176)),$U$56:AI$176)))</f>
        <v>37746.6</v>
      </c>
      <c r="AS78" s="508" t="str">
        <f>A77</f>
        <v>Kaizen - Ganho Recorrente</v>
      </c>
      <c r="AU78" s="1567"/>
      <c r="AV78" s="1567"/>
    </row>
    <row r="79" spans="1:48" ht="29.1" customHeight="1" x14ac:dyDescent="0.3">
      <c r="A79" s="1691" t="s">
        <v>59</v>
      </c>
      <c r="B79" s="1701" t="s">
        <v>97</v>
      </c>
      <c r="C79" s="1482" t="s">
        <v>369</v>
      </c>
      <c r="D79" s="1486" t="s">
        <v>370</v>
      </c>
      <c r="E79" s="1368" t="s">
        <v>371</v>
      </c>
      <c r="F79" s="1370" t="s">
        <v>323</v>
      </c>
      <c r="G79" s="1372">
        <v>46023</v>
      </c>
      <c r="H79" s="1372">
        <v>46127</v>
      </c>
      <c r="I79" s="1689">
        <v>1890</v>
      </c>
      <c r="J79" s="1376">
        <v>46113</v>
      </c>
      <c r="K79" s="1389">
        <f t="shared" ref="K79" si="61">IF(J79="", "", 12 - MONTH(J79) + 1)</f>
        <v>9</v>
      </c>
      <c r="L79" s="1354"/>
      <c r="M79" s="1770" t="s">
        <v>363</v>
      </c>
      <c r="N79" s="1391"/>
      <c r="O79" s="1764" t="s">
        <v>81</v>
      </c>
      <c r="P79" s="1673" t="s">
        <v>309</v>
      </c>
      <c r="Q79" s="1673" t="s">
        <v>309</v>
      </c>
      <c r="R79" s="1327">
        <v>1</v>
      </c>
      <c r="S79" s="87">
        <v>0</v>
      </c>
      <c r="T79" s="726">
        <v>1</v>
      </c>
      <c r="U79" s="287">
        <f>IFERROR(IF(AND(U$54&gt;=EOMONTH($J79,-1)+1,U$54&lt;=EOMONTH(EOMONTH($J79,-1)+1,$K79-1)),IF(NOT(ISBLANK($N79)),$N79/$K79,$I79/$K79),0),0)</f>
        <v>0</v>
      </c>
      <c r="V79" s="287">
        <f>IFERROR(IF(AND(V$54&gt;=EOMONTH($J79,-1)+1,V$54&lt;=EOMONTH(EOMONTH($J79,-1)+1,$K79-1)),IF(NOT(ISBLANK($N79)),$N79/$K79,$I79/$K79),0),0)</f>
        <v>0</v>
      </c>
      <c r="W79" s="287">
        <f>IFERROR(IF(AND(W$54&gt;=EOMONTH($J79,-1)+1,W$54&lt;=EOMONTH(EOMONTH($J79,-1)+1,$K79-1)),IF(NOT(ISBLANK($N79)),$N79/$K79,$I79/$K79),0),0)</f>
        <v>0</v>
      </c>
      <c r="X79" s="89">
        <f t="shared" si="58"/>
        <v>0</v>
      </c>
      <c r="Y79" s="527">
        <f>IFERROR(IF(AND(Y$54&gt;=EOMONTH($J79,-1)+1,Y$54&lt;=EOMONTH(EOMONTH($J79,-1)+1,$K79-1)),IF(NOT(ISBLANK($N79)),$N79/$K79,$I79/$K79),0),0)</f>
        <v>210</v>
      </c>
      <c r="Z79" s="287">
        <f>IFERROR(IF(AND(Z$54&gt;=EOMONTH($J79,-1)+1,Z$54&lt;=EOMONTH(EOMONTH($J79,-1)+1,$K79-1)),IF(NOT(ISBLANK($N79)),$N79/$K79,$I79/$K79),0),0)</f>
        <v>210</v>
      </c>
      <c r="AA79" s="287">
        <f>IFERROR(IF(AND(AA$54&gt;=EOMONTH($J79,-1)+1,AA$54&lt;=EOMONTH(EOMONTH($J79,-1)+1,$K79-1)),IF(NOT(ISBLANK($N79)),$N79/$K79,$I79/$K79),0),0)</f>
        <v>210</v>
      </c>
      <c r="AB79" s="89">
        <f t="shared" si="59"/>
        <v>630</v>
      </c>
      <c r="AC79" s="287">
        <f>IFERROR(IF(AND(AC$54&gt;=EOMONTH($J79,-1)+1,AC$54&lt;=EOMONTH(EOMONTH($J79,-1)+1,$K79-1)),IF(NOT(ISBLANK($N79)),$N79/$K79,$I79/$K79),0),0)</f>
        <v>210</v>
      </c>
      <c r="AD79" s="287">
        <f>IFERROR(IF(AND(AD$54&gt;=EOMONTH($J79,-1)+1,AD$54&lt;=EOMONTH(EOMONTH($J79,-1)+1,$K79-1)),IF(NOT(ISBLANK($N79)),$N79/$K79,$I79/$K79),0),0)</f>
        <v>210</v>
      </c>
      <c r="AE79" s="287">
        <f>IFERROR(IF(AND(AE$54&gt;=EOMONTH($J79,-1)+1,AE$54&lt;=EOMONTH(EOMONTH($J79,-1)+1,$K79-1)),IF(NOT(ISBLANK($N79)),$N79/$K79,$I79/$K79),0),0)</f>
        <v>210</v>
      </c>
      <c r="AF79" s="89">
        <f t="shared" si="60"/>
        <v>630</v>
      </c>
      <c r="AG79" s="287">
        <f>IFERROR(IF(AND(AG$54&gt;=EOMONTH($J79,-1)+1,AG$54&lt;=EOMONTH(EOMONTH($J79,-1)+1,$K79-1)),IF(NOT(ISBLANK($N79)),$N79/$K79,$I79/$K79),0),0)</f>
        <v>210</v>
      </c>
      <c r="AH79" s="287">
        <f>IFERROR(IF(AND(AH$54&gt;=EOMONTH($J79,-1)+1,AH$54&lt;=EOMONTH(EOMONTH($J79,-1)+1,$K79-1)),IF(NOT(ISBLANK($N79)),$N79/$K79,$I79/$K79),0),0)</f>
        <v>210</v>
      </c>
      <c r="AI79" s="287">
        <f>IFERROR(IF(AND(AI$54&gt;=EOMONTH($J79,-1)+1,AI$54&lt;=EOMONTH(EOMONTH($J79,-1)+1,$K79-1)),IF(NOT(ISBLANK($N79)),$N79/$K79,$I79/$K79),0),0)</f>
        <v>210</v>
      </c>
      <c r="AJ79" s="89">
        <f t="shared" si="44"/>
        <v>630</v>
      </c>
      <c r="AK79" s="90">
        <f t="shared" si="18"/>
        <v>1890</v>
      </c>
      <c r="AL79" s="92" t="s">
        <v>372</v>
      </c>
      <c r="AM79" s="1370"/>
      <c r="AN79" s="1411"/>
      <c r="AO79" s="1405">
        <f>N79*AN79</f>
        <v>0</v>
      </c>
      <c r="AP79" s="62" t="str">
        <f>C79</f>
        <v>13 - Redução de Componente - 4065 de 6 para 4</v>
      </c>
      <c r="AQ79" s="62" t="s">
        <v>311</v>
      </c>
      <c r="AR79" s="508" cm="1">
        <f t="array" aca="1" ref="AR79" ca="1">IF(OR(AP79="",AP79=0),"",IF(SUMPRODUCT(($C$55:$C$175=AP79)*(U$54:$AI$54&lt;EOMONTH(TODAY(),-1)+1)*(ISNUMBER(U$55:$AI$175)),U$55:$AI$175)=0,"",SUMPRODUCT(($C$55:$C$175=AP79)*(U$54:$AI$54&lt;EOMONTH(TODAY(),-1)+1)*(ISNUMBER(U$55:$AI$175)),U$55:$AI$175)))</f>
        <v>840</v>
      </c>
      <c r="AS79" s="508" t="str">
        <f>A79</f>
        <v>Kaizen - Ganho Recorrente</v>
      </c>
      <c r="AU79" s="1566">
        <f t="shared" ref="AU79" si="62">IF(OR(I79="",K79=""),0,(I79/12)*K79)</f>
        <v>1417.5</v>
      </c>
      <c r="AV79" s="1566">
        <f t="shared" ref="AV79" si="63">IF(OR(N79="",K79="",K79=0),0,(N79/K79)*12)</f>
        <v>0</v>
      </c>
    </row>
    <row r="80" spans="1:48" ht="29.1" customHeight="1" x14ac:dyDescent="0.3">
      <c r="A80" s="1692"/>
      <c r="B80" s="1702"/>
      <c r="C80" s="1483"/>
      <c r="D80" s="1487"/>
      <c r="E80" s="1369"/>
      <c r="F80" s="1371"/>
      <c r="G80" s="1373"/>
      <c r="H80" s="1373"/>
      <c r="I80" s="1690"/>
      <c r="J80" s="1377"/>
      <c r="K80" s="1390"/>
      <c r="L80" s="1355"/>
      <c r="M80" s="1771"/>
      <c r="N80" s="1877"/>
      <c r="O80" s="1765"/>
      <c r="P80" s="1674"/>
      <c r="Q80" s="1674"/>
      <c r="R80" s="1328"/>
      <c r="S80" s="87" t="s">
        <v>117</v>
      </c>
      <c r="T80" s="726">
        <v>1</v>
      </c>
      <c r="U80" s="287"/>
      <c r="V80" s="287"/>
      <c r="W80" s="287"/>
      <c r="X80" s="288">
        <f t="shared" si="58"/>
        <v>0</v>
      </c>
      <c r="Y80" s="1309"/>
      <c r="Z80" s="1309"/>
      <c r="AA80" s="1309"/>
      <c r="AB80" s="288">
        <f t="shared" si="59"/>
        <v>0</v>
      </c>
      <c r="AC80" s="1309"/>
      <c r="AD80" s="1309"/>
      <c r="AE80" s="1309"/>
      <c r="AF80" s="288">
        <f t="shared" si="60"/>
        <v>0</v>
      </c>
      <c r="AG80" s="287"/>
      <c r="AH80" s="287"/>
      <c r="AI80" s="287"/>
      <c r="AJ80" s="288">
        <f t="shared" si="44"/>
        <v>0</v>
      </c>
      <c r="AK80" s="289">
        <f t="shared" si="18"/>
        <v>0</v>
      </c>
      <c r="AL80" s="92"/>
      <c r="AM80" s="1371"/>
      <c r="AN80" s="1412"/>
      <c r="AO80" s="1406"/>
      <c r="AP80" s="62" t="str">
        <f>C79</f>
        <v>13 - Redução de Componente - 4065 de 6 para 4</v>
      </c>
      <c r="AQ80" s="62" t="s">
        <v>313</v>
      </c>
      <c r="AR80" s="508" t="str" cm="1">
        <f t="array" aca="1" ref="AR80" ca="1">IF(OR(AP80="",AP80=0),"",IF(SUMPRODUCT(($C$55:$C$175=AP80)*($U$54:AI$54&lt;=TODAY())*(ISNUMBER($U$56:AI$176)),$U$56:AI$176)=0,"",SUMPRODUCT(($C$55:$C$175=AP80)*($U$54:AI$54&lt;=TODAY())*(ISNUMBER($U$56:AI$176)),$U$56:AI$176)))</f>
        <v/>
      </c>
      <c r="AS80" s="508" t="str">
        <f>A79</f>
        <v>Kaizen - Ganho Recorrente</v>
      </c>
      <c r="AU80" s="1567"/>
      <c r="AV80" s="1567"/>
    </row>
    <row r="81" spans="1:48" ht="29.1" customHeight="1" x14ac:dyDescent="0.3">
      <c r="A81" s="1693" t="s">
        <v>91</v>
      </c>
      <c r="B81" s="1708" t="s">
        <v>95</v>
      </c>
      <c r="C81" s="1465" t="s">
        <v>373</v>
      </c>
      <c r="D81" s="1356" t="s">
        <v>374</v>
      </c>
      <c r="E81" s="1449" t="s">
        <v>375</v>
      </c>
      <c r="F81" s="1451" t="s">
        <v>376</v>
      </c>
      <c r="G81" s="1785">
        <v>46023</v>
      </c>
      <c r="H81" s="1785">
        <v>46054</v>
      </c>
      <c r="I81" s="1488">
        <v>39996</v>
      </c>
      <c r="J81" s="1378">
        <v>46054</v>
      </c>
      <c r="K81" s="1387">
        <f t="shared" ref="K81" si="64">IF(J81="", "", 12 - MONTH(J81) + 1)</f>
        <v>11</v>
      </c>
      <c r="L81" s="1395"/>
      <c r="M81" s="1720" t="s">
        <v>308</v>
      </c>
      <c r="N81" s="1728">
        <v>46996.932073171294</v>
      </c>
      <c r="O81" s="1776" t="s">
        <v>81</v>
      </c>
      <c r="P81" s="1671" t="s">
        <v>309</v>
      </c>
      <c r="Q81" s="1671" t="s">
        <v>309</v>
      </c>
      <c r="R81" s="1782">
        <v>1</v>
      </c>
      <c r="S81" s="585" t="s">
        <v>116</v>
      </c>
      <c r="T81" s="727">
        <v>1</v>
      </c>
      <c r="U81" s="587">
        <f>IFERROR(IF(AND(U$54&gt;=EOMONTH($J81,-1)+1,U$54&lt;=EOMONTH(EOMONTH($J81,-1)+1,$K81-1)),IF(NOT(ISBLANK($N81)),$N81/$K81,$I81/$K81),0),0)</f>
        <v>0</v>
      </c>
      <c r="V81" s="587">
        <f>IFERROR(IF(AND(V$54&gt;=EOMONTH($J81,-1)+1,V$54&lt;=EOMONTH(EOMONTH($J81,-1)+1,$K81-1)),IF(NOT(ISBLANK($N81)),$N81/$K81,$I81/$K81),0),0)</f>
        <v>4272.4483702882999</v>
      </c>
      <c r="W81" s="816">
        <f>IFERROR(IF(AND(W$54&gt;=EOMONTH($J81,-1)+1,W$54&lt;=EOMONTH(EOMONTH($J81,-1)+1,$K81-1)),IF(NOT(ISBLANK($N81)),$N81/$K81,$I81/$K81),0),0)</f>
        <v>4272.4483702882999</v>
      </c>
      <c r="X81" s="89">
        <f t="shared" si="58"/>
        <v>8544.8967405765998</v>
      </c>
      <c r="Y81" s="816">
        <f>IFERROR(IF(AND(Y$54&gt;=EOMONTH($J81,-1)+1,Y$54&lt;=EOMONTH(EOMONTH($J81,-1)+1,$K81-1)),IF(NOT(ISBLANK($N81)),$N81/$K81,$I81/$K81),0),0)</f>
        <v>4272.4483702882999</v>
      </c>
      <c r="Z81" s="498">
        <f>IFERROR(IF(AND(Z$54&gt;=EOMONTH($J81,-1)+1,Z$54&lt;=EOMONTH(EOMONTH($J81,-1)+1,$K81-1)),IF(NOT(ISBLANK($N81)),$N81/$K81,$I81/$K81),0),0)</f>
        <v>4272.4483702882999</v>
      </c>
      <c r="AA81" s="498">
        <f>IFERROR(IF(AND(AA$54&gt;=EOMONTH($J81,-1)+1,AA$54&lt;=EOMONTH(EOMONTH($J81,-1)+1,$K81-1)),IF(NOT(ISBLANK($N81)),$N81/$K81,$I81/$K81),0),0)</f>
        <v>4272.4483702882999</v>
      </c>
      <c r="AB81" s="89">
        <f t="shared" si="59"/>
        <v>12817.345110864899</v>
      </c>
      <c r="AC81" s="498">
        <f>IFERROR(IF(AND(AC$54&gt;=EOMONTH($J81,-1)+1,AC$54&lt;=EOMONTH(EOMONTH($J81,-1)+1,$K81-1)),IF(NOT(ISBLANK($N81)),$N81/$K81,$I81/$K81),0),0)</f>
        <v>4272.4483702882999</v>
      </c>
      <c r="AD81" s="498">
        <f>IFERROR(IF(AND(AD$54&gt;=EOMONTH($J81,-1)+1,AD$54&lt;=EOMONTH(EOMONTH($J81,-1)+1,$K81-1)),IF(NOT(ISBLANK($N81)),$N81/$K81,$I81/$K81),0),0)</f>
        <v>4272.4483702882999</v>
      </c>
      <c r="AE81" s="498">
        <f>IFERROR(IF(AND(AE$54&gt;=EOMONTH($J81,-1)+1,AE$54&lt;=EOMONTH(EOMONTH($J81,-1)+1,$K81-1)),IF(NOT(ISBLANK($N81)),$N81/$K81,$I81/$K81),0),0)</f>
        <v>4272.4483702882999</v>
      </c>
      <c r="AF81" s="89">
        <f t="shared" si="60"/>
        <v>12817.345110864899</v>
      </c>
      <c r="AG81" s="498">
        <f>IFERROR(IF(AND(AG$54&gt;=EOMONTH($J81,-1)+1,AG$54&lt;=EOMONTH(EOMONTH($J81,-1)+1,$K81-1)),IF(NOT(ISBLANK($N81)),$N81/$K81,$I81/$K81),0),0)</f>
        <v>4272.4483702882999</v>
      </c>
      <c r="AH81" s="498">
        <f>IFERROR(IF(AND(AH$54&gt;=EOMONTH($J81,-1)+1,AH$54&lt;=EOMONTH(EOMONTH($J81,-1)+1,$K81-1)),IF(NOT(ISBLANK($N81)),$N81/$K81,$I81/$K81),0),0)</f>
        <v>4272.4483702882999</v>
      </c>
      <c r="AI81" s="498">
        <f>IFERROR(IF(AND(AI$54&gt;=EOMONTH($J81,-1)+1,AI$54&lt;=EOMONTH(EOMONTH($J81,-1)+1,$K81-1)),IF(NOT(ISBLANK($N81)),$N81/$K81,$I81/$K81),0),0)</f>
        <v>4272.4483702882999</v>
      </c>
      <c r="AJ81" s="89">
        <f t="shared" ref="AJ81:AJ94" si="65">SUM(AG81:AI81)</f>
        <v>12817.345110864899</v>
      </c>
      <c r="AK81" s="95">
        <f t="shared" si="18"/>
        <v>46996.932073171294</v>
      </c>
      <c r="AL81" s="97" t="s">
        <v>377</v>
      </c>
      <c r="AM81" s="1407"/>
      <c r="AN81" s="1334"/>
      <c r="AO81" s="1403">
        <f>N81*AN81</f>
        <v>0</v>
      </c>
      <c r="AP81" s="62" t="str">
        <f>C81</f>
        <v>14 - REDUÇÃO DE MP DA000518Z (Anchieta) Código DD - VB000324Z</v>
      </c>
      <c r="AQ81" s="62" t="s">
        <v>311</v>
      </c>
      <c r="AR81" s="508" cm="1">
        <f t="array" aca="1" ref="AR81" ca="1">IF(OR(AP81="",AP81=0),"",IF(SUMPRODUCT(($C$55:$C$175=AP81)*(U$54:$AI$54&lt;EOMONTH(TODAY(),-1)+1)*(ISNUMBER(U$55:$AI$175)),U$55:$AI$175)=0,"",SUMPRODUCT(($C$55:$C$175=AP81)*(U$54:$AI$54&lt;EOMONTH(TODAY(),-1)+1)*(ISNUMBER(U$55:$AI$175)),U$55:$AI$175)))</f>
        <v>25634.690221729801</v>
      </c>
      <c r="AS81" s="508" t="str">
        <f>A81</f>
        <v>BSW</v>
      </c>
      <c r="AU81" s="1566">
        <f t="shared" ref="AU81" si="66">IF(OR(I81="",K81=""),0,(I81/12)*K81)</f>
        <v>36663</v>
      </c>
      <c r="AV81" s="1566">
        <f t="shared" ref="AV81" si="67">IF(OR(N81="",K81="",K81=0),0,(N81/K81)*12)</f>
        <v>51269.380443459595</v>
      </c>
    </row>
    <row r="82" spans="1:48" ht="29.1" customHeight="1" x14ac:dyDescent="0.3">
      <c r="A82" s="1694"/>
      <c r="B82" s="1709"/>
      <c r="C82" s="1466"/>
      <c r="D82" s="1748"/>
      <c r="E82" s="1450"/>
      <c r="F82" s="1452"/>
      <c r="G82" s="1786"/>
      <c r="H82" s="1786"/>
      <c r="I82" s="1367"/>
      <c r="J82" s="1379"/>
      <c r="K82" s="1388"/>
      <c r="L82" s="1396"/>
      <c r="M82" s="1721"/>
      <c r="N82" s="1729"/>
      <c r="O82" s="1777"/>
      <c r="P82" s="1672"/>
      <c r="Q82" s="1672"/>
      <c r="R82" s="1783"/>
      <c r="S82" s="585" t="s">
        <v>117</v>
      </c>
      <c r="T82" s="727">
        <v>1</v>
      </c>
      <c r="U82" s="587"/>
      <c r="V82" s="587">
        <v>4586.7548434203618</v>
      </c>
      <c r="W82" s="290">
        <v>4262.5124438457688</v>
      </c>
      <c r="X82" s="288">
        <f t="shared" ref="X82:X94" si="68">SUM(U82:W82)</f>
        <v>8849.2672872661315</v>
      </c>
      <c r="Y82" s="290">
        <v>6339.1210703347333</v>
      </c>
      <c r="Z82" s="290">
        <v>4808.99</v>
      </c>
      <c r="AA82" s="290">
        <v>5355.4643525241709</v>
      </c>
      <c r="AB82" s="288">
        <f t="shared" ref="AB82:AB94" si="69">SUM(Y82:AA82)</f>
        <v>16503.575422858903</v>
      </c>
      <c r="AC82" s="290">
        <v>6011.2354977312125</v>
      </c>
      <c r="AD82" s="290"/>
      <c r="AE82" s="290"/>
      <c r="AF82" s="288">
        <f t="shared" ref="AF82:AF95" si="70">SUM(AC82:AE82)</f>
        <v>6011.2354977312125</v>
      </c>
      <c r="AG82" s="290"/>
      <c r="AH82" s="290"/>
      <c r="AI82" s="290"/>
      <c r="AJ82" s="288">
        <f t="shared" si="65"/>
        <v>0</v>
      </c>
      <c r="AK82" s="291">
        <f t="shared" si="18"/>
        <v>31364.078207856248</v>
      </c>
      <c r="AL82" s="97" t="s">
        <v>378</v>
      </c>
      <c r="AM82" s="1408"/>
      <c r="AN82" s="1330"/>
      <c r="AO82" s="1404"/>
      <c r="AP82" s="62" t="str">
        <f>C81</f>
        <v>14 - REDUÇÃO DE MP DA000518Z (Anchieta) Código DD - VB000324Z</v>
      </c>
      <c r="AQ82" s="62" t="s">
        <v>313</v>
      </c>
      <c r="AR82" s="508" cm="1">
        <f t="array" aca="1" ref="AR82" ca="1">IF(OR(AP82="",AP82=0),"",IF(SUMPRODUCT(($C$55:$C$175=AP82)*($U$54:AI$54&lt;=TODAY())*(ISNUMBER($U$56:AI$176)),$U$56:AI$176)=0,"",SUMPRODUCT(($C$55:$C$175=AP82)*($U$54:AI$54&lt;=TODAY())*(ISNUMBER($U$56:AI$176)),$U$56:AI$176)))</f>
        <v>31364.078207856248</v>
      </c>
      <c r="AS82" s="508" t="str">
        <f>A81</f>
        <v>BSW</v>
      </c>
      <c r="AU82" s="1567"/>
      <c r="AV82" s="1567"/>
    </row>
    <row r="83" spans="1:48" ht="29.1" customHeight="1" x14ac:dyDescent="0.3">
      <c r="A83" s="1691" t="s">
        <v>59</v>
      </c>
      <c r="B83" s="1701" t="s">
        <v>97</v>
      </c>
      <c r="C83" s="1821" t="s">
        <v>379</v>
      </c>
      <c r="D83" s="1486" t="s">
        <v>380</v>
      </c>
      <c r="E83" s="1368" t="s">
        <v>381</v>
      </c>
      <c r="F83" s="1370" t="s">
        <v>382</v>
      </c>
      <c r="G83" s="1372">
        <v>46023</v>
      </c>
      <c r="H83" s="1372">
        <v>46053</v>
      </c>
      <c r="I83" s="1354">
        <v>3279.77</v>
      </c>
      <c r="J83" s="1376">
        <v>46023</v>
      </c>
      <c r="K83" s="1389">
        <v>1</v>
      </c>
      <c r="L83" s="1354"/>
      <c r="M83" s="1770" t="s">
        <v>308</v>
      </c>
      <c r="N83" s="1730">
        <v>3656.94</v>
      </c>
      <c r="O83" s="1764" t="s">
        <v>81</v>
      </c>
      <c r="P83" s="1673" t="s">
        <v>309</v>
      </c>
      <c r="Q83" s="1673" t="s">
        <v>309</v>
      </c>
      <c r="R83" s="1327">
        <v>1</v>
      </c>
      <c r="S83" s="87" t="s">
        <v>116</v>
      </c>
      <c r="T83" s="726">
        <v>1</v>
      </c>
      <c r="U83" s="287">
        <f>IFERROR(IF(AND(U$54&gt;=EOMONTH($J83,-1)+1,U$54&lt;=EOMONTH(EOMONTH($J83,-1)+1,$K83-1)),IF(NOT(ISBLANK($N83)),$N83/$K83,$I83/$K83),0),0)</f>
        <v>3656.94</v>
      </c>
      <c r="V83" s="287">
        <f>IFERROR(IF(AND(V$54&gt;=EOMONTH($J83,-1)+1,V$54&lt;=EOMONTH(EOMONTH($J83,-1)+1,$K83-1)),IF(NOT(ISBLANK($N83)),$N83/$K83,$I83/$K83),0),0)</f>
        <v>0</v>
      </c>
      <c r="W83" s="287">
        <f>IFERROR(IF(AND(W$54&gt;=EOMONTH($J83,-1)+1,W$54&lt;=EOMONTH(EOMONTH($J83,-1)+1,$K83-1)),IF(NOT(ISBLANK($N83)),$N83/$K83,$I83/$K83),0),0)</f>
        <v>0</v>
      </c>
      <c r="X83" s="89">
        <f t="shared" ref="X83" si="71">SUM(U83:W83)</f>
        <v>3656.94</v>
      </c>
      <c r="Y83" s="287">
        <f>IFERROR(IF(AND(Y$54&gt;=EOMONTH($J83,-1)+1,Y$54&lt;=EOMONTH(EOMONTH($J83,-1)+1,$K83-1)),IF(NOT(ISBLANK($N83)),$N83/$K83,$I83/$K83),0),0)</f>
        <v>0</v>
      </c>
      <c r="Z83" s="287">
        <f>IFERROR(IF(AND(Z$54&gt;=EOMONTH($J83,-1)+1,Z$54&lt;=EOMONTH(EOMONTH($J83,-1)+1,$K83-1)),IF(NOT(ISBLANK($N83)),$N83/$K83,$I83/$K83),0),0)</f>
        <v>0</v>
      </c>
      <c r="AA83" s="287">
        <f>IFERROR(IF(AND(AA$54&gt;=EOMONTH($J83,-1)+1,AA$54&lt;=EOMONTH(EOMONTH($J83,-1)+1,$K83-1)),IF(NOT(ISBLANK($N83)),$N83/$K83,$I83/$K83),0),0)</f>
        <v>0</v>
      </c>
      <c r="AB83" s="89">
        <f t="shared" ref="AB83" si="72">SUM(Y83:AA83)</f>
        <v>0</v>
      </c>
      <c r="AC83" s="287">
        <f>IFERROR(IF(AND(AC$54&gt;=EOMONTH($J83,-1)+1,AC$54&lt;=EOMONTH(EOMONTH($J83,-1)+1,$K83-1)),IF(NOT(ISBLANK($N83)),$N83/$K83,$I83/$K83),0),0)</f>
        <v>0</v>
      </c>
      <c r="AD83" s="287">
        <f>IFERROR(IF(AND(AD$54&gt;=EOMONTH($J83,-1)+1,AD$54&lt;=EOMONTH(EOMONTH($J83,-1)+1,$K83-1)),IF(NOT(ISBLANK($N83)),$N83/$K83,$I83/$K83),0),0)</f>
        <v>0</v>
      </c>
      <c r="AE83" s="287">
        <f>IFERROR(IF(AND(AE$54&gt;=EOMONTH($J83,-1)+1,AE$54&lt;=EOMONTH(EOMONTH($J83,-1)+1,$K83-1)),IF(NOT(ISBLANK($N83)),$N83/$K83,$I83/$K83),0),0)</f>
        <v>0</v>
      </c>
      <c r="AF83" s="89">
        <f t="shared" si="70"/>
        <v>0</v>
      </c>
      <c r="AG83" s="287">
        <f>IFERROR(IF(AND(AG$54&gt;=EOMONTH($J83,-1)+1,AG$54&lt;=EOMONTH(EOMONTH($J83,-1)+1,$K83-1)),IF(NOT(ISBLANK($N83)),$N83/$K83,$I83/$K83),0),0)</f>
        <v>0</v>
      </c>
      <c r="AH83" s="287">
        <f>IFERROR(IF(AND(AH$54&gt;=EOMONTH($J83,-1)+1,AH$54&lt;=EOMONTH(EOMONTH($J83,-1)+1,$K83-1)),IF(NOT(ISBLANK($N83)),$N83/$K83,$I83/$K83),0),0)</f>
        <v>0</v>
      </c>
      <c r="AI83" s="287">
        <f>IFERROR(IF(AND(AI$54&gt;=EOMONTH($J83,-1)+1,AI$54&lt;=EOMONTH(EOMONTH($J83,-1)+1,$K83-1)),IF(NOT(ISBLANK($N83)),$N83/$K83,$I83/$K83),0),0)</f>
        <v>0</v>
      </c>
      <c r="AJ83" s="89">
        <f t="shared" si="65"/>
        <v>0</v>
      </c>
      <c r="AK83" s="90">
        <f t="shared" si="18"/>
        <v>3656.94</v>
      </c>
      <c r="AL83" s="92" t="s">
        <v>383</v>
      </c>
      <c r="AM83" s="1370"/>
      <c r="AN83" s="1411"/>
      <c r="AO83" s="1405">
        <f>N83*AN83</f>
        <v>0</v>
      </c>
      <c r="AP83" s="62" t="str">
        <f>C83</f>
        <v>15 - Kaizem - Botões BI - MANUAL</v>
      </c>
      <c r="AQ83" s="62" t="s">
        <v>311</v>
      </c>
      <c r="AR83" s="508" cm="1">
        <f t="array" aca="1" ref="AR83" ca="1">IF(OR(AP83="",AP83=0),"",IF(SUMPRODUCT(($C$55:$C$175=AP83)*(U$54:$AI$54&lt;EOMONTH(TODAY(),-1)+1)*(ISNUMBER(U$55:$AI$175)),U$55:$AI$175)=0,"",SUMPRODUCT(($C$55:$C$175=AP83)*(U$54:$AI$54&lt;EOMONTH(TODAY(),-1)+1)*(ISNUMBER(U$55:$AI$175)),U$55:$AI$175)))</f>
        <v>3656.94</v>
      </c>
      <c r="AS83" s="508" t="str">
        <f>A83</f>
        <v>Kaizen - Ganho Recorrente</v>
      </c>
      <c r="AU83" s="1566">
        <v>3279.77</v>
      </c>
      <c r="AV83" s="1566">
        <v>3656.94</v>
      </c>
    </row>
    <row r="84" spans="1:48" ht="29.1" customHeight="1" x14ac:dyDescent="0.3">
      <c r="A84" s="1692"/>
      <c r="B84" s="1702"/>
      <c r="C84" s="1822"/>
      <c r="D84" s="1539"/>
      <c r="E84" s="1369"/>
      <c r="F84" s="1371"/>
      <c r="G84" s="1373"/>
      <c r="H84" s="1373"/>
      <c r="I84" s="1355"/>
      <c r="J84" s="1377"/>
      <c r="K84" s="1390"/>
      <c r="L84" s="1355"/>
      <c r="M84" s="1771"/>
      <c r="N84" s="1475"/>
      <c r="O84" s="1765"/>
      <c r="P84" s="1674"/>
      <c r="Q84" s="1674"/>
      <c r="R84" s="1328"/>
      <c r="S84" s="87" t="s">
        <v>117</v>
      </c>
      <c r="T84" s="726">
        <v>1</v>
      </c>
      <c r="U84" s="287">
        <v>3656.94</v>
      </c>
      <c r="V84" s="287"/>
      <c r="W84" s="287"/>
      <c r="X84" s="288">
        <f t="shared" si="68"/>
        <v>3656.94</v>
      </c>
      <c r="Y84" s="287"/>
      <c r="Z84" s="287"/>
      <c r="AA84" s="287"/>
      <c r="AB84" s="288">
        <f t="shared" si="69"/>
        <v>0</v>
      </c>
      <c r="AC84" s="287"/>
      <c r="AD84" s="287"/>
      <c r="AE84" s="287"/>
      <c r="AF84" s="288">
        <f t="shared" si="70"/>
        <v>0</v>
      </c>
      <c r="AG84" s="287"/>
      <c r="AH84" s="287"/>
      <c r="AI84" s="287"/>
      <c r="AJ84" s="288">
        <f t="shared" si="65"/>
        <v>0</v>
      </c>
      <c r="AK84" s="289">
        <f t="shared" si="18"/>
        <v>3656.94</v>
      </c>
      <c r="AL84" s="92" t="s">
        <v>384</v>
      </c>
      <c r="AM84" s="1371"/>
      <c r="AN84" s="1412"/>
      <c r="AO84" s="1406"/>
      <c r="AP84" s="62" t="str">
        <f>C83</f>
        <v>15 - Kaizem - Botões BI - MANUAL</v>
      </c>
      <c r="AQ84" s="62" t="s">
        <v>313</v>
      </c>
      <c r="AR84" s="508" cm="1">
        <f t="array" aca="1" ref="AR84" ca="1">IF(OR(AP84="",AP84=0),"",IF(SUMPRODUCT(($C$55:$C$175=AP84)*($U$54:AI$54&lt;=TODAY())*(ISNUMBER($U$56:AI$176)),$U$56:AI$176)=0,"",SUMPRODUCT(($C$55:$C$175=AP84)*($U$54:AI$54&lt;=TODAY())*(ISNUMBER($U$56:AI$176)),$U$56:AI$176)))</f>
        <v>3656.94</v>
      </c>
      <c r="AS84" s="508" t="str">
        <f>A83</f>
        <v>Kaizen - Ganho Recorrente</v>
      </c>
      <c r="AU84" s="1567"/>
      <c r="AV84" s="1567"/>
    </row>
    <row r="85" spans="1:48" ht="29.1" customHeight="1" x14ac:dyDescent="0.3">
      <c r="A85" s="1693" t="s">
        <v>59</v>
      </c>
      <c r="B85" s="1708" t="s">
        <v>97</v>
      </c>
      <c r="C85" s="1465" t="s">
        <v>385</v>
      </c>
      <c r="D85" s="1356" t="s">
        <v>386</v>
      </c>
      <c r="E85" s="1449" t="s">
        <v>387</v>
      </c>
      <c r="F85" s="1451" t="s">
        <v>388</v>
      </c>
      <c r="G85" s="1785">
        <v>46027</v>
      </c>
      <c r="H85" s="1785">
        <v>46112</v>
      </c>
      <c r="I85" s="1706">
        <v>228000</v>
      </c>
      <c r="J85" s="1378">
        <v>46082</v>
      </c>
      <c r="K85" s="1387">
        <f t="shared" ref="K85" si="73">IF(J85="", "", 12 - MONTH(J85) + 1)</f>
        <v>10</v>
      </c>
      <c r="L85" s="1395"/>
      <c r="M85" s="1720" t="s">
        <v>308</v>
      </c>
      <c r="N85" s="1728">
        <v>152396</v>
      </c>
      <c r="O85" s="1671" t="s">
        <v>81</v>
      </c>
      <c r="P85" s="1671" t="s">
        <v>309</v>
      </c>
      <c r="Q85" s="1671" t="s">
        <v>309</v>
      </c>
      <c r="R85" s="1334">
        <v>1</v>
      </c>
      <c r="S85" s="93" t="s">
        <v>116</v>
      </c>
      <c r="T85" s="727">
        <v>1</v>
      </c>
      <c r="U85" s="498">
        <f>IFERROR(IF(AND(U$54&gt;=EOMONTH($J85,-1)+1,U$54&lt;=EOMONTH(EOMONTH($J85,-1)+1,$K85-1)),IF(NOT(ISBLANK($N85)),$N85/$K85,$I85/$K85),0),0)</f>
        <v>0</v>
      </c>
      <c r="V85" s="498">
        <f>IFERROR(IF(AND(V$54&gt;=EOMONTH($J85,-1)+1,V$54&lt;=EOMONTH(EOMONTH($J85,-1)+1,$K85-1)),IF(NOT(ISBLANK($N85)),$N85/$K85,$I85/$K85),0),0)</f>
        <v>0</v>
      </c>
      <c r="W85" s="816">
        <f>IFERROR(IF(AND(W$54&gt;=EOMONTH($J85,-1)+1,W$54&lt;=EOMONTH(EOMONTH($J85,-1)+1,$K85-1)),IF(NOT(ISBLANK($N85)),$N85/$K85,$I85/$K85),0),0)</f>
        <v>15239.6</v>
      </c>
      <c r="X85" s="89">
        <f t="shared" ref="X85" si="74">SUM(U85:W85)</f>
        <v>15239.6</v>
      </c>
      <c r="Y85" s="816">
        <f>IFERROR(IF(AND(Y$54&gt;=EOMONTH($J85,-1)+1,Y$54&lt;=EOMONTH(EOMONTH($J85,-1)+1,$K85-1)),IF(NOT(ISBLANK($N85)),$N85/$K85,$I85/$K85),0),0)</f>
        <v>15239.6</v>
      </c>
      <c r="Z85" s="498">
        <f>IFERROR(IF(AND(Z$54&gt;=EOMONTH($J85,-1)+1,Z$54&lt;=EOMONTH(EOMONTH($J85,-1)+1,$K85-1)),IF(NOT(ISBLANK($N85)),$N85/$K85,$I85/$K85),0),0)</f>
        <v>15239.6</v>
      </c>
      <c r="AA85" s="498">
        <f>IFERROR(IF(AND(AA$54&gt;=EOMONTH($J85,-1)+1,AA$54&lt;=EOMONTH(EOMONTH($J85,-1)+1,$K85-1)),IF(NOT(ISBLANK($N85)),$N85/$K85,$I85/$K85),0),0)</f>
        <v>15239.6</v>
      </c>
      <c r="AB85" s="89">
        <f t="shared" ref="AB85" si="75">SUM(Y85:AA85)</f>
        <v>45718.8</v>
      </c>
      <c r="AC85" s="498">
        <f>IFERROR(IF(AND(AC$54&gt;=EOMONTH($J85,-1)+1,AC$54&lt;=EOMONTH(EOMONTH($J85,-1)+1,$K85-1)),IF(NOT(ISBLANK($N85)),$N85/$K85,$I85/$K85),0),0)</f>
        <v>15239.6</v>
      </c>
      <c r="AD85" s="498">
        <f>IFERROR(IF(AND(AD$54&gt;=EOMONTH($J85,-1)+1,AD$54&lt;=EOMONTH(EOMONTH($J85,-1)+1,$K85-1)),IF(NOT(ISBLANK($N85)),$N85/$K85,$I85/$K85),0),0)</f>
        <v>15239.6</v>
      </c>
      <c r="AE85" s="498">
        <f>IFERROR(IF(AND(AE$54&gt;=EOMONTH($J85,-1)+1,AE$54&lt;=EOMONTH(EOMONTH($J85,-1)+1,$K85-1)),IF(NOT(ISBLANK($N85)),$N85/$K85,$I85/$K85),0),0)</f>
        <v>15239.6</v>
      </c>
      <c r="AF85" s="89">
        <f t="shared" si="70"/>
        <v>45718.8</v>
      </c>
      <c r="AG85" s="498">
        <f>IFERROR(IF(AND(AG$54&gt;=EOMONTH($J85,-1)+1,AG$54&lt;=EOMONTH(EOMONTH($J85,-1)+1,$K85-1)),IF(NOT(ISBLANK($N85)),$N85/$K85,$I85/$K85),0),0)</f>
        <v>15239.6</v>
      </c>
      <c r="AH85" s="498">
        <f>IFERROR(IF(AND(AH$54&gt;=EOMONTH($J85,-1)+1,AH$54&lt;=EOMONTH(EOMONTH($J85,-1)+1,$K85-1)),IF(NOT(ISBLANK($N85)),$N85/$K85,$I85/$K85),0),0)</f>
        <v>15239.6</v>
      </c>
      <c r="AI85" s="498">
        <f>IFERROR(IF(AND(AI$54&gt;=EOMONTH($J85,-1)+1,AI$54&lt;=EOMONTH(EOMONTH($J85,-1)+1,$K85-1)),IF(NOT(ISBLANK($N85)),$N85/$K85,$I85/$K85),0),0)</f>
        <v>15239.6</v>
      </c>
      <c r="AJ85" s="89">
        <f t="shared" si="65"/>
        <v>45718.8</v>
      </c>
      <c r="AK85" s="95">
        <f t="shared" si="18"/>
        <v>152396</v>
      </c>
      <c r="AL85" s="97" t="s">
        <v>389</v>
      </c>
      <c r="AM85" s="1407"/>
      <c r="AN85" s="1334"/>
      <c r="AO85" s="1403">
        <f>N85*AN85</f>
        <v>0</v>
      </c>
      <c r="AP85" s="62" t="str">
        <f>C85</f>
        <v>16 - Eficiência de MO na linha de Solda e Montagem</v>
      </c>
      <c r="AQ85" s="62" t="s">
        <v>311</v>
      </c>
      <c r="AR85" s="508" cm="1">
        <f t="array" aca="1" ref="AR85" ca="1">IF(OR(AP85="",AP85=0),"",IF(SUMPRODUCT(($C$55:$C$175=AP85)*(U$54:$AI$54&lt;EOMONTH(TODAY(),-1)+1)*(ISNUMBER(U$55:$AI$175)),U$55:$AI$175)=0,"",SUMPRODUCT(($C$55:$C$175=AP85)*(U$54:$AI$54&lt;EOMONTH(TODAY(),-1)+1)*(ISNUMBER(U$55:$AI$175)),U$55:$AI$175)))</f>
        <v>76198</v>
      </c>
      <c r="AS85" s="508" t="str">
        <f>A85</f>
        <v>Kaizen - Ganho Recorrente</v>
      </c>
      <c r="AU85" s="1566">
        <f t="shared" ref="AU85" si="76">IF(OR(I85="",K85=""),0,(I85/12)*K85)</f>
        <v>190000</v>
      </c>
      <c r="AV85" s="1566">
        <f t="shared" ref="AV85" si="77">IF(OR(N85="",K85="",K85=0),0,(N85/K85)*12)</f>
        <v>182875.2</v>
      </c>
    </row>
    <row r="86" spans="1:48" ht="29.1" customHeight="1" x14ac:dyDescent="0.3">
      <c r="A86" s="1694"/>
      <c r="B86" s="1709"/>
      <c r="C86" s="1466"/>
      <c r="D86" s="1455"/>
      <c r="E86" s="1450"/>
      <c r="F86" s="1452"/>
      <c r="G86" s="1786"/>
      <c r="H86" s="1786"/>
      <c r="I86" s="1707"/>
      <c r="J86" s="1379"/>
      <c r="K86" s="1388"/>
      <c r="L86" s="1396"/>
      <c r="M86" s="1721"/>
      <c r="N86" s="1729"/>
      <c r="O86" s="1672"/>
      <c r="P86" s="1672"/>
      <c r="Q86" s="1672"/>
      <c r="R86" s="1330"/>
      <c r="S86" s="93" t="s">
        <v>117</v>
      </c>
      <c r="T86" s="727">
        <v>1</v>
      </c>
      <c r="U86" s="290">
        <v>0</v>
      </c>
      <c r="V86" s="290">
        <v>0</v>
      </c>
      <c r="W86" s="290">
        <v>8621</v>
      </c>
      <c r="X86" s="288">
        <f t="shared" si="68"/>
        <v>8621</v>
      </c>
      <c r="Y86" s="290">
        <v>15975</v>
      </c>
      <c r="Z86" s="290">
        <v>15975</v>
      </c>
      <c r="AA86" s="290">
        <v>15975</v>
      </c>
      <c r="AB86" s="288">
        <f t="shared" si="69"/>
        <v>47925</v>
      </c>
      <c r="AC86" s="290">
        <v>15975</v>
      </c>
      <c r="AD86" s="290"/>
      <c r="AE86" s="290"/>
      <c r="AF86" s="288">
        <f t="shared" si="70"/>
        <v>15975</v>
      </c>
      <c r="AG86" s="290"/>
      <c r="AH86" s="290"/>
      <c r="AI86" s="290"/>
      <c r="AJ86" s="288">
        <f t="shared" si="65"/>
        <v>0</v>
      </c>
      <c r="AK86" s="291">
        <f t="shared" si="18"/>
        <v>72521</v>
      </c>
      <c r="AL86" s="97" t="s">
        <v>390</v>
      </c>
      <c r="AM86" s="1408"/>
      <c r="AN86" s="1330"/>
      <c r="AO86" s="1404"/>
      <c r="AP86" s="62" t="str">
        <f>C85</f>
        <v>16 - Eficiência de MO na linha de Solda e Montagem</v>
      </c>
      <c r="AQ86" s="62" t="s">
        <v>313</v>
      </c>
      <c r="AR86" s="508" cm="1">
        <f t="array" aca="1" ref="AR86" ca="1">IF(OR(AP86="",AP86=0),"",IF(SUMPRODUCT(($C$55:$C$175=AP86)*($U$54:AI$54&lt;=TODAY())*(ISNUMBER($U$56:AI$176)),$U$56:AI$176)=0,"",SUMPRODUCT(($C$55:$C$175=AP86)*($U$54:AI$54&lt;=TODAY())*(ISNUMBER($U$56:AI$176)),$U$56:AI$176)))</f>
        <v>72521</v>
      </c>
      <c r="AS86" s="508" t="str">
        <f>A85</f>
        <v>Kaizen - Ganho Recorrente</v>
      </c>
      <c r="AU86" s="1567"/>
      <c r="AV86" s="1567"/>
    </row>
    <row r="87" spans="1:48" ht="29.1" customHeight="1" x14ac:dyDescent="0.3">
      <c r="A87" s="1691" t="s">
        <v>91</v>
      </c>
      <c r="B87" s="1701" t="s">
        <v>95</v>
      </c>
      <c r="C87" s="1482" t="s">
        <v>391</v>
      </c>
      <c r="D87" s="1486" t="s">
        <v>392</v>
      </c>
      <c r="E87" s="1368" t="s">
        <v>393</v>
      </c>
      <c r="F87" s="1370" t="s">
        <v>307</v>
      </c>
      <c r="G87" s="1372">
        <v>46054</v>
      </c>
      <c r="H87" s="1372">
        <v>46112</v>
      </c>
      <c r="I87" s="1354">
        <v>51480</v>
      </c>
      <c r="J87" s="1376">
        <v>46082</v>
      </c>
      <c r="K87" s="1389">
        <f t="shared" ref="K87" si="78">IF(J87="", "", 12 - MONTH(J87) + 1)</f>
        <v>10</v>
      </c>
      <c r="L87" s="1354"/>
      <c r="M87" s="1770" t="s">
        <v>308</v>
      </c>
      <c r="N87" s="1730">
        <v>33838.06</v>
      </c>
      <c r="O87" s="1764" t="s">
        <v>81</v>
      </c>
      <c r="P87" s="1673" t="s">
        <v>309</v>
      </c>
      <c r="Q87" s="1673" t="s">
        <v>309</v>
      </c>
      <c r="R87" s="1327">
        <v>1</v>
      </c>
      <c r="S87" s="87" t="s">
        <v>116</v>
      </c>
      <c r="T87" s="726">
        <v>1</v>
      </c>
      <c r="U87" s="287">
        <f>IFERROR(IF(AND(U$54&gt;=EOMONTH($J87,-1)+1,U$54&lt;=EOMONTH(EOMONTH($J87,-1)+1,$K87-1)),IF(NOT(ISBLANK($N87)),$N87/$K87,$I87/$K87),0),0)</f>
        <v>0</v>
      </c>
      <c r="V87" s="287">
        <f>IFERROR(IF(AND(V$54&gt;=EOMONTH($J87,-1)+1,V$54&lt;=EOMONTH(EOMONTH($J87,-1)+1,$K87-1)),IF(NOT(ISBLANK($N87)),$N87/$K87,$I87/$K87),0),0)</f>
        <v>0</v>
      </c>
      <c r="W87" s="815">
        <f>IFERROR(IF(AND(W$54&gt;=EOMONTH($J87,-1)+1,W$54&lt;=EOMONTH(EOMONTH($J87,-1)+1,$K87-1)),IF(NOT(ISBLANK($N87)),$N87/$K87,$I87/$K87),0),0)</f>
        <v>3383.8059999999996</v>
      </c>
      <c r="X87" s="89">
        <f t="shared" ref="X87" si="79">SUM(U87:W87)</f>
        <v>3383.8059999999996</v>
      </c>
      <c r="Y87" s="815">
        <f>IFERROR(IF(AND(Y$54&gt;=EOMONTH($J87,-1)+1,Y$54&lt;=EOMONTH(EOMONTH($J87,-1)+1,$K87-1)),IF(NOT(ISBLANK($N87)),$N87/$K87,$I87/$K87),0),0)</f>
        <v>3383.8059999999996</v>
      </c>
      <c r="Z87" s="287">
        <f>IFERROR(IF(AND(Z$54&gt;=EOMONTH($J87,-1)+1,Z$54&lt;=EOMONTH(EOMONTH($J87,-1)+1,$K87-1)),IF(NOT(ISBLANK($N87)),$N87/$K87,$I87/$K87),0),0)</f>
        <v>3383.8059999999996</v>
      </c>
      <c r="AA87" s="287">
        <f>IFERROR(IF(AND(AA$54&gt;=EOMONTH($J87,-1)+1,AA$54&lt;=EOMONTH(EOMONTH($J87,-1)+1,$K87-1)),IF(NOT(ISBLANK($N87)),$N87/$K87,$I87/$K87),0),0)</f>
        <v>3383.8059999999996</v>
      </c>
      <c r="AB87" s="89">
        <f t="shared" ref="AB87" si="80">SUM(Y87:AA87)</f>
        <v>10151.417999999998</v>
      </c>
      <c r="AC87" s="287">
        <f>IFERROR(IF(AND(AC$54&gt;=EOMONTH($J87,-1)+1,AC$54&lt;=EOMONTH(EOMONTH($J87,-1)+1,$K87-1)),IF(NOT(ISBLANK($N87)),$N87/$K87,$I87/$K87),0),0)</f>
        <v>3383.8059999999996</v>
      </c>
      <c r="AD87" s="287">
        <f>IFERROR(IF(AND(AD$54&gt;=EOMONTH($J87,-1)+1,AD$54&lt;=EOMONTH(EOMONTH($J87,-1)+1,$K87-1)),IF(NOT(ISBLANK($N87)),$N87/$K87,$I87/$K87),0),0)</f>
        <v>3383.8059999999996</v>
      </c>
      <c r="AE87" s="287">
        <f>IFERROR(IF(AND(AE$54&gt;=EOMONTH($J87,-1)+1,AE$54&lt;=EOMONTH(EOMONTH($J87,-1)+1,$K87-1)),IF(NOT(ISBLANK($N87)),$N87/$K87,$I87/$K87),0),0)</f>
        <v>3383.8059999999996</v>
      </c>
      <c r="AF87" s="89">
        <f t="shared" ref="AF87" si="81">SUM(AC87:AE87)</f>
        <v>10151.417999999998</v>
      </c>
      <c r="AG87" s="287">
        <f>IFERROR(IF(AND(AG$54&gt;=EOMONTH($J87,-1)+1,AG$54&lt;=EOMONTH(EOMONTH($J87,-1)+1,$K87-1)),IF(NOT(ISBLANK($N87)),$N87/$K87,$I87/$K87),0),0)</f>
        <v>3383.8059999999996</v>
      </c>
      <c r="AH87" s="287">
        <f>IFERROR(IF(AND(AH$54&gt;=EOMONTH($J87,-1)+1,AH$54&lt;=EOMONTH(EOMONTH($J87,-1)+1,$K87-1)),IF(NOT(ISBLANK($N87)),$N87/$K87,$I87/$K87),0),0)</f>
        <v>3383.8059999999996</v>
      </c>
      <c r="AI87" s="287">
        <f>IFERROR(IF(AND(AI$54&gt;=EOMONTH($J87,-1)+1,AI$54&lt;=EOMONTH(EOMONTH($J87,-1)+1,$K87-1)),IF(NOT(ISBLANK($N87)),$N87/$K87,$I87/$K87),0),0)</f>
        <v>3383.8059999999996</v>
      </c>
      <c r="AJ87" s="89">
        <f t="shared" si="65"/>
        <v>10151.417999999998</v>
      </c>
      <c r="AK87" s="90">
        <f t="shared" si="18"/>
        <v>33838.06</v>
      </c>
      <c r="AL87" s="92" t="s">
        <v>394</v>
      </c>
      <c r="AM87" s="1370"/>
      <c r="AN87" s="1411"/>
      <c r="AO87" s="1405">
        <f>N87*AN87</f>
        <v>0</v>
      </c>
      <c r="AP87" s="62" t="str">
        <f>C87</f>
        <v>17 - MB003537LB_MB003538LB</v>
      </c>
      <c r="AQ87" s="62" t="s">
        <v>311</v>
      </c>
      <c r="AR87" s="508" cm="1">
        <f t="array" aca="1" ref="AR87" ca="1">IF(OR(AP87="",AP87=0),"",IF(SUMPRODUCT(($C$55:$C$175=AP87)*(U$54:$AI$54&lt;EOMONTH(TODAY(),-1)+1)*(ISNUMBER(U$55:$AI$175)),U$55:$AI$175)=0,"",SUMPRODUCT(($C$55:$C$175=AP87)*(U$54:$AI$54&lt;EOMONTH(TODAY(),-1)+1)*(ISNUMBER(U$55:$AI$175)),U$55:$AI$175)))</f>
        <v>16919.03</v>
      </c>
      <c r="AS87" s="508" t="str">
        <f>A87</f>
        <v>BSW</v>
      </c>
      <c r="AU87" s="1566">
        <f t="shared" ref="AU87" si="82">IF(OR(I87="",K87=""),0,(I87/12)*K87)</f>
        <v>42900</v>
      </c>
      <c r="AV87" s="1566">
        <f t="shared" ref="AV87" si="83">IF(OR(N87="",K87="",K87=0),0,(N87/K87)*12)</f>
        <v>40605.671999999991</v>
      </c>
    </row>
    <row r="88" spans="1:48" ht="29.1" customHeight="1" x14ac:dyDescent="0.3">
      <c r="A88" s="1692"/>
      <c r="B88" s="1702"/>
      <c r="C88" s="1483"/>
      <c r="D88" s="1539"/>
      <c r="E88" s="1369"/>
      <c r="F88" s="1371"/>
      <c r="G88" s="1373"/>
      <c r="H88" s="1373"/>
      <c r="I88" s="1355"/>
      <c r="J88" s="1377"/>
      <c r="K88" s="1390"/>
      <c r="L88" s="1355"/>
      <c r="M88" s="1771"/>
      <c r="N88" s="1475"/>
      <c r="O88" s="1765"/>
      <c r="P88" s="1674"/>
      <c r="Q88" s="1674"/>
      <c r="R88" s="1328"/>
      <c r="S88" s="87" t="s">
        <v>117</v>
      </c>
      <c r="T88" s="726">
        <v>1</v>
      </c>
      <c r="U88" s="287"/>
      <c r="V88" s="287"/>
      <c r="W88" s="287">
        <v>3976.6832407890852</v>
      </c>
      <c r="X88" s="288">
        <f t="shared" si="68"/>
        <v>3976.6832407890852</v>
      </c>
      <c r="Y88" s="287">
        <v>3849.058103958509</v>
      </c>
      <c r="Z88" s="287">
        <v>2730.8878710451668</v>
      </c>
      <c r="AA88" s="287">
        <v>3344.3586992194128</v>
      </c>
      <c r="AB88" s="288">
        <f t="shared" si="69"/>
        <v>9924.304674223089</v>
      </c>
      <c r="AC88" s="287">
        <v>3190.6284207644007</v>
      </c>
      <c r="AD88" s="287"/>
      <c r="AE88" s="287"/>
      <c r="AF88" s="288">
        <f t="shared" si="70"/>
        <v>3190.6284207644007</v>
      </c>
      <c r="AG88" s="287"/>
      <c r="AH88" s="287"/>
      <c r="AI88" s="287"/>
      <c r="AJ88" s="288">
        <f t="shared" si="65"/>
        <v>0</v>
      </c>
      <c r="AK88" s="289">
        <f t="shared" si="18"/>
        <v>17091.616335776576</v>
      </c>
      <c r="AL88" s="92" t="s">
        <v>395</v>
      </c>
      <c r="AM88" s="1371"/>
      <c r="AN88" s="1412"/>
      <c r="AO88" s="1406"/>
      <c r="AP88" s="62" t="str">
        <f>C87</f>
        <v>17 - MB003537LB_MB003538LB</v>
      </c>
      <c r="AQ88" s="62" t="s">
        <v>313</v>
      </c>
      <c r="AR88" s="508" cm="1">
        <f t="array" aca="1" ref="AR88" ca="1">IF(OR(AP88="",AP88=0),"",IF(SUMPRODUCT(($C$55:$C$175=AP88)*($U$54:AI$54&lt;=TODAY())*(ISNUMBER($U$56:AI$176)),$U$56:AI$176)=0,"",SUMPRODUCT(($C$55:$C$175=AP88)*($U$54:AI$54&lt;=TODAY())*(ISNUMBER($U$56:AI$176)),$U$56:AI$176)))</f>
        <v>17091.616335776573</v>
      </c>
      <c r="AS88" s="508" t="str">
        <f>A87</f>
        <v>BSW</v>
      </c>
      <c r="AU88" s="1567"/>
      <c r="AV88" s="1567"/>
    </row>
    <row r="89" spans="1:48" ht="29.1" customHeight="1" x14ac:dyDescent="0.3">
      <c r="A89" s="1407" t="s">
        <v>59</v>
      </c>
      <c r="B89" s="1708" t="s">
        <v>101</v>
      </c>
      <c r="C89" s="1465" t="s">
        <v>396</v>
      </c>
      <c r="D89" s="1356" t="s">
        <v>397</v>
      </c>
      <c r="E89" s="1449" t="s">
        <v>398</v>
      </c>
      <c r="F89" s="1451" t="s">
        <v>399</v>
      </c>
      <c r="G89" s="1785">
        <v>46058</v>
      </c>
      <c r="H89" s="1785">
        <v>46147</v>
      </c>
      <c r="I89" s="1488">
        <f>20000+26052</f>
        <v>46052</v>
      </c>
      <c r="J89" s="1378"/>
      <c r="K89" s="1387" t="str">
        <f t="shared" ref="K89" si="84">IF(J89="", "", 12 - MONTH(J89) + 1)</f>
        <v/>
      </c>
      <c r="L89" s="1395"/>
      <c r="M89" s="1720" t="s">
        <v>308</v>
      </c>
      <c r="N89" s="1547">
        <v>46052</v>
      </c>
      <c r="O89" s="1663" t="s">
        <v>81</v>
      </c>
      <c r="P89" s="1671" t="s">
        <v>309</v>
      </c>
      <c r="Q89" s="1671" t="s">
        <v>309</v>
      </c>
      <c r="R89" s="1334">
        <v>1</v>
      </c>
      <c r="S89" s="93" t="s">
        <v>116</v>
      </c>
      <c r="T89" s="727">
        <v>1</v>
      </c>
      <c r="U89" s="498">
        <f>IFERROR(IF(AND(U$54&gt;=EOMONTH($J89,-1)+1,U$54&lt;=EOMONTH(EOMONTH($J89,-1)+1,$K89-1)),IF(NOT(ISBLANK($N89)),$N89/$K89,$I89/$K89),0),0)</f>
        <v>0</v>
      </c>
      <c r="V89" s="498">
        <f>IFERROR(IF(AND(V$54&gt;=EOMONTH($J89,-1)+1,V$54&lt;=EOMONTH(EOMONTH($J89,-1)+1,$K89-1)),IF(NOT(ISBLANK($N89)),$N89/$K89,$I89/$K89),0),0)</f>
        <v>0</v>
      </c>
      <c r="W89" s="498">
        <f>IFERROR(IF(AND(W$54&gt;=EOMONTH($J89,-1)+1,W$54&lt;=EOMONTH(EOMONTH($J89,-1)+1,$K89-1)),IF(NOT(ISBLANK($N89)),$N89/$K89,$I89/$K89),0),0)</f>
        <v>0</v>
      </c>
      <c r="X89" s="89">
        <f t="shared" ref="X89" si="85">SUM(U89:W89)</f>
        <v>0</v>
      </c>
      <c r="Y89" s="498">
        <f>IFERROR(IF(AND(Y$54&gt;=EOMONTH($J89,-1)+1,Y$54&lt;=EOMONTH(EOMONTH($J89,-1)+1,$K89-1)),IF(NOT(ISBLANK($N89)),$N89/$K89,$I89/$K89),0),0)</f>
        <v>0</v>
      </c>
      <c r="Z89" s="498">
        <f>IFERROR(IF(AND(Z$54&gt;=EOMONTH($J89,-1)+1,Z$54&lt;=EOMONTH(EOMONTH($J89,-1)+1,$K89-1)),IF(NOT(ISBLANK($N89)),$N89/$K89,$I89/$K89),0),0)</f>
        <v>0</v>
      </c>
      <c r="AA89" s="498">
        <f>20000+26052</f>
        <v>46052</v>
      </c>
      <c r="AB89" s="89">
        <f t="shared" ref="AB89" si="86">SUM(Y89:AA89)</f>
        <v>46052</v>
      </c>
      <c r="AC89" s="498">
        <f>IFERROR(IF(AND(AC$54&gt;=EOMONTH($J89,-1)+1,AC$54&lt;=EOMONTH(EOMONTH($J89,-1)+1,$K89-1)),IF(NOT(ISBLANK($N89)),$N89/$K89,$I89/$K89),0),0)</f>
        <v>0</v>
      </c>
      <c r="AD89" s="498">
        <f>IFERROR(IF(AND(AD$54&gt;=EOMONTH($J89,-1)+1,AD$54&lt;=EOMONTH(EOMONTH($J89,-1)+1,$K89-1)),IF(NOT(ISBLANK($N89)),$N89/$K89,$I89/$K89),0),0)</f>
        <v>0</v>
      </c>
      <c r="AE89" s="498">
        <f>IFERROR(IF(AND(AE$54&gt;=EOMONTH($J89,-1)+1,AE$54&lt;=EOMONTH(EOMONTH($J89,-1)+1,$K89-1)),IF(NOT(ISBLANK($N89)),$N89/$K89,$I89/$K89),0),0)</f>
        <v>0</v>
      </c>
      <c r="AF89" s="89">
        <f t="shared" ref="AF89:AF93" si="87">SUM(AC89:AE89)</f>
        <v>0</v>
      </c>
      <c r="AG89" s="498">
        <f>IFERROR(IF(AND(AG$54&gt;=EOMONTH($J89,-1)+1,AG$54&lt;=EOMONTH(EOMONTH($J89,-1)+1,$K89-1)),IF(NOT(ISBLANK($N89)),$N89/$K89,$I89/$K89),0),0)</f>
        <v>0</v>
      </c>
      <c r="AH89" s="498">
        <f>IFERROR(IF(AND(AH$54&gt;=EOMONTH($J89,-1)+1,AH$54&lt;=EOMONTH(EOMONTH($J89,-1)+1,$K89-1)),IF(NOT(ISBLANK($N89)),$N89/$K89,$I89/$K89),0),0)</f>
        <v>0</v>
      </c>
      <c r="AI89" s="498">
        <f>IFERROR(IF(AND(AI$54&gt;=EOMONTH($J89,-1)+1,AI$54&lt;=EOMONTH(EOMONTH($J89,-1)+1,$K89-1)),IF(NOT(ISBLANK($N89)),$N89/$K89,$I89/$K89),0),0)</f>
        <v>0</v>
      </c>
      <c r="AJ89" s="89">
        <f t="shared" si="65"/>
        <v>0</v>
      </c>
      <c r="AK89" s="95">
        <f t="shared" si="18"/>
        <v>46052</v>
      </c>
      <c r="AL89" s="97" t="s">
        <v>400</v>
      </c>
      <c r="AM89" s="1407"/>
      <c r="AN89" s="1334"/>
      <c r="AO89" s="1403">
        <f>N89*AN89</f>
        <v>0</v>
      </c>
      <c r="AP89" s="62" t="str">
        <f>C89</f>
        <v>18 - Venda de Embalagens, ativos e sucatas</v>
      </c>
      <c r="AQ89" s="62" t="s">
        <v>311</v>
      </c>
      <c r="AR89" s="508" cm="1">
        <f t="array" aca="1" ref="AR89" ca="1">IF(OR(AP89="",AP89=0),"",IF(SUMPRODUCT(($C$55:$C$175=AP89)*(U$54:$AI$54&lt;EOMONTH(TODAY(),-1)+1)*(ISNUMBER(U$55:$AI$175)),U$55:$AI$175)=0,"",SUMPRODUCT(($C$55:$C$175=AP89)*(U$54:$AI$54&lt;EOMONTH(TODAY(),-1)+1)*(ISNUMBER(U$55:$AI$175)),U$55:$AI$175)))</f>
        <v>46052</v>
      </c>
      <c r="AS89" s="508" t="str">
        <f>A89</f>
        <v>Kaizen - Ganho Recorrente</v>
      </c>
      <c r="AU89" s="1566">
        <f t="shared" ref="AU89" si="88">IF(OR(I89="",K89=""),0,(I89/12)*K89)</f>
        <v>0</v>
      </c>
      <c r="AV89" s="1566">
        <f t="shared" ref="AV89" si="89">IF(OR(N89="",K89="",K89=0),0,(N89/K89)*12)</f>
        <v>0</v>
      </c>
    </row>
    <row r="90" spans="1:48" ht="29.1" customHeight="1" x14ac:dyDescent="0.3">
      <c r="A90" s="1408"/>
      <c r="B90" s="1709"/>
      <c r="C90" s="1466"/>
      <c r="D90" s="1455"/>
      <c r="E90" s="1450"/>
      <c r="F90" s="1452"/>
      <c r="G90" s="1786"/>
      <c r="H90" s="1786"/>
      <c r="I90" s="1367"/>
      <c r="J90" s="1379"/>
      <c r="K90" s="1388"/>
      <c r="L90" s="1396"/>
      <c r="M90" s="1721"/>
      <c r="N90" s="1548"/>
      <c r="O90" s="1664"/>
      <c r="P90" s="1672"/>
      <c r="Q90" s="1672"/>
      <c r="R90" s="1330"/>
      <c r="S90" s="93" t="s">
        <v>117</v>
      </c>
      <c r="T90" s="727">
        <v>1</v>
      </c>
      <c r="U90" s="290"/>
      <c r="V90" s="290"/>
      <c r="W90" s="290"/>
      <c r="X90" s="288">
        <f t="shared" ref="X90" si="90">SUM(U90:W90)</f>
        <v>0</v>
      </c>
      <c r="Y90" s="290"/>
      <c r="Z90" s="290"/>
      <c r="AA90" s="498">
        <f>20000+26052</f>
        <v>46052</v>
      </c>
      <c r="AB90" s="288">
        <f t="shared" ref="AB90" si="91">SUM(Y90:AA90)</f>
        <v>46052</v>
      </c>
      <c r="AC90" s="290"/>
      <c r="AD90" s="290"/>
      <c r="AE90" s="290"/>
      <c r="AF90" s="288">
        <f t="shared" si="87"/>
        <v>0</v>
      </c>
      <c r="AG90" s="290"/>
      <c r="AH90" s="290"/>
      <c r="AI90" s="290"/>
      <c r="AJ90" s="288">
        <f t="shared" si="65"/>
        <v>0</v>
      </c>
      <c r="AK90" s="291">
        <f t="shared" si="18"/>
        <v>46052</v>
      </c>
      <c r="AL90" s="97"/>
      <c r="AM90" s="1408"/>
      <c r="AN90" s="1330"/>
      <c r="AO90" s="1404"/>
      <c r="AP90" s="62" t="str">
        <f>C89</f>
        <v>18 - Venda de Embalagens, ativos e sucatas</v>
      </c>
      <c r="AQ90" s="62" t="s">
        <v>313</v>
      </c>
      <c r="AR90" s="508" cm="1">
        <f t="array" aca="1" ref="AR90" ca="1">IF(OR(AP90="",AP90=0),"",IF(SUMPRODUCT(($C$55:$C$175=AP90)*($U$54:AI$54&lt;=TODAY())*(ISNUMBER($U$56:AI$176)),$U$56:AI$176)=0,"",SUMPRODUCT(($C$55:$C$175=AP90)*($U$54:AI$54&lt;=TODAY())*(ISNUMBER($U$56:AI$176)),$U$56:AI$176)))</f>
        <v>46052</v>
      </c>
      <c r="AS90" s="508" t="str">
        <f>A89</f>
        <v>Kaizen - Ganho Recorrente</v>
      </c>
      <c r="AU90" s="1567"/>
      <c r="AV90" s="1567"/>
    </row>
    <row r="91" spans="1:48" ht="29.1" customHeight="1" x14ac:dyDescent="0.3">
      <c r="A91" s="1380" t="s">
        <v>59</v>
      </c>
      <c r="B91" s="1701" t="s">
        <v>97</v>
      </c>
      <c r="C91" s="1482" t="s">
        <v>401</v>
      </c>
      <c r="D91" s="1486" t="s">
        <v>402</v>
      </c>
      <c r="E91" s="1368" t="s">
        <v>403</v>
      </c>
      <c r="F91" s="1370" t="s">
        <v>404</v>
      </c>
      <c r="G91" s="1372">
        <v>46027</v>
      </c>
      <c r="H91" s="1372">
        <v>46081</v>
      </c>
      <c r="I91" s="1689">
        <v>54000</v>
      </c>
      <c r="J91" s="1376">
        <v>46082</v>
      </c>
      <c r="K91" s="1389">
        <f t="shared" ref="K91" si="92">IF(J91="", "", 12 - MONTH(J91) + 1)</f>
        <v>10</v>
      </c>
      <c r="L91" s="1354"/>
      <c r="M91" s="1859"/>
      <c r="N91" s="1861"/>
      <c r="O91" s="1764" t="s">
        <v>81</v>
      </c>
      <c r="P91" s="1673" t="s">
        <v>309</v>
      </c>
      <c r="Q91" s="1673" t="s">
        <v>309</v>
      </c>
      <c r="R91" s="1327">
        <v>1</v>
      </c>
      <c r="S91" s="87" t="s">
        <v>116</v>
      </c>
      <c r="T91" s="726">
        <v>1</v>
      </c>
      <c r="U91" s="287">
        <f>IFERROR(IF(AND(U$54&gt;=EOMONTH($J91,-1)+1,U$54&lt;=EOMONTH(EOMONTH($J91,-1)+1,$K91-1)),IF(NOT(ISBLANK($N91)),$N91/$K91,$I91/$K91),0),0)</f>
        <v>0</v>
      </c>
      <c r="V91" s="287">
        <f>IFERROR(IF(AND(V$54&gt;=EOMONTH($J91,-1)+1,V$54&lt;=EOMONTH(EOMONTH($J91,-1)+1,$K91-1)),IF(NOT(ISBLANK($N91)),$N91/$K91,$I91/$K91),0),0)</f>
        <v>0</v>
      </c>
      <c r="W91" s="597">
        <f>IFERROR(IF(AND(W$54&gt;=EOMONTH($J91,-1)+1,W$54&lt;=EOMONTH(EOMONTH($J91,-1)+1,$K91-1)),IF(NOT(ISBLANK($N91)),$N91/$K91,$I91/$K91),0),0)</f>
        <v>5400</v>
      </c>
      <c r="X91" s="89">
        <f t="shared" ref="X91" si="93">SUM(U91:W91)</f>
        <v>5400</v>
      </c>
      <c r="Y91" s="597">
        <f>IFERROR(IF(AND(Y$54&gt;=EOMONTH($J91,-1)+1,Y$54&lt;=EOMONTH(EOMONTH($J91,-1)+1,$K91-1)),IF(NOT(ISBLANK($N91)),$N91/$K91,$I91/$K91),0),0)</f>
        <v>5400</v>
      </c>
      <c r="Z91" s="287">
        <f>IFERROR(IF(AND(Z$54&gt;=EOMONTH($J91,-1)+1,Z$54&lt;=EOMONTH(EOMONTH($J91,-1)+1,$K91-1)),IF(NOT(ISBLANK($N91)),$N91/$K91,$I91/$K91),0),0)</f>
        <v>5400</v>
      </c>
      <c r="AA91" s="287">
        <f>IFERROR(IF(AND(AA$54&gt;=EOMONTH($J91,-1)+1,AA$54&lt;=EOMONTH(EOMONTH($J91,-1)+1,$K91-1)),IF(NOT(ISBLANK($N91)),$N91/$K91,$I91/$K91),0),0)</f>
        <v>5400</v>
      </c>
      <c r="AB91" s="89">
        <f t="shared" ref="AB91" si="94">SUM(Y91:AA91)</f>
        <v>16200</v>
      </c>
      <c r="AC91" s="287">
        <f>IFERROR(IF(AND(AC$54&gt;=EOMONTH($J91,-1)+1,AC$54&lt;=EOMONTH(EOMONTH($J91,-1)+1,$K91-1)),IF(NOT(ISBLANK($N91)),$N91/$K91,$I91/$K91),0),0)</f>
        <v>5400</v>
      </c>
      <c r="AD91" s="287">
        <f>IFERROR(IF(AND(AD$54&gt;=EOMONTH($J91,-1)+1,AD$54&lt;=EOMONTH(EOMONTH($J91,-1)+1,$K91-1)),IF(NOT(ISBLANK($N91)),$N91/$K91,$I91/$K91),0),0)</f>
        <v>5400</v>
      </c>
      <c r="AE91" s="287">
        <f>IFERROR(IF(AND(AE$54&gt;=EOMONTH($J91,-1)+1,AE$54&lt;=EOMONTH(EOMONTH($J91,-1)+1,$K91-1)),IF(NOT(ISBLANK($N91)),$N91/$K91,$I91/$K91),0),0)</f>
        <v>5400</v>
      </c>
      <c r="AF91" s="89">
        <f t="shared" si="87"/>
        <v>16200</v>
      </c>
      <c r="AG91" s="287">
        <f>IFERROR(IF(AND(AG$54&gt;=EOMONTH($J91,-1)+1,AG$54&lt;=EOMONTH(EOMONTH($J91,-1)+1,$K91-1)),IF(NOT(ISBLANK($N91)),$N91/$K91,$I91/$K91),0),0)</f>
        <v>5400</v>
      </c>
      <c r="AH91" s="287">
        <f>IFERROR(IF(AND(AH$54&gt;=EOMONTH($J91,-1)+1,AH$54&lt;=EOMONTH(EOMONTH($J91,-1)+1,$K91-1)),IF(NOT(ISBLANK($N91)),$N91/$K91,$I91/$K91),0),0)</f>
        <v>5400</v>
      </c>
      <c r="AI91" s="287">
        <f>IFERROR(IF(AND(AI$54&gt;=EOMONTH($J91,-1)+1,AI$54&lt;=EOMONTH(EOMONTH($J91,-1)+1,$K91-1)),IF(NOT(ISBLANK($N91)),$N91/$K91,$I91/$K91),0),0)</f>
        <v>5400</v>
      </c>
      <c r="AJ91" s="89">
        <f t="shared" si="65"/>
        <v>16200</v>
      </c>
      <c r="AK91" s="90">
        <f t="shared" si="18"/>
        <v>54000</v>
      </c>
      <c r="AL91" s="92" t="s">
        <v>405</v>
      </c>
      <c r="AM91" s="1370"/>
      <c r="AN91" s="1411"/>
      <c r="AO91" s="1405">
        <f>N91*AN91</f>
        <v>0</v>
      </c>
      <c r="AP91" s="62" t="str">
        <f>C91</f>
        <v>19 - Kaizen Facão. DA000481Z - PRODUTIVIDADE</v>
      </c>
      <c r="AQ91" s="62" t="s">
        <v>311</v>
      </c>
      <c r="AR91" s="508" cm="1">
        <f t="array" aca="1" ref="AR91" ca="1">IF(OR(AP91="",AP91=0),"",IF(SUMPRODUCT(($C$55:$C$175=AP91)*(U$54:$AI$54&lt;EOMONTH(TODAY(),-1)+1)*(ISNUMBER(U$55:$AI$175)),U$55:$AI$175)=0,"",SUMPRODUCT(($C$55:$C$175=AP91)*(U$54:$AI$54&lt;EOMONTH(TODAY(),-1)+1)*(ISNUMBER(U$55:$AI$175)),U$55:$AI$175)))</f>
        <v>27000</v>
      </c>
      <c r="AS91" s="508" t="str">
        <f>A91</f>
        <v>Kaizen - Ganho Recorrente</v>
      </c>
      <c r="AU91" s="1566">
        <f t="shared" ref="AU91" si="95">IF(OR(I91="",K91=""),0,(I91/12)*K91)</f>
        <v>45000</v>
      </c>
      <c r="AV91" s="1566">
        <f t="shared" ref="AV91" si="96">IF(OR(N91="",K91="",K91=0),0,(N91/K91)*12)</f>
        <v>0</v>
      </c>
    </row>
    <row r="92" spans="1:48" ht="29.1" customHeight="1" x14ac:dyDescent="0.3">
      <c r="A92" s="1381"/>
      <c r="B92" s="1702"/>
      <c r="C92" s="1483"/>
      <c r="D92" s="1539"/>
      <c r="E92" s="1369"/>
      <c r="F92" s="1371"/>
      <c r="G92" s="1373"/>
      <c r="H92" s="1373"/>
      <c r="I92" s="1690"/>
      <c r="J92" s="1377"/>
      <c r="K92" s="1390"/>
      <c r="L92" s="1355"/>
      <c r="M92" s="1860"/>
      <c r="N92" s="1392"/>
      <c r="O92" s="1765"/>
      <c r="P92" s="1674"/>
      <c r="Q92" s="1674"/>
      <c r="R92" s="1328"/>
      <c r="S92" s="87" t="s">
        <v>117</v>
      </c>
      <c r="T92" s="726">
        <v>1</v>
      </c>
      <c r="U92" s="287"/>
      <c r="V92" s="287"/>
      <c r="W92" s="731"/>
      <c r="X92" s="288">
        <f t="shared" ref="X92" si="97">SUM(U92:W92)</f>
        <v>0</v>
      </c>
      <c r="Y92" s="731"/>
      <c r="Z92" s="731"/>
      <c r="AA92" s="731"/>
      <c r="AB92" s="288">
        <f t="shared" ref="AB92" si="98">SUM(Y92:AA92)</f>
        <v>0</v>
      </c>
      <c r="AC92" s="287"/>
      <c r="AD92" s="287"/>
      <c r="AE92" s="287"/>
      <c r="AF92" s="288">
        <f t="shared" si="87"/>
        <v>0</v>
      </c>
      <c r="AG92" s="287"/>
      <c r="AH92" s="287"/>
      <c r="AI92" s="287"/>
      <c r="AJ92" s="288">
        <f t="shared" si="65"/>
        <v>0</v>
      </c>
      <c r="AK92" s="289">
        <f t="shared" si="18"/>
        <v>0</v>
      </c>
      <c r="AL92" s="92" t="s">
        <v>406</v>
      </c>
      <c r="AM92" s="1371"/>
      <c r="AN92" s="1412"/>
      <c r="AO92" s="1406"/>
      <c r="AP92" s="62" t="str">
        <f>C91</f>
        <v>19 - Kaizen Facão. DA000481Z - PRODUTIVIDADE</v>
      </c>
      <c r="AQ92" s="62" t="s">
        <v>313</v>
      </c>
      <c r="AR92" s="508" t="str" cm="1">
        <f t="array" aca="1" ref="AR92" ca="1">IF(OR(AP92="",AP92=0),"",IF(SUMPRODUCT(($C$55:$C$175=AP92)*($U$54:AI$54&lt;=TODAY())*(ISNUMBER($U$56:AI$176)),$U$56:AI$176)=0,"",SUMPRODUCT(($C$55:$C$175=AP92)*($U$54:AI$54&lt;=TODAY())*(ISNUMBER($U$56:AI$176)),$U$56:AI$176)))</f>
        <v/>
      </c>
      <c r="AS92" s="508" t="str">
        <f>A91</f>
        <v>Kaizen - Ganho Recorrente</v>
      </c>
      <c r="AU92" s="1567"/>
      <c r="AV92" s="1567"/>
    </row>
    <row r="93" spans="1:48" ht="29.1" customHeight="1" x14ac:dyDescent="0.3">
      <c r="A93" s="1819" t="s">
        <v>59</v>
      </c>
      <c r="B93" s="1407" t="s">
        <v>101</v>
      </c>
      <c r="C93" s="1828" t="s">
        <v>407</v>
      </c>
      <c r="D93" s="1813" t="s">
        <v>408</v>
      </c>
      <c r="E93" s="1830" t="s">
        <v>409</v>
      </c>
      <c r="F93" s="1832" t="s">
        <v>410</v>
      </c>
      <c r="G93" s="1791">
        <v>46027</v>
      </c>
      <c r="H93" s="1791">
        <v>46387</v>
      </c>
      <c r="I93" s="1842"/>
      <c r="J93" s="1787"/>
      <c r="K93" s="1789" t="str">
        <f t="shared" ref="K93" si="99">IF(J93="", "", 12 - MONTH(J93) + 1)</f>
        <v/>
      </c>
      <c r="L93" s="1847"/>
      <c r="M93" s="1867" t="s">
        <v>363</v>
      </c>
      <c r="N93" s="1869">
        <v>0</v>
      </c>
      <c r="O93" s="1851" t="s">
        <v>81</v>
      </c>
      <c r="P93" s="1671" t="s">
        <v>309</v>
      </c>
      <c r="Q93" s="1671" t="s">
        <v>309</v>
      </c>
      <c r="R93" s="1772">
        <v>1</v>
      </c>
      <c r="S93" s="93" t="s">
        <v>116</v>
      </c>
      <c r="T93" s="727">
        <v>1</v>
      </c>
      <c r="U93" s="498">
        <f>IFERROR(IF(AND(U$54&gt;=EOMONTH($J93,-1)+1,U$54&lt;=EOMONTH(EOMONTH($J93,-1)+1,$K93-1)),IF(NOT(ISBLANK($N93)),$N93/$K93,$I93/$K93),0),0)</f>
        <v>0</v>
      </c>
      <c r="V93" s="498">
        <f>IFERROR(IF(AND(V$54&gt;=EOMONTH($J93,-1)+1,V$54&lt;=EOMONTH(EOMONTH($J93,-1)+1,$K93-1)),IF(NOT(ISBLANK($N93)),$N93/$K93,$I93/$K93),0),0)</f>
        <v>0</v>
      </c>
      <c r="W93" s="498">
        <f>IFERROR(IF(AND(W$54&gt;=EOMONTH($J93,-1)+1,W$54&lt;=EOMONTH(EOMONTH($J93,-1)+1,$K93-1)),IF(NOT(ISBLANK($N93)),$N93/$K93,$I93/$K93),0),0)</f>
        <v>0</v>
      </c>
      <c r="X93" s="89">
        <f t="shared" ref="X93" si="100">SUM(U93:W93)</f>
        <v>0</v>
      </c>
      <c r="Y93" s="498">
        <f>IFERROR(IF(AND(Y$54&gt;=EOMONTH($J93,-1)+1,Y$54&lt;=EOMONTH(EOMONTH($J93,-1)+1,$K93-1)),IF(NOT(ISBLANK($N93)),$N93/$K93,$I93/$K93),0),0)</f>
        <v>0</v>
      </c>
      <c r="Z93" s="498">
        <f>IFERROR(IF(AND(Z$54&gt;=EOMONTH($J93,-1)+1,Z$54&lt;=EOMONTH(EOMONTH($J93,-1)+1,$K93-1)),IF(NOT(ISBLANK($N93)),$N93/$K93,$I93/$K93),0),0)</f>
        <v>0</v>
      </c>
      <c r="AA93" s="498">
        <f>IFERROR(IF(AND(AA$54&gt;=EOMONTH($J93,-1)+1,AA$54&lt;=EOMONTH(EOMONTH($J93,-1)+1,$K93-1)),IF(NOT(ISBLANK($N93)),$N93/$K93,$I93/$K93),0),0)</f>
        <v>0</v>
      </c>
      <c r="AB93" s="89">
        <f t="shared" ref="AB93" si="101">SUM(Y93:AA93)</f>
        <v>0</v>
      </c>
      <c r="AC93" s="498">
        <f>IFERROR(IF(AND(AC$54&gt;=EOMONTH($J93,-1)+1,AC$54&lt;=EOMONTH(EOMONTH($J93,-1)+1,$K93-1)),IF(NOT(ISBLANK($N93)),$N93/$K93,$I93/$K93),0),0)</f>
        <v>0</v>
      </c>
      <c r="AD93" s="498">
        <f>IFERROR(IF(AND(AD$54&gt;=EOMONTH($J93,-1)+1,AD$54&lt;=EOMONTH(EOMONTH($J93,-1)+1,$K93-1)),IF(NOT(ISBLANK($N93)),$N93/$K93,$I93/$K93),0),0)</f>
        <v>0</v>
      </c>
      <c r="AE93" s="498">
        <f>IFERROR(IF(AND(AE$54&gt;=EOMONTH($J93,-1)+1,AE$54&lt;=EOMONTH(EOMONTH($J93,-1)+1,$K93-1)),IF(NOT(ISBLANK($N93)),$N93/$K93,$I93/$K93),0),0)</f>
        <v>0</v>
      </c>
      <c r="AF93" s="89">
        <f t="shared" si="87"/>
        <v>0</v>
      </c>
      <c r="AG93" s="498">
        <f>IFERROR(IF(AND(AG$54&gt;=EOMONTH($J93,-1)+1,AG$54&lt;=EOMONTH(EOMONTH($J93,-1)+1,$K93-1)),IF(NOT(ISBLANK($N93)),$N93/$K93,$I93/$K93),0),0)</f>
        <v>0</v>
      </c>
      <c r="AH93" s="498">
        <f>IFERROR(IF(AND(AH$54&gt;=EOMONTH($J93,-1)+1,AH$54&lt;=EOMONTH(EOMONTH($J93,-1)+1,$K93-1)),IF(NOT(ISBLANK($N93)),$N93/$K93,$I93/$K93),0),0)</f>
        <v>0</v>
      </c>
      <c r="AI93" s="498">
        <f>IFERROR(IF(AND(AI$54&gt;=EOMONTH($J93,-1)+1,AI$54&lt;=EOMONTH(EOMONTH($J93,-1)+1,$K93-1)),IF(NOT(ISBLANK($N93)),$N93/$K93,$I93/$K93),0),0)</f>
        <v>0</v>
      </c>
      <c r="AJ93" s="89">
        <f t="shared" si="65"/>
        <v>0</v>
      </c>
      <c r="AK93" s="95">
        <f t="shared" si="18"/>
        <v>0</v>
      </c>
      <c r="AL93" s="97" t="s">
        <v>411</v>
      </c>
      <c r="AM93" s="1407"/>
      <c r="AN93" s="1334"/>
      <c r="AO93" s="1403">
        <f>N93*AN93</f>
        <v>0</v>
      </c>
      <c r="AP93" s="62" t="str">
        <f>C93</f>
        <v>20 - Redução refugo em relação ao budget</v>
      </c>
      <c r="AQ93" s="62" t="s">
        <v>311</v>
      </c>
      <c r="AR93" s="508" t="str" cm="1">
        <f t="array" aca="1" ref="AR93" ca="1">IF(OR(AP93="",AP93=0),"",IF(SUMPRODUCT(($C$55:$C$175=AP93)*(U$54:$AI$54&lt;EOMONTH(TODAY(),-1)+1)*(ISNUMBER(U$55:$AI$175)),U$55:$AI$175)=0,"",SUMPRODUCT(($C$55:$C$175=AP93)*(U$54:$AI$54&lt;EOMONTH(TODAY(),-1)+1)*(ISNUMBER(U$55:$AI$175)),U$55:$AI$175)))</f>
        <v/>
      </c>
      <c r="AS93" s="508" t="str">
        <f>A93</f>
        <v>Kaizen - Ganho Recorrente</v>
      </c>
      <c r="AU93" s="1566">
        <f t="shared" ref="AU93" si="102">IF(OR(I93="",K93=""),0,(I93/12)*K93)</f>
        <v>0</v>
      </c>
      <c r="AV93" s="1566">
        <f t="shared" ref="AV93" si="103">IF(OR(N93="",K93="",K93=0),0,(N93/K93)*12)</f>
        <v>0</v>
      </c>
    </row>
    <row r="94" spans="1:48" ht="29.1" customHeight="1" x14ac:dyDescent="0.3">
      <c r="A94" s="1820"/>
      <c r="B94" s="1408"/>
      <c r="C94" s="1829"/>
      <c r="D94" s="1814"/>
      <c r="E94" s="1831"/>
      <c r="F94" s="1833"/>
      <c r="G94" s="1792"/>
      <c r="H94" s="1792"/>
      <c r="I94" s="1843"/>
      <c r="J94" s="1788"/>
      <c r="K94" s="1790"/>
      <c r="L94" s="1848"/>
      <c r="M94" s="1868"/>
      <c r="N94" s="1870"/>
      <c r="O94" s="1852"/>
      <c r="P94" s="1672"/>
      <c r="Q94" s="1672"/>
      <c r="R94" s="1773"/>
      <c r="S94" s="93" t="s">
        <v>117</v>
      </c>
      <c r="T94" s="729">
        <v>100</v>
      </c>
      <c r="U94" s="615">
        <v>0</v>
      </c>
      <c r="V94" s="615">
        <v>0</v>
      </c>
      <c r="W94" s="290"/>
      <c r="X94" s="288">
        <f t="shared" si="68"/>
        <v>0</v>
      </c>
      <c r="Y94" s="290"/>
      <c r="Z94" s="290"/>
      <c r="AA94" s="290"/>
      <c r="AB94" s="288">
        <f t="shared" si="69"/>
        <v>0</v>
      </c>
      <c r="AC94" s="290"/>
      <c r="AD94" s="290"/>
      <c r="AE94" s="290"/>
      <c r="AF94" s="288">
        <f t="shared" si="70"/>
        <v>0</v>
      </c>
      <c r="AG94" s="290"/>
      <c r="AH94" s="290"/>
      <c r="AI94" s="290"/>
      <c r="AJ94" s="288">
        <f t="shared" si="65"/>
        <v>0</v>
      </c>
      <c r="AK94" s="291">
        <f t="shared" si="18"/>
        <v>0</v>
      </c>
      <c r="AL94" s="97" t="s">
        <v>412</v>
      </c>
      <c r="AM94" s="1408"/>
      <c r="AN94" s="1330"/>
      <c r="AO94" s="1404"/>
      <c r="AP94" s="62" t="str">
        <f>C93</f>
        <v>20 - Redução refugo em relação ao budget</v>
      </c>
      <c r="AQ94" s="62" t="s">
        <v>313</v>
      </c>
      <c r="AR94" s="508" t="str" cm="1">
        <f t="array" aca="1" ref="AR94" ca="1">IF(OR(AP94="",AP94=0),"",IF(SUMPRODUCT(($C$55:$C$175=AP94)*($U$54:AI$54&lt;=TODAY())*(ISNUMBER($U$56:AI$176)),$U$56:AI$176)=0,"",SUMPRODUCT(($C$55:$C$175=AP94)*($U$54:AI$54&lt;=TODAY())*(ISNUMBER($U$56:AI$176)),$U$56:AI$176)))</f>
        <v/>
      </c>
      <c r="AS94" s="508" t="str">
        <f>A93</f>
        <v>Kaizen - Ganho Recorrente</v>
      </c>
      <c r="AU94" s="1567"/>
      <c r="AV94" s="1567"/>
    </row>
    <row r="95" spans="1:48" ht="29.1" customHeight="1" x14ac:dyDescent="0.3">
      <c r="A95" s="1691" t="s">
        <v>91</v>
      </c>
      <c r="B95" s="1701" t="s">
        <v>95</v>
      </c>
      <c r="C95" s="1482" t="s">
        <v>413</v>
      </c>
      <c r="D95" s="1486" t="s">
        <v>414</v>
      </c>
      <c r="E95" s="1368" t="s">
        <v>415</v>
      </c>
      <c r="F95" s="1370" t="s">
        <v>307</v>
      </c>
      <c r="G95" s="1372">
        <v>46054</v>
      </c>
      <c r="H95" s="1372">
        <v>46112</v>
      </c>
      <c r="I95" s="1354">
        <v>56826</v>
      </c>
      <c r="J95" s="1376">
        <v>46082</v>
      </c>
      <c r="K95" s="1389">
        <f t="shared" ref="K95" si="104">IF(J95="", "", 12 - MONTH(J95) + 1)</f>
        <v>10</v>
      </c>
      <c r="L95" s="1354"/>
      <c r="M95" s="1770" t="s">
        <v>308</v>
      </c>
      <c r="N95" s="1730">
        <v>37365.58</v>
      </c>
      <c r="O95" s="1764" t="s">
        <v>81</v>
      </c>
      <c r="P95" s="1673" t="s">
        <v>309</v>
      </c>
      <c r="Q95" s="1673" t="s">
        <v>309</v>
      </c>
      <c r="R95" s="1327">
        <v>1</v>
      </c>
      <c r="S95" s="87" t="s">
        <v>116</v>
      </c>
      <c r="T95" s="726">
        <v>1</v>
      </c>
      <c r="U95" s="287">
        <f>IFERROR(IF(AND(U$54&gt;=EOMONTH($J95,-1)+1,U$54&lt;=EOMONTH(EOMONTH($J95,-1)+1,$K95-1)),IF(NOT(ISBLANK($N95)),$N95/$K95,$I95/$K95),0),0)</f>
        <v>0</v>
      </c>
      <c r="V95" s="287">
        <f>IFERROR(IF(AND(V$54&gt;=EOMONTH($J95,-1)+1,V$54&lt;=EOMONTH(EOMONTH($J95,-1)+1,$K95-1)),IF(NOT(ISBLANK($N95)),$N95/$K95,$I95/$K95),0),0)</f>
        <v>0</v>
      </c>
      <c r="W95" s="815">
        <f>IFERROR(IF(AND(W$54&gt;=EOMONTH($J95,-1)+1,W$54&lt;=EOMONTH(EOMONTH($J95,-1)+1,$K95-1)),IF(NOT(ISBLANK($N95)),$N95/$K95,$I95/$K95),0),0)</f>
        <v>3736.558</v>
      </c>
      <c r="X95" s="89">
        <f t="shared" ref="X95" si="105">SUM(U95:W95)</f>
        <v>3736.558</v>
      </c>
      <c r="Y95" s="815">
        <f>IFERROR(IF(AND(Y$54&gt;=EOMONTH($J95,-1)+1,Y$54&lt;=EOMONTH(EOMONTH($J95,-1)+1,$K95-1)),IF(NOT(ISBLANK($N95)),$N95/$K95,$I95/$K95),0),0)</f>
        <v>3736.558</v>
      </c>
      <c r="Z95" s="287">
        <f>IFERROR(IF(AND(Z$54&gt;=EOMONTH($J95,-1)+1,Z$54&lt;=EOMONTH(EOMONTH($J95,-1)+1,$K95-1)),IF(NOT(ISBLANK($N95)),$N95/$K95,$I95/$K95),0),0)</f>
        <v>3736.558</v>
      </c>
      <c r="AA95" s="287">
        <f>IFERROR(IF(AND(AA$54&gt;=EOMONTH($J95,-1)+1,AA$54&lt;=EOMONTH(EOMONTH($J95,-1)+1,$K95-1)),IF(NOT(ISBLANK($N95)),$N95/$K95,$I95/$K95),0),0)</f>
        <v>3736.558</v>
      </c>
      <c r="AB95" s="89">
        <f t="shared" ref="AB95" si="106">SUM(Y95:AA95)</f>
        <v>11209.673999999999</v>
      </c>
      <c r="AC95" s="287">
        <f>IFERROR(IF(AND(AC$54&gt;=EOMONTH($J95,-1)+1,AC$54&lt;=EOMONTH(EOMONTH($J95,-1)+1,$K95-1)),IF(NOT(ISBLANK($N95)),$N95/$K95,$I95/$K95),0),0)</f>
        <v>3736.558</v>
      </c>
      <c r="AD95" s="287">
        <f>IFERROR(IF(AND(AD$54&gt;=EOMONTH($J95,-1)+1,AD$54&lt;=EOMONTH(EOMONTH($J95,-1)+1,$K95-1)),IF(NOT(ISBLANK($N95)),$N95/$K95,$I95/$K95),0),0)</f>
        <v>3736.558</v>
      </c>
      <c r="AE95" s="287">
        <f>IFERROR(IF(AND(AE$54&gt;=EOMONTH($J95,-1)+1,AE$54&lt;=EOMONTH(EOMONTH($J95,-1)+1,$K95-1)),IF(NOT(ISBLANK($N95)),$N95/$K95,$I95/$K95),0),0)</f>
        <v>3736.558</v>
      </c>
      <c r="AF95" s="89">
        <f t="shared" si="70"/>
        <v>11209.673999999999</v>
      </c>
      <c r="AG95" s="287">
        <f>IFERROR(IF(AND(AG$54&gt;=EOMONTH($J95,-1)+1,AG$54&lt;=EOMONTH(EOMONTH($J95,-1)+1,$K95-1)),IF(NOT(ISBLANK($N95)),$N95/$K95,$I95/$K95),0),0)</f>
        <v>3736.558</v>
      </c>
      <c r="AH95" s="287">
        <f>IFERROR(IF(AND(AH$54&gt;=EOMONTH($J95,-1)+1,AH$54&lt;=EOMONTH(EOMONTH($J95,-1)+1,$K95-1)),IF(NOT(ISBLANK($N95)),$N95/$K95,$I95/$K95),0),0)</f>
        <v>3736.558</v>
      </c>
      <c r="AI95" s="287">
        <f>IFERROR(IF(AND(AI$54&gt;=EOMONTH($J95,-1)+1,AI$54&lt;=EOMONTH(EOMONTH($J95,-1)+1,$K95-1)),IF(NOT(ISBLANK($N95)),$N95/$K95,$I95/$K95),0),0)</f>
        <v>3736.558</v>
      </c>
      <c r="AJ95" s="89">
        <f t="shared" ref="AJ95:AJ176" si="107">SUM(AG95:AI95)</f>
        <v>11209.673999999999</v>
      </c>
      <c r="AK95" s="90">
        <f t="shared" si="18"/>
        <v>37365.58</v>
      </c>
      <c r="AL95" s="92" t="s">
        <v>416</v>
      </c>
      <c r="AM95" s="1370"/>
      <c r="AN95" s="1411"/>
      <c r="AO95" s="1405">
        <f>N95*AN95</f>
        <v>0</v>
      </c>
      <c r="AP95" s="62" t="str">
        <f>C95</f>
        <v>21 - Kaizen_Redução de peso bruto MB003537LA_MB003538LA</v>
      </c>
      <c r="AQ95" s="62" t="s">
        <v>311</v>
      </c>
      <c r="AR95" s="508" cm="1">
        <f t="array" aca="1" ref="AR95" ca="1">IF(OR(AP95="",AP95=0),"",IF(SUMPRODUCT(($C$55:$C$175=AP95)*(U$54:$AI$54&lt;EOMONTH(TODAY(),-1)+1)*(ISNUMBER(U$55:$AI$175)),U$55:$AI$175)=0,"",SUMPRODUCT(($C$55:$C$175=AP95)*(U$54:$AI$54&lt;EOMONTH(TODAY(),-1)+1)*(ISNUMBER(U$55:$AI$175)),U$55:$AI$175)))</f>
        <v>18682.79</v>
      </c>
      <c r="AS95" s="508" t="str">
        <f>A95</f>
        <v>BSW</v>
      </c>
      <c r="AU95" s="1566">
        <f t="shared" ref="AU95" si="108">IF(OR(I95="",K95=""),0,(I95/12)*K95)</f>
        <v>47355</v>
      </c>
      <c r="AV95" s="1566">
        <f t="shared" ref="AV95" si="109">IF(OR(N95="",K95="",K95=0),0,(N95/K95)*12)</f>
        <v>44838.695999999996</v>
      </c>
    </row>
    <row r="96" spans="1:48" ht="29.1" customHeight="1" x14ac:dyDescent="0.3">
      <c r="A96" s="1692"/>
      <c r="B96" s="1702"/>
      <c r="C96" s="1483"/>
      <c r="D96" s="1539"/>
      <c r="E96" s="1369"/>
      <c r="F96" s="1371"/>
      <c r="G96" s="1373"/>
      <c r="H96" s="1373"/>
      <c r="I96" s="1355"/>
      <c r="J96" s="1377"/>
      <c r="K96" s="1390"/>
      <c r="L96" s="1355"/>
      <c r="M96" s="1771"/>
      <c r="N96" s="1475"/>
      <c r="O96" s="1765"/>
      <c r="P96" s="1674"/>
      <c r="Q96" s="1674"/>
      <c r="R96" s="1328"/>
      <c r="S96" s="87" t="s">
        <v>117</v>
      </c>
      <c r="T96" s="726">
        <v>1</v>
      </c>
      <c r="U96" s="287"/>
      <c r="V96" s="287"/>
      <c r="W96" s="287">
        <v>4391.2409531493349</v>
      </c>
      <c r="X96" s="288">
        <f t="shared" ref="X96" si="110">SUM(U96:W96)</f>
        <v>4391.2409531493349</v>
      </c>
      <c r="Y96" s="287">
        <v>4250.3112653750313</v>
      </c>
      <c r="Z96" s="287">
        <v>3015.5750236251633</v>
      </c>
      <c r="AA96" s="287">
        <v>3692.9984091766473</v>
      </c>
      <c r="AB96" s="288">
        <f t="shared" ref="AB96" si="111">SUM(Y96:AA96)</f>
        <v>10958.884698176842</v>
      </c>
      <c r="AC96" s="287">
        <v>3523.2421943575996</v>
      </c>
      <c r="AD96" s="287"/>
      <c r="AE96" s="287"/>
      <c r="AF96" s="288">
        <f t="shared" ref="AF96:AF134" si="112">SUM(AC96:AE96)</f>
        <v>3523.2421943575996</v>
      </c>
      <c r="AG96" s="287"/>
      <c r="AH96" s="287"/>
      <c r="AI96" s="287"/>
      <c r="AJ96" s="288">
        <f t="shared" si="107"/>
        <v>0</v>
      </c>
      <c r="AK96" s="289">
        <f t="shared" si="18"/>
        <v>18873.367845683777</v>
      </c>
      <c r="AL96" s="92" t="s">
        <v>417</v>
      </c>
      <c r="AM96" s="1371"/>
      <c r="AN96" s="1412"/>
      <c r="AO96" s="1406"/>
      <c r="AP96" s="62" t="str">
        <f>C95</f>
        <v>21 - Kaizen_Redução de peso bruto MB003537LA_MB003538LA</v>
      </c>
      <c r="AQ96" s="62" t="s">
        <v>313</v>
      </c>
      <c r="AR96" s="508" cm="1">
        <f t="array" aca="1" ref="AR96" ca="1">IF(OR(AP96="",AP96=0),"",IF(SUMPRODUCT(($C$55:$C$175=AP96)*($U$54:AI$54&lt;=TODAY())*(ISNUMBER($U$56:AI$176)),$U$56:AI$176)=0,"",SUMPRODUCT(($C$55:$C$175=AP96)*($U$54:AI$54&lt;=TODAY())*(ISNUMBER($U$56:AI$176)),$U$56:AI$176)))</f>
        <v>18873.367845683777</v>
      </c>
      <c r="AS96" s="508" t="str">
        <f>A95</f>
        <v>BSW</v>
      </c>
      <c r="AU96" s="1567"/>
      <c r="AV96" s="1567"/>
    </row>
    <row r="97" spans="1:48" s="943" customFormat="1" ht="29.1" customHeight="1" x14ac:dyDescent="0.3">
      <c r="A97" s="1823" t="s">
        <v>91</v>
      </c>
      <c r="B97" s="1708" t="s">
        <v>95</v>
      </c>
      <c r="C97" s="1482" t="s">
        <v>418</v>
      </c>
      <c r="D97" s="1827" t="s">
        <v>419</v>
      </c>
      <c r="E97" s="1449" t="s">
        <v>420</v>
      </c>
      <c r="F97" s="1825" t="s">
        <v>307</v>
      </c>
      <c r="G97" s="1785">
        <v>46054</v>
      </c>
      <c r="H97" s="1785">
        <v>46082</v>
      </c>
      <c r="I97" s="1845">
        <v>36000</v>
      </c>
      <c r="J97" s="1498"/>
      <c r="K97" s="1525" t="str">
        <f t="shared" ref="K97" si="113">IF(J97="", "", 12 - MONTH(J97) + 1)</f>
        <v/>
      </c>
      <c r="L97" s="1853"/>
      <c r="M97" s="1766" t="s">
        <v>363</v>
      </c>
      <c r="N97" s="1768">
        <v>0</v>
      </c>
      <c r="O97" s="1854" t="s">
        <v>81</v>
      </c>
      <c r="P97" s="1663" t="s">
        <v>309</v>
      </c>
      <c r="Q97" s="1663" t="s">
        <v>309</v>
      </c>
      <c r="R97" s="1774">
        <v>1</v>
      </c>
      <c r="S97" s="950" t="s">
        <v>116</v>
      </c>
      <c r="T97" s="951">
        <v>1</v>
      </c>
      <c r="U97" s="816">
        <f>IFERROR(IF(AND(U$54&gt;=EOMONTH($J97,-1)+1,U$54&lt;=EOMONTH(EOMONTH($J97,-1)+1,$K97-1)),IF(NOT(ISBLANK($N97)),$N97/$K97,$I97/$K97),0),0)</f>
        <v>0</v>
      </c>
      <c r="V97" s="816">
        <f>IFERROR(IF(AND(V$54&gt;=EOMONTH($J97,-1)+1,V$54&lt;=EOMONTH(EOMONTH($J97,-1)+1,$K97-1)),IF(NOT(ISBLANK($N97)),$N97/$K97,$I97/$K97),0),0)</f>
        <v>0</v>
      </c>
      <c r="W97" s="816">
        <f>IFERROR(IF(AND(W$54&gt;=EOMONTH($J97,-1)+1,W$54&lt;=EOMONTH(EOMONTH($J97,-1)+1,$K97-1)),IF(NOT(ISBLANK($N97)),$N97/$K97,$I97/$K97),0),0)</f>
        <v>0</v>
      </c>
      <c r="X97" s="952">
        <f t="shared" ref="X97" si="114">SUM(U97:W97)</f>
        <v>0</v>
      </c>
      <c r="Y97" s="816">
        <f>IFERROR(IF(AND(Y$54&gt;=EOMONTH($J97,-1)+1,Y$54&lt;=EOMONTH(EOMONTH($J97,-1)+1,$K97-1)),IF(NOT(ISBLANK($N97)),$N97/$K97,$I97/$K97),0),0)</f>
        <v>0</v>
      </c>
      <c r="Z97" s="816">
        <f>IFERROR(IF(AND(Z$54&gt;=EOMONTH($J97,-1)+1,Z$54&lt;=EOMONTH(EOMONTH($J97,-1)+1,$K97-1)),IF(NOT(ISBLANK($N97)),$N97/$K97,$I97/$K97),0),0)</f>
        <v>0</v>
      </c>
      <c r="AA97" s="816">
        <f>IFERROR(IF(AND(AA$54&gt;=EOMONTH($J97,-1)+1,AA$54&lt;=EOMONTH(EOMONTH($J97,-1)+1,$K97-1)),IF(NOT(ISBLANK($N97)),$N97/$K97,$I97/$K97),0),0)</f>
        <v>0</v>
      </c>
      <c r="AB97" s="952">
        <f t="shared" ref="AB97" si="115">SUM(Y97:AA97)</f>
        <v>0</v>
      </c>
      <c r="AC97" s="816">
        <f>IFERROR(IF(AND(AC$54&gt;=EOMONTH($J97,-1)+1,AC$54&lt;=EOMONTH(EOMONTH($J97,-1)+1,$K97-1)),IF(NOT(ISBLANK($N97)),$N97/$K97,$I97/$K97),0),0)</f>
        <v>0</v>
      </c>
      <c r="AD97" s="816">
        <f>IFERROR(IF(AND(AD$54&gt;=EOMONTH($J97,-1)+1,AD$54&lt;=EOMONTH(EOMONTH($J97,-1)+1,$K97-1)),IF(NOT(ISBLANK($N97)),$N97/$K97,$I97/$K97),0),0)</f>
        <v>0</v>
      </c>
      <c r="AE97" s="816">
        <f>IFERROR(IF(AND(AE$54&gt;=EOMONTH($J97,-1)+1,AE$54&lt;=EOMONTH(EOMONTH($J97,-1)+1,$K97-1)),IF(NOT(ISBLANK($N97)),$N97/$K97,$I97/$K97),0),0)</f>
        <v>0</v>
      </c>
      <c r="AF97" s="952">
        <f t="shared" si="112"/>
        <v>0</v>
      </c>
      <c r="AG97" s="816">
        <f>IFERROR(IF(AND(AG$54&gt;=EOMONTH($J97,-1)+1,AG$54&lt;=EOMONTH(EOMONTH($J97,-1)+1,$K97-1)),IF(NOT(ISBLANK($N97)),$N97/$K97,$I97/$K97),0),0)</f>
        <v>0</v>
      </c>
      <c r="AH97" s="816">
        <f>IFERROR(IF(AND(AH$54&gt;=EOMONTH($J97,-1)+1,AH$54&lt;=EOMONTH(EOMONTH($J97,-1)+1,$K97-1)),IF(NOT(ISBLANK($N97)),$N97/$K97,$I97/$K97),0),0)</f>
        <v>0</v>
      </c>
      <c r="AI97" s="816">
        <f>IFERROR(IF(AND(AI$54&gt;=EOMONTH($J97,-1)+1,AI$54&lt;=EOMONTH(EOMONTH($J97,-1)+1,$K97-1)),IF(NOT(ISBLANK($N97)),$N97/$K97,$I97/$K97),0),0)</f>
        <v>0</v>
      </c>
      <c r="AJ97" s="952">
        <f t="shared" si="107"/>
        <v>0</v>
      </c>
      <c r="AK97" s="953">
        <f t="shared" si="18"/>
        <v>0</v>
      </c>
      <c r="AL97" s="97" t="s">
        <v>421</v>
      </c>
      <c r="AM97" s="1358"/>
      <c r="AN97" s="1763"/>
      <c r="AO97" s="1761">
        <f>N97*AN97</f>
        <v>0</v>
      </c>
      <c r="AP97" s="943" t="str">
        <f>C97</f>
        <v>22 - Aproveitamento de Retalho do corte laser - MB002316LA_MB003533LA_MB003673LC</v>
      </c>
      <c r="AQ97" s="943" t="s">
        <v>311</v>
      </c>
      <c r="AR97" s="917" t="str" cm="1">
        <f t="array" aca="1" ref="AR97" ca="1">IF(OR(AP97="",AP97=0),"",IF(SUMPRODUCT(($C$55:$C$175=AP97)*(U$54:$AI$54&lt;EOMONTH(TODAY(),-1)+1)*(ISNUMBER(U$55:$AI$175)),U$55:$AI$175)=0,"",SUMPRODUCT(($C$55:$C$175=AP97)*(U$54:$AI$54&lt;EOMONTH(TODAY(),-1)+1)*(ISNUMBER(U$55:$AI$175)),U$55:$AI$175)))</f>
        <v/>
      </c>
      <c r="AS97" s="917" t="str">
        <f>A97</f>
        <v>BSW</v>
      </c>
      <c r="AU97" s="1566">
        <f t="shared" ref="AU97" si="116">IF(OR(I97="",K97=""),0,(I97/12)*K97)</f>
        <v>0</v>
      </c>
      <c r="AV97" s="1566">
        <f t="shared" ref="AV97" si="117">IF(OR(N97="",K97="",K97=0),0,(N97/K97)*12)</f>
        <v>0</v>
      </c>
    </row>
    <row r="98" spans="1:48" s="943" customFormat="1" ht="29.1" customHeight="1" x14ac:dyDescent="0.3">
      <c r="A98" s="1824"/>
      <c r="B98" s="1709"/>
      <c r="C98" s="1483"/>
      <c r="D98" s="1455"/>
      <c r="E98" s="1450"/>
      <c r="F98" s="1826"/>
      <c r="G98" s="1786"/>
      <c r="H98" s="1786"/>
      <c r="I98" s="1846"/>
      <c r="J98" s="1499"/>
      <c r="K98" s="1526"/>
      <c r="L98" s="1746"/>
      <c r="M98" s="1767"/>
      <c r="N98" s="1769"/>
      <c r="O98" s="1855"/>
      <c r="P98" s="1664"/>
      <c r="Q98" s="1664"/>
      <c r="R98" s="1775"/>
      <c r="S98" s="950" t="s">
        <v>117</v>
      </c>
      <c r="T98" s="951">
        <v>1</v>
      </c>
      <c r="U98" s="954"/>
      <c r="V98" s="954"/>
      <c r="W98" s="954"/>
      <c r="X98" s="955">
        <f t="shared" ref="X98" si="118">SUM(U98:W98)</f>
        <v>0</v>
      </c>
      <c r="Y98" s="956"/>
      <c r="Z98" s="954"/>
      <c r="AA98" s="954"/>
      <c r="AB98" s="955">
        <f t="shared" ref="AB98" si="119">SUM(Y98:AA98)</f>
        <v>0</v>
      </c>
      <c r="AC98" s="954"/>
      <c r="AD98" s="954"/>
      <c r="AE98" s="954"/>
      <c r="AF98" s="955">
        <f t="shared" si="112"/>
        <v>0</v>
      </c>
      <c r="AG98" s="954"/>
      <c r="AH98" s="954"/>
      <c r="AI98" s="954"/>
      <c r="AJ98" s="955">
        <f t="shared" si="107"/>
        <v>0</v>
      </c>
      <c r="AK98" s="957">
        <f t="shared" si="18"/>
        <v>0</v>
      </c>
      <c r="AL98" s="97"/>
      <c r="AM98" s="1359"/>
      <c r="AN98" s="1668"/>
      <c r="AO98" s="1762"/>
      <c r="AP98" s="943" t="str">
        <f>C97</f>
        <v>22 - Aproveitamento de Retalho do corte laser - MB002316LA_MB003533LA_MB003673LC</v>
      </c>
      <c r="AQ98" s="943" t="s">
        <v>313</v>
      </c>
      <c r="AR98" s="917" t="str" cm="1">
        <f t="array" aca="1" ref="AR98" ca="1">IF(OR(AP98="",AP98=0),"",IF(SUMPRODUCT(($C$55:$C$175=AP98)*($U$54:AI$54&lt;=TODAY())*(ISNUMBER($U$56:AI$176)),$U$56:AI$176)=0,"",SUMPRODUCT(($C$55:$C$175=AP98)*($U$54:AI$54&lt;=TODAY())*(ISNUMBER($U$56:AI$176)),$U$56:AI$176)))</f>
        <v/>
      </c>
      <c r="AS98" s="917" t="str">
        <f>A97</f>
        <v>BSW</v>
      </c>
      <c r="AU98" s="1567"/>
      <c r="AV98" s="1567"/>
    </row>
    <row r="99" spans="1:48" ht="27" customHeight="1" x14ac:dyDescent="0.3">
      <c r="A99" s="1691" t="s">
        <v>91</v>
      </c>
      <c r="B99" s="1701" t="s">
        <v>95</v>
      </c>
      <c r="C99" s="1482" t="s">
        <v>422</v>
      </c>
      <c r="D99" s="1486" t="s">
        <v>423</v>
      </c>
      <c r="E99" s="1368" t="s">
        <v>424</v>
      </c>
      <c r="F99" s="1370" t="s">
        <v>307</v>
      </c>
      <c r="G99" s="1372">
        <v>46069</v>
      </c>
      <c r="H99" s="1372">
        <v>46233</v>
      </c>
      <c r="I99" s="1354">
        <v>270000</v>
      </c>
      <c r="J99" s="1376">
        <v>46235</v>
      </c>
      <c r="K99" s="1389">
        <f t="shared" ref="K99" si="120">IF(J99="", "", 12 - MONTH(J99) + 1)</f>
        <v>5</v>
      </c>
      <c r="L99" s="1354"/>
      <c r="M99" s="1770" t="s">
        <v>308</v>
      </c>
      <c r="N99" s="1730">
        <v>128107.04</v>
      </c>
      <c r="O99" s="1710" t="s">
        <v>83</v>
      </c>
      <c r="P99" s="1678" t="s">
        <v>425</v>
      </c>
      <c r="Q99" s="1669">
        <v>46237</v>
      </c>
      <c r="R99" s="1327">
        <v>0.8</v>
      </c>
      <c r="S99" s="87" t="s">
        <v>116</v>
      </c>
      <c r="T99" s="726">
        <v>0.2</v>
      </c>
      <c r="U99" s="287">
        <f>IFERROR(IF(AND(U$54&gt;=EOMONTH($J99,-1)+1,U$54&lt;=EOMONTH(EOMONTH($J99,-1)+1,$K99-1)),IF(NOT(ISBLANK($N99)),$N99/$K99,$I99/$K99),0),0)</f>
        <v>0</v>
      </c>
      <c r="V99" s="287">
        <f>IFERROR(IF(AND(V$54&gt;=EOMONTH($J99,-1)+1,V$54&lt;=EOMONTH(EOMONTH($J99,-1)+1,$K99-1)),IF(NOT(ISBLANK($N99)),$N99/$K99,$I99/$K99),0),0)</f>
        <v>0</v>
      </c>
      <c r="W99" s="287">
        <f>IFERROR(IF(AND(W$54&gt;=EOMONTH($J99,-1)+1,W$54&lt;=EOMONTH(EOMONTH($J99,-1)+1,$K99-1)),IF(NOT(ISBLANK($N99)),$N99/$K99,$I99/$K99),0),0)</f>
        <v>0</v>
      </c>
      <c r="X99" s="89">
        <f t="shared" ref="X99" si="121">SUM(U99:W99)</f>
        <v>0</v>
      </c>
      <c r="Y99" s="287">
        <f>IFERROR(IF(AND(Y$54&gt;=EOMONTH($J99,-1)+1,Y$54&lt;=EOMONTH(EOMONTH($J99,-1)+1,$K99-1)),IF(NOT(ISBLANK($N99)),$N99/$K99,$I99/$K99),0),0)</f>
        <v>0</v>
      </c>
      <c r="Z99" s="287">
        <f>IFERROR(IF(AND(Z$54&gt;=EOMONTH($J99,-1)+1,Z$54&lt;=EOMONTH(EOMONTH($J99,-1)+1,$K99-1)),IF(NOT(ISBLANK($N99)),$N99/$K99,$I99/$K99),0),0)</f>
        <v>0</v>
      </c>
      <c r="AA99" s="287">
        <f>IFERROR(IF(AND(AA$54&gt;=EOMONTH($J99,-1)+1,AA$54&lt;=EOMONTH(EOMONTH($J99,-1)+1,$K99-1)),IF(NOT(ISBLANK($N99)),$N99/$K99,$I99/$K99),0),0)</f>
        <v>0</v>
      </c>
      <c r="AB99" s="89">
        <f t="shared" ref="AB99" si="122">SUM(Y99:AA99)</f>
        <v>0</v>
      </c>
      <c r="AC99" s="287">
        <f>IFERROR(IF(AND(AC$54&gt;=EOMONTH($J99,-1)+1,AC$54&lt;=EOMONTH(EOMONTH($J99,-1)+1,$K99-1)),IF(NOT(ISBLANK($N99)),$N99/$K99,$I99/$K99),0),0)</f>
        <v>0</v>
      </c>
      <c r="AD99" s="287">
        <f>IFERROR(IF(AND(AD$54&gt;=EOMONTH($J99,-1)+1,AD$54&lt;=EOMONTH(EOMONTH($J99,-1)+1,$K99-1)),IF(NOT(ISBLANK($N99)),$N99/$K99,$I99/$K99),0),0)</f>
        <v>25621.407999999999</v>
      </c>
      <c r="AE99" s="287">
        <f>IFERROR(IF(AND(AE$54&gt;=EOMONTH($J99,-1)+1,AE$54&lt;=EOMONTH(EOMONTH($J99,-1)+1,$K99-1)),IF(NOT(ISBLANK($N99)),$N99/$K99,$I99/$K99),0),0)</f>
        <v>25621.407999999999</v>
      </c>
      <c r="AF99" s="89">
        <f t="shared" si="112"/>
        <v>51242.815999999999</v>
      </c>
      <c r="AG99" s="287">
        <f>IFERROR(IF(AND(AG$54&gt;=EOMONTH($J99,-1)+1,AG$54&lt;=EOMONTH(EOMONTH($J99,-1)+1,$K99-1)),IF(NOT(ISBLANK($N99)),$N99/$K99,$I99/$K99),0),0)</f>
        <v>25621.407999999999</v>
      </c>
      <c r="AH99" s="287">
        <f>IFERROR(IF(AND(AH$54&gt;=EOMONTH($J99,-1)+1,AH$54&lt;=EOMONTH(EOMONTH($J99,-1)+1,$K99-1)),IF(NOT(ISBLANK($N99)),$N99/$K99,$I99/$K99),0),0)</f>
        <v>25621.407999999999</v>
      </c>
      <c r="AI99" s="287">
        <f>IFERROR(IF(AND(AI$54&gt;=EOMONTH($J99,-1)+1,AI$54&lt;=EOMONTH(EOMONTH($J99,-1)+1,$K99-1)),IF(NOT(ISBLANK($N99)),$N99/$K99,$I99/$K99),0),0)</f>
        <v>25621.407999999999</v>
      </c>
      <c r="AJ99" s="89">
        <f t="shared" si="107"/>
        <v>76864.224000000002</v>
      </c>
      <c r="AK99" s="90">
        <f t="shared" si="18"/>
        <v>128107.04000000001</v>
      </c>
      <c r="AL99" s="92" t="s">
        <v>426</v>
      </c>
      <c r="AM99" s="1370"/>
      <c r="AN99" s="1411"/>
      <c r="AO99" s="1405">
        <f>N99*AN99</f>
        <v>0</v>
      </c>
      <c r="AP99" s="62" t="str">
        <f>C99</f>
        <v>23 - Redução do peso bruto VW000581Z / VW000582Z</v>
      </c>
      <c r="AQ99" s="62" t="s">
        <v>311</v>
      </c>
      <c r="AR99" s="508" t="str" cm="1">
        <f t="array" aca="1" ref="AR99" ca="1">IF(OR(AP99="",AP99=0),"",IF(SUMPRODUCT(($C$55:$C$175=AP99)*(U$54:$AI$54&lt;EOMONTH(TODAY(),-1)+1)*(ISNUMBER(U$55:$AI$175)),U$55:$AI$175)=0,"",SUMPRODUCT(($C$55:$C$175=AP99)*(U$54:$AI$54&lt;EOMONTH(TODAY(),-1)+1)*(ISNUMBER(U$55:$AI$175)),U$55:$AI$175)))</f>
        <v/>
      </c>
      <c r="AS99" s="508" t="str">
        <f>A99</f>
        <v>BSW</v>
      </c>
      <c r="AU99" s="1566">
        <f t="shared" ref="AU99" si="123">IF(OR(I99="",K99=""),0,(I99/12)*K99)</f>
        <v>112500</v>
      </c>
      <c r="AV99" s="1566">
        <f t="shared" ref="AV99" si="124">IF(OR(N99="",K99="",K99=0),0,(N99/K99)*12)</f>
        <v>307456.89600000001</v>
      </c>
    </row>
    <row r="100" spans="1:48" ht="29.1" customHeight="1" x14ac:dyDescent="0.3">
      <c r="A100" s="1692"/>
      <c r="B100" s="1702"/>
      <c r="C100" s="1483"/>
      <c r="D100" s="1539"/>
      <c r="E100" s="1369"/>
      <c r="F100" s="1371"/>
      <c r="G100" s="1373"/>
      <c r="H100" s="1373"/>
      <c r="I100" s="1355"/>
      <c r="J100" s="1377"/>
      <c r="K100" s="1390"/>
      <c r="L100" s="1355"/>
      <c r="M100" s="1771"/>
      <c r="N100" s="1475"/>
      <c r="O100" s="1711"/>
      <c r="P100" s="1682"/>
      <c r="Q100" s="1670"/>
      <c r="R100" s="1328"/>
      <c r="S100" s="87" t="s">
        <v>117</v>
      </c>
      <c r="T100" s="726">
        <v>0.25</v>
      </c>
      <c r="U100" s="287"/>
      <c r="V100" s="287"/>
      <c r="W100" s="287"/>
      <c r="X100" s="288">
        <f t="shared" ref="X100" si="125">SUM(U100:W100)</f>
        <v>0</v>
      </c>
      <c r="Y100" s="287"/>
      <c r="Z100" s="287"/>
      <c r="AA100" s="287"/>
      <c r="AB100" s="288">
        <f t="shared" ref="AB100" si="126">SUM(Y100:AA100)</f>
        <v>0</v>
      </c>
      <c r="AC100" s="287"/>
      <c r="AD100" s="287"/>
      <c r="AE100" s="287"/>
      <c r="AF100" s="288">
        <f t="shared" si="112"/>
        <v>0</v>
      </c>
      <c r="AG100" s="287"/>
      <c r="AH100" s="287"/>
      <c r="AI100" s="287"/>
      <c r="AJ100" s="288">
        <f t="shared" si="107"/>
        <v>0</v>
      </c>
      <c r="AK100" s="289">
        <f t="shared" si="18"/>
        <v>0</v>
      </c>
      <c r="AL100" s="92" t="s">
        <v>427</v>
      </c>
      <c r="AM100" s="1371"/>
      <c r="AN100" s="1412"/>
      <c r="AO100" s="1406"/>
      <c r="AP100" s="62" t="str">
        <f>C99</f>
        <v>23 - Redução do peso bruto VW000581Z / VW000582Z</v>
      </c>
      <c r="AQ100" s="62" t="s">
        <v>313</v>
      </c>
      <c r="AR100" s="508" t="str" cm="1">
        <f t="array" aca="1" ref="AR100" ca="1">IF(OR(AP100="",AP100=0),"",IF(SUMPRODUCT(($C$55:$C$175=AP100)*($U$54:AI$54&lt;=TODAY())*(ISNUMBER($U$56:AI$176)),$U$56:AI$176)=0,"",SUMPRODUCT(($C$55:$C$175=AP100)*($U$54:AI$54&lt;=TODAY())*(ISNUMBER($U$56:AI$176)),$U$56:AI$176)))</f>
        <v/>
      </c>
      <c r="AS100" s="508" t="str">
        <f>A99</f>
        <v>BSW</v>
      </c>
      <c r="AU100" s="1567"/>
      <c r="AV100" s="1567"/>
    </row>
    <row r="101" spans="1:48" ht="29.1" customHeight="1" x14ac:dyDescent="0.3">
      <c r="A101" s="1693" t="s">
        <v>91</v>
      </c>
      <c r="B101" s="1708" t="s">
        <v>95</v>
      </c>
      <c r="C101" s="1465" t="s">
        <v>428</v>
      </c>
      <c r="D101" s="1356" t="s">
        <v>429</v>
      </c>
      <c r="E101" s="1449" t="s">
        <v>430</v>
      </c>
      <c r="F101" s="1451" t="s">
        <v>307</v>
      </c>
      <c r="G101" s="1785">
        <v>46076</v>
      </c>
      <c r="H101" s="1785">
        <v>46122</v>
      </c>
      <c r="I101" s="1488">
        <v>33600</v>
      </c>
      <c r="J101" s="1378">
        <v>46143</v>
      </c>
      <c r="K101" s="1387">
        <f t="shared" ref="K101" si="127">IF(J101="", "", 12 - MONTH(J101) + 1)</f>
        <v>8</v>
      </c>
      <c r="L101" s="1395"/>
      <c r="M101" s="1720" t="s">
        <v>308</v>
      </c>
      <c r="N101" s="1865">
        <v>29532.29</v>
      </c>
      <c r="O101" s="1671" t="s">
        <v>81</v>
      </c>
      <c r="P101" s="1671" t="s">
        <v>309</v>
      </c>
      <c r="Q101" s="1671" t="s">
        <v>309</v>
      </c>
      <c r="R101" s="1334">
        <v>0.8</v>
      </c>
      <c r="S101" s="93" t="s">
        <v>116</v>
      </c>
      <c r="T101" s="727">
        <v>1</v>
      </c>
      <c r="U101" s="715">
        <f>IFERROR(IF(AND(U$54&gt;=EOMONTH($J101,-1)+1,U$54&lt;=EOMONTH(EOMONTH($J101,-1)+1,$K101-1)),IF(NOT(ISBLANK($N101)),$N101/$K101,$I101/$K101),0),0)</f>
        <v>0</v>
      </c>
      <c r="V101" s="715">
        <f>IFERROR(IF(AND(V$54&gt;=EOMONTH($J101,-1)+1,V$54&lt;=EOMONTH(EOMONTH($J101,-1)+1,$K101-1)),IF(NOT(ISBLANK($N101)),$N101/$K101,$I101/$K101),0),0)</f>
        <v>0</v>
      </c>
      <c r="W101" s="715">
        <f>IFERROR(IF(AND(W$54&gt;=EOMONTH($J101,-1)+1,W$54&lt;=EOMONTH(EOMONTH($J101,-1)+1,$K101-1)),IF(NOT(ISBLANK($N101)),$N101/$K101,$I101/$K101),0),0)</f>
        <v>0</v>
      </c>
      <c r="X101" s="89">
        <f t="shared" ref="X101" si="128">SUM(U101:W101)</f>
        <v>0</v>
      </c>
      <c r="Y101" s="715">
        <f>IFERROR(IF(AND(Y$54&gt;=EOMONTH($J101,-1)+1,Y$54&lt;=EOMONTH(EOMONTH($J101,-1)+1,$K101-1)),IF(NOT(ISBLANK($N101)),$N101/$K101,$I101/$K101),0),0)</f>
        <v>0</v>
      </c>
      <c r="Z101" s="715">
        <f>IFERROR(IF(AND(Z$54&gt;=EOMONTH($J101,-1)+1,Z$54&lt;=EOMONTH(EOMONTH($J101,-1)+1,$K101-1)),IF(NOT(ISBLANK($N101)),$N101/$K101,$I101/$K101),0),0)</f>
        <v>3691.5362500000001</v>
      </c>
      <c r="AA101" s="715">
        <f>IFERROR(IF(AND(AA$54&gt;=EOMONTH($J101,-1)+1,AA$54&lt;=EOMONTH(EOMONTH($J101,-1)+1,$K101-1)),IF(NOT(ISBLANK($N101)),$N101/$K101,$I101/$K101),0),0)</f>
        <v>3691.5362500000001</v>
      </c>
      <c r="AB101" s="89">
        <f t="shared" ref="AB101" si="129">SUM(Y101:AA101)</f>
        <v>7383.0725000000002</v>
      </c>
      <c r="AC101" s="715">
        <f>IFERROR(IF(AND(AC$54&gt;=EOMONTH($J101,-1)+1,AC$54&lt;=EOMONTH(EOMONTH($J101,-1)+1,$K101-1)),IF(NOT(ISBLANK($N101)),$N101/$K101,$I101/$K101),0),0)</f>
        <v>3691.5362500000001</v>
      </c>
      <c r="AD101" s="715">
        <f>IFERROR(IF(AND(AD$54&gt;=EOMONTH($J101,-1)+1,AD$54&lt;=EOMONTH(EOMONTH($J101,-1)+1,$K101-1)),IF(NOT(ISBLANK($N101)),$N101/$K101,$I101/$K101),0),0)</f>
        <v>3691.5362500000001</v>
      </c>
      <c r="AE101" s="715">
        <f>IFERROR(IF(AND(AE$54&gt;=EOMONTH($J101,-1)+1,AE$54&lt;=EOMONTH(EOMONTH($J101,-1)+1,$K101-1)),IF(NOT(ISBLANK($N101)),$N101/$K101,$I101/$K101),0),0)</f>
        <v>3691.5362500000001</v>
      </c>
      <c r="AF101" s="89">
        <f t="shared" si="112"/>
        <v>11074.608749999999</v>
      </c>
      <c r="AG101" s="715">
        <f>IFERROR(IF(AND(AG$54&gt;=EOMONTH($J101,-1)+1,AG$54&lt;=EOMONTH(EOMONTH($J101,-1)+1,$K101-1)),IF(NOT(ISBLANK($N101)),$N101/$K101,$I101/$K101),0),0)</f>
        <v>3691.5362500000001</v>
      </c>
      <c r="AH101" s="715">
        <f>IFERROR(IF(AND(AH$54&gt;=EOMONTH($J101,-1)+1,AH$54&lt;=EOMONTH(EOMONTH($J101,-1)+1,$K101-1)),IF(NOT(ISBLANK($N101)),$N101/$K101,$I101/$K101),0),0)</f>
        <v>3691.5362500000001</v>
      </c>
      <c r="AI101" s="715">
        <f>IFERROR(IF(AND(AI$54&gt;=EOMONTH($J101,-1)+1,AI$54&lt;=EOMONTH(EOMONTH($J101,-1)+1,$K101-1)),IF(NOT(ISBLANK($N101)),$N101/$K101,$I101/$K101),0),0)</f>
        <v>3691.5362500000001</v>
      </c>
      <c r="AJ101" s="89">
        <f t="shared" si="107"/>
        <v>11074.608749999999</v>
      </c>
      <c r="AK101" s="95">
        <f t="shared" si="18"/>
        <v>29532.29</v>
      </c>
      <c r="AL101" s="97" t="s">
        <v>431</v>
      </c>
      <c r="AM101" s="1407"/>
      <c r="AN101" s="1334"/>
      <c r="AO101" s="1403">
        <f>N101*AN101</f>
        <v>0</v>
      </c>
      <c r="AP101" s="62" t="str">
        <f>C101</f>
        <v>24 - KAIZEN - Redução de peso bruto_MB002289LA_MB002290LA_Rev00_Bruno Manachini</v>
      </c>
      <c r="AQ101" s="62" t="s">
        <v>311</v>
      </c>
      <c r="AR101" s="508" cm="1">
        <f t="array" aca="1" ref="AR101" ca="1">IF(OR(AP101="",AP101=0),"",IF(SUMPRODUCT(($C$55:$C$175=AP101)*(U$54:$AI$54&lt;EOMONTH(TODAY(),-1)+1)*(ISNUMBER(U$55:$AI$175)),U$55:$AI$175)=0,"",SUMPRODUCT(($C$55:$C$175=AP101)*(U$54:$AI$54&lt;EOMONTH(TODAY(),-1)+1)*(ISNUMBER(U$55:$AI$175)),U$55:$AI$175)))</f>
        <v>11074.608749999999</v>
      </c>
      <c r="AS101" s="508" t="str">
        <f>A101</f>
        <v>BSW</v>
      </c>
      <c r="AU101" s="1566">
        <f t="shared" ref="AU101" si="130">IF(OR(I101="",K101=""),0,(I101/12)*K101)</f>
        <v>22400</v>
      </c>
      <c r="AV101" s="1566">
        <f t="shared" ref="AV101" si="131">IF(OR(N101="",K101="",K101=0),0,(N101/K101)*12)</f>
        <v>44298.434999999998</v>
      </c>
    </row>
    <row r="102" spans="1:48" ht="29.1" customHeight="1" x14ac:dyDescent="0.3">
      <c r="A102" s="1694"/>
      <c r="B102" s="1709"/>
      <c r="C102" s="1466"/>
      <c r="D102" s="1455"/>
      <c r="E102" s="1450"/>
      <c r="F102" s="1452"/>
      <c r="G102" s="1786"/>
      <c r="H102" s="1786"/>
      <c r="I102" s="1367"/>
      <c r="J102" s="1379"/>
      <c r="K102" s="1388"/>
      <c r="L102" s="1396"/>
      <c r="M102" s="1721"/>
      <c r="N102" s="1866"/>
      <c r="O102" s="1672"/>
      <c r="P102" s="1672"/>
      <c r="Q102" s="1672"/>
      <c r="R102" s="1330"/>
      <c r="S102" s="93" t="s">
        <v>117</v>
      </c>
      <c r="T102" s="727">
        <v>1</v>
      </c>
      <c r="U102" s="457"/>
      <c r="V102" s="457"/>
      <c r="W102" s="457"/>
      <c r="X102" s="958">
        <f t="shared" ref="X102" si="132">SUM(U102:W102)</f>
        <v>0</v>
      </c>
      <c r="Y102" s="457"/>
      <c r="Z102" s="457">
        <v>3320.2090956719312</v>
      </c>
      <c r="AA102" s="457">
        <v>3373.6040616728983</v>
      </c>
      <c r="AB102" s="958">
        <f t="shared" ref="AB102" si="133">SUM(Y102:AA102)</f>
        <v>6693.81315734483</v>
      </c>
      <c r="AC102" s="457">
        <v>3115.3377220232987</v>
      </c>
      <c r="AD102" s="457"/>
      <c r="AE102" s="457"/>
      <c r="AF102" s="958">
        <f t="shared" si="112"/>
        <v>3115.3377220232987</v>
      </c>
      <c r="AG102" s="457"/>
      <c r="AH102" s="457"/>
      <c r="AI102" s="457"/>
      <c r="AJ102" s="958">
        <f t="shared" si="107"/>
        <v>0</v>
      </c>
      <c r="AK102" s="959">
        <f t="shared" si="18"/>
        <v>9809.1508793681278</v>
      </c>
      <c r="AL102" s="97" t="s">
        <v>432</v>
      </c>
      <c r="AM102" s="1408"/>
      <c r="AN102" s="1330"/>
      <c r="AO102" s="1404"/>
      <c r="AP102" s="62" t="str">
        <f>C101</f>
        <v>24 - KAIZEN - Redução de peso bruto_MB002289LA_MB002290LA_Rev00_Bruno Manachini</v>
      </c>
      <c r="AQ102" s="62" t="s">
        <v>313</v>
      </c>
      <c r="AR102" s="508" cm="1">
        <f t="array" aca="1" ref="AR102" ca="1">IF(OR(AP102="",AP102=0),"",IF(SUMPRODUCT(($C$55:$C$175=AP102)*($U$54:AI$54&lt;=TODAY())*(ISNUMBER($U$56:AI$176)),$U$56:AI$176)=0,"",SUMPRODUCT(($C$55:$C$175=AP102)*($U$54:AI$54&lt;=TODAY())*(ISNUMBER($U$56:AI$176)),$U$56:AI$176)))</f>
        <v>9809.1508793681278</v>
      </c>
      <c r="AS102" s="508" t="str">
        <f>A101</f>
        <v>BSW</v>
      </c>
      <c r="AU102" s="1567"/>
      <c r="AV102" s="1567"/>
    </row>
    <row r="103" spans="1:48" ht="29.1" customHeight="1" x14ac:dyDescent="0.3">
      <c r="A103" s="1691" t="s">
        <v>91</v>
      </c>
      <c r="B103" s="1701" t="s">
        <v>95</v>
      </c>
      <c r="C103" s="1716" t="s">
        <v>433</v>
      </c>
      <c r="D103" s="1486" t="s">
        <v>434</v>
      </c>
      <c r="E103" s="1368" t="s">
        <v>435</v>
      </c>
      <c r="F103" s="1370" t="s">
        <v>307</v>
      </c>
      <c r="G103" s="1372">
        <v>46076</v>
      </c>
      <c r="H103" s="1372">
        <v>46122</v>
      </c>
      <c r="I103" s="1354">
        <v>26000</v>
      </c>
      <c r="J103" s="1376">
        <v>46143</v>
      </c>
      <c r="K103" s="1389">
        <f t="shared" ref="K103" si="134">IF(J103="", "", 12 - MONTH(J103) + 1)</f>
        <v>8</v>
      </c>
      <c r="L103" s="1354"/>
      <c r="M103" s="1770" t="s">
        <v>308</v>
      </c>
      <c r="N103" s="1730">
        <v>17427.61</v>
      </c>
      <c r="O103" s="1764" t="s">
        <v>81</v>
      </c>
      <c r="P103" s="1673" t="s">
        <v>309</v>
      </c>
      <c r="Q103" s="1673" t="s">
        <v>309</v>
      </c>
      <c r="R103" s="1327">
        <v>0.8</v>
      </c>
      <c r="S103" s="87" t="s">
        <v>116</v>
      </c>
      <c r="T103" s="726">
        <v>1</v>
      </c>
      <c r="U103" s="287">
        <f>IFERROR(IF(AND(U$54&gt;=EOMONTH($J103,-1)+1,U$54&lt;=EOMONTH(EOMONTH($J103,-1)+1,$K103-1)),IF(NOT(ISBLANK($N103)),$N103/$K103,$I103/$K103),0),0)</f>
        <v>0</v>
      </c>
      <c r="V103" s="287">
        <f>IFERROR(IF(AND(V$54&gt;=EOMONTH($J103,-1)+1,V$54&lt;=EOMONTH(EOMONTH($J103,-1)+1,$K103-1)),IF(NOT(ISBLANK($N103)),$N103/$K103,$I103/$K103),0),0)</f>
        <v>0</v>
      </c>
      <c r="W103" s="287">
        <f>IFERROR(IF(AND(W$54&gt;=EOMONTH($J103,-1)+1,W$54&lt;=EOMONTH(EOMONTH($J103,-1)+1,$K103-1)),IF(NOT(ISBLANK($N103)),$N103/$K103,$I103/$K103),0),0)</f>
        <v>0</v>
      </c>
      <c r="X103" s="89">
        <f t="shared" ref="X103" si="135">SUM(U103:W103)</f>
        <v>0</v>
      </c>
      <c r="Y103" s="287">
        <f>IFERROR(IF(AND(Y$54&gt;=EOMONTH($J103,-1)+1,Y$54&lt;=EOMONTH(EOMONTH($J103,-1)+1,$K103-1)),IF(NOT(ISBLANK($N103)),$N103/$K103,$I103/$K103),0),0)</f>
        <v>0</v>
      </c>
      <c r="Z103" s="287">
        <f>IFERROR(IF(AND(Z$54&gt;=EOMONTH($J103,-1)+1,Z$54&lt;=EOMONTH(EOMONTH($J103,-1)+1,$K103-1)),IF(NOT(ISBLANK($N103)),$N103/$K103,$I103/$K103),0),0)</f>
        <v>2178.4512500000001</v>
      </c>
      <c r="AA103" s="287">
        <f>IFERROR(IF(AND(AA$54&gt;=EOMONTH($J103,-1)+1,AA$54&lt;=EOMONTH(EOMONTH($J103,-1)+1,$K103-1)),IF(NOT(ISBLANK($N103)),$N103/$K103,$I103/$K103),0),0)</f>
        <v>2178.4512500000001</v>
      </c>
      <c r="AB103" s="89">
        <f t="shared" ref="AB103" si="136">SUM(Y103:AA103)</f>
        <v>4356.9025000000001</v>
      </c>
      <c r="AC103" s="287">
        <f>IFERROR(IF(AND(AC$54&gt;=EOMONTH($J103,-1)+1,AC$54&lt;=EOMONTH(EOMONTH($J103,-1)+1,$K103-1)),IF(NOT(ISBLANK($N103)),$N103/$K103,$I103/$K103),0),0)</f>
        <v>2178.4512500000001</v>
      </c>
      <c r="AD103" s="287">
        <f>IFERROR(IF(AND(AD$54&gt;=EOMONTH($J103,-1)+1,AD$54&lt;=EOMONTH(EOMONTH($J103,-1)+1,$K103-1)),IF(NOT(ISBLANK($N103)),$N103/$K103,$I103/$K103),0),0)</f>
        <v>2178.4512500000001</v>
      </c>
      <c r="AE103" s="287">
        <f>IFERROR(IF(AND(AE$54&gt;=EOMONTH($J103,-1)+1,AE$54&lt;=EOMONTH(EOMONTH($J103,-1)+1,$K103-1)),IF(NOT(ISBLANK($N103)),$N103/$K103,$I103/$K103),0),0)</f>
        <v>2178.4512500000001</v>
      </c>
      <c r="AF103" s="89">
        <f t="shared" si="112"/>
        <v>6535.3537500000002</v>
      </c>
      <c r="AG103" s="287">
        <f>IFERROR(IF(AND(AG$54&gt;=EOMONTH($J103,-1)+1,AG$54&lt;=EOMONTH(EOMONTH($J103,-1)+1,$K103-1)),IF(NOT(ISBLANK($N103)),$N103/$K103,$I103/$K103),0),0)</f>
        <v>2178.4512500000001</v>
      </c>
      <c r="AH103" s="287">
        <f>IFERROR(IF(AND(AH$54&gt;=EOMONTH($J103,-1)+1,AH$54&lt;=EOMONTH(EOMONTH($J103,-1)+1,$K103-1)),IF(NOT(ISBLANK($N103)),$N103/$K103,$I103/$K103),0),0)</f>
        <v>2178.4512500000001</v>
      </c>
      <c r="AI103" s="287">
        <f>IFERROR(IF(AND(AI$54&gt;=EOMONTH($J103,-1)+1,AI$54&lt;=EOMONTH(EOMONTH($J103,-1)+1,$K103-1)),IF(NOT(ISBLANK($N103)),$N103/$K103,$I103/$K103),0),0)</f>
        <v>2178.4512500000001</v>
      </c>
      <c r="AJ103" s="89">
        <f t="shared" si="107"/>
        <v>6535.3537500000002</v>
      </c>
      <c r="AK103" s="90">
        <f t="shared" si="18"/>
        <v>17427.61</v>
      </c>
      <c r="AL103" s="92" t="s">
        <v>436</v>
      </c>
      <c r="AM103" s="1370"/>
      <c r="AN103" s="1411"/>
      <c r="AO103" s="1405">
        <f>N103*AN103</f>
        <v>0</v>
      </c>
      <c r="AP103" s="62" t="str">
        <f>C103</f>
        <v>25 - KAIZEN - Redução de peso bruto_MB003601LA_Rev00_Bruno Manachini</v>
      </c>
      <c r="AQ103" s="62" t="s">
        <v>311</v>
      </c>
      <c r="AR103" s="508" cm="1">
        <f t="array" aca="1" ref="AR103" ca="1">IF(OR(AP103="",AP103=0),"",IF(SUMPRODUCT(($C$55:$C$175=AP103)*(U$54:$AI$54&lt;EOMONTH(TODAY(),-1)+1)*(ISNUMBER(U$55:$AI$175)),U$55:$AI$175)=0,"",SUMPRODUCT(($C$55:$C$175=AP103)*(U$54:$AI$54&lt;EOMONTH(TODAY(),-1)+1)*(ISNUMBER(U$55:$AI$175)),U$55:$AI$175)))</f>
        <v>6535.3537500000002</v>
      </c>
      <c r="AS103" s="508" t="str">
        <f>A103</f>
        <v>BSW</v>
      </c>
      <c r="AU103" s="1566">
        <f t="shared" ref="AU103" si="137">IF(OR(I103="",K103=""),0,(I103/12)*K103)</f>
        <v>17333.333333333332</v>
      </c>
      <c r="AV103" s="1566">
        <f t="shared" ref="AV103" si="138">IF(OR(N103="",K103="",K103=0),0,(N103/K103)*12)</f>
        <v>26141.415000000001</v>
      </c>
    </row>
    <row r="104" spans="1:48" ht="29.1" customHeight="1" x14ac:dyDescent="0.3">
      <c r="A104" s="1692"/>
      <c r="B104" s="1702"/>
      <c r="C104" s="1717"/>
      <c r="D104" s="1751"/>
      <c r="E104" s="1369"/>
      <c r="F104" s="1371"/>
      <c r="G104" s="1373"/>
      <c r="H104" s="1373"/>
      <c r="I104" s="1355"/>
      <c r="J104" s="1377"/>
      <c r="K104" s="1390"/>
      <c r="L104" s="1355"/>
      <c r="M104" s="1771"/>
      <c r="N104" s="1475"/>
      <c r="O104" s="1765"/>
      <c r="P104" s="1674"/>
      <c r="Q104" s="1674"/>
      <c r="R104" s="1328"/>
      <c r="S104" s="87" t="s">
        <v>117</v>
      </c>
      <c r="T104" s="726">
        <v>1</v>
      </c>
      <c r="U104" s="287"/>
      <c r="V104" s="287"/>
      <c r="W104" s="287"/>
      <c r="X104" s="288">
        <f t="shared" ref="X104" si="139">SUM(U104:W104)</f>
        <v>0</v>
      </c>
      <c r="Y104" s="287"/>
      <c r="Z104" s="287">
        <v>1877.693999999994</v>
      </c>
      <c r="AA104" s="287">
        <v>1975.2846749999935</v>
      </c>
      <c r="AB104" s="288">
        <f t="shared" ref="AB104" si="140">SUM(Y104:AA104)</f>
        <v>3852.9786749999876</v>
      </c>
      <c r="AC104" s="287">
        <v>2158.1127749999932</v>
      </c>
      <c r="AD104" s="287"/>
      <c r="AE104" s="287"/>
      <c r="AF104" s="288">
        <f t="shared" si="112"/>
        <v>2158.1127749999932</v>
      </c>
      <c r="AG104" s="287"/>
      <c r="AH104" s="287"/>
      <c r="AI104" s="287"/>
      <c r="AJ104" s="288">
        <f t="shared" si="107"/>
        <v>0</v>
      </c>
      <c r="AK104" s="289">
        <f t="shared" si="18"/>
        <v>6011.0914499999808</v>
      </c>
      <c r="AL104" s="92" t="s">
        <v>437</v>
      </c>
      <c r="AM104" s="1371"/>
      <c r="AN104" s="1412"/>
      <c r="AO104" s="1406"/>
      <c r="AP104" s="62" t="str">
        <f>C103</f>
        <v>25 - KAIZEN - Redução de peso bruto_MB003601LA_Rev00_Bruno Manachini</v>
      </c>
      <c r="AQ104" s="62" t="s">
        <v>313</v>
      </c>
      <c r="AR104" s="508" cm="1">
        <f t="array" aca="1" ref="AR104" ca="1">IF(OR(AP104="",AP104=0),"",IF(SUMPRODUCT(($C$55:$C$175=AP104)*($U$54:AI$54&lt;=TODAY())*(ISNUMBER($U$56:AI$176)),$U$56:AI$176)=0,"",SUMPRODUCT(($C$55:$C$175=AP104)*($U$54:AI$54&lt;=TODAY())*(ISNUMBER($U$56:AI$176)),$U$56:AI$176)))</f>
        <v>6011.0914499999808</v>
      </c>
      <c r="AS104" s="508" t="str">
        <f>A103</f>
        <v>BSW</v>
      </c>
      <c r="AU104" s="1567"/>
      <c r="AV104" s="1567"/>
    </row>
    <row r="105" spans="1:48" ht="29.1" customHeight="1" x14ac:dyDescent="0.3">
      <c r="A105" s="1693" t="s">
        <v>91</v>
      </c>
      <c r="B105" s="1708" t="s">
        <v>95</v>
      </c>
      <c r="C105" s="1465" t="s">
        <v>438</v>
      </c>
      <c r="D105" s="1356" t="s">
        <v>439</v>
      </c>
      <c r="E105" s="1449" t="s">
        <v>440</v>
      </c>
      <c r="F105" s="1451" t="s">
        <v>323</v>
      </c>
      <c r="G105" s="1785">
        <v>46080</v>
      </c>
      <c r="H105" s="1785">
        <v>46142</v>
      </c>
      <c r="I105" s="1488">
        <v>288000.00009897997</v>
      </c>
      <c r="J105" s="1378">
        <v>46143</v>
      </c>
      <c r="K105" s="1387">
        <f t="shared" ref="K105" si="141">IF(J105="", "", 12 - MONTH(J105) + 1)</f>
        <v>8</v>
      </c>
      <c r="L105" s="1395"/>
      <c r="M105" s="1720" t="s">
        <v>308</v>
      </c>
      <c r="N105" s="1728">
        <v>175018.02</v>
      </c>
      <c r="O105" s="1671" t="s">
        <v>81</v>
      </c>
      <c r="P105" s="1671" t="s">
        <v>309</v>
      </c>
      <c r="Q105" s="1671" t="s">
        <v>309</v>
      </c>
      <c r="R105" s="1334">
        <v>1</v>
      </c>
      <c r="S105" s="93" t="s">
        <v>116</v>
      </c>
      <c r="T105" s="727">
        <v>1</v>
      </c>
      <c r="U105" s="498">
        <f>IFERROR(IF(AND(U$54&gt;=EOMONTH($J105,-1)+1,U$54&lt;=EOMONTH(EOMONTH($J105,-1)+1,$K105-1)),IF(NOT(ISBLANK($N105)),$N105/$K105,$I105/$K105),0),0)</f>
        <v>0</v>
      </c>
      <c r="V105" s="498">
        <f>IFERROR(IF(AND(V$54&gt;=EOMONTH($J105,-1)+1,V$54&lt;=EOMONTH(EOMONTH($J105,-1)+1,$K105-1)),IF(NOT(ISBLANK($N105)),$N105/$K105,$I105/$K105),0),0)</f>
        <v>0</v>
      </c>
      <c r="W105" s="498">
        <f>IFERROR(IF(AND(W$54&gt;=EOMONTH($J105,-1)+1,W$54&lt;=EOMONTH(EOMONTH($J105,-1)+1,$K105-1)),IF(NOT(ISBLANK($N105)),$N105/$K105,$I105/$K105),0),0)</f>
        <v>0</v>
      </c>
      <c r="X105" s="89">
        <f t="shared" ref="X105" si="142">SUM(U105:W105)</f>
        <v>0</v>
      </c>
      <c r="Y105" s="498">
        <f>IFERROR(IF(AND(Y$54&gt;=EOMONTH($J105,-1)+1,Y$54&lt;=EOMONTH(EOMONTH($J105,-1)+1,$K105-1)),IF(NOT(ISBLANK($N105)),$N105/$K105,$I105/$K105),0),0)</f>
        <v>0</v>
      </c>
      <c r="Z105" s="498">
        <f>IFERROR(IF(AND(Z$54&gt;=EOMONTH($J105,-1)+1,Z$54&lt;=EOMONTH(EOMONTH($J105,-1)+1,$K105-1)),IF(NOT(ISBLANK($N105)),$N105/$K105,$I105/$K105),0),0)</f>
        <v>21877.252499999999</v>
      </c>
      <c r="AA105" s="498">
        <f>IFERROR(IF(AND(AA$54&gt;=EOMONTH($J105,-1)+1,AA$54&lt;=EOMONTH(EOMONTH($J105,-1)+1,$K105-1)),IF(NOT(ISBLANK($N105)),$N105/$K105,$I105/$K105),0),0)</f>
        <v>21877.252499999999</v>
      </c>
      <c r="AB105" s="89">
        <f t="shared" ref="AB105" si="143">SUM(Y105:AA105)</f>
        <v>43754.504999999997</v>
      </c>
      <c r="AC105" s="498">
        <f>IFERROR(IF(AND(AC$54&gt;=EOMONTH($J105,-1)+1,AC$54&lt;=EOMONTH(EOMONTH($J105,-1)+1,$K105-1)),IF(NOT(ISBLANK($N105)),$N105/$K105,$I105/$K105),0),0)</f>
        <v>21877.252499999999</v>
      </c>
      <c r="AD105" s="498">
        <f>IFERROR(IF(AND(AD$54&gt;=EOMONTH($J105,-1)+1,AD$54&lt;=EOMONTH(EOMONTH($J105,-1)+1,$K105-1)),IF(NOT(ISBLANK($N105)),$N105/$K105,$I105/$K105),0),0)</f>
        <v>21877.252499999999</v>
      </c>
      <c r="AE105" s="498">
        <f>IFERROR(IF(AND(AE$54&gt;=EOMONTH($J105,-1)+1,AE$54&lt;=EOMONTH(EOMONTH($J105,-1)+1,$K105-1)),IF(NOT(ISBLANK($N105)),$N105/$K105,$I105/$K105),0),0)</f>
        <v>21877.252499999999</v>
      </c>
      <c r="AF105" s="89">
        <f t="shared" si="112"/>
        <v>65631.757499999992</v>
      </c>
      <c r="AG105" s="498">
        <f>IFERROR(IF(AND(AG$54&gt;=EOMONTH($J105,-1)+1,AG$54&lt;=EOMONTH(EOMONTH($J105,-1)+1,$K105-1)),IF(NOT(ISBLANK($N105)),$N105/$K105,$I105/$K105),0),0)</f>
        <v>21877.252499999999</v>
      </c>
      <c r="AH105" s="498">
        <f>IFERROR(IF(AND(AH$54&gt;=EOMONTH($J105,-1)+1,AH$54&lt;=EOMONTH(EOMONTH($J105,-1)+1,$K105-1)),IF(NOT(ISBLANK($N105)),$N105/$K105,$I105/$K105),0),0)</f>
        <v>21877.252499999999</v>
      </c>
      <c r="AI105" s="498">
        <f>IFERROR(IF(AND(AI$54&gt;=EOMONTH($J105,-1)+1,AI$54&lt;=EOMONTH(EOMONTH($J105,-1)+1,$K105-1)),IF(NOT(ISBLANK($N105)),$N105/$K105,$I105/$K105),0),0)</f>
        <v>21877.252499999999</v>
      </c>
      <c r="AJ105" s="89">
        <f t="shared" ref="AJ105:AJ170" si="144">SUM(AG105:AI105)</f>
        <v>65631.757499999992</v>
      </c>
      <c r="AK105" s="95">
        <f t="shared" ref="AK105:AK170" si="145">SUM(X105,AB105,AF105,AJ105)</f>
        <v>175018.01999999996</v>
      </c>
      <c r="AL105" s="97" t="s">
        <v>441</v>
      </c>
      <c r="AM105" s="1407"/>
      <c r="AN105" s="1334"/>
      <c r="AO105" s="1403">
        <f>N105*AN105</f>
        <v>0</v>
      </c>
      <c r="AP105" s="62" t="str">
        <f>C105</f>
        <v>26 - Redução_de_MP - DJ000059Z_DJ000060Z</v>
      </c>
      <c r="AQ105" s="62" t="s">
        <v>311</v>
      </c>
      <c r="AR105" s="508" cm="1">
        <f t="array" aca="1" ref="AR105" ca="1">IF(OR(AP105="",AP105=0),"",IF(SUMPRODUCT(($C$55:$C$175=AP105)*(U$54:$AI$54&lt;EOMONTH(TODAY(),-1)+1)*(ISNUMBER(U$55:$AI$175)),U$55:$AI$175)=0,"",SUMPRODUCT(($C$55:$C$175=AP105)*(U$54:$AI$54&lt;EOMONTH(TODAY(),-1)+1)*(ISNUMBER(U$55:$AI$175)),U$55:$AI$175)))</f>
        <v>65631.757499999992</v>
      </c>
      <c r="AS105" s="508" t="str">
        <f>A105</f>
        <v>BSW</v>
      </c>
      <c r="AU105" s="1566">
        <f t="shared" ref="AU105" si="146">IF(OR(I105="",K105=""),0,(I105/12)*K105)</f>
        <v>192000.00006598665</v>
      </c>
      <c r="AV105" s="1566">
        <f t="shared" ref="AV105" si="147">IF(OR(N105="",K105="",K105=0),0,(N105/K105)*12)</f>
        <v>262527.02999999997</v>
      </c>
    </row>
    <row r="106" spans="1:48" ht="29.1" customHeight="1" x14ac:dyDescent="0.3">
      <c r="A106" s="1694"/>
      <c r="B106" s="1709"/>
      <c r="C106" s="1466"/>
      <c r="D106" s="1455"/>
      <c r="E106" s="1450"/>
      <c r="F106" s="1452"/>
      <c r="G106" s="1786"/>
      <c r="H106" s="1786"/>
      <c r="I106" s="1367"/>
      <c r="J106" s="1379"/>
      <c r="K106" s="1388"/>
      <c r="L106" s="1396"/>
      <c r="M106" s="1721"/>
      <c r="N106" s="1729"/>
      <c r="O106" s="1672"/>
      <c r="P106" s="1672"/>
      <c r="Q106" s="1672"/>
      <c r="R106" s="1330"/>
      <c r="S106" s="93" t="s">
        <v>117</v>
      </c>
      <c r="T106" s="727">
        <v>1</v>
      </c>
      <c r="U106" s="290"/>
      <c r="V106" s="290"/>
      <c r="W106" s="290"/>
      <c r="X106" s="288">
        <f t="shared" ref="X106" si="148">SUM(U106:W106)</f>
        <v>0</v>
      </c>
      <c r="Y106" s="290"/>
      <c r="Z106" s="290">
        <v>15968.797579189981</v>
      </c>
      <c r="AA106" s="290">
        <v>14819.044153488303</v>
      </c>
      <c r="AB106" s="288">
        <f t="shared" ref="AB106" si="149">SUM(Y106:AA106)</f>
        <v>30787.841732678284</v>
      </c>
      <c r="AC106" s="290">
        <v>21014.937614214017</v>
      </c>
      <c r="AD106" s="290"/>
      <c r="AE106" s="290"/>
      <c r="AF106" s="288">
        <f t="shared" si="112"/>
        <v>21014.937614214017</v>
      </c>
      <c r="AG106" s="290"/>
      <c r="AH106" s="290"/>
      <c r="AI106" s="290"/>
      <c r="AJ106" s="288">
        <f t="shared" si="144"/>
        <v>0</v>
      </c>
      <c r="AK106" s="291">
        <f t="shared" si="145"/>
        <v>51802.779346892305</v>
      </c>
      <c r="AL106" s="97"/>
      <c r="AM106" s="1408"/>
      <c r="AN106" s="1330"/>
      <c r="AO106" s="1404"/>
      <c r="AP106" s="62" t="str">
        <f>C105</f>
        <v>26 - Redução_de_MP - DJ000059Z_DJ000060Z</v>
      </c>
      <c r="AQ106" s="62" t="s">
        <v>313</v>
      </c>
      <c r="AR106" s="508" cm="1">
        <f t="array" aca="1" ref="AR106" ca="1">IF(OR(AP106="",AP106=0),"",IF(SUMPRODUCT(($C$55:$C$175=AP106)*($U$54:AI$54&lt;=TODAY())*(ISNUMBER($U$56:AI$176)),$U$56:AI$176)=0,"",SUMPRODUCT(($C$55:$C$175=AP106)*($U$54:AI$54&lt;=TODAY())*(ISNUMBER($U$56:AI$176)),$U$56:AI$176)))</f>
        <v>51802.779346892305</v>
      </c>
      <c r="AS106" s="508" t="str">
        <f>A105</f>
        <v>BSW</v>
      </c>
      <c r="AU106" s="1567"/>
      <c r="AV106" s="1567"/>
    </row>
    <row r="107" spans="1:48" ht="29.1" customHeight="1" x14ac:dyDescent="0.3">
      <c r="A107" s="1691" t="s">
        <v>91</v>
      </c>
      <c r="B107" s="1701" t="s">
        <v>95</v>
      </c>
      <c r="C107" s="1482" t="s">
        <v>442</v>
      </c>
      <c r="D107" s="1486" t="s">
        <v>443</v>
      </c>
      <c r="E107" s="1368" t="s">
        <v>444</v>
      </c>
      <c r="F107" s="1370" t="s">
        <v>382</v>
      </c>
      <c r="G107" s="1372">
        <v>46050</v>
      </c>
      <c r="H107" s="1372">
        <v>46173</v>
      </c>
      <c r="I107" s="1354">
        <v>90000.000000098997</v>
      </c>
      <c r="J107" s="1376">
        <v>46174</v>
      </c>
      <c r="K107" s="1389">
        <f t="shared" ref="K107" si="150">IF(J107="", "", 12 - MONTH(J107) + 1)</f>
        <v>7</v>
      </c>
      <c r="L107" s="1354"/>
      <c r="M107" s="1770" t="s">
        <v>308</v>
      </c>
      <c r="N107" s="1730">
        <v>41632.629999999997</v>
      </c>
      <c r="O107" s="1764" t="s">
        <v>81</v>
      </c>
      <c r="P107" s="1673" t="s">
        <v>309</v>
      </c>
      <c r="Q107" s="1673" t="s">
        <v>309</v>
      </c>
      <c r="R107" s="1327">
        <v>1</v>
      </c>
      <c r="S107" s="87" t="s">
        <v>116</v>
      </c>
      <c r="T107" s="726">
        <v>1</v>
      </c>
      <c r="U107" s="287">
        <f>IFERROR(IF(AND(U$54&gt;=EOMONTH($J107,-1)+1,U$54&lt;=EOMONTH(EOMONTH($J107,-1)+1,$K107-1)),IF(NOT(ISBLANK($N107)),$N107/$K107,$I107/$K107),0),0)</f>
        <v>0</v>
      </c>
      <c r="V107" s="287">
        <f>IFERROR(IF(AND(V$54&gt;=EOMONTH($J107,-1)+1,V$54&lt;=EOMONTH(EOMONTH($J107,-1)+1,$K107-1)),IF(NOT(ISBLANK($N107)),$N107/$K107,$I107/$K107),0),0)</f>
        <v>0</v>
      </c>
      <c r="W107" s="597">
        <f>IFERROR(IF(AND(W$54&gt;=EOMONTH($J107,-1)+1,W$54&lt;=EOMONTH(EOMONTH($J107,-1)+1,$K107-1)),IF(NOT(ISBLANK($N107)),$N107/$K107,$I107/$K107),0),0)</f>
        <v>0</v>
      </c>
      <c r="X107" s="89">
        <f t="shared" ref="X107" si="151">SUM(U107:W107)</f>
        <v>0</v>
      </c>
      <c r="Y107" s="527">
        <f>IFERROR(IF(AND(Y$54&gt;=EOMONTH($J107,-1)+1,Y$54&lt;=EOMONTH(EOMONTH($J107,-1)+1,$K107-1)),IF(NOT(ISBLANK($N107)),$N107/$K107,$I107/$K107),0),0)</f>
        <v>0</v>
      </c>
      <c r="Z107" s="287">
        <f>IFERROR(IF(AND(Z$54&gt;=EOMONTH($J107,-1)+1,Z$54&lt;=EOMONTH(EOMONTH($J107,-1)+1,$K107-1)),IF(NOT(ISBLANK($N107)),$N107/$K107,$I107/$K107),0),0)</f>
        <v>0</v>
      </c>
      <c r="AA107" s="287">
        <f>IFERROR(IF(AND(AA$54&gt;=EOMONTH($J107,-1)+1,AA$54&lt;=EOMONTH(EOMONTH($J107,-1)+1,$K107-1)),IF(NOT(ISBLANK($N107)),$N107/$K107,$I107/$K107),0),0)</f>
        <v>5947.5185714285708</v>
      </c>
      <c r="AB107" s="89">
        <f t="shared" ref="AB107" si="152">SUM(Y107:AA107)</f>
        <v>5947.5185714285708</v>
      </c>
      <c r="AC107" s="287">
        <f>IFERROR(IF(AND(AC$54&gt;=EOMONTH($J107,-1)+1,AC$54&lt;=EOMONTH(EOMONTH($J107,-1)+1,$K107-1)),IF(NOT(ISBLANK($N107)),$N107/$K107,$I107/$K107),0),0)</f>
        <v>5947.5185714285708</v>
      </c>
      <c r="AD107" s="287">
        <f>IFERROR(IF(AND(AD$54&gt;=EOMONTH($J107,-1)+1,AD$54&lt;=EOMONTH(EOMONTH($J107,-1)+1,$K107-1)),IF(NOT(ISBLANK($N107)),$N107/$K107,$I107/$K107),0),0)</f>
        <v>5947.5185714285708</v>
      </c>
      <c r="AE107" s="287">
        <f>IFERROR(IF(AND(AE$54&gt;=EOMONTH($J107,-1)+1,AE$54&lt;=EOMONTH(EOMONTH($J107,-1)+1,$K107-1)),IF(NOT(ISBLANK($N107)),$N107/$K107,$I107/$K107),0),0)</f>
        <v>5947.5185714285708</v>
      </c>
      <c r="AF107" s="89">
        <f t="shared" si="112"/>
        <v>17842.555714285714</v>
      </c>
      <c r="AG107" s="287">
        <f>IFERROR(IF(AND(AG$54&gt;=EOMONTH($J107,-1)+1,AG$54&lt;=EOMONTH(EOMONTH($J107,-1)+1,$K107-1)),IF(NOT(ISBLANK($N107)),$N107/$K107,$I107/$K107),0),0)</f>
        <v>5947.5185714285708</v>
      </c>
      <c r="AH107" s="287">
        <f>IFERROR(IF(AND(AH$54&gt;=EOMONTH($J107,-1)+1,AH$54&lt;=EOMONTH(EOMONTH($J107,-1)+1,$K107-1)),IF(NOT(ISBLANK($N107)),$N107/$K107,$I107/$K107),0),0)</f>
        <v>5947.5185714285708</v>
      </c>
      <c r="AI107" s="287">
        <f>IFERROR(IF(AND(AI$54&gt;=EOMONTH($J107,-1)+1,AI$54&lt;=EOMONTH(EOMONTH($J107,-1)+1,$K107-1)),IF(NOT(ISBLANK($N107)),$N107/$K107,$I107/$K107),0),0)</f>
        <v>5947.5185714285708</v>
      </c>
      <c r="AJ107" s="89">
        <f t="shared" si="144"/>
        <v>17842.555714285714</v>
      </c>
      <c r="AK107" s="90">
        <f t="shared" si="145"/>
        <v>41632.629999999997</v>
      </c>
      <c r="AL107" s="92" t="s">
        <v>445</v>
      </c>
      <c r="AM107" s="1370"/>
      <c r="AN107" s="1411"/>
      <c r="AO107" s="1405">
        <f>N107*AN107</f>
        <v>0</v>
      </c>
      <c r="AP107" s="62" t="str">
        <f>C107</f>
        <v>27 - DA000459AA - STC Volvo_</v>
      </c>
      <c r="AQ107" s="62" t="s">
        <v>311</v>
      </c>
      <c r="AR107" s="508" cm="1">
        <f t="array" aca="1" ref="AR107" ca="1">IF(OR(AP107="",AP107=0),"",IF(SUMPRODUCT(($C$55:$C$175=AP107)*(U$54:$AI$54&lt;EOMONTH(TODAY(),-1)+1)*(ISNUMBER(U$55:$AI$175)),U$55:$AI$175)=0,"",SUMPRODUCT(($C$55:$C$175=AP107)*(U$54:$AI$54&lt;EOMONTH(TODAY(),-1)+1)*(ISNUMBER(U$55:$AI$175)),U$55:$AI$175)))</f>
        <v>11895.037142857142</v>
      </c>
      <c r="AS107" s="508" t="str">
        <f>A107</f>
        <v>BSW</v>
      </c>
      <c r="AU107" s="1566">
        <f t="shared" ref="AU107" si="153">IF(OR(I107="",K107=""),0,(I107/12)*K107)</f>
        <v>52500.000000057749</v>
      </c>
      <c r="AV107" s="1566">
        <f t="shared" ref="AV107" si="154">IF(OR(N107="",K107="",K107=0),0,(N107/K107)*12)</f>
        <v>71370.222857142857</v>
      </c>
    </row>
    <row r="108" spans="1:48" ht="29.1" customHeight="1" x14ac:dyDescent="0.3">
      <c r="A108" s="1692"/>
      <c r="B108" s="1702"/>
      <c r="C108" s="1483"/>
      <c r="D108" s="1487"/>
      <c r="E108" s="1369"/>
      <c r="F108" s="1371"/>
      <c r="G108" s="1373"/>
      <c r="H108" s="1373"/>
      <c r="I108" s="1355"/>
      <c r="J108" s="1377"/>
      <c r="K108" s="1390"/>
      <c r="L108" s="1355"/>
      <c r="M108" s="1771"/>
      <c r="N108" s="1475"/>
      <c r="O108" s="1765"/>
      <c r="P108" s="1674"/>
      <c r="Q108" s="1674"/>
      <c r="R108" s="1328"/>
      <c r="S108" s="87" t="s">
        <v>117</v>
      </c>
      <c r="T108" s="726">
        <v>1</v>
      </c>
      <c r="U108" s="287"/>
      <c r="V108" s="287"/>
      <c r="W108" s="287"/>
      <c r="X108" s="288">
        <f t="shared" ref="X108" si="155">SUM(U108:W108)</f>
        <v>0</v>
      </c>
      <c r="Y108" s="287"/>
      <c r="Z108" s="287"/>
      <c r="AA108" s="287">
        <v>5074.34</v>
      </c>
      <c r="AB108" s="288">
        <f t="shared" ref="AB108" si="156">SUM(Y108:AA108)</f>
        <v>5074.34</v>
      </c>
      <c r="AC108" s="287">
        <v>6145.3979999999883</v>
      </c>
      <c r="AD108" s="287"/>
      <c r="AE108" s="287"/>
      <c r="AF108" s="288">
        <f t="shared" si="112"/>
        <v>6145.3979999999883</v>
      </c>
      <c r="AG108" s="287"/>
      <c r="AH108" s="287"/>
      <c r="AI108" s="287"/>
      <c r="AJ108" s="288">
        <f t="shared" si="144"/>
        <v>0</v>
      </c>
      <c r="AK108" s="289">
        <f t="shared" si="145"/>
        <v>11219.737999999988</v>
      </c>
      <c r="AL108" s="92"/>
      <c r="AM108" s="1371"/>
      <c r="AN108" s="1412"/>
      <c r="AO108" s="1406"/>
      <c r="AP108" s="62" t="str">
        <f>C107</f>
        <v>27 - DA000459AA - STC Volvo_</v>
      </c>
      <c r="AQ108" s="62" t="s">
        <v>313</v>
      </c>
      <c r="AR108" s="508" cm="1">
        <f t="array" aca="1" ref="AR108" ca="1">IF(OR(AP108="",AP108=0),"",IF(SUMPRODUCT(($C$55:$C$175=AP108)*($U$54:AI$54&lt;=TODAY())*(ISNUMBER($U$56:AI$176)),$U$56:AI$176)=0,"",SUMPRODUCT(($C$55:$C$175=AP108)*($U$54:AI$54&lt;=TODAY())*(ISNUMBER($U$56:AI$176)),$U$56:AI$176)))</f>
        <v>11219.737999999988</v>
      </c>
      <c r="AS108" s="508" t="str">
        <f>A107</f>
        <v>BSW</v>
      </c>
      <c r="AU108" s="1567"/>
      <c r="AV108" s="1567"/>
    </row>
    <row r="109" spans="1:48" ht="29.1" customHeight="1" x14ac:dyDescent="0.3">
      <c r="A109" s="1809" t="s">
        <v>91</v>
      </c>
      <c r="B109" s="1708" t="s">
        <v>95</v>
      </c>
      <c r="C109" s="1811" t="s">
        <v>446</v>
      </c>
      <c r="D109" s="1738" t="s">
        <v>447</v>
      </c>
      <c r="E109" s="1740" t="s">
        <v>448</v>
      </c>
      <c r="F109" s="1742" t="s">
        <v>382</v>
      </c>
      <c r="G109" s="1744">
        <v>46092</v>
      </c>
      <c r="H109" s="1744">
        <v>46097</v>
      </c>
      <c r="I109" s="1793">
        <v>4200.0006659999999</v>
      </c>
      <c r="J109" s="1749">
        <v>46174</v>
      </c>
      <c r="K109" s="1387">
        <f t="shared" ref="K109" si="157">IF(J109="", "", 12 - MONTH(J109) + 1)</f>
        <v>7</v>
      </c>
      <c r="L109" s="1395"/>
      <c r="M109" s="1718" t="s">
        <v>363</v>
      </c>
      <c r="N109" s="1704"/>
      <c r="O109" s="1671" t="s">
        <v>81</v>
      </c>
      <c r="P109" s="1671" t="s">
        <v>309</v>
      </c>
      <c r="Q109" s="1671" t="s">
        <v>309</v>
      </c>
      <c r="R109" s="1334">
        <v>1</v>
      </c>
      <c r="S109" s="93" t="s">
        <v>116</v>
      </c>
      <c r="T109" s="727">
        <v>1</v>
      </c>
      <c r="U109" s="498">
        <f>IFERROR(IF(AND(U$54&gt;=EOMONTH($J109,-1)+1,U$54&lt;=EOMONTH(EOMONTH($J109,-1)+1,$K109-1)),IF(NOT(ISBLANK($N109)),$N109/$K109,$I109/$K109),0),0)</f>
        <v>0</v>
      </c>
      <c r="V109" s="498">
        <f>IFERROR(IF(AND(V$54&gt;=EOMONTH($J109,-1)+1,V$54&lt;=EOMONTH(EOMONTH($J109,-1)+1,$K109-1)),IF(NOT(ISBLANK($N109)),$N109/$K109,$I109/$K109),0),0)</f>
        <v>0</v>
      </c>
      <c r="W109" s="645">
        <f>IFERROR(IF(AND(W$54&gt;=EOMONTH($J109,-1)+1,W$54&lt;=EOMONTH(EOMONTH($J109,-1)+1,$K109-1)),IF(NOT(ISBLANK($N109)),$N109/$K109,$I109/$K109),0),0)</f>
        <v>0</v>
      </c>
      <c r="X109" s="89">
        <f t="shared" ref="X109" si="158">SUM(U109:W109)</f>
        <v>0</v>
      </c>
      <c r="Y109" s="596">
        <f>IFERROR(IF(AND(Y$54&gt;=EOMONTH($J109,-1)+1,Y$54&lt;=EOMONTH(EOMONTH($J109,-1)+1,$K109-1)),IF(NOT(ISBLANK($N109)),$N109/$K109,$I109/$K109),0),0)</f>
        <v>0</v>
      </c>
      <c r="Z109" s="498">
        <f>IFERROR(IF(AND(Z$54&gt;=EOMONTH($J109,-1)+1,Z$54&lt;=EOMONTH(EOMONTH($J109,-1)+1,$K109-1)),IF(NOT(ISBLANK($N109)),$N109/$K109,$I109/$K109),0),0)</f>
        <v>0</v>
      </c>
      <c r="AA109" s="498">
        <f>IFERROR(IF(AND(AA$54&gt;=EOMONTH($J109,-1)+1,AA$54&lt;=EOMONTH(EOMONTH($J109,-1)+1,$K109-1)),IF(NOT(ISBLANK($N109)),$N109/$K109,$I109/$K109),0),0)</f>
        <v>600.00009514285716</v>
      </c>
      <c r="AB109" s="89">
        <f t="shared" ref="AB109" si="159">SUM(Y109:AA109)</f>
        <v>600.00009514285716</v>
      </c>
      <c r="AC109" s="498">
        <f>IFERROR(IF(AND(AC$54&gt;=EOMONTH($J109,-1)+1,AC$54&lt;=EOMONTH(EOMONTH($J109,-1)+1,$K109-1)),IF(NOT(ISBLANK($N109)),$N109/$K109,$I109/$K109),0),0)</f>
        <v>600.00009514285716</v>
      </c>
      <c r="AD109" s="498">
        <f>IFERROR(IF(AND(AD$54&gt;=EOMONTH($J109,-1)+1,AD$54&lt;=EOMONTH(EOMONTH($J109,-1)+1,$K109-1)),IF(NOT(ISBLANK($N109)),$N109/$K109,$I109/$K109),0),0)</f>
        <v>600.00009514285716</v>
      </c>
      <c r="AE109" s="498">
        <f>IFERROR(IF(AND(AE$54&gt;=EOMONTH($J109,-1)+1,AE$54&lt;=EOMONTH(EOMONTH($J109,-1)+1,$K109-1)),IF(NOT(ISBLANK($N109)),$N109/$K109,$I109/$K109),0),0)</f>
        <v>600.00009514285716</v>
      </c>
      <c r="AF109" s="89">
        <f t="shared" si="112"/>
        <v>1800.0002854285715</v>
      </c>
      <c r="AG109" s="498">
        <f>IFERROR(IF(AND(AG$54&gt;=EOMONTH($J109,-1)+1,AG$54&lt;=EOMONTH(EOMONTH($J109,-1)+1,$K109-1)),IF(NOT(ISBLANK($N109)),$N109/$K109,$I109/$K109),0),0)</f>
        <v>600.00009514285716</v>
      </c>
      <c r="AH109" s="498">
        <f>IFERROR(IF(AND(AH$54&gt;=EOMONTH($J109,-1)+1,AH$54&lt;=EOMONTH(EOMONTH($J109,-1)+1,$K109-1)),IF(NOT(ISBLANK($N109)),$N109/$K109,$I109/$K109),0),0)</f>
        <v>600.00009514285716</v>
      </c>
      <c r="AI109" s="498">
        <f>IFERROR(IF(AND(AI$54&gt;=EOMONTH($J109,-1)+1,AI$54&lt;=EOMONTH(EOMONTH($J109,-1)+1,$K109-1)),IF(NOT(ISBLANK($N109)),$N109/$K109,$I109/$K109),0),0)</f>
        <v>600.00009514285716</v>
      </c>
      <c r="AJ109" s="89">
        <f t="shared" ref="AJ109:AJ128" si="160">SUM(AG109:AI109)</f>
        <v>1800.0002854285715</v>
      </c>
      <c r="AK109" s="95">
        <f t="shared" ref="AK109:AK128" si="161">SUM(X109,AB109,AF109,AJ109)</f>
        <v>4200.0006659999999</v>
      </c>
      <c r="AL109" s="97" t="s">
        <v>449</v>
      </c>
      <c r="AM109" s="1407"/>
      <c r="AN109" s="1334"/>
      <c r="AO109" s="1403">
        <f>N109*AN109</f>
        <v>0</v>
      </c>
      <c r="AP109" s="62" t="str">
        <f>C109</f>
        <v>28 - DA000487Z_DA000488Z - STC Scania P</v>
      </c>
      <c r="AQ109" s="62" t="s">
        <v>311</v>
      </c>
      <c r="AR109" s="508" cm="1">
        <f t="array" aca="1" ref="AR109" ca="1">IF(OR(AP109="",AP109=0),"",IF(SUMPRODUCT(($C$55:$C$175=AP109)*(U$54:$AI$54&lt;EOMONTH(TODAY(),-1)+1)*(ISNUMBER(U$55:$AI$175)),U$55:$AI$175)=0,"",SUMPRODUCT(($C$55:$C$175=AP109)*(U$54:$AI$54&lt;EOMONTH(TODAY(),-1)+1)*(ISNUMBER(U$55:$AI$175)),U$55:$AI$175)))</f>
        <v>1200.0001902857143</v>
      </c>
      <c r="AS109" s="508" t="str">
        <f>A109</f>
        <v>BSW</v>
      </c>
      <c r="AU109" s="1566">
        <f t="shared" ref="AU109" si="162">IF(OR(I109="",K109=""),0,(I109/12)*K109)</f>
        <v>2450.0003884999996</v>
      </c>
      <c r="AV109" s="1566">
        <f t="shared" ref="AV109" si="163">IF(OR(N109="",K109="",K109=0),0,(N109/K109)*12)</f>
        <v>0</v>
      </c>
    </row>
    <row r="110" spans="1:48" ht="29.1" customHeight="1" x14ac:dyDescent="0.3">
      <c r="A110" s="1810"/>
      <c r="B110" s="1709"/>
      <c r="C110" s="1812"/>
      <c r="D110" s="1739"/>
      <c r="E110" s="1741"/>
      <c r="F110" s="1743"/>
      <c r="G110" s="1396"/>
      <c r="H110" s="1396"/>
      <c r="I110" s="1794"/>
      <c r="J110" s="1750"/>
      <c r="K110" s="1388"/>
      <c r="L110" s="1396"/>
      <c r="M110" s="1719"/>
      <c r="N110" s="1705"/>
      <c r="O110" s="1672"/>
      <c r="P110" s="1672"/>
      <c r="Q110" s="1672"/>
      <c r="R110" s="1330"/>
      <c r="S110" s="93" t="s">
        <v>117</v>
      </c>
      <c r="T110" s="727">
        <v>1</v>
      </c>
      <c r="U110" s="290"/>
      <c r="V110" s="290"/>
      <c r="W110" s="290"/>
      <c r="X110" s="288">
        <f t="shared" ref="X110" si="164">SUM(U110:W110)</f>
        <v>0</v>
      </c>
      <c r="Y110" s="290"/>
      <c r="Z110" s="290"/>
      <c r="AA110" s="290"/>
      <c r="AB110" s="288">
        <f t="shared" ref="AB110" si="165">SUM(Y110:AA110)</f>
        <v>0</v>
      </c>
      <c r="AC110" s="290"/>
      <c r="AD110" s="290"/>
      <c r="AE110" s="290"/>
      <c r="AF110" s="288">
        <f t="shared" si="112"/>
        <v>0</v>
      </c>
      <c r="AG110" s="290"/>
      <c r="AH110" s="290"/>
      <c r="AI110" s="290"/>
      <c r="AJ110" s="288">
        <f t="shared" si="160"/>
        <v>0</v>
      </c>
      <c r="AK110" s="291">
        <f t="shared" si="161"/>
        <v>0</v>
      </c>
      <c r="AL110" s="97"/>
      <c r="AM110" s="1408"/>
      <c r="AN110" s="1330"/>
      <c r="AO110" s="1404"/>
      <c r="AP110" s="62" t="str">
        <f>C109</f>
        <v>28 - DA000487Z_DA000488Z - STC Scania P</v>
      </c>
      <c r="AQ110" s="62" t="s">
        <v>313</v>
      </c>
      <c r="AR110" s="508" t="str" cm="1">
        <f t="array" aca="1" ref="AR110" ca="1">IF(OR(AP110="",AP110=0),"",IF(SUMPRODUCT(($C$55:$C$175=AP110)*($U$54:AI$54&lt;=TODAY())*(ISNUMBER($U$56:AI$176)),$U$56:AI$176)=0,"",SUMPRODUCT(($C$55:$C$175=AP110)*($U$54:AI$54&lt;=TODAY())*(ISNUMBER($U$56:AI$176)),$U$56:AI$176)))</f>
        <v/>
      </c>
      <c r="AS110" s="508" t="str">
        <f>A109</f>
        <v>BSW</v>
      </c>
      <c r="AU110" s="1567"/>
      <c r="AV110" s="1567"/>
    </row>
    <row r="111" spans="1:48" ht="29.1" customHeight="1" x14ac:dyDescent="0.3">
      <c r="A111" s="1691" t="s">
        <v>91</v>
      </c>
      <c r="B111" s="1701" t="s">
        <v>95</v>
      </c>
      <c r="C111" s="1482" t="s">
        <v>450</v>
      </c>
      <c r="D111" s="1486" t="s">
        <v>451</v>
      </c>
      <c r="E111" s="1368" t="s">
        <v>452</v>
      </c>
      <c r="F111" s="1370" t="s">
        <v>382</v>
      </c>
      <c r="G111" s="1372">
        <v>46092</v>
      </c>
      <c r="H111" s="1372">
        <v>46097</v>
      </c>
      <c r="I111" s="1354">
        <v>450000.00900000002</v>
      </c>
      <c r="J111" s="1376">
        <v>46082</v>
      </c>
      <c r="K111" s="1389">
        <f t="shared" ref="K111" si="166">IF(J111="", "", 12 - MONTH(J111) + 1)</f>
        <v>10</v>
      </c>
      <c r="L111" s="1354"/>
      <c r="M111" s="1770" t="s">
        <v>308</v>
      </c>
      <c r="N111" s="1730">
        <v>446423.79</v>
      </c>
      <c r="O111" s="1764" t="s">
        <v>81</v>
      </c>
      <c r="P111" s="1673" t="s">
        <v>309</v>
      </c>
      <c r="Q111" s="1673" t="s">
        <v>309</v>
      </c>
      <c r="R111" s="1327">
        <v>1</v>
      </c>
      <c r="S111" s="87" t="s">
        <v>116</v>
      </c>
      <c r="T111" s="726">
        <v>1</v>
      </c>
      <c r="U111" s="287">
        <f>IFERROR(IF(AND(U$54&gt;=EOMONTH($J111,-1)+1,U$54&lt;=EOMONTH(EOMONTH($J111,-1)+1,$K111-1)),IF(NOT(ISBLANK($N111)),$N111/$K111,$I111/$K111),0),0)</f>
        <v>0</v>
      </c>
      <c r="V111" s="287">
        <f>IFERROR(IF(AND(V$54&gt;=EOMONTH($J111,-1)+1,V$54&lt;=EOMONTH(EOMONTH($J111,-1)+1,$K111-1)),IF(NOT(ISBLANK($N111)),$N111/$K111,$I111/$K111),0),0)</f>
        <v>0</v>
      </c>
      <c r="W111" s="815">
        <f>IFERROR(IF(AND(W$54&gt;=EOMONTH($J111,-1)+1,W$54&lt;=EOMONTH(EOMONTH($J111,-1)+1,$K111-1)),IF(NOT(ISBLANK($N111)),$N111/$K111,$I111/$K111),0),0)</f>
        <v>44642.379000000001</v>
      </c>
      <c r="X111" s="89">
        <f t="shared" ref="X111" si="167">SUM(U111:W111)</f>
        <v>44642.379000000001</v>
      </c>
      <c r="Y111" s="815">
        <f>IFERROR(IF(AND(Y$54&gt;=EOMONTH($J111,-1)+1,Y$54&lt;=EOMONTH(EOMONTH($J111,-1)+1,$K111-1)),IF(NOT(ISBLANK($N111)),$N111/$K111,$I111/$K111),0),0)</f>
        <v>44642.379000000001</v>
      </c>
      <c r="Z111" s="287">
        <f>IFERROR(IF(AND(Z$54&gt;=EOMONTH($J111,-1)+1,Z$54&lt;=EOMONTH(EOMONTH($J111,-1)+1,$K111-1)),IF(NOT(ISBLANK($N111)),$N111/$K111,$I111/$K111),0),0)</f>
        <v>44642.379000000001</v>
      </c>
      <c r="AA111" s="287">
        <f>IFERROR(IF(AND(AA$54&gt;=EOMONTH($J111,-1)+1,AA$54&lt;=EOMONTH(EOMONTH($J111,-1)+1,$K111-1)),IF(NOT(ISBLANK($N111)),$N111/$K111,$I111/$K111),0),0)</f>
        <v>44642.379000000001</v>
      </c>
      <c r="AB111" s="89">
        <f t="shared" ref="AB111" si="168">SUM(Y111:AA111)</f>
        <v>133927.13699999999</v>
      </c>
      <c r="AC111" s="287">
        <f>IFERROR(IF(AND(AC$54&gt;=EOMONTH($J111,-1)+1,AC$54&lt;=EOMONTH(EOMONTH($J111,-1)+1,$K111-1)),IF(NOT(ISBLANK($N111)),$N111/$K111,$I111/$K111),0),0)</f>
        <v>44642.379000000001</v>
      </c>
      <c r="AD111" s="287">
        <f>IFERROR(IF(AND(AD$54&gt;=EOMONTH($J111,-1)+1,AD$54&lt;=EOMONTH(EOMONTH($J111,-1)+1,$K111-1)),IF(NOT(ISBLANK($N111)),$N111/$K111,$I111/$K111),0),0)</f>
        <v>44642.379000000001</v>
      </c>
      <c r="AE111" s="287">
        <f>IFERROR(IF(AND(AE$54&gt;=EOMONTH($J111,-1)+1,AE$54&lt;=EOMONTH(EOMONTH($J111,-1)+1,$K111-1)),IF(NOT(ISBLANK($N111)),$N111/$K111,$I111/$K111),0),0)</f>
        <v>44642.379000000001</v>
      </c>
      <c r="AF111" s="89">
        <f t="shared" si="112"/>
        <v>133927.13699999999</v>
      </c>
      <c r="AG111" s="287">
        <f>IFERROR(IF(AND(AG$54&gt;=EOMONTH($J111,-1)+1,AG$54&lt;=EOMONTH(EOMONTH($J111,-1)+1,$K111-1)),IF(NOT(ISBLANK($N111)),$N111/$K111,$I111/$K111),0),0)</f>
        <v>44642.379000000001</v>
      </c>
      <c r="AH111" s="287">
        <f>IFERROR(IF(AND(AH$54&gt;=EOMONTH($J111,-1)+1,AH$54&lt;=EOMONTH(EOMONTH($J111,-1)+1,$K111-1)),IF(NOT(ISBLANK($N111)),$N111/$K111,$I111/$K111),0),0)</f>
        <v>44642.379000000001</v>
      </c>
      <c r="AI111" s="287">
        <f>IFERROR(IF(AND(AI$54&gt;=EOMONTH($J111,-1)+1,AI$54&lt;=EOMONTH(EOMONTH($J111,-1)+1,$K111-1)),IF(NOT(ISBLANK($N111)),$N111/$K111,$I111/$K111),0),0)</f>
        <v>44642.379000000001</v>
      </c>
      <c r="AJ111" s="89">
        <f t="shared" si="160"/>
        <v>133927.13699999999</v>
      </c>
      <c r="AK111" s="90">
        <f t="shared" si="161"/>
        <v>446423.79</v>
      </c>
      <c r="AL111" s="92" t="s">
        <v>453</v>
      </c>
      <c r="AM111" s="1370"/>
      <c r="AN111" s="1411"/>
      <c r="AO111" s="1405">
        <f>N111*AN111</f>
        <v>0</v>
      </c>
      <c r="AP111" s="62" t="str">
        <f>C111</f>
        <v>29 - DA000489Z_DA000490Z - STC Scania M_</v>
      </c>
      <c r="AQ111" s="62" t="s">
        <v>311</v>
      </c>
      <c r="AR111" s="508" cm="1">
        <f t="array" aca="1" ref="AR111" ca="1">IF(OR(AP111="",AP111=0),"",IF(SUMPRODUCT(($C$55:$C$175=AP111)*(U$54:$AI$54&lt;EOMONTH(TODAY(),-1)+1)*(ISNUMBER(U$55:$AI$175)),U$55:$AI$175)=0,"",SUMPRODUCT(($C$55:$C$175=AP111)*(U$54:$AI$54&lt;EOMONTH(TODAY(),-1)+1)*(ISNUMBER(U$55:$AI$175)),U$55:$AI$175)))</f>
        <v>223211.89500000002</v>
      </c>
      <c r="AS111" s="508" t="str">
        <f>A111</f>
        <v>BSW</v>
      </c>
      <c r="AU111" s="1566">
        <f t="shared" ref="AU111" si="169">IF(OR(I111="",K111=""),0,(I111/12)*K111)</f>
        <v>375000.00750000001</v>
      </c>
      <c r="AV111" s="1566">
        <f t="shared" ref="AV111" si="170">IF(OR(N111="",K111="",K111=0),0,(N111/K111)*12)</f>
        <v>535708.54799999995</v>
      </c>
    </row>
    <row r="112" spans="1:48" ht="29.1" customHeight="1" x14ac:dyDescent="0.3">
      <c r="A112" s="1692"/>
      <c r="B112" s="1702"/>
      <c r="C112" s="1483"/>
      <c r="D112" s="1487"/>
      <c r="E112" s="1369"/>
      <c r="F112" s="1371"/>
      <c r="G112" s="1373"/>
      <c r="H112" s="1373"/>
      <c r="I112" s="1355"/>
      <c r="J112" s="1377"/>
      <c r="K112" s="1390"/>
      <c r="L112" s="1355"/>
      <c r="M112" s="1771"/>
      <c r="N112" s="1475"/>
      <c r="O112" s="1765"/>
      <c r="P112" s="1674"/>
      <c r="Q112" s="1674"/>
      <c r="R112" s="1328"/>
      <c r="S112" s="87" t="s">
        <v>117</v>
      </c>
      <c r="T112" s="726">
        <v>1</v>
      </c>
      <c r="U112" s="287"/>
      <c r="V112" s="287"/>
      <c r="W112" s="287">
        <v>56402.800535081878</v>
      </c>
      <c r="X112" s="288">
        <f t="shared" ref="X112" si="171">SUM(U112:W112)</f>
        <v>56402.800535081878</v>
      </c>
      <c r="Y112" s="287">
        <v>53560.79895773279</v>
      </c>
      <c r="Z112" s="287">
        <v>73017.578987276545</v>
      </c>
      <c r="AA112" s="287">
        <v>65147.420773079073</v>
      </c>
      <c r="AB112" s="288">
        <f t="shared" ref="AB112" si="172">SUM(Y112:AA112)</f>
        <v>191725.79871808839</v>
      </c>
      <c r="AC112" s="287">
        <v>34759.865446038835</v>
      </c>
      <c r="AD112" s="287"/>
      <c r="AE112" s="287"/>
      <c r="AF112" s="288">
        <f t="shared" si="112"/>
        <v>34759.865446038835</v>
      </c>
      <c r="AG112" s="287"/>
      <c r="AH112" s="287"/>
      <c r="AI112" s="287"/>
      <c r="AJ112" s="288">
        <f t="shared" si="160"/>
        <v>0</v>
      </c>
      <c r="AK112" s="289">
        <f t="shared" si="161"/>
        <v>282888.46469920909</v>
      </c>
      <c r="AL112" s="92"/>
      <c r="AM112" s="1371"/>
      <c r="AN112" s="1412"/>
      <c r="AO112" s="1406"/>
      <c r="AP112" s="62" t="str">
        <f>C111</f>
        <v>29 - DA000489Z_DA000490Z - STC Scania M_</v>
      </c>
      <c r="AQ112" s="62" t="s">
        <v>313</v>
      </c>
      <c r="AR112" s="508" cm="1">
        <f t="array" aca="1" ref="AR112" ca="1">IF(OR(AP112="",AP112=0),"",IF(SUMPRODUCT(($C$55:$C$175=AP112)*($U$54:AI$54&lt;=TODAY())*(ISNUMBER($U$56:AI$176)),$U$56:AI$176)=0,"",SUMPRODUCT(($C$55:$C$175=AP112)*($U$54:AI$54&lt;=TODAY())*(ISNUMBER($U$56:AI$176)),$U$56:AI$176)))</f>
        <v>282888.46469920909</v>
      </c>
      <c r="AS112" s="508" t="str">
        <f>A111</f>
        <v>BSW</v>
      </c>
      <c r="AU112" s="1567"/>
      <c r="AV112" s="1567"/>
    </row>
    <row r="113" spans="1:48" ht="29.1" customHeight="1" x14ac:dyDescent="0.3">
      <c r="A113" s="1815" t="s">
        <v>91</v>
      </c>
      <c r="B113" s="1708" t="s">
        <v>95</v>
      </c>
      <c r="C113" s="1817" t="s">
        <v>454</v>
      </c>
      <c r="D113" s="1738" t="s">
        <v>455</v>
      </c>
      <c r="E113" s="1740" t="s">
        <v>456</v>
      </c>
      <c r="F113" s="1742" t="s">
        <v>382</v>
      </c>
      <c r="G113" s="1744">
        <v>46092</v>
      </c>
      <c r="H113" s="1745">
        <v>46132</v>
      </c>
      <c r="I113" s="1395">
        <v>115000</v>
      </c>
      <c r="J113" s="1749">
        <v>46235</v>
      </c>
      <c r="K113" s="1387">
        <f t="shared" ref="K113" si="173">IF(J113="", "", 12 - MONTH(J113) + 1)</f>
        <v>5</v>
      </c>
      <c r="L113" s="1395"/>
      <c r="M113" s="1478" t="s">
        <v>308</v>
      </c>
      <c r="N113" s="1728">
        <v>39111.769999999997</v>
      </c>
      <c r="O113" s="1758" t="s">
        <v>83</v>
      </c>
      <c r="P113" s="1703" t="s">
        <v>457</v>
      </c>
      <c r="Q113" s="1667">
        <v>46240</v>
      </c>
      <c r="R113" s="1334">
        <v>1</v>
      </c>
      <c r="S113" s="93" t="s">
        <v>116</v>
      </c>
      <c r="T113" s="727">
        <v>1</v>
      </c>
      <c r="U113" s="498">
        <f>IFERROR(IF(AND(U$54&gt;=EOMONTH($J113,-1)+1,U$54&lt;=EOMONTH(EOMONTH($J113,-1)+1,$K113-1)),IF(NOT(ISBLANK($N113)),$N113/$K113,$I113/$K113),0),0)</f>
        <v>0</v>
      </c>
      <c r="V113" s="498">
        <f>IFERROR(IF(AND(V$54&gt;=EOMONTH($J113,-1)+1,V$54&lt;=EOMONTH(EOMONTH($J113,-1)+1,$K113-1)),IF(NOT(ISBLANK($N113)),$N113/$K113,$I113/$K113),0),0)</f>
        <v>0</v>
      </c>
      <c r="W113" s="498">
        <f>IFERROR(IF(AND(W$54&gt;=EOMONTH($J113,-1)+1,W$54&lt;=EOMONTH(EOMONTH($J113,-1)+1,$K113-1)),IF(NOT(ISBLANK($N113)),$N113/$K113,$I113/$K113),0),0)</f>
        <v>0</v>
      </c>
      <c r="X113" s="89">
        <f t="shared" ref="X113" si="174">SUM(U113:W113)</f>
        <v>0</v>
      </c>
      <c r="Y113" s="596">
        <f>IFERROR(IF(AND(Y$54&gt;=EOMONTH($J113,-1)+1,Y$54&lt;=EOMONTH(EOMONTH($J113,-1)+1,$K113-1)),IF(NOT(ISBLANK($N113)),$N113/$K113,$I113/$K113),0),0)</f>
        <v>0</v>
      </c>
      <c r="Z113" s="498">
        <f>IFERROR(IF(AND(Z$54&gt;=EOMONTH($J113,-1)+1,Z$54&lt;=EOMONTH(EOMONTH($J113,-1)+1,$K113-1)),IF(NOT(ISBLANK($N113)),$N113/$K113,$I113/$K113),0),0)</f>
        <v>0</v>
      </c>
      <c r="AA113" s="498">
        <f>IFERROR(IF(AND(AA$54&gt;=EOMONTH($J113,-1)+1,AA$54&lt;=EOMONTH(EOMONTH($J113,-1)+1,$K113-1)),IF(NOT(ISBLANK($N113)),$N113/$K113,$I113/$K113),0),0)</f>
        <v>0</v>
      </c>
      <c r="AB113" s="89">
        <f t="shared" ref="AB113" si="175">SUM(Y113:AA113)</f>
        <v>0</v>
      </c>
      <c r="AC113" s="498">
        <f>IFERROR(IF(AND(AC$54&gt;=EOMONTH($J113,-1)+1,AC$54&lt;=EOMONTH(EOMONTH($J113,-1)+1,$K113-1)),IF(NOT(ISBLANK($N113)),$N113/$K113,$I113/$K113),0),0)</f>
        <v>0</v>
      </c>
      <c r="AD113" s="498">
        <f>IFERROR(IF(AND(AD$54&gt;=EOMONTH($J113,-1)+1,AD$54&lt;=EOMONTH(EOMONTH($J113,-1)+1,$K113-1)),IF(NOT(ISBLANK($N113)),$N113/$K113,$I113/$K113),0),0)</f>
        <v>7822.3539999999994</v>
      </c>
      <c r="AE113" s="498">
        <f>IFERROR(IF(AND(AE$54&gt;=EOMONTH($J113,-1)+1,AE$54&lt;=EOMONTH(EOMONTH($J113,-1)+1,$K113-1)),IF(NOT(ISBLANK($N113)),$N113/$K113,$I113/$K113),0),0)</f>
        <v>7822.3539999999994</v>
      </c>
      <c r="AF113" s="89">
        <f t="shared" si="112"/>
        <v>15644.707999999999</v>
      </c>
      <c r="AG113" s="498">
        <f>IFERROR(IF(AND(AG$54&gt;=EOMONTH($J113,-1)+1,AG$54&lt;=EOMONTH(EOMONTH($J113,-1)+1,$K113-1)),IF(NOT(ISBLANK($N113)),$N113/$K113,$I113/$K113),0),0)</f>
        <v>7822.3539999999994</v>
      </c>
      <c r="AH113" s="498">
        <f>IFERROR(IF(AND(AH$54&gt;=EOMONTH($J113,-1)+1,AH$54&lt;=EOMONTH(EOMONTH($J113,-1)+1,$K113-1)),IF(NOT(ISBLANK($N113)),$N113/$K113,$I113/$K113),0),0)</f>
        <v>7822.3539999999994</v>
      </c>
      <c r="AI113" s="498">
        <f>IFERROR(IF(AND(AI$54&gt;=EOMONTH($J113,-1)+1,AI$54&lt;=EOMONTH(EOMONTH($J113,-1)+1,$K113-1)),IF(NOT(ISBLANK($N113)),$N113/$K113,$I113/$K113),0),0)</f>
        <v>7822.3539999999994</v>
      </c>
      <c r="AJ113" s="89">
        <f t="shared" si="160"/>
        <v>23467.061999999998</v>
      </c>
      <c r="AK113" s="95">
        <f t="shared" si="161"/>
        <v>39111.769999999997</v>
      </c>
      <c r="AL113" s="97" t="s">
        <v>458</v>
      </c>
      <c r="AM113" s="1407"/>
      <c r="AN113" s="1334"/>
      <c r="AO113" s="1403">
        <f>N113*AN113</f>
        <v>0</v>
      </c>
      <c r="AP113" s="62" t="str">
        <f>C113</f>
        <v>30 - DA000491Z_DE000492Z - STC Scania G_</v>
      </c>
      <c r="AQ113" s="62" t="s">
        <v>311</v>
      </c>
      <c r="AR113" s="508" t="str" cm="1">
        <f t="array" aca="1" ref="AR113" ca="1">IF(OR(AP113="",AP113=0),"",IF(SUMPRODUCT(($C$55:$C$175=AP113)*(U$54:$AI$54&lt;EOMONTH(TODAY(),-1)+1)*(ISNUMBER(U$55:$AI$175)),U$55:$AI$175)=0,"",SUMPRODUCT(($C$55:$C$175=AP113)*(U$54:$AI$54&lt;EOMONTH(TODAY(),-1)+1)*(ISNUMBER(U$55:$AI$175)),U$55:$AI$175)))</f>
        <v/>
      </c>
      <c r="AS113" s="508" t="str">
        <f>A113</f>
        <v>BSW</v>
      </c>
      <c r="AU113" s="1566">
        <f t="shared" ref="AU113" si="176">IF(OR(I113="",K113=""),0,(I113/12)*K113)</f>
        <v>47916.666666666672</v>
      </c>
      <c r="AV113" s="1566">
        <f t="shared" ref="AV113" si="177">IF(OR(N113="",K113="",K113=0),0,(N113/K113)*12)</f>
        <v>93868.247999999992</v>
      </c>
    </row>
    <row r="114" spans="1:48" ht="29.1" customHeight="1" x14ac:dyDescent="0.3">
      <c r="A114" s="1816"/>
      <c r="B114" s="1709"/>
      <c r="C114" s="1818"/>
      <c r="D114" s="1739"/>
      <c r="E114" s="1741"/>
      <c r="F114" s="1743"/>
      <c r="G114" s="1396"/>
      <c r="H114" s="1746"/>
      <c r="I114" s="1396"/>
      <c r="J114" s="1750"/>
      <c r="K114" s="1388"/>
      <c r="L114" s="1396"/>
      <c r="M114" s="1479"/>
      <c r="N114" s="1729"/>
      <c r="O114" s="1759"/>
      <c r="P114" s="1668"/>
      <c r="Q114" s="1668"/>
      <c r="R114" s="1330"/>
      <c r="S114" s="93" t="s">
        <v>117</v>
      </c>
      <c r="T114" s="727">
        <v>0.95</v>
      </c>
      <c r="U114" s="290"/>
      <c r="V114" s="290"/>
      <c r="W114" s="290"/>
      <c r="X114" s="288">
        <f t="shared" ref="X114" si="178">SUM(U114:W114)</f>
        <v>0</v>
      </c>
      <c r="Y114" s="290"/>
      <c r="Z114" s="290"/>
      <c r="AA114" s="290"/>
      <c r="AB114" s="288">
        <f t="shared" ref="AB114" si="179">SUM(Y114:AA114)</f>
        <v>0</v>
      </c>
      <c r="AC114" s="290"/>
      <c r="AD114" s="290"/>
      <c r="AE114" s="290"/>
      <c r="AF114" s="288">
        <f t="shared" si="112"/>
        <v>0</v>
      </c>
      <c r="AG114" s="290"/>
      <c r="AH114" s="290"/>
      <c r="AI114" s="290"/>
      <c r="AJ114" s="288">
        <f t="shared" si="160"/>
        <v>0</v>
      </c>
      <c r="AK114" s="291">
        <f t="shared" si="161"/>
        <v>0</v>
      </c>
      <c r="AL114" s="97"/>
      <c r="AM114" s="1408"/>
      <c r="AN114" s="1330"/>
      <c r="AO114" s="1404"/>
      <c r="AP114" s="62" t="str">
        <f>C113</f>
        <v>30 - DA000491Z_DE000492Z - STC Scania G_</v>
      </c>
      <c r="AQ114" s="62" t="s">
        <v>313</v>
      </c>
      <c r="AR114" s="508" t="str" cm="1">
        <f t="array" aca="1" ref="AR114" ca="1">IF(OR(AP114="",AP114=0),"",IF(SUMPRODUCT(($C$55:$C$175=AP114)*($U$54:AI$54&lt;=TODAY())*(ISNUMBER($U$56:AI$176)),$U$56:AI$176)=0,"",SUMPRODUCT(($C$55:$C$175=AP114)*($U$54:AI$54&lt;=TODAY())*(ISNUMBER($U$56:AI$176)),$U$56:AI$176)))</f>
        <v/>
      </c>
      <c r="AS114" s="508" t="str">
        <f>A113</f>
        <v>BSW</v>
      </c>
      <c r="AU114" s="1567"/>
      <c r="AV114" s="1567"/>
    </row>
    <row r="115" spans="1:48" ht="33.75" customHeight="1" x14ac:dyDescent="0.3">
      <c r="A115" s="1691" t="s">
        <v>91</v>
      </c>
      <c r="B115" s="1701" t="s">
        <v>95</v>
      </c>
      <c r="C115" s="1482" t="s">
        <v>459</v>
      </c>
      <c r="D115" s="1486" t="s">
        <v>460</v>
      </c>
      <c r="E115" s="1695" t="s">
        <v>461</v>
      </c>
      <c r="F115" s="1370" t="s">
        <v>307</v>
      </c>
      <c r="G115" s="1372">
        <v>46083</v>
      </c>
      <c r="H115" s="1372">
        <v>46142</v>
      </c>
      <c r="I115" s="1354">
        <v>59800</v>
      </c>
      <c r="J115" s="1376">
        <v>46143</v>
      </c>
      <c r="K115" s="1389">
        <f t="shared" ref="K115" si="180">IF(J115="", "", 12 - MONTH(J115) + 1)</f>
        <v>8</v>
      </c>
      <c r="L115" s="1354"/>
      <c r="M115" s="1350" t="s">
        <v>308</v>
      </c>
      <c r="N115" s="1391">
        <v>114604.43</v>
      </c>
      <c r="O115" s="1673" t="s">
        <v>81</v>
      </c>
      <c r="P115" s="1673" t="s">
        <v>309</v>
      </c>
      <c r="Q115" s="1673" t="s">
        <v>309</v>
      </c>
      <c r="R115" s="1327">
        <v>1</v>
      </c>
      <c r="S115" s="87" t="s">
        <v>116</v>
      </c>
      <c r="T115" s="726">
        <v>0.95</v>
      </c>
      <c r="U115" s="287">
        <f>IFERROR(IF(AND(U$54&gt;=EOMONTH($J115,-1)+1,U$54&lt;=EOMONTH(EOMONTH($J115,-1)+1,$K115-1)),IF(NOT(ISBLANK($N115)),$N115/$K115,$I115/$K115),0),0)</f>
        <v>0</v>
      </c>
      <c r="V115" s="287">
        <f>IFERROR(IF(AND(V$54&gt;=EOMONTH($J115,-1)+1,V$54&lt;=EOMONTH(EOMONTH($J115,-1)+1,$K115-1)),IF(NOT(ISBLANK($N115)),$N115/$K115,$I115/$K115),0),0)</f>
        <v>0</v>
      </c>
      <c r="W115" s="287">
        <f>IFERROR(IF(AND(W$54&gt;=EOMONTH($J115,-1)+1,W$54&lt;=EOMONTH(EOMONTH($J115,-1)+1,$K115-1)),IF(NOT(ISBLANK($N115)),$N115/$K115,$I115/$K115),0),0)</f>
        <v>0</v>
      </c>
      <c r="X115" s="89">
        <f t="shared" ref="X115" si="181">SUM(U115:W115)</f>
        <v>0</v>
      </c>
      <c r="Y115" s="287">
        <f>IFERROR(IF(AND(Y$54&gt;=EOMONTH($J115,-1)+1,Y$54&lt;=EOMONTH(EOMONTH($J115,-1)+1,$K115-1)),IF(NOT(ISBLANK($N115)),$N115/$K115,$I115/$K115),0),0)</f>
        <v>0</v>
      </c>
      <c r="Z115" s="287">
        <f>IFERROR(IF(AND(Z$54&gt;=EOMONTH($J115,-1)+1,Z$54&lt;=EOMONTH(EOMONTH($J115,-1)+1,$K115-1)),IF(NOT(ISBLANK($N115)),$N115/$K115,$I115/$K115),0),0)</f>
        <v>14325.553749999999</v>
      </c>
      <c r="AA115" s="287">
        <f>IFERROR(IF(AND(AA$54&gt;=EOMONTH($J115,-1)+1,AA$54&lt;=EOMONTH(EOMONTH($J115,-1)+1,$K115-1)),IF(NOT(ISBLANK($N115)),$N115/$K115,$I115/$K115),0),0)</f>
        <v>14325.553749999999</v>
      </c>
      <c r="AB115" s="89">
        <f t="shared" ref="AB115" si="182">SUM(Y115:AA115)</f>
        <v>28651.107499999998</v>
      </c>
      <c r="AC115" s="287">
        <f>IFERROR(IF(AND(AC$54&gt;=EOMONTH($J115,-1)+1,AC$54&lt;=EOMONTH(EOMONTH($J115,-1)+1,$K115-1)),IF(NOT(ISBLANK($N115)),$N115/$K115,$I115/$K115),0),0)</f>
        <v>14325.553749999999</v>
      </c>
      <c r="AD115" s="287">
        <f>IFERROR(IF(AND(AD$54&gt;=EOMONTH($J115,-1)+1,AD$54&lt;=EOMONTH(EOMONTH($J115,-1)+1,$K115-1)),IF(NOT(ISBLANK($N115)),$N115/$K115,$I115/$K115),0),0)</f>
        <v>14325.553749999999</v>
      </c>
      <c r="AE115" s="287">
        <f>IFERROR(IF(AND(AE$54&gt;=EOMONTH($J115,-1)+1,AE$54&lt;=EOMONTH(EOMONTH($J115,-1)+1,$K115-1)),IF(NOT(ISBLANK($N115)),$N115/$K115,$I115/$K115),0),0)</f>
        <v>14325.553749999999</v>
      </c>
      <c r="AF115" s="89">
        <f t="shared" si="112"/>
        <v>42976.661249999997</v>
      </c>
      <c r="AG115" s="287">
        <f>IFERROR(IF(AND(AG$54&gt;=EOMONTH($J115,-1)+1,AG$54&lt;=EOMONTH(EOMONTH($J115,-1)+1,$K115-1)),IF(NOT(ISBLANK($N115)),$N115/$K115,$I115/$K115),0),0)</f>
        <v>14325.553749999999</v>
      </c>
      <c r="AH115" s="287">
        <f>IFERROR(IF(AND(AH$54&gt;=EOMONTH($J115,-1)+1,AH$54&lt;=EOMONTH(EOMONTH($J115,-1)+1,$K115-1)),IF(NOT(ISBLANK($N115)),$N115/$K115,$I115/$K115),0),0)</f>
        <v>14325.553749999999</v>
      </c>
      <c r="AI115" s="287">
        <f>IFERROR(IF(AND(AI$54&gt;=EOMONTH($J115,-1)+1,AI$54&lt;=EOMONTH(EOMONTH($J115,-1)+1,$K115-1)),IF(NOT(ISBLANK($N115)),$N115/$K115,$I115/$K115),0),0)</f>
        <v>14325.553749999999</v>
      </c>
      <c r="AJ115" s="89">
        <f t="shared" si="160"/>
        <v>42976.661249999997</v>
      </c>
      <c r="AK115" s="90">
        <f t="shared" si="161"/>
        <v>114604.43</v>
      </c>
      <c r="AL115" s="92" t="s">
        <v>462</v>
      </c>
      <c r="AM115" s="1370"/>
      <c r="AN115" s="1411"/>
      <c r="AO115" s="1405">
        <f>N115*AN115</f>
        <v>0</v>
      </c>
      <c r="AP115" s="62" t="str">
        <f>C115</f>
        <v>31 - Comunização da chapa CHQ0475ED12502650</v>
      </c>
      <c r="AQ115" s="62" t="s">
        <v>311</v>
      </c>
      <c r="AR115" s="508" cm="1">
        <f t="array" aca="1" ref="AR115" ca="1">IF(OR(AP115="",AP115=0),"",IF(SUMPRODUCT(($C$55:$C$175=AP115)*(U$54:$AI$54&lt;EOMONTH(TODAY(),-1)+1)*(ISNUMBER(U$55:$AI$175)),U$55:$AI$175)=0,"",SUMPRODUCT(($C$55:$C$175=AP115)*(U$54:$AI$54&lt;EOMONTH(TODAY(),-1)+1)*(ISNUMBER(U$55:$AI$175)),U$55:$AI$175)))</f>
        <v>42976.661249999997</v>
      </c>
      <c r="AS115" s="508" t="str">
        <f>A115</f>
        <v>BSW</v>
      </c>
      <c r="AU115" s="1566">
        <f t="shared" ref="AU115" si="183">IF(OR(I115="",K115=""),0,(I115/12)*K115)</f>
        <v>39866.666666666664</v>
      </c>
      <c r="AV115" s="1566">
        <f t="shared" ref="AV115" si="184">IF(OR(N115="",K115="",K115=0),0,(N115/K115)*12)</f>
        <v>171906.64499999999</v>
      </c>
    </row>
    <row r="116" spans="1:48" ht="30.75" customHeight="1" x14ac:dyDescent="0.3">
      <c r="A116" s="1692"/>
      <c r="B116" s="1702"/>
      <c r="C116" s="1483"/>
      <c r="D116" s="1487"/>
      <c r="E116" s="1696"/>
      <c r="F116" s="1371"/>
      <c r="G116" s="1373"/>
      <c r="H116" s="1373"/>
      <c r="I116" s="1355"/>
      <c r="J116" s="1377"/>
      <c r="K116" s="1390"/>
      <c r="L116" s="1355"/>
      <c r="M116" s="1460"/>
      <c r="N116" s="1392"/>
      <c r="O116" s="1674"/>
      <c r="P116" s="1674"/>
      <c r="Q116" s="1674"/>
      <c r="R116" s="1328"/>
      <c r="S116" s="87" t="s">
        <v>117</v>
      </c>
      <c r="T116" s="726">
        <v>1</v>
      </c>
      <c r="U116" s="287"/>
      <c r="V116" s="287"/>
      <c r="W116" s="287"/>
      <c r="X116" s="288">
        <f t="shared" ref="X116" si="185">SUM(U116:W116)</f>
        <v>0</v>
      </c>
      <c r="Y116" s="287"/>
      <c r="Z116" s="287">
        <v>12941.975333084476</v>
      </c>
      <c r="AA116" s="287">
        <v>14854.021633248572</v>
      </c>
      <c r="AB116" s="288">
        <f t="shared" ref="AB116" si="186">SUM(Y116:AA116)</f>
        <v>27795.996966333048</v>
      </c>
      <c r="AC116" s="287">
        <v>12539.033471052087</v>
      </c>
      <c r="AD116" s="287"/>
      <c r="AE116" s="287"/>
      <c r="AF116" s="288">
        <f t="shared" si="112"/>
        <v>12539.033471052087</v>
      </c>
      <c r="AG116" s="287"/>
      <c r="AH116" s="287"/>
      <c r="AI116" s="287"/>
      <c r="AJ116" s="288">
        <f t="shared" si="160"/>
        <v>0</v>
      </c>
      <c r="AK116" s="289">
        <f t="shared" si="161"/>
        <v>40335.03043738514</v>
      </c>
      <c r="AL116" s="337"/>
      <c r="AM116" s="1371"/>
      <c r="AN116" s="1412"/>
      <c r="AO116" s="1406"/>
      <c r="AP116" s="62" t="str">
        <f>C115</f>
        <v>31 - Comunização da chapa CHQ0475ED12502650</v>
      </c>
      <c r="AQ116" s="62" t="s">
        <v>313</v>
      </c>
      <c r="AR116" s="508" cm="1">
        <f t="array" aca="1" ref="AR116" ca="1">IF(OR(AP116="",AP116=0),"",IF(SUMPRODUCT(($C$55:$C$175=AP116)*($U$54:AI$54&lt;=TODAY())*(ISNUMBER($U$56:AI$176)),$U$56:AI$176)=0,"",SUMPRODUCT(($C$55:$C$175=AP116)*($U$54:AI$54&lt;=TODAY())*(ISNUMBER($U$56:AI$176)),$U$56:AI$176)))</f>
        <v>40335.03043738514</v>
      </c>
      <c r="AS116" s="508" t="str">
        <f>A115</f>
        <v>BSW</v>
      </c>
      <c r="AU116" s="1567"/>
      <c r="AV116" s="1567"/>
    </row>
    <row r="117" spans="1:48" ht="29.1" customHeight="1" x14ac:dyDescent="0.3">
      <c r="A117" s="1693" t="s">
        <v>91</v>
      </c>
      <c r="B117" s="1708" t="s">
        <v>95</v>
      </c>
      <c r="C117" s="1699" t="s">
        <v>463</v>
      </c>
      <c r="D117" s="1747" t="s">
        <v>464</v>
      </c>
      <c r="E117" s="1449" t="s">
        <v>465</v>
      </c>
      <c r="F117" s="1451" t="s">
        <v>307</v>
      </c>
      <c r="G117" s="1366">
        <v>46083</v>
      </c>
      <c r="H117" s="1366">
        <v>46101</v>
      </c>
      <c r="I117" s="1706">
        <v>630.00015099999996</v>
      </c>
      <c r="J117" s="1378">
        <v>46082</v>
      </c>
      <c r="K117" s="1387">
        <f t="shared" ref="K117" si="187">IF(J117="", "", 12 - MONTH(J117) + 1)</f>
        <v>10</v>
      </c>
      <c r="L117" s="1395"/>
      <c r="M117" s="1720" t="s">
        <v>308</v>
      </c>
      <c r="N117" s="1728">
        <v>525.25</v>
      </c>
      <c r="O117" s="1671" t="s">
        <v>81</v>
      </c>
      <c r="P117" s="1671" t="s">
        <v>309</v>
      </c>
      <c r="Q117" s="1671" t="s">
        <v>309</v>
      </c>
      <c r="R117" s="1334">
        <v>1</v>
      </c>
      <c r="S117" s="93" t="s">
        <v>116</v>
      </c>
      <c r="T117" s="727">
        <v>1</v>
      </c>
      <c r="U117" s="498">
        <f>IFERROR(IF(AND(U$54&gt;=EOMONTH($J117,-1)+1,U$54&lt;=EOMONTH(EOMONTH($J117,-1)+1,$K117-1)),IF(NOT(ISBLANK($N117)),$N117/$K117,$I117/$K117),0),0)</f>
        <v>0</v>
      </c>
      <c r="V117" s="498">
        <f>IFERROR(IF(AND(V$54&gt;=EOMONTH($J117,-1)+1,V$54&lt;=EOMONTH(EOMONTH($J117,-1)+1,$K117-1)),IF(NOT(ISBLANK($N117)),$N117/$K117,$I117/$K117),0),0)</f>
        <v>0</v>
      </c>
      <c r="W117" s="816">
        <f>IFERROR(IF(AND(W$54&gt;=EOMONTH($J117,-1)+1,W$54&lt;=EOMONTH(EOMONTH($J117,-1)+1,$K117-1)),IF(NOT(ISBLANK($N117)),$N117/$K117,$I117/$K117),0),0)</f>
        <v>52.524999999999999</v>
      </c>
      <c r="X117" s="89">
        <f t="shared" ref="X117" si="188">SUM(U117:W117)</f>
        <v>52.524999999999999</v>
      </c>
      <c r="Y117" s="816">
        <f>IFERROR(IF(AND(Y$54&gt;=EOMONTH($J117,-1)+1,Y$54&lt;=EOMONTH(EOMONTH($J117,-1)+1,$K117-1)),IF(NOT(ISBLANK($N117)),$N117/$K117,$I117/$K117),0),0)</f>
        <v>52.524999999999999</v>
      </c>
      <c r="Z117" s="498">
        <f>IFERROR(IF(AND(Z$54&gt;=EOMONTH($J117,-1)+1,Z$54&lt;=EOMONTH(EOMONTH($J117,-1)+1,$K117-1)),IF(NOT(ISBLANK($N117)),$N117/$K117,$I117/$K117),0),0)</f>
        <v>52.524999999999999</v>
      </c>
      <c r="AA117" s="498">
        <f>IFERROR(IF(AND(AA$54&gt;=EOMONTH($J117,-1)+1,AA$54&lt;=EOMONTH(EOMONTH($J117,-1)+1,$K117-1)),IF(NOT(ISBLANK($N117)),$N117/$K117,$I117/$K117),0),0)</f>
        <v>52.524999999999999</v>
      </c>
      <c r="AB117" s="89">
        <f t="shared" ref="AB117" si="189">SUM(Y117:AA117)</f>
        <v>157.57499999999999</v>
      </c>
      <c r="AC117" s="498">
        <f>IFERROR(IF(AND(AC$54&gt;=EOMONTH($J117,-1)+1,AC$54&lt;=EOMONTH(EOMONTH($J117,-1)+1,$K117-1)),IF(NOT(ISBLANK($N117)),$N117/$K117,$I117/$K117),0),0)</f>
        <v>52.524999999999999</v>
      </c>
      <c r="AD117" s="498">
        <f>IFERROR(IF(AND(AD$54&gt;=EOMONTH($J117,-1)+1,AD$54&lt;=EOMONTH(EOMONTH($J117,-1)+1,$K117-1)),IF(NOT(ISBLANK($N117)),$N117/$K117,$I117/$K117),0),0)</f>
        <v>52.524999999999999</v>
      </c>
      <c r="AE117" s="498">
        <f>IFERROR(IF(AND(AE$54&gt;=EOMONTH($J117,-1)+1,AE$54&lt;=EOMONTH(EOMONTH($J117,-1)+1,$K117-1)),IF(NOT(ISBLANK($N117)),$N117/$K117,$I117/$K117),0),0)</f>
        <v>52.524999999999999</v>
      </c>
      <c r="AF117" s="89">
        <f t="shared" si="112"/>
        <v>157.57499999999999</v>
      </c>
      <c r="AG117" s="498">
        <f>IFERROR(IF(AND(AG$54&gt;=EOMONTH($J117,-1)+1,AG$54&lt;=EOMONTH(EOMONTH($J117,-1)+1,$K117-1)),IF(NOT(ISBLANK($N117)),$N117/$K117,$I117/$K117),0),0)</f>
        <v>52.524999999999999</v>
      </c>
      <c r="AH117" s="498">
        <f>IFERROR(IF(AND(AH$54&gt;=EOMONTH($J117,-1)+1,AH$54&lt;=EOMONTH(EOMONTH($J117,-1)+1,$K117-1)),IF(NOT(ISBLANK($N117)),$N117/$K117,$I117/$K117),0),0)</f>
        <v>52.524999999999999</v>
      </c>
      <c r="AI117" s="498">
        <f>IFERROR(IF(AND(AI$54&gt;=EOMONTH($J117,-1)+1,AI$54&lt;=EOMONTH(EOMONTH($J117,-1)+1,$K117-1)),IF(NOT(ISBLANK($N117)),$N117/$K117,$I117/$K117),0),0)</f>
        <v>52.524999999999999</v>
      </c>
      <c r="AJ117" s="89">
        <f t="shared" si="160"/>
        <v>157.57499999999999</v>
      </c>
      <c r="AK117" s="95">
        <f t="shared" si="161"/>
        <v>525.25</v>
      </c>
      <c r="AL117" s="97" t="s">
        <v>466</v>
      </c>
      <c r="AM117" s="1407"/>
      <c r="AN117" s="1334"/>
      <c r="AO117" s="1403">
        <f>N117*AN117</f>
        <v>0</v>
      </c>
      <c r="AP117" s="62" t="str">
        <f>C117</f>
        <v>32 - Redução de Peso Bruto do item MB003594LA</v>
      </c>
      <c r="AQ117" s="62" t="s">
        <v>311</v>
      </c>
      <c r="AR117" s="508" cm="1">
        <f t="array" aca="1" ref="AR117" ca="1">IF(OR(AP117="",AP117=0),"",IF(SUMPRODUCT(($C$55:$C$175=AP117)*(U$54:$AI$54&lt;EOMONTH(TODAY(),-1)+1)*(ISNUMBER(U$55:$AI$175)),U$55:$AI$175)=0,"",SUMPRODUCT(($C$55:$C$175=AP117)*(U$54:$AI$54&lt;EOMONTH(TODAY(),-1)+1)*(ISNUMBER(U$55:$AI$175)),U$55:$AI$175)))</f>
        <v>262.625</v>
      </c>
      <c r="AS117" s="508" t="str">
        <f>A117</f>
        <v>BSW</v>
      </c>
      <c r="AU117" s="1566">
        <f t="shared" ref="AU117" si="190">IF(OR(I117="",K117=""),0,(I117/12)*K117)</f>
        <v>525.0001258333333</v>
      </c>
      <c r="AV117" s="1566">
        <f t="shared" ref="AV117" si="191">IF(OR(N117="",K117="",K117=0),0,(N117/K117)*12)</f>
        <v>630.29999999999995</v>
      </c>
    </row>
    <row r="118" spans="1:48" ht="29.1" customHeight="1" x14ac:dyDescent="0.3">
      <c r="A118" s="1694"/>
      <c r="B118" s="1709"/>
      <c r="C118" s="1700"/>
      <c r="D118" s="1748"/>
      <c r="E118" s="1450"/>
      <c r="F118" s="1452"/>
      <c r="G118" s="1367"/>
      <c r="H118" s="1367"/>
      <c r="I118" s="1707"/>
      <c r="J118" s="1379"/>
      <c r="K118" s="1388"/>
      <c r="L118" s="1396"/>
      <c r="M118" s="1721"/>
      <c r="N118" s="1729"/>
      <c r="O118" s="1672"/>
      <c r="P118" s="1672"/>
      <c r="Q118" s="1672"/>
      <c r="R118" s="1330"/>
      <c r="S118" s="93" t="s">
        <v>117</v>
      </c>
      <c r="T118" s="727">
        <v>1</v>
      </c>
      <c r="U118" s="290"/>
      <c r="V118" s="290"/>
      <c r="W118" s="290">
        <v>0</v>
      </c>
      <c r="X118" s="288">
        <f t="shared" ref="X118" si="192">SUM(U118:W118)</f>
        <v>0</v>
      </c>
      <c r="Y118" s="290">
        <v>1107.4090784000005</v>
      </c>
      <c r="Z118" s="290">
        <v>604.23524480000026</v>
      </c>
      <c r="AA118" s="290">
        <v>1050.0787264000005</v>
      </c>
      <c r="AB118" s="288">
        <f t="shared" ref="AB118" si="193">SUM(Y118:AA118)</f>
        <v>2761.7230496000011</v>
      </c>
      <c r="AC118" s="290">
        <v>900.48650560000044</v>
      </c>
      <c r="AD118" s="290"/>
      <c r="AE118" s="290"/>
      <c r="AF118" s="288">
        <f t="shared" si="112"/>
        <v>900.48650560000044</v>
      </c>
      <c r="AG118" s="290"/>
      <c r="AH118" s="290"/>
      <c r="AI118" s="290"/>
      <c r="AJ118" s="288">
        <f t="shared" si="160"/>
        <v>0</v>
      </c>
      <c r="AK118" s="291">
        <f t="shared" si="161"/>
        <v>3662.2095552000014</v>
      </c>
      <c r="AL118" s="97"/>
      <c r="AM118" s="1408"/>
      <c r="AN118" s="1330"/>
      <c r="AO118" s="1404"/>
      <c r="AP118" s="62" t="str">
        <f>C117</f>
        <v>32 - Redução de Peso Bruto do item MB003594LA</v>
      </c>
      <c r="AQ118" s="62" t="s">
        <v>313</v>
      </c>
      <c r="AR118" s="508" cm="1">
        <f t="array" aca="1" ref="AR118" ca="1">IF(OR(AP118="",AP118=0),"",IF(SUMPRODUCT(($C$55:$C$175=AP118)*($U$54:AI$54&lt;=TODAY())*(ISNUMBER($U$56:AI$176)),$U$56:AI$176)=0,"",SUMPRODUCT(($C$55:$C$175=AP118)*($U$54:AI$54&lt;=TODAY())*(ISNUMBER($U$56:AI$176)),$U$56:AI$176)))</f>
        <v>3662.2095552000014</v>
      </c>
      <c r="AS118" s="508" t="str">
        <f>A117</f>
        <v>BSW</v>
      </c>
      <c r="AU118" s="1567"/>
      <c r="AV118" s="1567"/>
    </row>
    <row r="119" spans="1:48" ht="29.1" customHeight="1" x14ac:dyDescent="0.3">
      <c r="A119" s="1691" t="s">
        <v>91</v>
      </c>
      <c r="B119" s="1701" t="s">
        <v>95</v>
      </c>
      <c r="C119" s="1716" t="s">
        <v>467</v>
      </c>
      <c r="D119" s="1486" t="s">
        <v>468</v>
      </c>
      <c r="E119" s="1695" t="s">
        <v>469</v>
      </c>
      <c r="F119" s="1370" t="s">
        <v>307</v>
      </c>
      <c r="G119" s="1372">
        <v>46083</v>
      </c>
      <c r="H119" s="1372">
        <v>46101</v>
      </c>
      <c r="I119" s="1354">
        <v>13608</v>
      </c>
      <c r="J119" s="1376">
        <v>46082</v>
      </c>
      <c r="K119" s="1389">
        <f t="shared" ref="K119" si="194">IF(J119="", "", 12 - MONTH(J119) + 1)</f>
        <v>10</v>
      </c>
      <c r="L119" s="1354"/>
      <c r="M119" s="1350" t="s">
        <v>308</v>
      </c>
      <c r="N119" s="1730">
        <v>11223.44</v>
      </c>
      <c r="O119" s="1673" t="s">
        <v>81</v>
      </c>
      <c r="P119" s="1673" t="s">
        <v>309</v>
      </c>
      <c r="Q119" s="1673" t="s">
        <v>309</v>
      </c>
      <c r="R119" s="1327">
        <v>1</v>
      </c>
      <c r="S119" s="87" t="s">
        <v>116</v>
      </c>
      <c r="T119" s="726">
        <v>1</v>
      </c>
      <c r="U119" s="287">
        <f>IFERROR(IF(AND(U$54&gt;=EOMONTH($J119,-1)+1,U$54&lt;=EOMONTH(EOMONTH($J119,-1)+1,$K119-1)),IF(NOT(ISBLANK($N119)),$N119/$K119,$I119/$K119),0),0)</f>
        <v>0</v>
      </c>
      <c r="V119" s="287">
        <f>IFERROR(IF(AND(V$54&gt;=EOMONTH($J119,-1)+1,V$54&lt;=EOMONTH(EOMONTH($J119,-1)+1,$K119-1)),IF(NOT(ISBLANK($N119)),$N119/$K119,$I119/$K119),0),0)</f>
        <v>0</v>
      </c>
      <c r="W119" s="815">
        <f>IFERROR(IF(AND(W$54&gt;=EOMONTH($J119,-1)+1,W$54&lt;=EOMONTH(EOMONTH($J119,-1)+1,$K119-1)),IF(NOT(ISBLANK($N119)),$N119/$K119,$I119/$K119),0),0)</f>
        <v>1122.3440000000001</v>
      </c>
      <c r="X119" s="89">
        <f t="shared" ref="X119" si="195">SUM(U119:W119)</f>
        <v>1122.3440000000001</v>
      </c>
      <c r="Y119" s="815">
        <f>IFERROR(IF(AND(Y$54&gt;=EOMONTH($J119,-1)+1,Y$54&lt;=EOMONTH(EOMONTH($J119,-1)+1,$K119-1)),IF(NOT(ISBLANK($N119)),$N119/$K119,$I119/$K119),0),0)</f>
        <v>1122.3440000000001</v>
      </c>
      <c r="Z119" s="287">
        <f>IFERROR(IF(AND(Z$54&gt;=EOMONTH($J119,-1)+1,Z$54&lt;=EOMONTH(EOMONTH($J119,-1)+1,$K119-1)),IF(NOT(ISBLANK($N119)),$N119/$K119,$I119/$K119),0),0)</f>
        <v>1122.3440000000001</v>
      </c>
      <c r="AA119" s="287">
        <f>IFERROR(IF(AND(AA$54&gt;=EOMONTH($J119,-1)+1,AA$54&lt;=EOMONTH(EOMONTH($J119,-1)+1,$K119-1)),IF(NOT(ISBLANK($N119)),$N119/$K119,$I119/$K119),0),0)</f>
        <v>1122.3440000000001</v>
      </c>
      <c r="AB119" s="89">
        <f t="shared" ref="AB119" si="196">SUM(Y119:AA119)</f>
        <v>3367.0320000000002</v>
      </c>
      <c r="AC119" s="287">
        <f>IFERROR(IF(AND(AC$54&gt;=EOMONTH($J119,-1)+1,AC$54&lt;=EOMONTH(EOMONTH($J119,-1)+1,$K119-1)),IF(NOT(ISBLANK($N119)),$N119/$K119,$I119/$K119),0),0)</f>
        <v>1122.3440000000001</v>
      </c>
      <c r="AD119" s="287">
        <f>IFERROR(IF(AND(AD$54&gt;=EOMONTH($J119,-1)+1,AD$54&lt;=EOMONTH(EOMONTH($J119,-1)+1,$K119-1)),IF(NOT(ISBLANK($N119)),$N119/$K119,$I119/$K119),0),0)</f>
        <v>1122.3440000000001</v>
      </c>
      <c r="AE119" s="287">
        <f>IFERROR(IF(AND(AE$54&gt;=EOMONTH($J119,-1)+1,AE$54&lt;=EOMONTH(EOMONTH($J119,-1)+1,$K119-1)),IF(NOT(ISBLANK($N119)),$N119/$K119,$I119/$K119),0),0)</f>
        <v>1122.3440000000001</v>
      </c>
      <c r="AF119" s="89">
        <f t="shared" si="112"/>
        <v>3367.0320000000002</v>
      </c>
      <c r="AG119" s="287">
        <f>IFERROR(IF(AND(AG$54&gt;=EOMONTH($J119,-1)+1,AG$54&lt;=EOMONTH(EOMONTH($J119,-1)+1,$K119-1)),IF(NOT(ISBLANK($N119)),$N119/$K119,$I119/$K119),0),0)</f>
        <v>1122.3440000000001</v>
      </c>
      <c r="AH119" s="287">
        <f>IFERROR(IF(AND(AH$54&gt;=EOMONTH($J119,-1)+1,AH$54&lt;=EOMONTH(EOMONTH($J119,-1)+1,$K119-1)),IF(NOT(ISBLANK($N119)),$N119/$K119,$I119/$K119),0),0)</f>
        <v>1122.3440000000001</v>
      </c>
      <c r="AI119" s="287">
        <f>IFERROR(IF(AND(AI$54&gt;=EOMONTH($J119,-1)+1,AI$54&lt;=EOMONTH(EOMONTH($J119,-1)+1,$K119-1)),IF(NOT(ISBLANK($N119)),$N119/$K119,$I119/$K119),0),0)</f>
        <v>1122.3440000000001</v>
      </c>
      <c r="AJ119" s="89">
        <f t="shared" si="160"/>
        <v>3367.0320000000002</v>
      </c>
      <c r="AK119" s="90">
        <f t="shared" si="161"/>
        <v>11223.44</v>
      </c>
      <c r="AL119" s="337" t="s">
        <v>470</v>
      </c>
      <c r="AM119" s="1370"/>
      <c r="AN119" s="1411"/>
      <c r="AO119" s="1405">
        <f>N119*AN119</f>
        <v>0</v>
      </c>
      <c r="AP119" s="62" t="str">
        <f>C119</f>
        <v>33 - Redução de Peso Bruto do item MB003610LA</v>
      </c>
      <c r="AQ119" s="62" t="s">
        <v>311</v>
      </c>
      <c r="AR119" s="508" cm="1">
        <f t="array" aca="1" ref="AR119" ca="1">IF(OR(AP119="",AP119=0),"",IF(SUMPRODUCT(($C$55:$C$175=AP119)*(U$54:$AI$54&lt;EOMONTH(TODAY(),-1)+1)*(ISNUMBER(U$55:$AI$175)),U$55:$AI$175)=0,"",SUMPRODUCT(($C$55:$C$175=AP119)*(U$54:$AI$54&lt;EOMONTH(TODAY(),-1)+1)*(ISNUMBER(U$55:$AI$175)),U$55:$AI$175)))</f>
        <v>5611.72</v>
      </c>
      <c r="AS119" s="508" t="str">
        <f>A119</f>
        <v>BSW</v>
      </c>
      <c r="AU119" s="1566">
        <f t="shared" ref="AU119" si="197">IF(OR(I119="",K119=""),0,(I119/12)*K119)</f>
        <v>11340</v>
      </c>
      <c r="AV119" s="1566">
        <f t="shared" ref="AV119" si="198">IF(OR(N119="",K119="",K119=0),0,(N119/K119)*12)</f>
        <v>13468.128000000001</v>
      </c>
    </row>
    <row r="120" spans="1:48" ht="29.1" customHeight="1" x14ac:dyDescent="0.3">
      <c r="A120" s="1692"/>
      <c r="B120" s="1702"/>
      <c r="C120" s="1717"/>
      <c r="D120" s="1751"/>
      <c r="E120" s="1696"/>
      <c r="F120" s="1371"/>
      <c r="G120" s="1373"/>
      <c r="H120" s="1373"/>
      <c r="I120" s="1355"/>
      <c r="J120" s="1377"/>
      <c r="K120" s="1390"/>
      <c r="L120" s="1355"/>
      <c r="M120" s="1460"/>
      <c r="N120" s="1731"/>
      <c r="O120" s="1674"/>
      <c r="P120" s="1674"/>
      <c r="Q120" s="1674"/>
      <c r="R120" s="1328"/>
      <c r="S120" s="87" t="s">
        <v>117</v>
      </c>
      <c r="T120" s="726">
        <v>0.3</v>
      </c>
      <c r="U120" s="287"/>
      <c r="V120" s="287"/>
      <c r="W120" s="287">
        <v>0</v>
      </c>
      <c r="X120" s="288">
        <f t="shared" ref="X120" si="199">SUM(U120:W120)</f>
        <v>0</v>
      </c>
      <c r="Y120" s="287">
        <v>1350.4782892876806</v>
      </c>
      <c r="Z120" s="287">
        <v>1422.8253404995205</v>
      </c>
      <c r="AA120" s="287">
        <v>1295.8160728165126</v>
      </c>
      <c r="AB120" s="288">
        <f t="shared" ref="AB120" si="200">SUM(Y120:AA120)</f>
        <v>4069.1197026037139</v>
      </c>
      <c r="AC120" s="287">
        <v>1254.0155543385604</v>
      </c>
      <c r="AD120" s="287"/>
      <c r="AE120" s="287"/>
      <c r="AF120" s="288">
        <f t="shared" si="112"/>
        <v>1254.0155543385604</v>
      </c>
      <c r="AG120" s="287"/>
      <c r="AH120" s="287"/>
      <c r="AI120" s="287"/>
      <c r="AJ120" s="288">
        <f t="shared" si="160"/>
        <v>0</v>
      </c>
      <c r="AK120" s="289">
        <f t="shared" si="161"/>
        <v>5323.1352569422743</v>
      </c>
      <c r="AL120" s="337"/>
      <c r="AM120" s="1371"/>
      <c r="AN120" s="1412"/>
      <c r="AO120" s="1406"/>
      <c r="AP120" s="62" t="str">
        <f>C119</f>
        <v>33 - Redução de Peso Bruto do item MB003610LA</v>
      </c>
      <c r="AQ120" s="62" t="s">
        <v>313</v>
      </c>
      <c r="AR120" s="508" cm="1">
        <f t="array" aca="1" ref="AR120" ca="1">IF(OR(AP120="",AP120=0),"",IF(SUMPRODUCT(($C$55:$C$175=AP120)*($U$54:AI$54&lt;=TODAY())*(ISNUMBER($U$56:AI$176)),$U$56:AI$176)=0,"",SUMPRODUCT(($C$55:$C$175=AP120)*($U$54:AI$54&lt;=TODAY())*(ISNUMBER($U$56:AI$176)),$U$56:AI$176)))</f>
        <v>5323.1352569422743</v>
      </c>
      <c r="AS120" s="508" t="str">
        <f>A119</f>
        <v>BSW</v>
      </c>
      <c r="AU120" s="1567"/>
      <c r="AV120" s="1567"/>
    </row>
    <row r="121" spans="1:48" ht="29.1" customHeight="1" x14ac:dyDescent="0.3">
      <c r="A121" s="1693" t="s">
        <v>91</v>
      </c>
      <c r="B121" s="1708" t="s">
        <v>95</v>
      </c>
      <c r="C121" s="1699" t="s">
        <v>471</v>
      </c>
      <c r="D121" s="1356" t="s">
        <v>472</v>
      </c>
      <c r="E121" s="1449" t="s">
        <v>473</v>
      </c>
      <c r="F121" s="1451" t="s">
        <v>307</v>
      </c>
      <c r="G121" s="1366">
        <v>46083</v>
      </c>
      <c r="H121" s="1366">
        <v>46101</v>
      </c>
      <c r="I121" s="1706">
        <v>3262</v>
      </c>
      <c r="J121" s="1378">
        <v>46082</v>
      </c>
      <c r="K121" s="1387">
        <f t="shared" ref="K121" si="201">IF(J121="", "", 12 - MONTH(J121) + 1)</f>
        <v>10</v>
      </c>
      <c r="L121" s="1395"/>
      <c r="M121" s="1720" t="s">
        <v>308</v>
      </c>
      <c r="N121" s="1728">
        <v>2387.0700000000002</v>
      </c>
      <c r="O121" s="1671" t="s">
        <v>81</v>
      </c>
      <c r="P121" s="1671" t="s">
        <v>309</v>
      </c>
      <c r="Q121" s="1671" t="s">
        <v>309</v>
      </c>
      <c r="R121" s="1334">
        <v>1</v>
      </c>
      <c r="S121" s="93" t="s">
        <v>116</v>
      </c>
      <c r="T121" s="727">
        <v>1</v>
      </c>
      <c r="U121" s="498">
        <f>IFERROR(IF(AND(U$54&gt;=EOMONTH($J121,-1)+1,U$54&lt;=EOMONTH(EOMONTH($J121,-1)+1,$K121-1)),IF(NOT(ISBLANK($N121)),$N121/$K121,$I121/$K121),0),0)</f>
        <v>0</v>
      </c>
      <c r="V121" s="498">
        <f>IFERROR(IF(AND(V$54&gt;=EOMONTH($J121,-1)+1,V$54&lt;=EOMONTH(EOMONTH($J121,-1)+1,$K121-1)),IF(NOT(ISBLANK($N121)),$N121/$K121,$I121/$K121),0),0)</f>
        <v>0</v>
      </c>
      <c r="W121" s="816">
        <f>IFERROR(IF(AND(W$54&gt;=EOMONTH($J121,-1)+1,W$54&lt;=EOMONTH(EOMONTH($J121,-1)+1,$K121-1)),IF(NOT(ISBLANK($N121)),$N121/$K121,$I121/$K121),0),0)</f>
        <v>238.70700000000002</v>
      </c>
      <c r="X121" s="89">
        <f t="shared" ref="X121" si="202">SUM(U121:W121)</f>
        <v>238.70700000000002</v>
      </c>
      <c r="Y121" s="816">
        <f>IFERROR(IF(AND(Y$54&gt;=EOMONTH($J121,-1)+1,Y$54&lt;=EOMONTH(EOMONTH($J121,-1)+1,$K121-1)),IF(NOT(ISBLANK($N121)),$N121/$K121,$I121/$K121),0),0)</f>
        <v>238.70700000000002</v>
      </c>
      <c r="Z121" s="498">
        <f>IFERROR(IF(AND(Z$54&gt;=EOMONTH($J121,-1)+1,Z$54&lt;=EOMONTH(EOMONTH($J121,-1)+1,$K121-1)),IF(NOT(ISBLANK($N121)),$N121/$K121,$I121/$K121),0),0)</f>
        <v>238.70700000000002</v>
      </c>
      <c r="AA121" s="498">
        <f>IFERROR(IF(AND(AA$54&gt;=EOMONTH($J121,-1)+1,AA$54&lt;=EOMONTH(EOMONTH($J121,-1)+1,$K121-1)),IF(NOT(ISBLANK($N121)),$N121/$K121,$I121/$K121),0),0)</f>
        <v>238.70700000000002</v>
      </c>
      <c r="AB121" s="89">
        <f t="shared" ref="AB121" si="203">SUM(Y121:AA121)</f>
        <v>716.12100000000009</v>
      </c>
      <c r="AC121" s="498">
        <f>IFERROR(IF(AND(AC$54&gt;=EOMONTH($J121,-1)+1,AC$54&lt;=EOMONTH(EOMONTH($J121,-1)+1,$K121-1)),IF(NOT(ISBLANK($N121)),$N121/$K121,$I121/$K121),0),0)</f>
        <v>238.70700000000002</v>
      </c>
      <c r="AD121" s="498">
        <f>IFERROR(IF(AND(AD$54&gt;=EOMONTH($J121,-1)+1,AD$54&lt;=EOMONTH(EOMONTH($J121,-1)+1,$K121-1)),IF(NOT(ISBLANK($N121)),$N121/$K121,$I121/$K121),0),0)</f>
        <v>238.70700000000002</v>
      </c>
      <c r="AE121" s="498">
        <f>IFERROR(IF(AND(AE$54&gt;=EOMONTH($J121,-1)+1,AE$54&lt;=EOMONTH(EOMONTH($J121,-1)+1,$K121-1)),IF(NOT(ISBLANK($N121)),$N121/$K121,$I121/$K121),0),0)</f>
        <v>238.70700000000002</v>
      </c>
      <c r="AF121" s="89">
        <f t="shared" si="112"/>
        <v>716.12100000000009</v>
      </c>
      <c r="AG121" s="498">
        <f>IFERROR(IF(AND(AG$54&gt;=EOMONTH($J121,-1)+1,AG$54&lt;=EOMONTH(EOMONTH($J121,-1)+1,$K121-1)),IF(NOT(ISBLANK($N121)),$N121/$K121,$I121/$K121),0),0)</f>
        <v>238.70700000000002</v>
      </c>
      <c r="AH121" s="498">
        <f>IFERROR(IF(AND(AH$54&gt;=EOMONTH($J121,-1)+1,AH$54&lt;=EOMONTH(EOMONTH($J121,-1)+1,$K121-1)),IF(NOT(ISBLANK($N121)),$N121/$K121,$I121/$K121),0),0)</f>
        <v>238.70700000000002</v>
      </c>
      <c r="AI121" s="498">
        <f>IFERROR(IF(AND(AI$54&gt;=EOMONTH($J121,-1)+1,AI$54&lt;=EOMONTH(EOMONTH($J121,-1)+1,$K121-1)),IF(NOT(ISBLANK($N121)),$N121/$K121,$I121/$K121),0),0)</f>
        <v>238.70700000000002</v>
      </c>
      <c r="AJ121" s="89">
        <f t="shared" si="160"/>
        <v>716.12100000000009</v>
      </c>
      <c r="AK121" s="95">
        <f t="shared" si="161"/>
        <v>2387.0700000000002</v>
      </c>
      <c r="AL121" s="338" t="s">
        <v>474</v>
      </c>
      <c r="AM121" s="1407"/>
      <c r="AN121" s="1334"/>
      <c r="AO121" s="1403">
        <f>N121*AN121</f>
        <v>0</v>
      </c>
      <c r="AP121" s="62" t="str">
        <f>C121</f>
        <v>34 - Redução de Peso Bruto do item MB003554LA</v>
      </c>
      <c r="AQ121" s="62" t="s">
        <v>311</v>
      </c>
      <c r="AR121" s="508" cm="1">
        <f t="array" aca="1" ref="AR121" ca="1">IF(OR(AP121="",AP121=0),"",IF(SUMPRODUCT(($C$55:$C$175=AP121)*(U$54:$AI$54&lt;EOMONTH(TODAY(),-1)+1)*(ISNUMBER(U$55:$AI$175)),U$55:$AI$175)=0,"",SUMPRODUCT(($C$55:$C$175=AP121)*(U$54:$AI$54&lt;EOMONTH(TODAY(),-1)+1)*(ISNUMBER(U$55:$AI$175)),U$55:$AI$175)))</f>
        <v>1193.5350000000001</v>
      </c>
      <c r="AS121" s="508" t="str">
        <f>A121</f>
        <v>BSW</v>
      </c>
      <c r="AU121" s="1566">
        <f t="shared" ref="AU121" si="204">IF(OR(I121="",K121=""),0,(I121/12)*K121)</f>
        <v>2718.333333333333</v>
      </c>
      <c r="AV121" s="1566">
        <f t="shared" ref="AV121" si="205">IF(OR(N121="",K121="",K121=0),0,(N121/K121)*12)</f>
        <v>2864.4840000000004</v>
      </c>
    </row>
    <row r="122" spans="1:48" ht="29.1" customHeight="1" x14ac:dyDescent="0.3">
      <c r="A122" s="1694"/>
      <c r="B122" s="1709"/>
      <c r="C122" s="1700"/>
      <c r="D122" s="1455"/>
      <c r="E122" s="1450"/>
      <c r="F122" s="1452"/>
      <c r="G122" s="1367"/>
      <c r="H122" s="1367"/>
      <c r="I122" s="1707"/>
      <c r="J122" s="1379"/>
      <c r="K122" s="1388"/>
      <c r="L122" s="1396"/>
      <c r="M122" s="1721"/>
      <c r="N122" s="1729"/>
      <c r="O122" s="1672"/>
      <c r="P122" s="1672"/>
      <c r="Q122" s="1672"/>
      <c r="R122" s="1330"/>
      <c r="S122" s="93" t="s">
        <v>117</v>
      </c>
      <c r="T122" s="727">
        <v>1</v>
      </c>
      <c r="U122" s="290"/>
      <c r="V122" s="290"/>
      <c r="W122" s="290">
        <v>0</v>
      </c>
      <c r="X122" s="288">
        <f t="shared" ref="X122" si="206">SUM(U122:W122)</f>
        <v>0</v>
      </c>
      <c r="Y122" s="290">
        <v>330.52335722999953</v>
      </c>
      <c r="Z122" s="290">
        <v>255.40441240499965</v>
      </c>
      <c r="AA122" s="290">
        <v>320.50749791999954</v>
      </c>
      <c r="AB122" s="288">
        <f t="shared" ref="AB122" si="207">SUM(Y122:AA122)</f>
        <v>906.43526755499875</v>
      </c>
      <c r="AC122" s="290">
        <v>270.42820136999961</v>
      </c>
      <c r="AD122" s="290"/>
      <c r="AE122" s="290"/>
      <c r="AF122" s="288">
        <f t="shared" si="112"/>
        <v>270.42820136999961</v>
      </c>
      <c r="AG122" s="290"/>
      <c r="AH122" s="290"/>
      <c r="AI122" s="290"/>
      <c r="AJ122" s="288">
        <f t="shared" si="160"/>
        <v>0</v>
      </c>
      <c r="AK122" s="291">
        <f t="shared" si="161"/>
        <v>1176.8634689249984</v>
      </c>
      <c r="AL122" s="97"/>
      <c r="AM122" s="1408"/>
      <c r="AN122" s="1330"/>
      <c r="AO122" s="1404"/>
      <c r="AP122" s="62" t="str">
        <f>C121</f>
        <v>34 - Redução de Peso Bruto do item MB003554LA</v>
      </c>
      <c r="AQ122" s="62" t="s">
        <v>313</v>
      </c>
      <c r="AR122" s="508" cm="1">
        <f t="array" aca="1" ref="AR122" ca="1">IF(OR(AP122="",AP122=0),"",IF(SUMPRODUCT(($C$55:$C$175=AP122)*($U$54:AI$54&lt;=TODAY())*(ISNUMBER($U$56:AI$176)),$U$56:AI$176)=0,"",SUMPRODUCT(($C$55:$C$175=AP122)*($U$54:AI$54&lt;=TODAY())*(ISNUMBER($U$56:AI$176)),$U$56:AI$176)))</f>
        <v>1176.8634689249984</v>
      </c>
      <c r="AS122" s="508" t="str">
        <f>A121</f>
        <v>BSW</v>
      </c>
      <c r="AU122" s="1567"/>
      <c r="AV122" s="1567"/>
    </row>
    <row r="123" spans="1:48" ht="29.1" customHeight="1" x14ac:dyDescent="0.3">
      <c r="A123" s="1691" t="s">
        <v>91</v>
      </c>
      <c r="B123" s="1701" t="s">
        <v>95</v>
      </c>
      <c r="C123" s="1716" t="s">
        <v>475</v>
      </c>
      <c r="D123" s="1486" t="s">
        <v>476</v>
      </c>
      <c r="E123" s="1368" t="s">
        <v>477</v>
      </c>
      <c r="F123" s="1370" t="s">
        <v>307</v>
      </c>
      <c r="G123" s="1372">
        <v>46083</v>
      </c>
      <c r="H123" s="1372">
        <v>46101</v>
      </c>
      <c r="I123" s="1354">
        <v>14256</v>
      </c>
      <c r="J123" s="1376">
        <v>46082</v>
      </c>
      <c r="K123" s="1389">
        <f t="shared" ref="K123" si="208">IF(J123="", "", 12 - MONTH(J123) + 1)</f>
        <v>10</v>
      </c>
      <c r="L123" s="1354"/>
      <c r="M123" s="1350" t="s">
        <v>308</v>
      </c>
      <c r="N123" s="1730">
        <v>14341.05</v>
      </c>
      <c r="O123" s="1673" t="s">
        <v>81</v>
      </c>
      <c r="P123" s="1673" t="s">
        <v>309</v>
      </c>
      <c r="Q123" s="1673" t="s">
        <v>309</v>
      </c>
      <c r="R123" s="1327">
        <v>1</v>
      </c>
      <c r="S123" s="87" t="s">
        <v>116</v>
      </c>
      <c r="T123" s="726">
        <v>1</v>
      </c>
      <c r="U123" s="287">
        <f>IFERROR(IF(AND(U$54&gt;=EOMONTH($J123,-1)+1,U$54&lt;=EOMONTH(EOMONTH($J123,-1)+1,$K123-1)),IF(NOT(ISBLANK($N123)),$N123/$K123,$I123/$K123),0),0)</f>
        <v>0</v>
      </c>
      <c r="V123" s="287">
        <f>IFERROR(IF(AND(V$54&gt;=EOMONTH($J123,-1)+1,V$54&lt;=EOMONTH(EOMONTH($J123,-1)+1,$K123-1)),IF(NOT(ISBLANK($N123)),$N123/$K123,$I123/$K123),0),0)</f>
        <v>0</v>
      </c>
      <c r="W123" s="815">
        <f>IFERROR(IF(AND(W$54&gt;=EOMONTH($J123,-1)+1,W$54&lt;=EOMONTH(EOMONTH($J123,-1)+1,$K123-1)),IF(NOT(ISBLANK($N123)),$N123/$K123,$I123/$K123),0),0)</f>
        <v>1434.105</v>
      </c>
      <c r="X123" s="89">
        <f t="shared" ref="X123" si="209">SUM(U123:W123)</f>
        <v>1434.105</v>
      </c>
      <c r="Y123" s="815">
        <f>IFERROR(IF(AND(Y$54&gt;=EOMONTH($J123,-1)+1,Y$54&lt;=EOMONTH(EOMONTH($J123,-1)+1,$K123-1)),IF(NOT(ISBLANK($N123)),$N123/$K123,$I123/$K123),0),0)</f>
        <v>1434.105</v>
      </c>
      <c r="Z123" s="287">
        <f>IFERROR(IF(AND(Z$54&gt;=EOMONTH($J123,-1)+1,Z$54&lt;=EOMONTH(EOMONTH($J123,-1)+1,$K123-1)),IF(NOT(ISBLANK($N123)),$N123/$K123,$I123/$K123),0),0)</f>
        <v>1434.105</v>
      </c>
      <c r="AA123" s="287">
        <f>IFERROR(IF(AND(AA$54&gt;=EOMONTH($J123,-1)+1,AA$54&lt;=EOMONTH(EOMONTH($J123,-1)+1,$K123-1)),IF(NOT(ISBLANK($N123)),$N123/$K123,$I123/$K123),0),0)</f>
        <v>1434.105</v>
      </c>
      <c r="AB123" s="89">
        <f t="shared" ref="AB123" si="210">SUM(Y123:AA123)</f>
        <v>4302.3150000000005</v>
      </c>
      <c r="AC123" s="287">
        <f>IFERROR(IF(AND(AC$54&gt;=EOMONTH($J123,-1)+1,AC$54&lt;=EOMONTH(EOMONTH($J123,-1)+1,$K123-1)),IF(NOT(ISBLANK($N123)),$N123/$K123,$I123/$K123),0),0)</f>
        <v>1434.105</v>
      </c>
      <c r="AD123" s="287">
        <f>IFERROR(IF(AND(AD$54&gt;=EOMONTH($J123,-1)+1,AD$54&lt;=EOMONTH(EOMONTH($J123,-1)+1,$K123-1)),IF(NOT(ISBLANK($N123)),$N123/$K123,$I123/$K123),0),0)</f>
        <v>1434.105</v>
      </c>
      <c r="AE123" s="287">
        <f>IFERROR(IF(AND(AE$54&gt;=EOMONTH($J123,-1)+1,AE$54&lt;=EOMONTH(EOMONTH($J123,-1)+1,$K123-1)),IF(NOT(ISBLANK($N123)),$N123/$K123,$I123/$K123),0),0)</f>
        <v>1434.105</v>
      </c>
      <c r="AF123" s="89">
        <f t="shared" si="112"/>
        <v>4302.3150000000005</v>
      </c>
      <c r="AG123" s="287">
        <f>IFERROR(IF(AND(AG$54&gt;=EOMONTH($J123,-1)+1,AG$54&lt;=EOMONTH(EOMONTH($J123,-1)+1,$K123-1)),IF(NOT(ISBLANK($N123)),$N123/$K123,$I123/$K123),0),0)</f>
        <v>1434.105</v>
      </c>
      <c r="AH123" s="287">
        <f>IFERROR(IF(AND(AH$54&gt;=EOMONTH($J123,-1)+1,AH$54&lt;=EOMONTH(EOMONTH($J123,-1)+1,$K123-1)),IF(NOT(ISBLANK($N123)),$N123/$K123,$I123/$K123),0),0)</f>
        <v>1434.105</v>
      </c>
      <c r="AI123" s="287">
        <f>IFERROR(IF(AND(AI$54&gt;=EOMONTH($J123,-1)+1,AI$54&lt;=EOMONTH(EOMONTH($J123,-1)+1,$K123-1)),IF(NOT(ISBLANK($N123)),$N123/$K123,$I123/$K123),0),0)</f>
        <v>1434.105</v>
      </c>
      <c r="AJ123" s="89">
        <f t="shared" si="160"/>
        <v>4302.3150000000005</v>
      </c>
      <c r="AK123" s="90">
        <f t="shared" si="161"/>
        <v>14341.050000000001</v>
      </c>
      <c r="AL123" s="337" t="s">
        <v>478</v>
      </c>
      <c r="AM123" s="1370"/>
      <c r="AN123" s="1411"/>
      <c r="AO123" s="1405">
        <f>N123*AN123</f>
        <v>0</v>
      </c>
      <c r="AP123" s="62" t="str">
        <f>C123</f>
        <v>35 - Redução de Peso Bruto do item MB003597LA</v>
      </c>
      <c r="AQ123" s="62" t="s">
        <v>311</v>
      </c>
      <c r="AR123" s="508" cm="1">
        <f t="array" aca="1" ref="AR123" ca="1">IF(OR(AP123="",AP123=0),"",IF(SUMPRODUCT(($C$55:$C$175=AP123)*(U$54:$AI$54&lt;EOMONTH(TODAY(),-1)+1)*(ISNUMBER(U$55:$AI$175)),U$55:$AI$175)=0,"",SUMPRODUCT(($C$55:$C$175=AP123)*(U$54:$AI$54&lt;EOMONTH(TODAY(),-1)+1)*(ISNUMBER(U$55:$AI$175)),U$55:$AI$175)))</f>
        <v>7170.5249999999996</v>
      </c>
      <c r="AS123" s="508" t="str">
        <f>A123</f>
        <v>BSW</v>
      </c>
      <c r="AU123" s="1566">
        <f t="shared" ref="AU123" si="211">IF(OR(I123="",K123=""),0,(I123/12)*K123)</f>
        <v>11880</v>
      </c>
      <c r="AV123" s="1566">
        <f t="shared" ref="AV123" si="212">IF(OR(N123="",K123="",K123=0),0,(N123/K123)*12)</f>
        <v>17209.260000000002</v>
      </c>
    </row>
    <row r="124" spans="1:48" ht="29.1" customHeight="1" x14ac:dyDescent="0.3">
      <c r="A124" s="1692"/>
      <c r="B124" s="1702"/>
      <c r="C124" s="1717"/>
      <c r="D124" s="1487"/>
      <c r="E124" s="1369"/>
      <c r="F124" s="1371"/>
      <c r="G124" s="1373"/>
      <c r="H124" s="1373"/>
      <c r="I124" s="1355"/>
      <c r="J124" s="1377"/>
      <c r="K124" s="1390"/>
      <c r="L124" s="1355"/>
      <c r="M124" s="1460"/>
      <c r="N124" s="1731"/>
      <c r="O124" s="1674"/>
      <c r="P124" s="1674"/>
      <c r="Q124" s="1674"/>
      <c r="R124" s="1328"/>
      <c r="S124" s="87" t="s">
        <v>117</v>
      </c>
      <c r="T124" s="726">
        <v>1</v>
      </c>
      <c r="U124" s="287"/>
      <c r="V124" s="287"/>
      <c r="W124" s="287"/>
      <c r="X124" s="288">
        <f t="shared" ref="X124" si="213">SUM(U124:W124)</f>
        <v>0</v>
      </c>
      <c r="Y124" s="287">
        <v>1064.8767698927998</v>
      </c>
      <c r="Z124" s="287">
        <v>2256.0404330995198</v>
      </c>
      <c r="AA124" s="287">
        <v>1655.6425759036797</v>
      </c>
      <c r="AB124" s="288">
        <f t="shared" ref="AB124" si="214">SUM(Y124:AA124)</f>
        <v>4976.5597788959985</v>
      </c>
      <c r="AC124" s="287">
        <v>1793.7019762214397</v>
      </c>
      <c r="AD124" s="287"/>
      <c r="AE124" s="287"/>
      <c r="AF124" s="288">
        <f t="shared" si="112"/>
        <v>1793.7019762214397</v>
      </c>
      <c r="AG124" s="287"/>
      <c r="AH124" s="287"/>
      <c r="AI124" s="287"/>
      <c r="AJ124" s="288">
        <f t="shared" si="160"/>
        <v>0</v>
      </c>
      <c r="AK124" s="289">
        <f t="shared" si="161"/>
        <v>6770.261755117438</v>
      </c>
      <c r="AL124" s="337"/>
      <c r="AM124" s="1371"/>
      <c r="AN124" s="1412"/>
      <c r="AO124" s="1406"/>
      <c r="AP124" s="62" t="str">
        <f>C123</f>
        <v>35 - Redução de Peso Bruto do item MB003597LA</v>
      </c>
      <c r="AQ124" s="62" t="s">
        <v>313</v>
      </c>
      <c r="AR124" s="508" cm="1">
        <f t="array" aca="1" ref="AR124" ca="1">IF(OR(AP124="",AP124=0),"",IF(SUMPRODUCT(($C$55:$C$175=AP124)*($U$54:AI$54&lt;=TODAY())*(ISNUMBER($U$56:AI$176)),$U$56:AI$176)=0,"",SUMPRODUCT(($C$55:$C$175=AP124)*($U$54:AI$54&lt;=TODAY())*(ISNUMBER($U$56:AI$176)),$U$56:AI$176)))</f>
        <v>6770.261755117438</v>
      </c>
      <c r="AS124" s="508" t="str">
        <f>A123</f>
        <v>BSW</v>
      </c>
      <c r="AU124" s="1567"/>
      <c r="AV124" s="1567"/>
    </row>
    <row r="125" spans="1:48" ht="29.1" customHeight="1" x14ac:dyDescent="0.3">
      <c r="A125" s="1693" t="s">
        <v>91</v>
      </c>
      <c r="B125" s="1708" t="s">
        <v>95</v>
      </c>
      <c r="C125" s="1699" t="s">
        <v>479</v>
      </c>
      <c r="D125" s="1356" t="s">
        <v>480</v>
      </c>
      <c r="E125" s="1449" t="s">
        <v>481</v>
      </c>
      <c r="F125" s="1451" t="s">
        <v>307</v>
      </c>
      <c r="G125" s="1366">
        <v>46083</v>
      </c>
      <c r="H125" s="1366">
        <v>46101</v>
      </c>
      <c r="I125" s="1706">
        <v>630</v>
      </c>
      <c r="J125" s="1378">
        <v>46082</v>
      </c>
      <c r="K125" s="1387">
        <f t="shared" ref="K125" si="215">IF(J125="", "", 12 - MONTH(J125) + 1)</f>
        <v>10</v>
      </c>
      <c r="L125" s="1395"/>
      <c r="M125" s="1720" t="s">
        <v>308</v>
      </c>
      <c r="N125" s="1728">
        <v>635.70000000000005</v>
      </c>
      <c r="O125" s="1671" t="s">
        <v>81</v>
      </c>
      <c r="P125" s="1671" t="s">
        <v>309</v>
      </c>
      <c r="Q125" s="1671" t="s">
        <v>309</v>
      </c>
      <c r="R125" s="1334">
        <v>1</v>
      </c>
      <c r="S125" s="93" t="s">
        <v>116</v>
      </c>
      <c r="T125" s="727">
        <v>1</v>
      </c>
      <c r="U125" s="498">
        <f>IFERROR(IF(AND(U$54&gt;=EOMONTH($J125,-1)+1,U$54&lt;=EOMONTH(EOMONTH($J125,-1)+1,$K125-1)),IF(NOT(ISBLANK($N125)),$N125/$K125,$I125/$K125),0),0)</f>
        <v>0</v>
      </c>
      <c r="V125" s="498">
        <f>IFERROR(IF(AND(V$54&gt;=EOMONTH($J125,-1)+1,V$54&lt;=EOMONTH(EOMONTH($J125,-1)+1,$K125-1)),IF(NOT(ISBLANK($N125)),$N125/$K125,$I125/$K125),0),0)</f>
        <v>0</v>
      </c>
      <c r="W125" s="816">
        <f>IFERROR(IF(AND(W$54&gt;=EOMONTH($J125,-1)+1,W$54&lt;=EOMONTH(EOMONTH($J125,-1)+1,$K125-1)),IF(NOT(ISBLANK($N125)),$N125/$K125,$I125/$K125),0),0)</f>
        <v>63.570000000000007</v>
      </c>
      <c r="X125" s="89">
        <f t="shared" ref="X125" si="216">SUM(U125:W125)</f>
        <v>63.570000000000007</v>
      </c>
      <c r="Y125" s="816">
        <f>IFERROR(IF(AND(Y$54&gt;=EOMONTH($J125,-1)+1,Y$54&lt;=EOMONTH(EOMONTH($J125,-1)+1,$K125-1)),IF(NOT(ISBLANK($N125)),$N125/$K125,$I125/$K125),0),0)</f>
        <v>63.570000000000007</v>
      </c>
      <c r="Z125" s="498">
        <f>IFERROR(IF(AND(Z$54&gt;=EOMONTH($J125,-1)+1,Z$54&lt;=EOMONTH(EOMONTH($J125,-1)+1,$K125-1)),IF(NOT(ISBLANK($N125)),$N125/$K125,$I125/$K125),0),0)</f>
        <v>63.570000000000007</v>
      </c>
      <c r="AA125" s="498">
        <f>IFERROR(IF(AND(AA$54&gt;=EOMONTH($J125,-1)+1,AA$54&lt;=EOMONTH(EOMONTH($J125,-1)+1,$K125-1)),IF(NOT(ISBLANK($N125)),$N125/$K125,$I125/$K125),0),0)</f>
        <v>63.570000000000007</v>
      </c>
      <c r="AB125" s="89">
        <f t="shared" ref="AB125" si="217">SUM(Y125:AA125)</f>
        <v>190.71000000000004</v>
      </c>
      <c r="AC125" s="498">
        <f>IFERROR(IF(AND(AC$54&gt;=EOMONTH($J125,-1)+1,AC$54&lt;=EOMONTH(EOMONTH($J125,-1)+1,$K125-1)),IF(NOT(ISBLANK($N125)),$N125/$K125,$I125/$K125),0),0)</f>
        <v>63.570000000000007</v>
      </c>
      <c r="AD125" s="498">
        <f>IFERROR(IF(AND(AD$54&gt;=EOMONTH($J125,-1)+1,AD$54&lt;=EOMONTH(EOMONTH($J125,-1)+1,$K125-1)),IF(NOT(ISBLANK($N125)),$N125/$K125,$I125/$K125),0),0)</f>
        <v>63.570000000000007</v>
      </c>
      <c r="AE125" s="498">
        <f>IFERROR(IF(AND(AE$54&gt;=EOMONTH($J125,-1)+1,AE$54&lt;=EOMONTH(EOMONTH($J125,-1)+1,$K125-1)),IF(NOT(ISBLANK($N125)),$N125/$K125,$I125/$K125),0),0)</f>
        <v>63.570000000000007</v>
      </c>
      <c r="AF125" s="89">
        <f t="shared" si="112"/>
        <v>190.71000000000004</v>
      </c>
      <c r="AG125" s="498">
        <f>IFERROR(IF(AND(AG$54&gt;=EOMONTH($J125,-1)+1,AG$54&lt;=EOMONTH(EOMONTH($J125,-1)+1,$K125-1)),IF(NOT(ISBLANK($N125)),$N125/$K125,$I125/$K125),0),0)</f>
        <v>63.570000000000007</v>
      </c>
      <c r="AH125" s="498">
        <f>IFERROR(IF(AND(AH$54&gt;=EOMONTH($J125,-1)+1,AH$54&lt;=EOMONTH(EOMONTH($J125,-1)+1,$K125-1)),IF(NOT(ISBLANK($N125)),$N125/$K125,$I125/$K125),0),0)</f>
        <v>63.570000000000007</v>
      </c>
      <c r="AI125" s="498">
        <f>IFERROR(IF(AND(AI$54&gt;=EOMONTH($J125,-1)+1,AI$54&lt;=EOMONTH(EOMONTH($J125,-1)+1,$K125-1)),IF(NOT(ISBLANK($N125)),$N125/$K125,$I125/$K125),0),0)</f>
        <v>63.570000000000007</v>
      </c>
      <c r="AJ125" s="89">
        <f t="shared" si="160"/>
        <v>190.71000000000004</v>
      </c>
      <c r="AK125" s="95">
        <f t="shared" si="161"/>
        <v>635.70000000000005</v>
      </c>
      <c r="AL125" s="338" t="s">
        <v>482</v>
      </c>
      <c r="AM125" s="1407"/>
      <c r="AN125" s="1334"/>
      <c r="AO125" s="1403">
        <f>N125*AN125</f>
        <v>0</v>
      </c>
      <c r="AP125" s="62" t="str">
        <f>C125</f>
        <v>36 - Redução de Peso Bruto do item MB003673LA</v>
      </c>
      <c r="AQ125" s="62" t="s">
        <v>311</v>
      </c>
      <c r="AR125" s="508" cm="1">
        <f t="array" aca="1" ref="AR125" ca="1">IF(OR(AP125="",AP125=0),"",IF(SUMPRODUCT(($C$55:$C$175=AP125)*(U$54:$AI$54&lt;EOMONTH(TODAY(),-1)+1)*(ISNUMBER(U$55:$AI$175)),U$55:$AI$175)=0,"",SUMPRODUCT(($C$55:$C$175=AP125)*(U$54:$AI$54&lt;EOMONTH(TODAY(),-1)+1)*(ISNUMBER(U$55:$AI$175)),U$55:$AI$175)))</f>
        <v>317.85000000000002</v>
      </c>
      <c r="AS125" s="508" t="str">
        <f>A125</f>
        <v>BSW</v>
      </c>
      <c r="AU125" s="1566">
        <f t="shared" ref="AU125" si="218">IF(OR(I125="",K125=""),0,(I125/12)*K125)</f>
        <v>525</v>
      </c>
      <c r="AV125" s="1566">
        <f t="shared" ref="AV125" si="219">IF(OR(N125="",K125="",K125=0),0,(N125/K125)*12)</f>
        <v>762.84000000000015</v>
      </c>
    </row>
    <row r="126" spans="1:48" ht="29.1" customHeight="1" x14ac:dyDescent="0.3">
      <c r="A126" s="1694"/>
      <c r="B126" s="1709"/>
      <c r="C126" s="1700"/>
      <c r="D126" s="1455"/>
      <c r="E126" s="1450"/>
      <c r="F126" s="1452"/>
      <c r="G126" s="1367"/>
      <c r="H126" s="1367"/>
      <c r="I126" s="1707"/>
      <c r="J126" s="1379"/>
      <c r="K126" s="1388"/>
      <c r="L126" s="1396"/>
      <c r="M126" s="1721"/>
      <c r="N126" s="1729"/>
      <c r="O126" s="1672"/>
      <c r="P126" s="1672"/>
      <c r="Q126" s="1672"/>
      <c r="R126" s="1330"/>
      <c r="S126" s="93" t="s">
        <v>117</v>
      </c>
      <c r="T126" s="727">
        <v>1</v>
      </c>
      <c r="U126" s="290"/>
      <c r="V126" s="290"/>
      <c r="W126" s="290"/>
      <c r="X126" s="288">
        <f t="shared" ref="X126" si="220">SUM(U126:W126)</f>
        <v>0</v>
      </c>
      <c r="Y126" s="290">
        <v>57.8510977500002</v>
      </c>
      <c r="Z126" s="290">
        <v>47.894155000000168</v>
      </c>
      <c r="AA126" s="290">
        <v>35.290430000000121</v>
      </c>
      <c r="AB126" s="288">
        <f t="shared" ref="AB126" si="221">SUM(Y126:AA126)</f>
        <v>141.03568275000049</v>
      </c>
      <c r="AC126" s="290">
        <v>38.315324000000132</v>
      </c>
      <c r="AD126" s="290"/>
      <c r="AE126" s="290"/>
      <c r="AF126" s="288">
        <f t="shared" si="112"/>
        <v>38.315324000000132</v>
      </c>
      <c r="AG126" s="290"/>
      <c r="AH126" s="290"/>
      <c r="AI126" s="290"/>
      <c r="AJ126" s="288">
        <f t="shared" si="160"/>
        <v>0</v>
      </c>
      <c r="AK126" s="291">
        <f t="shared" si="161"/>
        <v>179.35100675000064</v>
      </c>
      <c r="AL126" s="97"/>
      <c r="AM126" s="1408"/>
      <c r="AN126" s="1330"/>
      <c r="AO126" s="1404"/>
      <c r="AP126" s="62" t="str">
        <f>C125</f>
        <v>36 - Redução de Peso Bruto do item MB003673LA</v>
      </c>
      <c r="AQ126" s="62" t="s">
        <v>313</v>
      </c>
      <c r="AR126" s="508" cm="1">
        <f t="array" aca="1" ref="AR126" ca="1">IF(OR(AP126="",AP126=0),"",IF(SUMPRODUCT(($C$55:$C$175=AP126)*($U$54:AI$54&lt;=TODAY())*(ISNUMBER($U$56:AI$176)),$U$56:AI$176)=0,"",SUMPRODUCT(($C$55:$C$175=AP126)*($U$54:AI$54&lt;=TODAY())*(ISNUMBER($U$56:AI$176)),$U$56:AI$176)))</f>
        <v>179.35100675000064</v>
      </c>
      <c r="AS126" s="508" t="str">
        <f>A125</f>
        <v>BSW</v>
      </c>
      <c r="AU126" s="1567"/>
      <c r="AV126" s="1567"/>
    </row>
    <row r="127" spans="1:48" ht="29.1" customHeight="1" x14ac:dyDescent="0.3">
      <c r="A127" s="1691" t="s">
        <v>91</v>
      </c>
      <c r="B127" s="1701" t="s">
        <v>95</v>
      </c>
      <c r="C127" s="1716" t="s">
        <v>483</v>
      </c>
      <c r="D127" s="1486" t="s">
        <v>484</v>
      </c>
      <c r="E127" s="1368" t="s">
        <v>485</v>
      </c>
      <c r="F127" s="1370" t="s">
        <v>307</v>
      </c>
      <c r="G127" s="1372">
        <v>46083</v>
      </c>
      <c r="H127" s="1372">
        <v>46101</v>
      </c>
      <c r="I127" s="1354">
        <v>2000</v>
      </c>
      <c r="J127" s="1376">
        <v>46082</v>
      </c>
      <c r="K127" s="1389">
        <f t="shared" ref="K127" si="222">IF(J127="", "", 12 - MONTH(J127) + 1)</f>
        <v>10</v>
      </c>
      <c r="L127" s="1354"/>
      <c r="M127" s="1350" t="s">
        <v>308</v>
      </c>
      <c r="N127" s="1391">
        <v>2241.91</v>
      </c>
      <c r="O127" s="1673" t="s">
        <v>81</v>
      </c>
      <c r="P127" s="1673" t="s">
        <v>309</v>
      </c>
      <c r="Q127" s="1673" t="s">
        <v>309</v>
      </c>
      <c r="R127" s="1327">
        <v>1</v>
      </c>
      <c r="S127" s="87" t="s">
        <v>116</v>
      </c>
      <c r="T127" s="726">
        <v>1</v>
      </c>
      <c r="U127" s="287">
        <f>IFERROR(IF(AND(U$54&gt;=EOMONTH($J127,-1)+1,U$54&lt;=EOMONTH(EOMONTH($J127,-1)+1,$K127-1)),IF(NOT(ISBLANK($N127)),$N127/$K127,$I127/$K127),0),0)</f>
        <v>0</v>
      </c>
      <c r="V127" s="287">
        <f>IFERROR(IF(AND(V$54&gt;=EOMONTH($J127,-1)+1,V$54&lt;=EOMONTH(EOMONTH($J127,-1)+1,$K127-1)),IF(NOT(ISBLANK($N127)),$N127/$K127,$I127/$K127),0),0)</f>
        <v>0</v>
      </c>
      <c r="W127" s="815">
        <f>IFERROR(IF(AND(W$54&gt;=EOMONTH($J127,-1)+1,W$54&lt;=EOMONTH(EOMONTH($J127,-1)+1,$K127-1)),IF(NOT(ISBLANK($N127)),$N127/$K127,$I127/$K127),0),0)</f>
        <v>224.19099999999997</v>
      </c>
      <c r="X127" s="89">
        <f t="shared" ref="X127" si="223">SUM(U127:W127)</f>
        <v>224.19099999999997</v>
      </c>
      <c r="Y127" s="815">
        <f>IFERROR(IF(AND(Y$54&gt;=EOMONTH($J127,-1)+1,Y$54&lt;=EOMONTH(EOMONTH($J127,-1)+1,$K127-1)),IF(NOT(ISBLANK($N127)),$N127/$K127,$I127/$K127),0),0)</f>
        <v>224.19099999999997</v>
      </c>
      <c r="Z127" s="287">
        <f>IFERROR(IF(AND(Z$54&gt;=EOMONTH($J127,-1)+1,Z$54&lt;=EOMONTH(EOMONTH($J127,-1)+1,$K127-1)),IF(NOT(ISBLANK($N127)),$N127/$K127,$I127/$K127),0),0)</f>
        <v>224.19099999999997</v>
      </c>
      <c r="AA127" s="287">
        <f>IFERROR(IF(AND(AA$54&gt;=EOMONTH($J127,-1)+1,AA$54&lt;=EOMONTH(EOMONTH($J127,-1)+1,$K127-1)),IF(NOT(ISBLANK($N127)),$N127/$K127,$I127/$K127),0),0)</f>
        <v>224.19099999999997</v>
      </c>
      <c r="AB127" s="89">
        <f t="shared" ref="AB127" si="224">SUM(Y127:AA127)</f>
        <v>672.57299999999987</v>
      </c>
      <c r="AC127" s="287">
        <f>IFERROR(IF(AND(AC$54&gt;=EOMONTH($J127,-1)+1,AC$54&lt;=EOMONTH(EOMONTH($J127,-1)+1,$K127-1)),IF(NOT(ISBLANK($N127)),$N127/$K127,$I127/$K127),0),0)</f>
        <v>224.19099999999997</v>
      </c>
      <c r="AD127" s="287">
        <f>IFERROR(IF(AND(AD$54&gt;=EOMONTH($J127,-1)+1,AD$54&lt;=EOMONTH(EOMONTH($J127,-1)+1,$K127-1)),IF(NOT(ISBLANK($N127)),$N127/$K127,$I127/$K127),0),0)</f>
        <v>224.19099999999997</v>
      </c>
      <c r="AE127" s="287">
        <f>IFERROR(IF(AND(AE$54&gt;=EOMONTH($J127,-1)+1,AE$54&lt;=EOMONTH(EOMONTH($J127,-1)+1,$K127-1)),IF(NOT(ISBLANK($N127)),$N127/$K127,$I127/$K127),0),0)</f>
        <v>224.19099999999997</v>
      </c>
      <c r="AF127" s="89">
        <f t="shared" si="112"/>
        <v>672.57299999999987</v>
      </c>
      <c r="AG127" s="287">
        <f>IFERROR(IF(AND(AG$54&gt;=EOMONTH($J127,-1)+1,AG$54&lt;=EOMONTH(EOMONTH($J127,-1)+1,$K127-1)),IF(NOT(ISBLANK($N127)),$N127/$K127,$I127/$K127),0),0)</f>
        <v>224.19099999999997</v>
      </c>
      <c r="AH127" s="287">
        <f>IFERROR(IF(AND(AH$54&gt;=EOMONTH($J127,-1)+1,AH$54&lt;=EOMONTH(EOMONTH($J127,-1)+1,$K127-1)),IF(NOT(ISBLANK($N127)),$N127/$K127,$I127/$K127),0),0)</f>
        <v>224.19099999999997</v>
      </c>
      <c r="AI127" s="287">
        <f>IFERROR(IF(AND(AI$54&gt;=EOMONTH($J127,-1)+1,AI$54&lt;=EOMONTH(EOMONTH($J127,-1)+1,$K127-1)),IF(NOT(ISBLANK($N127)),$N127/$K127,$I127/$K127),0),0)</f>
        <v>224.19099999999997</v>
      </c>
      <c r="AJ127" s="89">
        <f t="shared" si="160"/>
        <v>672.57299999999987</v>
      </c>
      <c r="AK127" s="90">
        <f t="shared" si="161"/>
        <v>2241.91</v>
      </c>
      <c r="AL127" s="337" t="s">
        <v>486</v>
      </c>
      <c r="AM127" s="1370"/>
      <c r="AN127" s="1411"/>
      <c r="AO127" s="1405">
        <f>N127*AN127</f>
        <v>0</v>
      </c>
      <c r="AP127" s="62" t="str">
        <f>C127</f>
        <v>37 - Redução de Peso Bruto do item MB003673LD</v>
      </c>
      <c r="AQ127" s="62" t="s">
        <v>311</v>
      </c>
      <c r="AR127" s="508" cm="1">
        <f t="array" aca="1" ref="AR127" ca="1">IF(OR(AP127="",AP127=0),"",IF(SUMPRODUCT(($C$55:$C$175=AP127)*(U$54:$AI$54&lt;EOMONTH(TODAY(),-1)+1)*(ISNUMBER(U$55:$AI$175)),U$55:$AI$175)=0,"",SUMPRODUCT(($C$55:$C$175=AP127)*(U$54:$AI$54&lt;EOMONTH(TODAY(),-1)+1)*(ISNUMBER(U$55:$AI$175)),U$55:$AI$175)))</f>
        <v>1120.9549999999999</v>
      </c>
      <c r="AS127" s="508" t="str">
        <f>A127</f>
        <v>BSW</v>
      </c>
      <c r="AU127" s="1566">
        <f t="shared" ref="AU127" si="225">IF(OR(I127="",K127=""),0,(I127/12)*K127)</f>
        <v>1666.6666666666665</v>
      </c>
      <c r="AV127" s="1566">
        <f t="shared" ref="AV127" si="226">IF(OR(N127="",K127="",K127=0),0,(N127/K127)*12)</f>
        <v>2690.2919999999995</v>
      </c>
    </row>
    <row r="128" spans="1:48" ht="29.1" customHeight="1" x14ac:dyDescent="0.3">
      <c r="A128" s="1692"/>
      <c r="B128" s="1702"/>
      <c r="C128" s="1717"/>
      <c r="D128" s="1487"/>
      <c r="E128" s="1369"/>
      <c r="F128" s="1371"/>
      <c r="G128" s="1373"/>
      <c r="H128" s="1373"/>
      <c r="I128" s="1355"/>
      <c r="J128" s="1377"/>
      <c r="K128" s="1390"/>
      <c r="L128" s="1355"/>
      <c r="M128" s="1460"/>
      <c r="N128" s="1392"/>
      <c r="O128" s="1674"/>
      <c r="P128" s="1674"/>
      <c r="Q128" s="1674"/>
      <c r="R128" s="1328"/>
      <c r="S128" s="87" t="s">
        <v>117</v>
      </c>
      <c r="T128" s="726">
        <v>1</v>
      </c>
      <c r="U128" s="287"/>
      <c r="V128" s="287"/>
      <c r="W128" s="287">
        <v>0</v>
      </c>
      <c r="X128" s="288">
        <f t="shared" ref="X128" si="227">SUM(U128:W128)</f>
        <v>0</v>
      </c>
      <c r="Y128" s="287">
        <v>236.07149840999998</v>
      </c>
      <c r="Z128" s="287">
        <v>195.4404562</v>
      </c>
      <c r="AA128" s="287">
        <v>144.00875719999999</v>
      </c>
      <c r="AB128" s="288">
        <f t="shared" ref="AB128" si="228">SUM(Y128:AA128)</f>
        <v>575.52071180999997</v>
      </c>
      <c r="AC128" s="287">
        <v>156.35236495999999</v>
      </c>
      <c r="AD128" s="287"/>
      <c r="AE128" s="287"/>
      <c r="AF128" s="288">
        <f t="shared" si="112"/>
        <v>156.35236495999999</v>
      </c>
      <c r="AG128" s="287"/>
      <c r="AH128" s="287"/>
      <c r="AI128" s="287"/>
      <c r="AJ128" s="288">
        <f t="shared" si="160"/>
        <v>0</v>
      </c>
      <c r="AK128" s="289">
        <f t="shared" si="161"/>
        <v>731.8730767699999</v>
      </c>
      <c r="AL128" s="337"/>
      <c r="AM128" s="1371"/>
      <c r="AN128" s="1412"/>
      <c r="AO128" s="1406"/>
      <c r="AP128" s="62" t="str">
        <f>C127</f>
        <v>37 - Redução de Peso Bruto do item MB003673LD</v>
      </c>
      <c r="AQ128" s="62" t="s">
        <v>313</v>
      </c>
      <c r="AR128" s="508" cm="1">
        <f t="array" aca="1" ref="AR128" ca="1">IF(OR(AP128="",AP128=0),"",IF(SUMPRODUCT(($C$55:$C$175=AP128)*($U$54:AI$54&lt;=TODAY())*(ISNUMBER($U$56:AI$176)),$U$56:AI$176)=0,"",SUMPRODUCT(($C$55:$C$175=AP128)*($U$54:AI$54&lt;=TODAY())*(ISNUMBER($U$56:AI$176)),$U$56:AI$176)))</f>
        <v>731.8730767699999</v>
      </c>
      <c r="AS128" s="508" t="str">
        <f>A127</f>
        <v>BSW</v>
      </c>
      <c r="AU128" s="1567"/>
      <c r="AV128" s="1567"/>
    </row>
    <row r="129" spans="1:48" ht="29.1" customHeight="1" x14ac:dyDescent="0.3">
      <c r="A129" s="1693" t="s">
        <v>91</v>
      </c>
      <c r="B129" s="1708" t="s">
        <v>95</v>
      </c>
      <c r="C129" s="1699" t="s">
        <v>487</v>
      </c>
      <c r="D129" s="1356" t="s">
        <v>488</v>
      </c>
      <c r="E129" s="1449" t="s">
        <v>489</v>
      </c>
      <c r="F129" s="1451" t="s">
        <v>307</v>
      </c>
      <c r="G129" s="1366">
        <v>46083</v>
      </c>
      <c r="H129" s="1366">
        <v>46101</v>
      </c>
      <c r="I129" s="1706">
        <v>4200</v>
      </c>
      <c r="J129" s="1378">
        <v>46082</v>
      </c>
      <c r="K129" s="1387">
        <f t="shared" ref="K129" si="229">IF(J129="", "", 12 - MONTH(J129) + 1)</f>
        <v>10</v>
      </c>
      <c r="L129" s="1395"/>
      <c r="M129" s="1720" t="s">
        <v>308</v>
      </c>
      <c r="N129" s="1704">
        <v>3546.84</v>
      </c>
      <c r="O129" s="1671" t="s">
        <v>81</v>
      </c>
      <c r="P129" s="1671" t="s">
        <v>309</v>
      </c>
      <c r="Q129" s="1671" t="s">
        <v>309</v>
      </c>
      <c r="R129" s="1334">
        <v>1</v>
      </c>
      <c r="S129" s="93" t="s">
        <v>116</v>
      </c>
      <c r="T129" s="727">
        <v>1</v>
      </c>
      <c r="U129" s="498">
        <f>IFERROR(IF(AND(U$54&gt;=EOMONTH($J129,-1)+1,U$54&lt;=EOMONTH(EOMONTH($J129,-1)+1,$K129-1)),IF(NOT(ISBLANK($N129)),$N129/$K129,$I129/$K129),0),0)</f>
        <v>0</v>
      </c>
      <c r="V129" s="498">
        <f>IFERROR(IF(AND(V$54&gt;=EOMONTH($J129,-1)+1,V$54&lt;=EOMONTH(EOMONTH($J129,-1)+1,$K129-1)),IF(NOT(ISBLANK($N129)),$N129/$K129,$I129/$K129),0),0)</f>
        <v>0</v>
      </c>
      <c r="W129" s="816">
        <f>IFERROR(IF(AND(W$54&gt;=EOMONTH($J129,-1)+1,W$54&lt;=EOMONTH(EOMONTH($J129,-1)+1,$K129-1)),IF(NOT(ISBLANK($N129)),$N129/$K129,$I129/$K129),0),0)</f>
        <v>354.68400000000003</v>
      </c>
      <c r="X129" s="89">
        <f t="shared" ref="X129" si="230">SUM(U129:W129)</f>
        <v>354.68400000000003</v>
      </c>
      <c r="Y129" s="816">
        <f>IFERROR(IF(AND(Y$54&gt;=EOMONTH($J129,-1)+1,Y$54&lt;=EOMONTH(EOMONTH($J129,-1)+1,$K129-1)),IF(NOT(ISBLANK($N129)),$N129/$K129,$I129/$K129),0),0)</f>
        <v>354.68400000000003</v>
      </c>
      <c r="Z129" s="498">
        <f>IFERROR(IF(AND(Z$54&gt;=EOMONTH($J129,-1)+1,Z$54&lt;=EOMONTH(EOMONTH($J129,-1)+1,$K129-1)),IF(NOT(ISBLANK($N129)),$N129/$K129,$I129/$K129),0),0)</f>
        <v>354.68400000000003</v>
      </c>
      <c r="AA129" s="498">
        <f>IFERROR(IF(AND(AA$54&gt;=EOMONTH($J129,-1)+1,AA$54&lt;=EOMONTH(EOMONTH($J129,-1)+1,$K129-1)),IF(NOT(ISBLANK($N129)),$N129/$K129,$I129/$K129),0),0)</f>
        <v>354.68400000000003</v>
      </c>
      <c r="AB129" s="89">
        <f t="shared" ref="AB129" si="231">SUM(Y129:AA129)</f>
        <v>1064.0520000000001</v>
      </c>
      <c r="AC129" s="498">
        <f>IFERROR(IF(AND(AC$54&gt;=EOMONTH($J129,-1)+1,AC$54&lt;=EOMONTH(EOMONTH($J129,-1)+1,$K129-1)),IF(NOT(ISBLANK($N129)),$N129/$K129,$I129/$K129),0),0)</f>
        <v>354.68400000000003</v>
      </c>
      <c r="AD129" s="498">
        <f>IFERROR(IF(AND(AD$54&gt;=EOMONTH($J129,-1)+1,AD$54&lt;=EOMONTH(EOMONTH($J129,-1)+1,$K129-1)),IF(NOT(ISBLANK($N129)),$N129/$K129,$I129/$K129),0),0)</f>
        <v>354.68400000000003</v>
      </c>
      <c r="AE129" s="498">
        <f>IFERROR(IF(AND(AE$54&gt;=EOMONTH($J129,-1)+1,AE$54&lt;=EOMONTH(EOMONTH($J129,-1)+1,$K129-1)),IF(NOT(ISBLANK($N129)),$N129/$K129,$I129/$K129),0),0)</f>
        <v>354.68400000000003</v>
      </c>
      <c r="AF129" s="89">
        <f t="shared" si="112"/>
        <v>1064.0520000000001</v>
      </c>
      <c r="AG129" s="498">
        <f>IFERROR(IF(AND(AG$54&gt;=EOMONTH($J129,-1)+1,AG$54&lt;=EOMONTH(EOMONTH($J129,-1)+1,$K129-1)),IF(NOT(ISBLANK($N129)),$N129/$K129,$I129/$K129),0),0)</f>
        <v>354.68400000000003</v>
      </c>
      <c r="AH129" s="498">
        <f>IFERROR(IF(AND(AH$54&gt;=EOMONTH($J129,-1)+1,AH$54&lt;=EOMONTH(EOMONTH($J129,-1)+1,$K129-1)),IF(NOT(ISBLANK($N129)),$N129/$K129,$I129/$K129),0),0)</f>
        <v>354.68400000000003</v>
      </c>
      <c r="AI129" s="498">
        <f>IFERROR(IF(AND(AI$54&gt;=EOMONTH($J129,-1)+1,AI$54&lt;=EOMONTH(EOMONTH($J129,-1)+1,$K129-1)),IF(NOT(ISBLANK($N129)),$N129/$K129,$I129/$K129),0),0)</f>
        <v>354.68400000000003</v>
      </c>
      <c r="AJ129" s="89">
        <f t="shared" si="144"/>
        <v>1064.0520000000001</v>
      </c>
      <c r="AK129" s="95">
        <f t="shared" si="145"/>
        <v>3546.8400000000006</v>
      </c>
      <c r="AL129" s="338" t="s">
        <v>490</v>
      </c>
      <c r="AM129" s="1407"/>
      <c r="AN129" s="1334"/>
      <c r="AO129" s="1403">
        <f>N129*AN129</f>
        <v>0</v>
      </c>
      <c r="AP129" s="62" t="str">
        <f>C129</f>
        <v>38 - Redução de Peso Bruto do item SV000205LB</v>
      </c>
      <c r="AQ129" s="62" t="s">
        <v>311</v>
      </c>
      <c r="AR129" s="508" cm="1">
        <f t="array" aca="1" ref="AR129" ca="1">IF(OR(AP129="",AP129=0),"",IF(SUMPRODUCT(($C$55:$C$175=AP129)*(U$54:$AI$54&lt;EOMONTH(TODAY(),-1)+1)*(ISNUMBER(U$55:$AI$175)),U$55:$AI$175)=0,"",SUMPRODUCT(($C$55:$C$175=AP129)*(U$54:$AI$54&lt;EOMONTH(TODAY(),-1)+1)*(ISNUMBER(U$55:$AI$175)),U$55:$AI$175)))</f>
        <v>1773.42</v>
      </c>
      <c r="AS129" s="508" t="str">
        <f>A129</f>
        <v>BSW</v>
      </c>
      <c r="AU129" s="1566">
        <f t="shared" ref="AU129" si="232">IF(OR(I129="",K129=""),0,(I129/12)*K129)</f>
        <v>3500</v>
      </c>
      <c r="AV129" s="1566">
        <f t="shared" ref="AV129" si="233">IF(OR(N129="",K129="",K129=0),0,(N129/K129)*12)</f>
        <v>4256.2080000000005</v>
      </c>
    </row>
    <row r="130" spans="1:48" ht="29.1" customHeight="1" x14ac:dyDescent="0.3">
      <c r="A130" s="1694"/>
      <c r="B130" s="1709"/>
      <c r="C130" s="1700"/>
      <c r="D130" s="1455"/>
      <c r="E130" s="1450"/>
      <c r="F130" s="1452"/>
      <c r="G130" s="1367"/>
      <c r="H130" s="1367"/>
      <c r="I130" s="1707"/>
      <c r="J130" s="1379"/>
      <c r="K130" s="1388"/>
      <c r="L130" s="1396"/>
      <c r="M130" s="1721"/>
      <c r="N130" s="1705"/>
      <c r="O130" s="1672"/>
      <c r="P130" s="1672"/>
      <c r="Q130" s="1672"/>
      <c r="R130" s="1330"/>
      <c r="S130" s="93" t="s">
        <v>117</v>
      </c>
      <c r="T130" s="727">
        <v>1</v>
      </c>
      <c r="U130" s="290"/>
      <c r="V130" s="290"/>
      <c r="W130" s="290">
        <v>0</v>
      </c>
      <c r="X130" s="288">
        <f t="shared" ref="X130" si="234">SUM(U130:W130)</f>
        <v>0</v>
      </c>
      <c r="Y130" s="290">
        <v>1019.21</v>
      </c>
      <c r="Z130" s="290">
        <v>611.52404621999995</v>
      </c>
      <c r="AA130" s="290">
        <v>504.50733813149992</v>
      </c>
      <c r="AB130" s="288">
        <f t="shared" ref="AB130" si="235">SUM(Y130:AA130)</f>
        <v>2135.2413843515001</v>
      </c>
      <c r="AC130" s="290">
        <v>407.68269747999994</v>
      </c>
      <c r="AD130" s="290"/>
      <c r="AE130" s="290"/>
      <c r="AF130" s="288">
        <f t="shared" si="112"/>
        <v>407.68269747999994</v>
      </c>
      <c r="AG130" s="290"/>
      <c r="AH130" s="290"/>
      <c r="AI130" s="290"/>
      <c r="AJ130" s="288">
        <f t="shared" si="144"/>
        <v>0</v>
      </c>
      <c r="AK130" s="291">
        <f t="shared" si="145"/>
        <v>2542.9240818315002</v>
      </c>
      <c r="AL130" s="97"/>
      <c r="AM130" s="1408"/>
      <c r="AN130" s="1330"/>
      <c r="AO130" s="1404"/>
      <c r="AP130" s="62" t="str">
        <f>C129</f>
        <v>38 - Redução de Peso Bruto do item SV000205LB</v>
      </c>
      <c r="AQ130" s="62" t="s">
        <v>313</v>
      </c>
      <c r="AR130" s="508" cm="1">
        <f t="array" aca="1" ref="AR130" ca="1">IF(OR(AP130="",AP130=0),"",IF(SUMPRODUCT(($C$55:$C$175=AP130)*($U$54:AI$54&lt;=TODAY())*(ISNUMBER($U$56:AI$176)),$U$56:AI$176)=0,"",SUMPRODUCT(($C$55:$C$175=AP130)*($U$54:AI$54&lt;=TODAY())*(ISNUMBER($U$56:AI$176)),$U$56:AI$176)))</f>
        <v>2542.9240818315002</v>
      </c>
      <c r="AS130" s="508" t="str">
        <f>A129</f>
        <v>BSW</v>
      </c>
      <c r="AU130" s="1567"/>
      <c r="AV130" s="1567"/>
    </row>
    <row r="131" spans="1:48" ht="29.1" customHeight="1" x14ac:dyDescent="0.3">
      <c r="A131" s="1691" t="s">
        <v>91</v>
      </c>
      <c r="B131" s="1701" t="s">
        <v>95</v>
      </c>
      <c r="C131" s="1716" t="s">
        <v>491</v>
      </c>
      <c r="D131" s="1486" t="s">
        <v>492</v>
      </c>
      <c r="E131" s="1368" t="s">
        <v>493</v>
      </c>
      <c r="F131" s="1370" t="s">
        <v>307</v>
      </c>
      <c r="G131" s="1372">
        <v>46083</v>
      </c>
      <c r="H131" s="1372">
        <v>46101</v>
      </c>
      <c r="I131" s="1689">
        <v>1800</v>
      </c>
      <c r="J131" s="1376">
        <v>46082</v>
      </c>
      <c r="K131" s="1389">
        <f t="shared" ref="K131" si="236">IF(J131="", "", 12 - MONTH(J131) + 1)</f>
        <v>10</v>
      </c>
      <c r="L131" s="1354"/>
      <c r="M131" s="1350" t="s">
        <v>308</v>
      </c>
      <c r="N131" s="1730">
        <v>1584.87</v>
      </c>
      <c r="O131" s="1673" t="s">
        <v>81</v>
      </c>
      <c r="P131" s="1673" t="s">
        <v>309</v>
      </c>
      <c r="Q131" s="1673" t="s">
        <v>309</v>
      </c>
      <c r="R131" s="1327">
        <v>1</v>
      </c>
      <c r="S131" s="87" t="s">
        <v>116</v>
      </c>
      <c r="T131" s="726">
        <v>1</v>
      </c>
      <c r="U131" s="287">
        <f>IFERROR(IF(AND(U$54&gt;=EOMONTH($J131,-1)+1,U$54&lt;=EOMONTH(EOMONTH($J131,-1)+1,$K131-1)),IF(NOT(ISBLANK($N131)),$N131/$K131,$I131/$K131),0),0)</f>
        <v>0</v>
      </c>
      <c r="V131" s="287">
        <f>IFERROR(IF(AND(V$54&gt;=EOMONTH($J131,-1)+1,V$54&lt;=EOMONTH(EOMONTH($J131,-1)+1,$K131-1)),IF(NOT(ISBLANK($N131)),$N131/$K131,$I131/$K131),0),0)</f>
        <v>0</v>
      </c>
      <c r="W131" s="815">
        <f>IFERROR(IF(AND(W$54&gt;=EOMONTH($J131,-1)+1,W$54&lt;=EOMONTH(EOMONTH($J131,-1)+1,$K131-1)),IF(NOT(ISBLANK($N131)),$N131/$K131,$I131/$K131),0),0)</f>
        <v>158.48699999999999</v>
      </c>
      <c r="X131" s="89">
        <f t="shared" ref="X131" si="237">SUM(U131:W131)</f>
        <v>158.48699999999999</v>
      </c>
      <c r="Y131" s="815">
        <f>IFERROR(IF(AND(Y$54&gt;=EOMONTH($J131,-1)+1,Y$54&lt;=EOMONTH(EOMONTH($J131,-1)+1,$K131-1)),IF(NOT(ISBLANK($N131)),$N131/$K131,$I131/$K131),0),0)</f>
        <v>158.48699999999999</v>
      </c>
      <c r="Z131" s="287">
        <f>IFERROR(IF(AND(Z$54&gt;=EOMONTH($J131,-1)+1,Z$54&lt;=EOMONTH(EOMONTH($J131,-1)+1,$K131-1)),IF(NOT(ISBLANK($N131)),$N131/$K131,$I131/$K131),0),0)</f>
        <v>158.48699999999999</v>
      </c>
      <c r="AA131" s="287">
        <f>IFERROR(IF(AND(AA$54&gt;=EOMONTH($J131,-1)+1,AA$54&lt;=EOMONTH(EOMONTH($J131,-1)+1,$K131-1)),IF(NOT(ISBLANK($N131)),$N131/$K131,$I131/$K131),0),0)</f>
        <v>158.48699999999999</v>
      </c>
      <c r="AB131" s="89">
        <f t="shared" ref="AB131" si="238">SUM(Y131:AA131)</f>
        <v>475.46100000000001</v>
      </c>
      <c r="AC131" s="287">
        <f>IFERROR(IF(AND(AC$54&gt;=EOMONTH($J131,-1)+1,AC$54&lt;=EOMONTH(EOMONTH($J131,-1)+1,$K131-1)),IF(NOT(ISBLANK($N131)),$N131/$K131,$I131/$K131),0),0)</f>
        <v>158.48699999999999</v>
      </c>
      <c r="AD131" s="287">
        <f>IFERROR(IF(AND(AD$54&gt;=EOMONTH($J131,-1)+1,AD$54&lt;=EOMONTH(EOMONTH($J131,-1)+1,$K131-1)),IF(NOT(ISBLANK($N131)),$N131/$K131,$I131/$K131),0),0)</f>
        <v>158.48699999999999</v>
      </c>
      <c r="AE131" s="287">
        <f>IFERROR(IF(AND(AE$54&gt;=EOMONTH($J131,-1)+1,AE$54&lt;=EOMONTH(EOMONTH($J131,-1)+1,$K131-1)),IF(NOT(ISBLANK($N131)),$N131/$K131,$I131/$K131),0),0)</f>
        <v>158.48699999999999</v>
      </c>
      <c r="AF131" s="89">
        <f t="shared" si="112"/>
        <v>475.46100000000001</v>
      </c>
      <c r="AG131" s="287">
        <f>IFERROR(IF(AND(AG$54&gt;=EOMONTH($J131,-1)+1,AG$54&lt;=EOMONTH(EOMONTH($J131,-1)+1,$K131-1)),IF(NOT(ISBLANK($N131)),$N131/$K131,$I131/$K131),0),0)</f>
        <v>158.48699999999999</v>
      </c>
      <c r="AH131" s="287">
        <f>IFERROR(IF(AND(AH$54&gt;=EOMONTH($J131,-1)+1,AH$54&lt;=EOMONTH(EOMONTH($J131,-1)+1,$K131-1)),IF(NOT(ISBLANK($N131)),$N131/$K131,$I131/$K131),0),0)</f>
        <v>158.48699999999999</v>
      </c>
      <c r="AI131" s="287">
        <f>IFERROR(IF(AND(AI$54&gt;=EOMONTH($J131,-1)+1,AI$54&lt;=EOMONTH(EOMONTH($J131,-1)+1,$K131-1)),IF(NOT(ISBLANK($N131)),$N131/$K131,$I131/$K131),0),0)</f>
        <v>158.48699999999999</v>
      </c>
      <c r="AJ131" s="89">
        <f t="shared" si="144"/>
        <v>475.46100000000001</v>
      </c>
      <c r="AK131" s="90">
        <f t="shared" si="145"/>
        <v>1584.8700000000001</v>
      </c>
      <c r="AL131" s="337" t="s">
        <v>494</v>
      </c>
      <c r="AM131" s="1370"/>
      <c r="AN131" s="1411"/>
      <c r="AO131" s="1405">
        <f>N131*AN131</f>
        <v>0</v>
      </c>
      <c r="AP131" s="62" t="str">
        <f>C131</f>
        <v>39 - Redução de Peso Bruto do item VB000323LA</v>
      </c>
      <c r="AQ131" s="62" t="s">
        <v>311</v>
      </c>
      <c r="AR131" s="508" cm="1">
        <f t="array" aca="1" ref="AR131" ca="1">IF(OR(AP131="",AP131=0),"",IF(SUMPRODUCT(($C$55:$C$175=AP131)*(U$54:$AI$54&lt;EOMONTH(TODAY(),-1)+1)*(ISNUMBER(U$55:$AI$175)),U$55:$AI$175)=0,"",SUMPRODUCT(($C$55:$C$175=AP131)*(U$54:$AI$54&lt;EOMONTH(TODAY(),-1)+1)*(ISNUMBER(U$55:$AI$175)),U$55:$AI$175)))</f>
        <v>792.43499999999995</v>
      </c>
      <c r="AS131" s="508" t="str">
        <f>A131</f>
        <v>BSW</v>
      </c>
      <c r="AU131" s="1566">
        <f t="shared" ref="AU131" si="239">IF(OR(I131="",K131=""),0,(I131/12)*K131)</f>
        <v>1500</v>
      </c>
      <c r="AV131" s="1566">
        <f t="shared" ref="AV131" si="240">IF(OR(N131="",K131="",K131=0),0,(N131/K131)*12)</f>
        <v>1901.8440000000001</v>
      </c>
    </row>
    <row r="132" spans="1:48" ht="29.1" customHeight="1" x14ac:dyDescent="0.3">
      <c r="A132" s="1692"/>
      <c r="B132" s="1702"/>
      <c r="C132" s="1717"/>
      <c r="D132" s="1487"/>
      <c r="E132" s="1369"/>
      <c r="F132" s="1371"/>
      <c r="G132" s="1373"/>
      <c r="H132" s="1373"/>
      <c r="I132" s="1690"/>
      <c r="J132" s="1377"/>
      <c r="K132" s="1390"/>
      <c r="L132" s="1355"/>
      <c r="M132" s="1460"/>
      <c r="N132" s="1731"/>
      <c r="O132" s="1674"/>
      <c r="P132" s="1674"/>
      <c r="Q132" s="1674"/>
      <c r="R132" s="1328"/>
      <c r="S132" s="87" t="s">
        <v>117</v>
      </c>
      <c r="T132" s="726">
        <v>1</v>
      </c>
      <c r="U132" s="287"/>
      <c r="V132" s="287"/>
      <c r="W132" s="287">
        <v>0</v>
      </c>
      <c r="X132" s="288">
        <f t="shared" ref="X132" si="241">SUM(U132:W132)</f>
        <v>0</v>
      </c>
      <c r="Y132" s="287">
        <v>164.33889599999992</v>
      </c>
      <c r="Z132" s="287">
        <v>109.55926399999996</v>
      </c>
      <c r="AA132" s="287">
        <v>191.72871199999992</v>
      </c>
      <c r="AB132" s="288">
        <f t="shared" ref="AB132" si="242">SUM(Y132:AA132)</f>
        <v>465.62687199999976</v>
      </c>
      <c r="AC132" s="287">
        <v>82.16944799999996</v>
      </c>
      <c r="AD132" s="287"/>
      <c r="AE132" s="287"/>
      <c r="AF132" s="288">
        <f t="shared" si="112"/>
        <v>82.16944799999996</v>
      </c>
      <c r="AG132" s="287"/>
      <c r="AH132" s="287"/>
      <c r="AI132" s="287"/>
      <c r="AJ132" s="288">
        <f t="shared" si="144"/>
        <v>0</v>
      </c>
      <c r="AK132" s="289">
        <f t="shared" si="145"/>
        <v>547.7963199999997</v>
      </c>
      <c r="AL132" s="337"/>
      <c r="AM132" s="1371"/>
      <c r="AN132" s="1412"/>
      <c r="AO132" s="1406"/>
      <c r="AP132" s="62" t="str">
        <f>C131</f>
        <v>39 - Redução de Peso Bruto do item VB000323LA</v>
      </c>
      <c r="AQ132" s="62" t="s">
        <v>313</v>
      </c>
      <c r="AR132" s="508" cm="1">
        <f t="array" aca="1" ref="AR132" ca="1">IF(OR(AP132="",AP132=0),"",IF(SUMPRODUCT(($C$55:$C$175=AP132)*($U$54:AI$54&lt;=TODAY())*(ISNUMBER($U$56:AI$176)),$U$56:AI$176)=0,"",SUMPRODUCT(($C$55:$C$175=AP132)*($U$54:AI$54&lt;=TODAY())*(ISNUMBER($U$56:AI$176)),$U$56:AI$176)))</f>
        <v>547.7963199999997</v>
      </c>
      <c r="AS132" s="508" t="str">
        <f>A131</f>
        <v>BSW</v>
      </c>
      <c r="AU132" s="1567"/>
      <c r="AV132" s="1567"/>
    </row>
    <row r="133" spans="1:48" ht="29.1" customHeight="1" x14ac:dyDescent="0.3">
      <c r="A133" s="1693" t="s">
        <v>91</v>
      </c>
      <c r="B133" s="1708" t="s">
        <v>95</v>
      </c>
      <c r="C133" s="1699" t="s">
        <v>495</v>
      </c>
      <c r="D133" s="1356" t="s">
        <v>496</v>
      </c>
      <c r="E133" s="1449" t="s">
        <v>497</v>
      </c>
      <c r="F133" s="1451" t="s">
        <v>307</v>
      </c>
      <c r="G133" s="1366">
        <v>46083</v>
      </c>
      <c r="H133" s="1366">
        <v>46101</v>
      </c>
      <c r="I133" s="1706">
        <v>1200</v>
      </c>
      <c r="J133" s="1378">
        <v>46082</v>
      </c>
      <c r="K133" s="1387">
        <f t="shared" ref="K133" si="243">IF(J133="", "", 12 - MONTH(J133) + 1)</f>
        <v>10</v>
      </c>
      <c r="L133" s="1395"/>
      <c r="M133" s="1720" t="s">
        <v>308</v>
      </c>
      <c r="N133" s="1704">
        <v>1896.52</v>
      </c>
      <c r="O133" s="1671" t="s">
        <v>81</v>
      </c>
      <c r="P133" s="1671" t="s">
        <v>309</v>
      </c>
      <c r="Q133" s="1671" t="s">
        <v>309</v>
      </c>
      <c r="R133" s="1334">
        <v>1</v>
      </c>
      <c r="S133" s="93" t="s">
        <v>116</v>
      </c>
      <c r="T133" s="727">
        <v>1</v>
      </c>
      <c r="U133" s="498">
        <f>IFERROR(IF(AND(U$54&gt;=EOMONTH($J133,-1)+1,U$54&lt;=EOMONTH(EOMONTH($J133,-1)+1,$K133-1)),IF(NOT(ISBLANK($N133)),$N133/$K133,$I133/$K133),0),0)</f>
        <v>0</v>
      </c>
      <c r="V133" s="498">
        <f>IFERROR(IF(AND(V$54&gt;=EOMONTH($J133,-1)+1,V$54&lt;=EOMONTH(EOMONTH($J133,-1)+1,$K133-1)),IF(NOT(ISBLANK($N133)),$N133/$K133,$I133/$K133),0),0)</f>
        <v>0</v>
      </c>
      <c r="W133" s="816">
        <f>IFERROR(IF(AND(W$54&gt;=EOMONTH($J133,-1)+1,W$54&lt;=EOMONTH(EOMONTH($J133,-1)+1,$K133-1)),IF(NOT(ISBLANK($N133)),$N133/$K133,$I133/$K133),0),0)</f>
        <v>189.65199999999999</v>
      </c>
      <c r="X133" s="89">
        <f t="shared" ref="X133" si="244">SUM(U133:W133)</f>
        <v>189.65199999999999</v>
      </c>
      <c r="Y133" s="816">
        <f>IFERROR(IF(AND(Y$54&gt;=EOMONTH($J133,-1)+1,Y$54&lt;=EOMONTH(EOMONTH($J133,-1)+1,$K133-1)),IF(NOT(ISBLANK($N133)),$N133/$K133,$I133/$K133),0),0)</f>
        <v>189.65199999999999</v>
      </c>
      <c r="Z133" s="498">
        <f>IFERROR(IF(AND(Z$54&gt;=EOMONTH($J133,-1)+1,Z$54&lt;=EOMONTH(EOMONTH($J133,-1)+1,$K133-1)),IF(NOT(ISBLANK($N133)),$N133/$K133,$I133/$K133),0),0)</f>
        <v>189.65199999999999</v>
      </c>
      <c r="AA133" s="498">
        <f>IFERROR(IF(AND(AA$54&gt;=EOMONTH($J133,-1)+1,AA$54&lt;=EOMONTH(EOMONTH($J133,-1)+1,$K133-1)),IF(NOT(ISBLANK($N133)),$N133/$K133,$I133/$K133),0),0)</f>
        <v>189.65199999999999</v>
      </c>
      <c r="AB133" s="89">
        <f t="shared" ref="AB133" si="245">SUM(Y133:AA133)</f>
        <v>568.9559999999999</v>
      </c>
      <c r="AC133" s="498">
        <f>IFERROR(IF(AND(AC$54&gt;=EOMONTH($J133,-1)+1,AC$54&lt;=EOMONTH(EOMONTH($J133,-1)+1,$K133-1)),IF(NOT(ISBLANK($N133)),$N133/$K133,$I133/$K133),0),0)</f>
        <v>189.65199999999999</v>
      </c>
      <c r="AD133" s="498">
        <f>IFERROR(IF(AND(AD$54&gt;=EOMONTH($J133,-1)+1,AD$54&lt;=EOMONTH(EOMONTH($J133,-1)+1,$K133-1)),IF(NOT(ISBLANK($N133)),$N133/$K133,$I133/$K133),0),0)</f>
        <v>189.65199999999999</v>
      </c>
      <c r="AE133" s="498">
        <f>IFERROR(IF(AND(AE$54&gt;=EOMONTH($J133,-1)+1,AE$54&lt;=EOMONTH(EOMONTH($J133,-1)+1,$K133-1)),IF(NOT(ISBLANK($N133)),$N133/$K133,$I133/$K133),0),0)</f>
        <v>189.65199999999999</v>
      </c>
      <c r="AF133" s="89">
        <f t="shared" si="112"/>
        <v>568.9559999999999</v>
      </c>
      <c r="AG133" s="498">
        <f>IFERROR(IF(AND(AG$54&gt;=EOMONTH($J133,-1)+1,AG$54&lt;=EOMONTH(EOMONTH($J133,-1)+1,$K133-1)),IF(NOT(ISBLANK($N133)),$N133/$K133,$I133/$K133),0),0)</f>
        <v>189.65199999999999</v>
      </c>
      <c r="AH133" s="498">
        <f>IFERROR(IF(AND(AH$54&gt;=EOMONTH($J133,-1)+1,AH$54&lt;=EOMONTH(EOMONTH($J133,-1)+1,$K133-1)),IF(NOT(ISBLANK($N133)),$N133/$K133,$I133/$K133),0),0)</f>
        <v>189.65199999999999</v>
      </c>
      <c r="AI133" s="498">
        <f>IFERROR(IF(AND(AI$54&gt;=EOMONTH($J133,-1)+1,AI$54&lt;=EOMONTH(EOMONTH($J133,-1)+1,$K133-1)),IF(NOT(ISBLANK($N133)),$N133/$K133,$I133/$K133),0),0)</f>
        <v>189.65199999999999</v>
      </c>
      <c r="AJ133" s="89">
        <f t="shared" si="144"/>
        <v>568.9559999999999</v>
      </c>
      <c r="AK133" s="95">
        <f t="shared" si="145"/>
        <v>1896.5199999999998</v>
      </c>
      <c r="AL133" s="338" t="s">
        <v>498</v>
      </c>
      <c r="AM133" s="1407"/>
      <c r="AN133" s="1334"/>
      <c r="AO133" s="1403">
        <f>N133*AN133</f>
        <v>0</v>
      </c>
      <c r="AP133" s="62" t="str">
        <f>C133</f>
        <v>40 - Redução de Peso Bruto do item VW001138LA</v>
      </c>
      <c r="AQ133" s="62" t="s">
        <v>311</v>
      </c>
      <c r="AR133" s="508" cm="1">
        <f t="array" aca="1" ref="AR133" ca="1">IF(OR(AP133="",AP133=0),"",IF(SUMPRODUCT(($C$55:$C$175=AP133)*(U$54:$AI$54&lt;EOMONTH(TODAY(),-1)+1)*(ISNUMBER(U$55:$AI$175)),U$55:$AI$175)=0,"",SUMPRODUCT(($C$55:$C$175=AP133)*(U$54:$AI$54&lt;EOMONTH(TODAY(),-1)+1)*(ISNUMBER(U$55:$AI$175)),U$55:$AI$175)))</f>
        <v>948.26</v>
      </c>
      <c r="AS133" s="508" t="str">
        <f>A133</f>
        <v>BSW</v>
      </c>
      <c r="AU133" s="1566">
        <f t="shared" ref="AU133" si="246">IF(OR(I133="",K133=""),0,(I133/12)*K133)</f>
        <v>1000</v>
      </c>
      <c r="AV133" s="1566">
        <f t="shared" ref="AV133" si="247">IF(OR(N133="",K133="",K133=0),0,(N133/K133)*12)</f>
        <v>2275.8239999999996</v>
      </c>
    </row>
    <row r="134" spans="1:48" ht="29.1" customHeight="1" x14ac:dyDescent="0.3">
      <c r="A134" s="1694"/>
      <c r="B134" s="1709"/>
      <c r="C134" s="1700"/>
      <c r="D134" s="1455"/>
      <c r="E134" s="1450"/>
      <c r="F134" s="1452"/>
      <c r="G134" s="1367"/>
      <c r="H134" s="1367"/>
      <c r="I134" s="1707"/>
      <c r="J134" s="1379"/>
      <c r="K134" s="1388"/>
      <c r="L134" s="1396"/>
      <c r="M134" s="1721"/>
      <c r="N134" s="1705"/>
      <c r="O134" s="1672"/>
      <c r="P134" s="1672"/>
      <c r="Q134" s="1672"/>
      <c r="R134" s="1330"/>
      <c r="S134" s="93" t="s">
        <v>117</v>
      </c>
      <c r="T134" s="727">
        <v>1</v>
      </c>
      <c r="U134" s="290"/>
      <c r="V134" s="290"/>
      <c r="W134" s="290">
        <v>0</v>
      </c>
      <c r="X134" s="288">
        <f t="shared" ref="X134" si="248">SUM(U134:W134)</f>
        <v>0</v>
      </c>
      <c r="Y134" s="290">
        <v>337.01599020000032</v>
      </c>
      <c r="Z134" s="290">
        <v>678.64863780000064</v>
      </c>
      <c r="AA134" s="290">
        <v>78.48</v>
      </c>
      <c r="AB134" s="288">
        <f t="shared" ref="AB134" si="249">SUM(Y134:AA134)</f>
        <v>1094.1446280000009</v>
      </c>
      <c r="AC134" s="290">
        <v>480.13236960000052</v>
      </c>
      <c r="AD134" s="290"/>
      <c r="AE134" s="290"/>
      <c r="AF134" s="288">
        <f t="shared" si="112"/>
        <v>480.13236960000052</v>
      </c>
      <c r="AG134" s="290"/>
      <c r="AH134" s="290"/>
      <c r="AI134" s="290"/>
      <c r="AJ134" s="288">
        <f t="shared" si="144"/>
        <v>0</v>
      </c>
      <c r="AK134" s="291">
        <f t="shared" si="145"/>
        <v>1574.2769976000013</v>
      </c>
      <c r="AL134" s="97"/>
      <c r="AM134" s="1408"/>
      <c r="AN134" s="1330"/>
      <c r="AO134" s="1404"/>
      <c r="AP134" s="62" t="str">
        <f>C133</f>
        <v>40 - Redução de Peso Bruto do item VW001138LA</v>
      </c>
      <c r="AQ134" s="62" t="s">
        <v>313</v>
      </c>
      <c r="AR134" s="508" cm="1">
        <f t="array" aca="1" ref="AR134" ca="1">IF(OR(AP134="",AP134=0),"",IF(SUMPRODUCT(($C$55:$C$175=AP134)*($U$54:AI$54&lt;=TODAY())*(ISNUMBER($U$56:AI$176)),$U$56:AI$176)=0,"",SUMPRODUCT(($C$55:$C$175=AP134)*($U$54:AI$54&lt;=TODAY())*(ISNUMBER($U$56:AI$176)),$U$56:AI$176)))</f>
        <v>1574.2769976000013</v>
      </c>
      <c r="AS134" s="508" t="str">
        <f>A133</f>
        <v>BSW</v>
      </c>
      <c r="AU134" s="1567"/>
      <c r="AV134" s="1567"/>
    </row>
    <row r="135" spans="1:48" ht="29.1" customHeight="1" x14ac:dyDescent="0.3">
      <c r="A135" s="1691" t="s">
        <v>91</v>
      </c>
      <c r="B135" s="1701" t="s">
        <v>95</v>
      </c>
      <c r="C135" s="1716" t="s">
        <v>499</v>
      </c>
      <c r="D135" s="1486" t="s">
        <v>500</v>
      </c>
      <c r="E135" s="1368" t="s">
        <v>501</v>
      </c>
      <c r="F135" s="1370" t="s">
        <v>307</v>
      </c>
      <c r="G135" s="1372">
        <v>46083</v>
      </c>
      <c r="H135" s="1372">
        <v>46101</v>
      </c>
      <c r="I135" s="1354">
        <v>64554.69</v>
      </c>
      <c r="J135" s="1376">
        <v>46082</v>
      </c>
      <c r="K135" s="1389">
        <f t="shared" ref="K135" si="250">IF(J135="", "", 12 - MONTH(J135) + 1)</f>
        <v>10</v>
      </c>
      <c r="L135" s="1354"/>
      <c r="M135" s="1350" t="s">
        <v>308</v>
      </c>
      <c r="N135" s="1391">
        <v>41104.57</v>
      </c>
      <c r="O135" s="1673" t="s">
        <v>81</v>
      </c>
      <c r="P135" s="1673" t="s">
        <v>309</v>
      </c>
      <c r="Q135" s="1673" t="s">
        <v>309</v>
      </c>
      <c r="R135" s="1327">
        <v>1</v>
      </c>
      <c r="S135" s="87" t="s">
        <v>116</v>
      </c>
      <c r="T135" s="726">
        <v>1</v>
      </c>
      <c r="U135" s="287">
        <f>IFERROR(IF(AND(U$54&gt;=EOMONTH($J135,-1)+1,U$54&lt;=EOMONTH(EOMONTH($J135,-1)+1,$K135-1)),IF(NOT(ISBLANK($N135)),$N135/$K135,$I135/$K135),0),0)</f>
        <v>0</v>
      </c>
      <c r="V135" s="287">
        <f>IFERROR(IF(AND(V$54&gt;=EOMONTH($J135,-1)+1,V$54&lt;=EOMONTH(EOMONTH($J135,-1)+1,$K135-1)),IF(NOT(ISBLANK($N135)),$N135/$K135,$I135/$K135),0),0)</f>
        <v>0</v>
      </c>
      <c r="W135" s="815">
        <f>IFERROR(IF(AND(W$54&gt;=EOMONTH($J135,-1)+1,W$54&lt;=EOMONTH(EOMONTH($J135,-1)+1,$K135-1)),IF(NOT(ISBLANK($N135)),$N135/$K135,$I135/$K135),0),0)</f>
        <v>4110.4570000000003</v>
      </c>
      <c r="X135" s="89">
        <f t="shared" ref="X135" si="251">SUM(U135:W135)</f>
        <v>4110.4570000000003</v>
      </c>
      <c r="Y135" s="815">
        <f>IFERROR(IF(AND(Y$54&gt;=EOMONTH($J135,-1)+1,Y$54&lt;=EOMONTH(EOMONTH($J135,-1)+1,$K135-1)),IF(NOT(ISBLANK($N135)),$N135/$K135,$I135/$K135),0),0)</f>
        <v>4110.4570000000003</v>
      </c>
      <c r="Z135" s="287">
        <f>IFERROR(IF(AND(Z$54&gt;=EOMONTH($J135,-1)+1,Z$54&lt;=EOMONTH(EOMONTH($J135,-1)+1,$K135-1)),IF(NOT(ISBLANK($N135)),$N135/$K135,$I135/$K135),0),0)</f>
        <v>4110.4570000000003</v>
      </c>
      <c r="AA135" s="287">
        <f>IFERROR(IF(AND(AA$54&gt;=EOMONTH($J135,-1)+1,AA$54&lt;=EOMONTH(EOMONTH($J135,-1)+1,$K135-1)),IF(NOT(ISBLANK($N135)),$N135/$K135,$I135/$K135),0),0)</f>
        <v>4110.4570000000003</v>
      </c>
      <c r="AB135" s="89">
        <f t="shared" ref="AB135" si="252">SUM(Y135:AA135)</f>
        <v>12331.371000000001</v>
      </c>
      <c r="AC135" s="287">
        <f>IFERROR(IF(AND(AC$54&gt;=EOMONTH($J135,-1)+1,AC$54&lt;=EOMONTH(EOMONTH($J135,-1)+1,$K135-1)),IF(NOT(ISBLANK($N135)),$N135/$K135,$I135/$K135),0),0)</f>
        <v>4110.4570000000003</v>
      </c>
      <c r="AD135" s="287">
        <f>IFERROR(IF(AND(AD$54&gt;=EOMONTH($J135,-1)+1,AD$54&lt;=EOMONTH(EOMONTH($J135,-1)+1,$K135-1)),IF(NOT(ISBLANK($N135)),$N135/$K135,$I135/$K135),0),0)</f>
        <v>4110.4570000000003</v>
      </c>
      <c r="AE135" s="287">
        <f>IFERROR(IF(AND(AE$54&gt;=EOMONTH($J135,-1)+1,AE$54&lt;=EOMONTH(EOMONTH($J135,-1)+1,$K135-1)),IF(NOT(ISBLANK($N135)),$N135/$K135,$I135/$K135),0),0)</f>
        <v>4110.4570000000003</v>
      </c>
      <c r="AF135" s="89">
        <f t="shared" ref="AF135:AF176" si="253">SUM(AC135:AE135)</f>
        <v>12331.371000000001</v>
      </c>
      <c r="AG135" s="287">
        <f>IFERROR(IF(AND(AG$54&gt;=EOMONTH($J135,-1)+1,AG$54&lt;=EOMONTH(EOMONTH($J135,-1)+1,$K135-1)),IF(NOT(ISBLANK($N135)),$N135/$K135,$I135/$K135),0),0)</f>
        <v>4110.4570000000003</v>
      </c>
      <c r="AH135" s="287">
        <f>IFERROR(IF(AND(AH$54&gt;=EOMONTH($J135,-1)+1,AH$54&lt;=EOMONTH(EOMONTH($J135,-1)+1,$K135-1)),IF(NOT(ISBLANK($N135)),$N135/$K135,$I135/$K135),0),0)</f>
        <v>4110.4570000000003</v>
      </c>
      <c r="AI135" s="287">
        <f>IFERROR(IF(AND(AI$54&gt;=EOMONTH($J135,-1)+1,AI$54&lt;=EOMONTH(EOMONTH($J135,-1)+1,$K135-1)),IF(NOT(ISBLANK($N135)),$N135/$K135,$I135/$K135),0),0)</f>
        <v>4110.4570000000003</v>
      </c>
      <c r="AJ135" s="89">
        <f t="shared" si="144"/>
        <v>12331.371000000001</v>
      </c>
      <c r="AK135" s="90">
        <f t="shared" si="145"/>
        <v>41104.57</v>
      </c>
      <c r="AL135" s="337" t="s">
        <v>502</v>
      </c>
      <c r="AM135" s="1370"/>
      <c r="AN135" s="1411"/>
      <c r="AO135" s="1405">
        <f>N135*AN135</f>
        <v>0</v>
      </c>
      <c r="AP135" s="62" t="str">
        <f>C135</f>
        <v>41 - Redução de Peso Bruto do item SV001141LA</v>
      </c>
      <c r="AQ135" s="62" t="s">
        <v>311</v>
      </c>
      <c r="AR135" s="508" cm="1">
        <f t="array" aca="1" ref="AR135" ca="1">IF(OR(AP135="",AP135=0),"",IF(SUMPRODUCT(($C$55:$C$175=AP135)*(U$54:$AI$54&lt;EOMONTH(TODAY(),-1)+1)*(ISNUMBER(U$55:$AI$175)),U$55:$AI$175)=0,"",SUMPRODUCT(($C$55:$C$175=AP135)*(U$54:$AI$54&lt;EOMONTH(TODAY(),-1)+1)*(ISNUMBER(U$55:$AI$175)),U$55:$AI$175)))</f>
        <v>20552.285000000003</v>
      </c>
      <c r="AS135" s="508" t="str">
        <f>A135</f>
        <v>BSW</v>
      </c>
      <c r="AU135" s="1566">
        <f t="shared" ref="AU135" si="254">IF(OR(I135="",K135=""),0,(I135/12)*K135)</f>
        <v>53795.574999999997</v>
      </c>
      <c r="AV135" s="1566">
        <f t="shared" ref="AV135" si="255">IF(OR(N135="",K135="",K135=0),0,(N135/K135)*12)</f>
        <v>49325.484000000004</v>
      </c>
    </row>
    <row r="136" spans="1:48" ht="29.1" customHeight="1" x14ac:dyDescent="0.3">
      <c r="A136" s="1692"/>
      <c r="B136" s="1702"/>
      <c r="C136" s="1717"/>
      <c r="D136" s="1487"/>
      <c r="E136" s="1369"/>
      <c r="F136" s="1371"/>
      <c r="G136" s="1373"/>
      <c r="H136" s="1373"/>
      <c r="I136" s="1355"/>
      <c r="J136" s="1377"/>
      <c r="K136" s="1390"/>
      <c r="L136" s="1355"/>
      <c r="M136" s="1460"/>
      <c r="N136" s="1392"/>
      <c r="O136" s="1674"/>
      <c r="P136" s="1674"/>
      <c r="Q136" s="1674"/>
      <c r="R136" s="1328"/>
      <c r="S136" s="87" t="s">
        <v>117</v>
      </c>
      <c r="T136" s="726">
        <v>1</v>
      </c>
      <c r="U136" s="287"/>
      <c r="V136" s="287"/>
      <c r="W136" s="287"/>
      <c r="X136" s="288">
        <f t="shared" ref="X136" si="256">SUM(U136:W136)</f>
        <v>0</v>
      </c>
      <c r="Y136" s="287">
        <v>4524.1857720000016</v>
      </c>
      <c r="Z136" s="587">
        <v>7185.0628800000022</v>
      </c>
      <c r="AA136" s="287">
        <v>6785.8927200000026</v>
      </c>
      <c r="AB136" s="288">
        <f t="shared" ref="AB136" si="257">SUM(Y136:AA136)</f>
        <v>18495.141372000006</v>
      </c>
      <c r="AC136" s="287">
        <v>4869.8759520000021</v>
      </c>
      <c r="AD136" s="287"/>
      <c r="AE136" s="287"/>
      <c r="AF136" s="288">
        <f t="shared" si="253"/>
        <v>4869.8759520000021</v>
      </c>
      <c r="AG136" s="287"/>
      <c r="AH136" s="287"/>
      <c r="AI136" s="287"/>
      <c r="AJ136" s="288">
        <f t="shared" si="144"/>
        <v>0</v>
      </c>
      <c r="AK136" s="289">
        <f t="shared" si="145"/>
        <v>23365.017324000008</v>
      </c>
      <c r="AL136" s="337"/>
      <c r="AM136" s="1371"/>
      <c r="AN136" s="1412"/>
      <c r="AO136" s="1406"/>
      <c r="AP136" s="62" t="str">
        <f>C135</f>
        <v>41 - Redução de Peso Bruto do item SV001141LA</v>
      </c>
      <c r="AQ136" s="62" t="s">
        <v>313</v>
      </c>
      <c r="AR136" s="508" cm="1">
        <f t="array" aca="1" ref="AR136" ca="1">IF(OR(AP136="",AP136=0),"",IF(SUMPRODUCT(($C$55:$C$175=AP136)*($U$54:AI$54&lt;=TODAY())*(ISNUMBER($U$56:AI$176)),$U$56:AI$176)=0,"",SUMPRODUCT(($C$55:$C$175=AP136)*($U$54:AI$54&lt;=TODAY())*(ISNUMBER($U$56:AI$176)),$U$56:AI$176)))</f>
        <v>23365.017324000008</v>
      </c>
      <c r="AS136" s="508" t="str">
        <f>A135</f>
        <v>BSW</v>
      </c>
      <c r="AU136" s="1567"/>
      <c r="AV136" s="1567"/>
    </row>
    <row r="137" spans="1:48" ht="29.1" customHeight="1" x14ac:dyDescent="0.3">
      <c r="A137" s="1693" t="s">
        <v>59</v>
      </c>
      <c r="B137" s="1708" t="s">
        <v>97</v>
      </c>
      <c r="C137" s="1699" t="s">
        <v>503</v>
      </c>
      <c r="D137" s="1356" t="s">
        <v>504</v>
      </c>
      <c r="E137" s="1449" t="s">
        <v>505</v>
      </c>
      <c r="F137" s="1451" t="s">
        <v>506</v>
      </c>
      <c r="G137" s="1366">
        <v>46114</v>
      </c>
      <c r="H137" s="1366">
        <v>46173</v>
      </c>
      <c r="I137" s="1706">
        <f>(17500*12)</f>
        <v>210000</v>
      </c>
      <c r="J137" s="1378">
        <v>46174</v>
      </c>
      <c r="K137" s="1387">
        <f t="shared" ref="K137" si="258">IF(J137="", "", 12 - MONTH(J137) + 1)</f>
        <v>7</v>
      </c>
      <c r="L137" s="1395"/>
      <c r="M137" s="1720" t="s">
        <v>308</v>
      </c>
      <c r="N137" s="1704">
        <f>17500*7</f>
        <v>122500</v>
      </c>
      <c r="O137" s="1671" t="s">
        <v>81</v>
      </c>
      <c r="P137" s="1671" t="s">
        <v>309</v>
      </c>
      <c r="Q137" s="1671" t="s">
        <v>309</v>
      </c>
      <c r="R137" s="1334">
        <v>1</v>
      </c>
      <c r="S137" s="93" t="s">
        <v>116</v>
      </c>
      <c r="T137" s="727">
        <v>1</v>
      </c>
      <c r="U137" s="498">
        <f>IFERROR(IF(AND(U$54&gt;=EOMONTH($J137,-1)+1,U$54&lt;=EOMONTH(EOMONTH($J137,-1)+1,$K137-1)),IF(NOT(ISBLANK($N137)),$N137/$K137,$I137/$K137),0),0)</f>
        <v>0</v>
      </c>
      <c r="V137" s="498">
        <f>IFERROR(IF(AND(V$54&gt;=EOMONTH($J137,-1)+1,V$54&lt;=EOMONTH(EOMONTH($J137,-1)+1,$K137-1)),IF(NOT(ISBLANK($N137)),$N137/$K137,$I137/$K137),0),0)</f>
        <v>0</v>
      </c>
      <c r="W137" s="498">
        <f>IFERROR(IF(AND(W$54&gt;=EOMONTH($J137,-1)+1,W$54&lt;=EOMONTH(EOMONTH($J137,-1)+1,$K137-1)),IF(NOT(ISBLANK($N137)),$N137/$K137,$I137/$K137),0),0)</f>
        <v>0</v>
      </c>
      <c r="X137" s="89">
        <f t="shared" ref="X137" si="259">SUM(U137:W137)</f>
        <v>0</v>
      </c>
      <c r="Y137" s="498">
        <f>IFERROR(IF(AND(Y$54&gt;=EOMONTH($J137,-1)+1,Y$54&lt;=EOMONTH(EOMONTH($J137,-1)+1,$K137-1)),IF(NOT(ISBLANK($N137)),$N137/$K137,$I137/$K137),0),0)</f>
        <v>0</v>
      </c>
      <c r="Z137" s="498">
        <f>IFERROR(IF(AND(Z$54&gt;=EOMONTH($J137,-1)+1,Z$54&lt;=EOMONTH(EOMONTH($J137,-1)+1,$K137-1)),IF(NOT(ISBLANK($N137)),$N137/$K137,$I137/$K137),0),0)</f>
        <v>0</v>
      </c>
      <c r="AA137" s="498">
        <f>IFERROR(IF(AND(AA$54&gt;=EOMONTH($J137,-1)+1,AA$54&lt;=EOMONTH(EOMONTH($J137,-1)+1,$K137-1)),IF(NOT(ISBLANK($N137)),$N137/$K137,$I137/$K137),0),0)</f>
        <v>17500</v>
      </c>
      <c r="AB137" s="89">
        <f t="shared" ref="AB137" si="260">SUM(Y137:AA137)</f>
        <v>17500</v>
      </c>
      <c r="AC137" s="498">
        <f>IFERROR(IF(AND(AC$54&gt;=EOMONTH($J137,-1)+1,AC$54&lt;=EOMONTH(EOMONTH($J137,-1)+1,$K137-1)),IF(NOT(ISBLANK($N137)),$N137/$K137,$I137/$K137),0),0)</f>
        <v>17500</v>
      </c>
      <c r="AD137" s="498">
        <f>IFERROR(IF(AND(AD$54&gt;=EOMONTH($J137,-1)+1,AD$54&lt;=EOMONTH(EOMONTH($J137,-1)+1,$K137-1)),IF(NOT(ISBLANK($N137)),$N137/$K137,$I137/$K137),0),0)</f>
        <v>17500</v>
      </c>
      <c r="AE137" s="498">
        <f>IFERROR(IF(AND(AE$54&gt;=EOMONTH($J137,-1)+1,AE$54&lt;=EOMONTH(EOMONTH($J137,-1)+1,$K137-1)),IF(NOT(ISBLANK($N137)),$N137/$K137,$I137/$K137),0),0)</f>
        <v>17500</v>
      </c>
      <c r="AF137" s="89">
        <f t="shared" si="253"/>
        <v>52500</v>
      </c>
      <c r="AG137" s="498">
        <f>IFERROR(IF(AND(AG$54&gt;=EOMONTH($J137,-1)+1,AG$54&lt;=EOMONTH(EOMONTH($J137,-1)+1,$K137-1)),IF(NOT(ISBLANK($N137)),$N137/$K137,$I137/$K137),0),0)</f>
        <v>17500</v>
      </c>
      <c r="AH137" s="498">
        <f>IFERROR(IF(AND(AH$54&gt;=EOMONTH($J137,-1)+1,AH$54&lt;=EOMONTH(EOMONTH($J137,-1)+1,$K137-1)),IF(NOT(ISBLANK($N137)),$N137/$K137,$I137/$K137),0),0)</f>
        <v>17500</v>
      </c>
      <c r="AI137" s="498">
        <f>IFERROR(IF(AND(AI$54&gt;=EOMONTH($J137,-1)+1,AI$54&lt;=EOMONTH(EOMONTH($J137,-1)+1,$K137-1)),IF(NOT(ISBLANK($N137)),$N137/$K137,$I137/$K137),0),0)</f>
        <v>17500</v>
      </c>
      <c r="AJ137" s="89">
        <f t="shared" si="144"/>
        <v>52500</v>
      </c>
      <c r="AK137" s="95">
        <f t="shared" si="145"/>
        <v>122500</v>
      </c>
      <c r="AL137" s="338" t="s">
        <v>507</v>
      </c>
      <c r="AM137" s="1407"/>
      <c r="AN137" s="1334"/>
      <c r="AO137" s="1403">
        <f>N137*AN137</f>
        <v>0</v>
      </c>
      <c r="AP137" s="62" t="str">
        <f>C137</f>
        <v>42 - Aluguel de Compressor</v>
      </c>
      <c r="AQ137" s="62" t="s">
        <v>311</v>
      </c>
      <c r="AR137" s="508" cm="1">
        <f t="array" aca="1" ref="AR137" ca="1">IF(OR(AP137="",AP137=0),"",IF(SUMPRODUCT(($C$55:$C$175=AP137)*(U$54:$AI$54&lt;EOMONTH(TODAY(),-1)+1)*(ISNUMBER(U$55:$AI$175)),U$55:$AI$175)=0,"",SUMPRODUCT(($C$55:$C$175=AP137)*(U$54:$AI$54&lt;EOMONTH(TODAY(),-1)+1)*(ISNUMBER(U$55:$AI$175)),U$55:$AI$175)))</f>
        <v>35000</v>
      </c>
      <c r="AS137" s="508" t="str">
        <f>A137</f>
        <v>Kaizen - Ganho Recorrente</v>
      </c>
      <c r="AU137" s="1566">
        <f t="shared" ref="AU137" si="261">IF(OR(I137="",K137=""),0,(I137/12)*K137)</f>
        <v>122500</v>
      </c>
      <c r="AV137" s="1566">
        <f t="shared" ref="AV137" si="262">IF(OR(N137="",K137="",K137=0),0,(N137/K137)*12)</f>
        <v>210000</v>
      </c>
    </row>
    <row r="138" spans="1:48" ht="29.1" customHeight="1" x14ac:dyDescent="0.3">
      <c r="A138" s="1694"/>
      <c r="B138" s="1709"/>
      <c r="C138" s="1700"/>
      <c r="D138" s="1455"/>
      <c r="E138" s="1450"/>
      <c r="F138" s="1452"/>
      <c r="G138" s="1367"/>
      <c r="H138" s="1367"/>
      <c r="I138" s="1707"/>
      <c r="J138" s="1379"/>
      <c r="K138" s="1388"/>
      <c r="L138" s="1396"/>
      <c r="M138" s="1721"/>
      <c r="N138" s="1705"/>
      <c r="O138" s="1672"/>
      <c r="P138" s="1672"/>
      <c r="Q138" s="1672"/>
      <c r="R138" s="1330"/>
      <c r="S138" s="93" t="s">
        <v>117</v>
      </c>
      <c r="T138" s="727">
        <v>1</v>
      </c>
      <c r="U138" s="290">
        <v>0</v>
      </c>
      <c r="V138" s="290">
        <v>0</v>
      </c>
      <c r="W138" s="290">
        <v>0</v>
      </c>
      <c r="X138" s="288">
        <f t="shared" ref="X138" si="263">SUM(U138:W138)</f>
        <v>0</v>
      </c>
      <c r="Y138" s="290"/>
      <c r="Z138" s="290"/>
      <c r="AA138" s="290">
        <f>AA137</f>
        <v>17500</v>
      </c>
      <c r="AB138" s="288">
        <f t="shared" ref="AB138" si="264">SUM(Y138:AA138)</f>
        <v>17500</v>
      </c>
      <c r="AC138" s="290">
        <f>AA138</f>
        <v>17500</v>
      </c>
      <c r="AD138" s="290"/>
      <c r="AE138" s="290"/>
      <c r="AF138" s="288">
        <f t="shared" si="253"/>
        <v>17500</v>
      </c>
      <c r="AG138" s="290"/>
      <c r="AH138" s="290"/>
      <c r="AI138" s="290"/>
      <c r="AJ138" s="288">
        <f t="shared" si="144"/>
        <v>0</v>
      </c>
      <c r="AK138" s="291">
        <f t="shared" si="145"/>
        <v>35000</v>
      </c>
      <c r="AL138" s="97"/>
      <c r="AM138" s="1408"/>
      <c r="AN138" s="1330"/>
      <c r="AO138" s="1404"/>
      <c r="AP138" s="62" t="str">
        <f>C137</f>
        <v>42 - Aluguel de Compressor</v>
      </c>
      <c r="AQ138" s="62" t="s">
        <v>313</v>
      </c>
      <c r="AR138" s="508" cm="1">
        <f t="array" aca="1" ref="AR138" ca="1">IF(OR(AP138="",AP138=0),"",IF(SUMPRODUCT(($C$55:$C$175=AP138)*($U$54:AI$54&lt;=TODAY())*(ISNUMBER($U$56:AI$176)),$U$56:AI$176)=0,"",SUMPRODUCT(($C$55:$C$175=AP138)*($U$54:AI$54&lt;=TODAY())*(ISNUMBER($U$56:AI$176)),$U$56:AI$176)))</f>
        <v>35000</v>
      </c>
      <c r="AS138" s="508" t="str">
        <f>A137</f>
        <v>Kaizen - Ganho Recorrente</v>
      </c>
      <c r="AU138" s="1567"/>
      <c r="AV138" s="1567"/>
    </row>
    <row r="139" spans="1:48" ht="29.1" customHeight="1" x14ac:dyDescent="0.3">
      <c r="A139" s="1701" t="s">
        <v>59</v>
      </c>
      <c r="B139" s="1701" t="s">
        <v>97</v>
      </c>
      <c r="C139" s="1716" t="s">
        <v>508</v>
      </c>
      <c r="D139" s="1486" t="s">
        <v>509</v>
      </c>
      <c r="E139" s="1368" t="s">
        <v>510</v>
      </c>
      <c r="F139" s="1370" t="s">
        <v>358</v>
      </c>
      <c r="G139" s="1372">
        <v>46113</v>
      </c>
      <c r="H139" s="1372">
        <v>46233</v>
      </c>
      <c r="I139" s="1354">
        <v>96000</v>
      </c>
      <c r="J139" s="1376">
        <v>46235</v>
      </c>
      <c r="K139" s="1389">
        <f t="shared" ref="K139" si="265">IF(J139="", "", 12 - MONTH(J139) + 1)</f>
        <v>5</v>
      </c>
      <c r="L139" s="1354"/>
      <c r="M139" s="1714" t="s">
        <v>308</v>
      </c>
      <c r="N139" s="1712">
        <f>8621*5</f>
        <v>43105</v>
      </c>
      <c r="O139" s="1327" t="s">
        <v>83</v>
      </c>
      <c r="P139" s="1678" t="s">
        <v>511</v>
      </c>
      <c r="Q139" s="1669">
        <v>46240</v>
      </c>
      <c r="R139" s="1327">
        <v>1</v>
      </c>
      <c r="S139" s="87" t="s">
        <v>116</v>
      </c>
      <c r="T139" s="726">
        <v>0.3</v>
      </c>
      <c r="U139" s="287">
        <f>IFERROR(IF(AND(U$54&gt;=EOMONTH($J139,-1)+1,U$54&lt;=EOMONTH(EOMONTH($J139,-1)+1,$K139-1)),IF(NOT(ISBLANK($N139)),$N139/$K139,$I139/$K139),0),0)</f>
        <v>0</v>
      </c>
      <c r="V139" s="287">
        <f>IFERROR(IF(AND(V$54&gt;=EOMONTH($J139,-1)+1,V$54&lt;=EOMONTH(EOMONTH($J139,-1)+1,$K139-1)),IF(NOT(ISBLANK($N139)),$N139/$K139,$I139/$K139),0),0)</f>
        <v>0</v>
      </c>
      <c r="W139" s="287">
        <f>IFERROR(IF(AND(W$54&gt;=EOMONTH($J139,-1)+1,W$54&lt;=EOMONTH(EOMONTH($J139,-1)+1,$K139-1)),IF(NOT(ISBLANK($N139)),$N139/$K139,$I139/$K139),0),0)</f>
        <v>0</v>
      </c>
      <c r="X139" s="89">
        <f t="shared" ref="X139" si="266">SUM(U139:W139)</f>
        <v>0</v>
      </c>
      <c r="Y139" s="287">
        <f>IFERROR(IF(AND(Y$54&gt;=EOMONTH($J139,-1)+1,Y$54&lt;=EOMONTH(EOMONTH($J139,-1)+1,$K139-1)),IF(NOT(ISBLANK($N139)),$N139/$K139,$I139/$K139),0),0)</f>
        <v>0</v>
      </c>
      <c r="Z139" s="287">
        <f>IFERROR(IF(AND(Z$54&gt;=EOMONTH($J139,-1)+1,Z$54&lt;=EOMONTH(EOMONTH($J139,-1)+1,$K139-1)),IF(NOT(ISBLANK($N139)),$N139/$K139,$I139/$K139),0),0)</f>
        <v>0</v>
      </c>
      <c r="AA139" s="287">
        <f>IFERROR(IF(AND(AA$54&gt;=EOMONTH($J139,-1)+1,AA$54&lt;=EOMONTH(EOMONTH($J139,-1)+1,$K139-1)),IF(NOT(ISBLANK($N139)),$N139/$K139,$I139/$K139),0),0)</f>
        <v>0</v>
      </c>
      <c r="AB139" s="89">
        <f t="shared" ref="AB139" si="267">SUM(Y139:AA139)</f>
        <v>0</v>
      </c>
      <c r="AC139" s="287">
        <f>IFERROR(IF(AND(AC$54&gt;=EOMONTH($J139,-1)+1,AC$54&lt;=EOMONTH(EOMONTH($J139,-1)+1,$K139-1)),IF(NOT(ISBLANK($N139)),$N139/$K139,$I139/$K139),0),0)</f>
        <v>0</v>
      </c>
      <c r="AD139" s="287">
        <f>IFERROR(IF(AND(AD$54&gt;=EOMONTH($J139,-1)+1,AD$54&lt;=EOMONTH(EOMONTH($J139,-1)+1,$K139-1)),IF(NOT(ISBLANK($N139)),$N139/$K139,$I139/$K139),0),0)</f>
        <v>8621</v>
      </c>
      <c r="AE139" s="287">
        <f>IFERROR(IF(AND(AE$54&gt;=EOMONTH($J139,-1)+1,AE$54&lt;=EOMONTH(EOMONTH($J139,-1)+1,$K139-1)),IF(NOT(ISBLANK($N139)),$N139/$K139,$I139/$K139),0),0)</f>
        <v>8621</v>
      </c>
      <c r="AF139" s="89">
        <f t="shared" si="253"/>
        <v>17242</v>
      </c>
      <c r="AG139" s="287">
        <f>IFERROR(IF(AND(AG$54&gt;=EOMONTH($J139,-1)+1,AG$54&lt;=EOMONTH(EOMONTH($J139,-1)+1,$K139-1)),IF(NOT(ISBLANK($N139)),$N139/$K139,$I139/$K139),0),0)</f>
        <v>8621</v>
      </c>
      <c r="AH139" s="287">
        <f>IFERROR(IF(AND(AH$54&gt;=EOMONTH($J139,-1)+1,AH$54&lt;=EOMONTH(EOMONTH($J139,-1)+1,$K139-1)),IF(NOT(ISBLANK($N139)),$N139/$K139,$I139/$K139),0),0)</f>
        <v>8621</v>
      </c>
      <c r="AI139" s="287">
        <f>IFERROR(IF(AND(AI$54&gt;=EOMONTH($J139,-1)+1,AI$54&lt;=EOMONTH(EOMONTH($J139,-1)+1,$K139-1)),IF(NOT(ISBLANK($N139)),$N139/$K139,$I139/$K139),0),0)</f>
        <v>8621</v>
      </c>
      <c r="AJ139" s="89">
        <f t="shared" si="144"/>
        <v>25863</v>
      </c>
      <c r="AK139" s="90">
        <f t="shared" si="145"/>
        <v>43105</v>
      </c>
      <c r="AL139" s="337" t="s">
        <v>512</v>
      </c>
      <c r="AM139" s="1370"/>
      <c r="AN139" s="1411"/>
      <c r="AO139" s="1405">
        <f>N139*AN139</f>
        <v>0</v>
      </c>
      <c r="AP139" s="62" t="str">
        <f>C139</f>
        <v>43 - Automação Boomerang</v>
      </c>
      <c r="AQ139" s="62" t="s">
        <v>311</v>
      </c>
      <c r="AR139" s="508" t="str" cm="1">
        <f t="array" aca="1" ref="AR139" ca="1">IF(OR(AP139="",AP139=0),"",IF(SUMPRODUCT(($C$55:$C$175=AP139)*(U$54:$AI$54&lt;EOMONTH(TODAY(),-1)+1)*(ISNUMBER(U$55:$AI$175)),U$55:$AI$175)=0,"",SUMPRODUCT(($C$55:$C$175=AP139)*(U$54:$AI$54&lt;EOMONTH(TODAY(),-1)+1)*(ISNUMBER(U$55:$AI$175)),U$55:$AI$175)))</f>
        <v/>
      </c>
      <c r="AS139" s="508" t="str">
        <f>A139</f>
        <v>Kaizen - Ganho Recorrente</v>
      </c>
      <c r="AU139" s="1566">
        <f t="shared" ref="AU139" si="268">IF(OR(I139="",K139=""),0,(I139/12)*K139)</f>
        <v>40000</v>
      </c>
      <c r="AV139" s="1566">
        <f t="shared" ref="AV139" si="269">IF(OR(N139="",K139="",K139=0),0,(N139/K139)*12)</f>
        <v>103452</v>
      </c>
    </row>
    <row r="140" spans="1:48" ht="28.5" customHeight="1" x14ac:dyDescent="0.3">
      <c r="A140" s="1702"/>
      <c r="B140" s="1702"/>
      <c r="C140" s="1717"/>
      <c r="D140" s="1487"/>
      <c r="E140" s="1369"/>
      <c r="F140" s="1371"/>
      <c r="G140" s="1373"/>
      <c r="H140" s="1373"/>
      <c r="I140" s="1355"/>
      <c r="J140" s="1377"/>
      <c r="K140" s="1390"/>
      <c r="L140" s="1355"/>
      <c r="M140" s="1715"/>
      <c r="N140" s="1713"/>
      <c r="O140" s="1328"/>
      <c r="P140" s="1679"/>
      <c r="Q140" s="1670"/>
      <c r="R140" s="1328"/>
      <c r="S140" s="87" t="s">
        <v>117</v>
      </c>
      <c r="T140" s="726">
        <v>0.32</v>
      </c>
      <c r="U140" s="287"/>
      <c r="V140" s="287"/>
      <c r="W140" s="287"/>
      <c r="X140" s="288">
        <f t="shared" ref="X140" si="270">SUM(U140:W140)</f>
        <v>0</v>
      </c>
      <c r="Y140" s="287"/>
      <c r="Z140" s="287"/>
      <c r="AA140" s="287"/>
      <c r="AB140" s="288">
        <f t="shared" ref="AB140" si="271">SUM(Y140:AA140)</f>
        <v>0</v>
      </c>
      <c r="AC140" s="287"/>
      <c r="AD140" s="287"/>
      <c r="AE140" s="287"/>
      <c r="AF140" s="288">
        <f t="shared" si="253"/>
        <v>0</v>
      </c>
      <c r="AG140" s="287"/>
      <c r="AH140" s="287"/>
      <c r="AI140" s="287"/>
      <c r="AJ140" s="288">
        <f t="shared" si="144"/>
        <v>0</v>
      </c>
      <c r="AK140" s="289">
        <f t="shared" si="145"/>
        <v>0</v>
      </c>
      <c r="AL140" s="337"/>
      <c r="AM140" s="1371"/>
      <c r="AN140" s="1412"/>
      <c r="AO140" s="1406"/>
      <c r="AP140" s="62" t="str">
        <f>C139</f>
        <v>43 - Automação Boomerang</v>
      </c>
      <c r="AQ140" s="62" t="s">
        <v>313</v>
      </c>
      <c r="AR140" s="508" t="str" cm="1">
        <f t="array" aca="1" ref="AR140" ca="1">IF(OR(AP140="",AP140=0),"",IF(SUMPRODUCT(($C$55:$C$175=AP140)*($U$54:AI$54&lt;=TODAY())*(ISNUMBER($U$56:AI$176)),$U$56:AI$176)=0,"",SUMPRODUCT(($C$55:$C$175=AP140)*($U$54:AI$54&lt;=TODAY())*(ISNUMBER($U$56:AI$176)),$U$56:AI$176)))</f>
        <v/>
      </c>
      <c r="AS140" s="508" t="str">
        <f>A139</f>
        <v>Kaizen - Ganho Recorrente</v>
      </c>
      <c r="AU140" s="1567"/>
      <c r="AV140" s="1567"/>
    </row>
    <row r="141" spans="1:48" ht="29.1" customHeight="1" x14ac:dyDescent="0.3">
      <c r="A141" s="1693" t="s">
        <v>91</v>
      </c>
      <c r="B141" s="1708" t="s">
        <v>95</v>
      </c>
      <c r="C141" s="1699" t="s">
        <v>513</v>
      </c>
      <c r="D141" s="1356" t="s">
        <v>514</v>
      </c>
      <c r="E141" s="1449" t="s">
        <v>515</v>
      </c>
      <c r="F141" s="1451" t="s">
        <v>323</v>
      </c>
      <c r="G141" s="1366">
        <v>46114</v>
      </c>
      <c r="H141" s="1518">
        <v>46203</v>
      </c>
      <c r="I141" s="1706">
        <v>230000</v>
      </c>
      <c r="J141" s="1378">
        <v>46204</v>
      </c>
      <c r="K141" s="1387">
        <f t="shared" ref="K141" si="272">IF(J141="", "", 12 - MONTH(J141) + 1)</f>
        <v>6</v>
      </c>
      <c r="L141" s="1395"/>
      <c r="M141" s="1720" t="s">
        <v>308</v>
      </c>
      <c r="N141" s="1704">
        <v>115018</v>
      </c>
      <c r="O141" s="1334" t="s">
        <v>83</v>
      </c>
      <c r="P141" s="1680" t="s">
        <v>516</v>
      </c>
      <c r="Q141" s="1667">
        <v>46240</v>
      </c>
      <c r="R141" s="1334">
        <v>0.2</v>
      </c>
      <c r="S141" s="93" t="s">
        <v>116</v>
      </c>
      <c r="T141" s="727">
        <v>0.28999999999999998</v>
      </c>
      <c r="U141" s="498">
        <f>IFERROR(IF(AND(U$54&gt;=EOMONTH($J141,-1)+1,U$54&lt;=EOMONTH(EOMONTH($J141,-1)+1,$K141-1)),IF(NOT(ISBLANK($N141)),$N141/$K141,$I141/$K141),0),0)</f>
        <v>0</v>
      </c>
      <c r="V141" s="498">
        <f>IFERROR(IF(AND(V$54&gt;=EOMONTH($J141,-1)+1,V$54&lt;=EOMONTH(EOMONTH($J141,-1)+1,$K141-1)),IF(NOT(ISBLANK($N141)),$N141/$K141,$I141/$K141),0),0)</f>
        <v>0</v>
      </c>
      <c r="W141" s="498">
        <f>IFERROR(IF(AND(W$54&gt;=EOMONTH($J141,-1)+1,W$54&lt;=EOMONTH(EOMONTH($J141,-1)+1,$K141-1)),IF(NOT(ISBLANK($N141)),$N141/$K141,$I141/$K141),0),0)</f>
        <v>0</v>
      </c>
      <c r="X141" s="89">
        <f t="shared" ref="X141" si="273">SUM(U141:W141)</f>
        <v>0</v>
      </c>
      <c r="Y141" s="498">
        <f>IFERROR(IF(AND(Y$54&gt;=EOMONTH($J141,-1)+1,Y$54&lt;=EOMONTH(EOMONTH($J141,-1)+1,$K141-1)),IF(NOT(ISBLANK($N141)),$N141/$K141,$I141/$K141),0),0)</f>
        <v>0</v>
      </c>
      <c r="Z141" s="498">
        <f>IFERROR(IF(AND(Z$54&gt;=EOMONTH($J141,-1)+1,Z$54&lt;=EOMONTH(EOMONTH($J141,-1)+1,$K141-1)),IF(NOT(ISBLANK($N141)),$N141/$K141,$I141/$K141),0),0)</f>
        <v>0</v>
      </c>
      <c r="AA141" s="498">
        <f>IFERROR(IF(AND(AA$54&gt;=EOMONTH($J141,-1)+1,AA$54&lt;=EOMONTH(EOMONTH($J141,-1)+1,$K141-1)),IF(NOT(ISBLANK($N141)),$N141/$K141,$I141/$K141),0),0)</f>
        <v>0</v>
      </c>
      <c r="AB141" s="89">
        <f t="shared" ref="AB141" si="274">SUM(Y141:AA141)</f>
        <v>0</v>
      </c>
      <c r="AC141" s="498">
        <f>IFERROR(IF(AND(AC$54&gt;=EOMONTH($J141,-1)+1,AC$54&lt;=EOMONTH(EOMONTH($J141,-1)+1,$K141-1)),IF(NOT(ISBLANK($N141)),$N141/$K141,$I141/$K141),0),0)</f>
        <v>19169.666666666668</v>
      </c>
      <c r="AD141" s="498">
        <f>IFERROR(IF(AND(AD$54&gt;=EOMONTH($J141,-1)+1,AD$54&lt;=EOMONTH(EOMONTH($J141,-1)+1,$K141-1)),IF(NOT(ISBLANK($N141)),$N141/$K141,$I141/$K141),0),0)</f>
        <v>19169.666666666668</v>
      </c>
      <c r="AE141" s="498">
        <f>IFERROR(IF(AND(AE$54&gt;=EOMONTH($J141,-1)+1,AE$54&lt;=EOMONTH(EOMONTH($J141,-1)+1,$K141-1)),IF(NOT(ISBLANK($N141)),$N141/$K141,$I141/$K141),0),0)</f>
        <v>19169.666666666668</v>
      </c>
      <c r="AF141" s="89">
        <f t="shared" si="253"/>
        <v>57509</v>
      </c>
      <c r="AG141" s="498">
        <f>IFERROR(IF(AND(AG$54&gt;=EOMONTH($J141,-1)+1,AG$54&lt;=EOMONTH(EOMONTH($J141,-1)+1,$K141-1)),IF(NOT(ISBLANK($N141)),$N141/$K141,$I141/$K141),0),0)</f>
        <v>19169.666666666668</v>
      </c>
      <c r="AH141" s="498">
        <f>IFERROR(IF(AND(AH$54&gt;=EOMONTH($J141,-1)+1,AH$54&lt;=EOMONTH(EOMONTH($J141,-1)+1,$K141-1)),IF(NOT(ISBLANK($N141)),$N141/$K141,$I141/$K141),0),0)</f>
        <v>19169.666666666668</v>
      </c>
      <c r="AI141" s="498">
        <f>IFERROR(IF(AND(AI$54&gt;=EOMONTH($J141,-1)+1,AI$54&lt;=EOMONTH(EOMONTH($J141,-1)+1,$K141-1)),IF(NOT(ISBLANK($N141)),$N141/$K141,$I141/$K141),0),0)</f>
        <v>19169.666666666668</v>
      </c>
      <c r="AJ141" s="89">
        <f t="shared" si="144"/>
        <v>57509</v>
      </c>
      <c r="AK141" s="95">
        <f t="shared" si="145"/>
        <v>115018</v>
      </c>
      <c r="AL141" s="338" t="s">
        <v>517</v>
      </c>
      <c r="AM141" s="1407"/>
      <c r="AN141" s="1334"/>
      <c r="AO141" s="1403">
        <f>N141*AN141</f>
        <v>0</v>
      </c>
      <c r="AP141" s="62" t="str">
        <f>C141</f>
        <v>44 - Mudança de fonte Usiminas para Arcelor</v>
      </c>
      <c r="AQ141" s="62" t="s">
        <v>311</v>
      </c>
      <c r="AR141" s="508" cm="1">
        <f t="array" aca="1" ref="AR141" ca="1">IF(OR(AP141="",AP141=0),"",IF(SUMPRODUCT(($C$55:$C$175=AP141)*(U$54:$AI$54&lt;EOMONTH(TODAY(),-1)+1)*(ISNUMBER(U$55:$AI$175)),U$55:$AI$175)=0,"",SUMPRODUCT(($C$55:$C$175=AP141)*(U$54:$AI$54&lt;EOMONTH(TODAY(),-1)+1)*(ISNUMBER(U$55:$AI$175)),U$55:$AI$175)))</f>
        <v>19169.666666666668</v>
      </c>
      <c r="AS141" s="508" t="str">
        <f>A141</f>
        <v>BSW</v>
      </c>
      <c r="AU141" s="1566">
        <f t="shared" ref="AU141" si="275">IF(OR(I141="",K141=""),0,(I141/12)*K141)</f>
        <v>115000</v>
      </c>
      <c r="AV141" s="1566">
        <f t="shared" ref="AV141" si="276">IF(OR(N141="",K141="",K141=0),0,(N141/K141)*12)</f>
        <v>230036</v>
      </c>
    </row>
    <row r="142" spans="1:48" ht="29.1" customHeight="1" x14ac:dyDescent="0.3">
      <c r="A142" s="1694"/>
      <c r="B142" s="1709"/>
      <c r="C142" s="1700"/>
      <c r="D142" s="1455"/>
      <c r="E142" s="1450"/>
      <c r="F142" s="1452"/>
      <c r="G142" s="1367"/>
      <c r="H142" s="1519"/>
      <c r="I142" s="1707"/>
      <c r="J142" s="1379"/>
      <c r="K142" s="1388"/>
      <c r="L142" s="1396"/>
      <c r="M142" s="1721"/>
      <c r="N142" s="1705"/>
      <c r="O142" s="1330"/>
      <c r="P142" s="1681"/>
      <c r="Q142" s="1668"/>
      <c r="R142" s="1330"/>
      <c r="S142" s="93" t="s">
        <v>117</v>
      </c>
      <c r="T142" s="727">
        <v>0.36</v>
      </c>
      <c r="U142" s="290"/>
      <c r="V142" s="290"/>
      <c r="W142" s="290"/>
      <c r="X142" s="288">
        <f t="shared" ref="X142" si="277">SUM(U142:W142)</f>
        <v>0</v>
      </c>
      <c r="Y142" s="290"/>
      <c r="Z142" s="290"/>
      <c r="AA142" s="290"/>
      <c r="AB142" s="288">
        <f t="shared" ref="AB142" si="278">SUM(Y142:AA142)</f>
        <v>0</v>
      </c>
      <c r="AC142" s="290">
        <v>28959.052121999986</v>
      </c>
      <c r="AD142" s="290"/>
      <c r="AE142" s="290"/>
      <c r="AF142" s="288">
        <f t="shared" si="253"/>
        <v>28959.052121999986</v>
      </c>
      <c r="AG142" s="290"/>
      <c r="AH142" s="290"/>
      <c r="AI142" s="290"/>
      <c r="AJ142" s="288">
        <f t="shared" si="144"/>
        <v>0</v>
      </c>
      <c r="AK142" s="291">
        <f t="shared" si="145"/>
        <v>28959.052121999986</v>
      </c>
      <c r="AL142" s="97"/>
      <c r="AM142" s="1408"/>
      <c r="AN142" s="1330"/>
      <c r="AO142" s="1404"/>
      <c r="AP142" s="62" t="str">
        <f>C141</f>
        <v>44 - Mudança de fonte Usiminas para Arcelor</v>
      </c>
      <c r="AQ142" s="62" t="s">
        <v>313</v>
      </c>
      <c r="AR142" s="508" cm="1">
        <f t="array" aca="1" ref="AR142" ca="1">IF(OR(AP142="",AP142=0),"",IF(SUMPRODUCT(($C$55:$C$175=AP142)*($U$54:AI$54&lt;=TODAY())*(ISNUMBER($U$56:AI$176)),$U$56:AI$176)=0,"",SUMPRODUCT(($C$55:$C$175=AP142)*($U$54:AI$54&lt;=TODAY())*(ISNUMBER($U$56:AI$176)),$U$56:AI$176)))</f>
        <v>28959.052121999986</v>
      </c>
      <c r="AS142" s="508" t="str">
        <f>A141</f>
        <v>BSW</v>
      </c>
      <c r="AU142" s="1567"/>
      <c r="AV142" s="1567"/>
    </row>
    <row r="143" spans="1:48" ht="29.1" customHeight="1" x14ac:dyDescent="0.3">
      <c r="A143" s="1691" t="s">
        <v>91</v>
      </c>
      <c r="B143" s="1701" t="s">
        <v>95</v>
      </c>
      <c r="C143" s="1716" t="s">
        <v>518</v>
      </c>
      <c r="D143" s="1486" t="s">
        <v>519</v>
      </c>
      <c r="E143" s="1368" t="s">
        <v>520</v>
      </c>
      <c r="F143" s="1370" t="s">
        <v>376</v>
      </c>
      <c r="G143" s="1372">
        <v>46118</v>
      </c>
      <c r="H143" s="1372">
        <v>46126</v>
      </c>
      <c r="I143" s="1354">
        <v>106000</v>
      </c>
      <c r="J143" s="1376">
        <v>46136</v>
      </c>
      <c r="K143" s="1389">
        <f t="shared" ref="K143" si="279">IF(J143="", "", 12 - MONTH(J143) + 1)</f>
        <v>9</v>
      </c>
      <c r="L143" s="1354"/>
      <c r="M143" s="1350" t="s">
        <v>308</v>
      </c>
      <c r="N143" s="1391">
        <v>99381.26</v>
      </c>
      <c r="O143" s="1673" t="s">
        <v>81</v>
      </c>
      <c r="P143" s="1673" t="s">
        <v>309</v>
      </c>
      <c r="Q143" s="1673" t="s">
        <v>309</v>
      </c>
      <c r="R143" s="1327">
        <v>1</v>
      </c>
      <c r="S143" s="87" t="s">
        <v>116</v>
      </c>
      <c r="T143" s="726">
        <v>0.88</v>
      </c>
      <c r="U143" s="287">
        <f>IFERROR(IF(AND(U$54&gt;=EOMONTH($J143,-1)+1,U$54&lt;=EOMONTH(EOMONTH($J143,-1)+1,$K143-1)),IF(NOT(ISBLANK($N143)),$N143/$K143,$I143/$K143),0),0)</f>
        <v>0</v>
      </c>
      <c r="V143" s="287">
        <f>IFERROR(IF(AND(V$54&gt;=EOMONTH($J143,-1)+1,V$54&lt;=EOMONTH(EOMONTH($J143,-1)+1,$K143-1)),IF(NOT(ISBLANK($N143)),$N143/$K143,$I143/$K143),0),0)</f>
        <v>0</v>
      </c>
      <c r="W143" s="287">
        <f>IFERROR(IF(AND(W$54&gt;=EOMONTH($J143,-1)+1,W$54&lt;=EOMONTH(EOMONTH($J143,-1)+1,$K143-1)),IF(NOT(ISBLANK($N143)),$N143/$K143,$I143/$K143),0),0)</f>
        <v>0</v>
      </c>
      <c r="X143" s="89">
        <f t="shared" ref="X143" si="280">SUM(U143:W143)</f>
        <v>0</v>
      </c>
      <c r="Y143" s="815">
        <f>IFERROR(IF(AND(Y$54&gt;=EOMONTH($J143,-1)+1,Y$54&lt;=EOMONTH(EOMONTH($J143,-1)+1,$K143-1)),IF(NOT(ISBLANK($N143)),$N143/$K143,$I143/$K143),0),0)</f>
        <v>11042.362222222222</v>
      </c>
      <c r="Z143" s="287">
        <f>IFERROR(IF(AND(Z$54&gt;=EOMONTH($J143,-1)+1,Z$54&lt;=EOMONTH(EOMONTH($J143,-1)+1,$K143-1)),IF(NOT(ISBLANK($N143)),$N143/$K143,$I143/$K143),0),0)</f>
        <v>11042.362222222222</v>
      </c>
      <c r="AA143" s="287">
        <f>IFERROR(IF(AND(AA$54&gt;=EOMONTH($J143,-1)+1,AA$54&lt;=EOMONTH(EOMONTH($J143,-1)+1,$K143-1)),IF(NOT(ISBLANK($N143)),$N143/$K143,$I143/$K143),0),0)</f>
        <v>11042.362222222222</v>
      </c>
      <c r="AB143" s="89">
        <f t="shared" ref="AB143" si="281">SUM(Y143:AA143)</f>
        <v>33127.08666666667</v>
      </c>
      <c r="AC143" s="287">
        <f>IFERROR(IF(AND(AC$54&gt;=EOMONTH($J143,-1)+1,AC$54&lt;=EOMONTH(EOMONTH($J143,-1)+1,$K143-1)),IF(NOT(ISBLANK($N143)),$N143/$K143,$I143/$K143),0),0)</f>
        <v>11042.362222222222</v>
      </c>
      <c r="AD143" s="287">
        <f>IFERROR(IF(AND(AD$54&gt;=EOMONTH($J143,-1)+1,AD$54&lt;=EOMONTH(EOMONTH($J143,-1)+1,$K143-1)),IF(NOT(ISBLANK($N143)),$N143/$K143,$I143/$K143),0),0)</f>
        <v>11042.362222222222</v>
      </c>
      <c r="AE143" s="287">
        <f>IFERROR(IF(AND(AE$54&gt;=EOMONTH($J143,-1)+1,AE$54&lt;=EOMONTH(EOMONTH($J143,-1)+1,$K143-1)),IF(NOT(ISBLANK($N143)),$N143/$K143,$I143/$K143),0),0)</f>
        <v>11042.362222222222</v>
      </c>
      <c r="AF143" s="89">
        <f t="shared" si="253"/>
        <v>33127.08666666667</v>
      </c>
      <c r="AG143" s="287">
        <f>IFERROR(IF(AND(AG$54&gt;=EOMONTH($J143,-1)+1,AG$54&lt;=EOMONTH(EOMONTH($J143,-1)+1,$K143-1)),IF(NOT(ISBLANK($N143)),$N143/$K143,$I143/$K143),0),0)</f>
        <v>11042.362222222222</v>
      </c>
      <c r="AH143" s="287">
        <f>IFERROR(IF(AND(AH$54&gt;=EOMONTH($J143,-1)+1,AH$54&lt;=EOMONTH(EOMONTH($J143,-1)+1,$K143-1)),IF(NOT(ISBLANK($N143)),$N143/$K143,$I143/$K143),0),0)</f>
        <v>11042.362222222222</v>
      </c>
      <c r="AI143" s="287">
        <f>IFERROR(IF(AND(AI$54&gt;=EOMONTH($J143,-1)+1,AI$54&lt;=EOMONTH(EOMONTH($J143,-1)+1,$K143-1)),IF(NOT(ISBLANK($N143)),$N143/$K143,$I143/$K143),0),0)</f>
        <v>11042.362222222222</v>
      </c>
      <c r="AJ143" s="89">
        <f t="shared" si="144"/>
        <v>33127.08666666667</v>
      </c>
      <c r="AK143" s="90">
        <f t="shared" si="145"/>
        <v>99381.260000000009</v>
      </c>
      <c r="AL143" s="337" t="s">
        <v>521</v>
      </c>
      <c r="AM143" s="1370"/>
      <c r="AN143" s="1411"/>
      <c r="AO143" s="1405">
        <f>N143*AN143</f>
        <v>0</v>
      </c>
      <c r="AP143" s="62" t="str">
        <f>C143</f>
        <v>45 - Redução de MP GM000409Z</v>
      </c>
      <c r="AQ143" s="62" t="s">
        <v>311</v>
      </c>
      <c r="AR143" s="508" cm="1">
        <f t="array" aca="1" ref="AR143" ca="1">IF(OR(AP143="",AP143=0),"",IF(SUMPRODUCT(($C$55:$C$175=AP143)*(U$54:$AI$54&lt;EOMONTH(TODAY(),-1)+1)*(ISNUMBER(U$55:$AI$175)),U$55:$AI$175)=0,"",SUMPRODUCT(($C$55:$C$175=AP143)*(U$54:$AI$54&lt;EOMONTH(TODAY(),-1)+1)*(ISNUMBER(U$55:$AI$175)),U$55:$AI$175)))</f>
        <v>44169.448888888888</v>
      </c>
      <c r="AS143" s="508" t="str">
        <f>A143</f>
        <v>BSW</v>
      </c>
      <c r="AU143" s="1566">
        <f t="shared" ref="AU143" si="282">IF(OR(I143="",K143=""),0,(I143/12)*K143)</f>
        <v>79500</v>
      </c>
      <c r="AV143" s="1566">
        <f t="shared" ref="AV143" si="283">IF(OR(N143="",K143="",K143=0),0,(N143/K143)*12)</f>
        <v>132508.34666666668</v>
      </c>
    </row>
    <row r="144" spans="1:48" ht="29.1" customHeight="1" x14ac:dyDescent="0.3">
      <c r="A144" s="1692"/>
      <c r="B144" s="1702"/>
      <c r="C144" s="1717"/>
      <c r="D144" s="1487"/>
      <c r="E144" s="1369"/>
      <c r="F144" s="1371"/>
      <c r="G144" s="1373"/>
      <c r="H144" s="1373"/>
      <c r="I144" s="1355"/>
      <c r="J144" s="1377"/>
      <c r="K144" s="1390"/>
      <c r="L144" s="1355"/>
      <c r="M144" s="1460"/>
      <c r="N144" s="1392"/>
      <c r="O144" s="1674"/>
      <c r="P144" s="1674"/>
      <c r="Q144" s="1674"/>
      <c r="R144" s="1328"/>
      <c r="S144" s="87" t="s">
        <v>117</v>
      </c>
      <c r="T144" s="726">
        <v>1</v>
      </c>
      <c r="U144" s="287"/>
      <c r="V144" s="287"/>
      <c r="W144" s="287"/>
      <c r="X144" s="288">
        <f t="shared" ref="X144" si="284">SUM(U144:W144)</f>
        <v>0</v>
      </c>
      <c r="Y144" s="287">
        <v>17332.851081749934</v>
      </c>
      <c r="Z144" s="287">
        <v>17327.920673249933</v>
      </c>
      <c r="AA144" s="287">
        <v>21476.859425999915</v>
      </c>
      <c r="AB144" s="288">
        <f t="shared" ref="AB144" si="285">SUM(Y144:AA144)</f>
        <v>56137.631180999779</v>
      </c>
      <c r="AC144" s="287">
        <v>20500.638542999921</v>
      </c>
      <c r="AD144" s="287"/>
      <c r="AE144" s="287"/>
      <c r="AF144" s="288">
        <f t="shared" si="253"/>
        <v>20500.638542999921</v>
      </c>
      <c r="AG144" s="287"/>
      <c r="AH144" s="287"/>
      <c r="AI144" s="287"/>
      <c r="AJ144" s="288">
        <f t="shared" si="144"/>
        <v>0</v>
      </c>
      <c r="AK144" s="289">
        <f t="shared" si="145"/>
        <v>76638.269723999692</v>
      </c>
      <c r="AL144" s="337"/>
      <c r="AM144" s="1371"/>
      <c r="AN144" s="1412"/>
      <c r="AO144" s="1406"/>
      <c r="AP144" s="62" t="str">
        <f>C143</f>
        <v>45 - Redução de MP GM000409Z</v>
      </c>
      <c r="AQ144" s="62" t="s">
        <v>313</v>
      </c>
      <c r="AR144" s="508" cm="1">
        <f t="array" aca="1" ref="AR144" ca="1">IF(OR(AP144="",AP144=0),"",IF(SUMPRODUCT(($C$55:$C$175=AP144)*($U$54:AI$54&lt;=TODAY())*(ISNUMBER($U$56:AI$176)),$U$56:AI$176)=0,"",SUMPRODUCT(($C$55:$C$175=AP144)*($U$54:AI$54&lt;=TODAY())*(ISNUMBER($U$56:AI$176)),$U$56:AI$176)))</f>
        <v>76638.269723999692</v>
      </c>
      <c r="AS144" s="508" t="str">
        <f>A143</f>
        <v>BSW</v>
      </c>
      <c r="AU144" s="1567"/>
      <c r="AV144" s="1567"/>
    </row>
    <row r="145" spans="1:48" ht="29.1" customHeight="1" x14ac:dyDescent="0.3">
      <c r="A145" s="1708" t="s">
        <v>61</v>
      </c>
      <c r="B145" s="1708" t="s">
        <v>97</v>
      </c>
      <c r="C145" s="1699" t="s">
        <v>522</v>
      </c>
      <c r="D145" s="1356" t="s">
        <v>523</v>
      </c>
      <c r="E145" s="1449" t="s">
        <v>524</v>
      </c>
      <c r="F145" s="1451" t="s">
        <v>506</v>
      </c>
      <c r="G145" s="1366">
        <v>46073</v>
      </c>
      <c r="H145" s="1366">
        <v>46108</v>
      </c>
      <c r="I145" s="1488">
        <v>4840</v>
      </c>
      <c r="J145" s="1378">
        <v>46113</v>
      </c>
      <c r="K145" s="1387">
        <f t="shared" ref="K145" si="286">IF(J145="", "", 12 - MONTH(J145) + 1)</f>
        <v>9</v>
      </c>
      <c r="L145" s="1395"/>
      <c r="M145" s="1734"/>
      <c r="N145" s="1735"/>
      <c r="O145" s="1671" t="s">
        <v>81</v>
      </c>
      <c r="P145" s="1671" t="s">
        <v>309</v>
      </c>
      <c r="Q145" s="1671" t="s">
        <v>309</v>
      </c>
      <c r="R145" s="1334">
        <v>1</v>
      </c>
      <c r="S145" s="93" t="s">
        <v>116</v>
      </c>
      <c r="T145" s="727">
        <v>1</v>
      </c>
      <c r="U145" s="498">
        <f>IFERROR(IF(AND(U$54&gt;=EOMONTH($J145,-1)+1,U$54&lt;=EOMONTH(EOMONTH($J145,-1)+1,$K145-1)),IF(NOT(ISBLANK($N145)),$N145/$K145,$I145/$K145),0),0)</f>
        <v>0</v>
      </c>
      <c r="V145" s="498">
        <f>IFERROR(IF(AND(V$54&gt;=EOMONTH($J145,-1)+1,V$54&lt;=EOMONTH(EOMONTH($J145,-1)+1,$K145-1)),IF(NOT(ISBLANK($N145)),$N145/$K145,$I145/$K145),0),0)</f>
        <v>0</v>
      </c>
      <c r="W145" s="498">
        <f>IFERROR(IF(AND(W$54&gt;=EOMONTH($J145,-1)+1,W$54&lt;=EOMONTH(EOMONTH($J145,-1)+1,$K145-1)),IF(NOT(ISBLANK($N145)),$N145/$K145,$I145/$K145),0),0)</f>
        <v>0</v>
      </c>
      <c r="X145" s="89">
        <f t="shared" ref="X145" si="287">SUM(U145:W145)</f>
        <v>0</v>
      </c>
      <c r="Y145" s="596">
        <f>IFERROR(IF(AND(Y$54&gt;=EOMONTH($J145,-1)+1,Y$54&lt;=EOMONTH(EOMONTH($J145,-1)+1,$K145-1)),IF(NOT(ISBLANK($N145)),$N145/$K145,$I145/$K145),0),0)</f>
        <v>537.77777777777783</v>
      </c>
      <c r="Z145" s="498">
        <f>IFERROR(IF(AND(Z$54&gt;=EOMONTH($J145,-1)+1,Z$54&lt;=EOMONTH(EOMONTH($J145,-1)+1,$K145-1)),IF(NOT(ISBLANK($N145)),$N145/$K145,$I145/$K145),0),0)</f>
        <v>537.77777777777783</v>
      </c>
      <c r="AA145" s="498">
        <f>IFERROR(IF(AND(AA$54&gt;=EOMONTH($J145,-1)+1,AA$54&lt;=EOMONTH(EOMONTH($J145,-1)+1,$K145-1)),IF(NOT(ISBLANK($N145)),$N145/$K145,$I145/$K145),0),0)</f>
        <v>537.77777777777783</v>
      </c>
      <c r="AB145" s="89">
        <f t="shared" ref="AB145" si="288">SUM(Y145:AA145)</f>
        <v>1613.3333333333335</v>
      </c>
      <c r="AC145" s="498">
        <f>IFERROR(IF(AND(AC$54&gt;=EOMONTH($J145,-1)+1,AC$54&lt;=EOMONTH(EOMONTH($J145,-1)+1,$K145-1)),IF(NOT(ISBLANK($N145)),$N145/$K145,$I145/$K145),0),0)</f>
        <v>537.77777777777783</v>
      </c>
      <c r="AD145" s="498">
        <f>IFERROR(IF(AND(AD$54&gt;=EOMONTH($J145,-1)+1,AD$54&lt;=EOMONTH(EOMONTH($J145,-1)+1,$K145-1)),IF(NOT(ISBLANK($N145)),$N145/$K145,$I145/$K145),0),0)</f>
        <v>537.77777777777783</v>
      </c>
      <c r="AE145" s="498">
        <f>IFERROR(IF(AND(AE$54&gt;=EOMONTH($J145,-1)+1,AE$54&lt;=EOMONTH(EOMONTH($J145,-1)+1,$K145-1)),IF(NOT(ISBLANK($N145)),$N145/$K145,$I145/$K145),0),0)</f>
        <v>537.77777777777783</v>
      </c>
      <c r="AF145" s="89">
        <f t="shared" si="253"/>
        <v>1613.3333333333335</v>
      </c>
      <c r="AG145" s="498">
        <f>IFERROR(IF(AND(AG$54&gt;=EOMONTH($J145,-1)+1,AG$54&lt;=EOMONTH(EOMONTH($J145,-1)+1,$K145-1)),IF(NOT(ISBLANK($N145)),$N145/$K145,$I145/$K145),0),0)</f>
        <v>537.77777777777783</v>
      </c>
      <c r="AH145" s="498">
        <f>IFERROR(IF(AND(AH$54&gt;=EOMONTH($J145,-1)+1,AH$54&lt;=EOMONTH(EOMONTH($J145,-1)+1,$K145-1)),IF(NOT(ISBLANK($N145)),$N145/$K145,$I145/$K145),0),0)</f>
        <v>537.77777777777783</v>
      </c>
      <c r="AI145" s="498">
        <f>IFERROR(IF(AND(AI$54&gt;=EOMONTH($J145,-1)+1,AI$54&lt;=EOMONTH(EOMONTH($J145,-1)+1,$K145-1)),IF(NOT(ISBLANK($N145)),$N145/$K145,$I145/$K145),0),0)</f>
        <v>537.77777777777783</v>
      </c>
      <c r="AJ145" s="89">
        <f t="shared" si="144"/>
        <v>1613.3333333333335</v>
      </c>
      <c r="AK145" s="95">
        <f t="shared" si="145"/>
        <v>4840</v>
      </c>
      <c r="AL145" s="338" t="s">
        <v>525</v>
      </c>
      <c r="AM145" s="1407"/>
      <c r="AN145" s="1334"/>
      <c r="AO145" s="1403">
        <f>N145*AN145</f>
        <v>0</v>
      </c>
      <c r="AP145" s="62" t="str">
        <f>C145</f>
        <v>46 - AGUA DESMINERALIZADA</v>
      </c>
      <c r="AQ145" s="62" t="s">
        <v>311</v>
      </c>
      <c r="AR145" s="508" cm="1">
        <f t="array" aca="1" ref="AR145" ca="1">IF(OR(AP145="",AP145=0),"",IF(SUMPRODUCT(($C$55:$C$175=AP145)*(U$54:$AI$54&lt;EOMONTH(TODAY(),-1)+1)*(ISNUMBER(U$55:$AI$175)),U$55:$AI$175)=0,"",SUMPRODUCT(($C$55:$C$175=AP145)*(U$54:$AI$54&lt;EOMONTH(TODAY(),-1)+1)*(ISNUMBER(U$55:$AI$175)),U$55:$AI$175)))</f>
        <v>2151.1111111111113</v>
      </c>
      <c r="AS145" s="508" t="str">
        <f>A145</f>
        <v>Kaizen - Custo Evitado</v>
      </c>
      <c r="AU145" s="1566">
        <f t="shared" ref="AU145" si="289">IF(OR(I145="",K145=""),0,(I145/12)*K145)</f>
        <v>3630</v>
      </c>
      <c r="AV145" s="1566">
        <f t="shared" ref="AV145" si="290">IF(OR(N145="",K145="",K145=0),0,(N145/K145)*12)</f>
        <v>0</v>
      </c>
    </row>
    <row r="146" spans="1:48" ht="29.1" customHeight="1" x14ac:dyDescent="0.3">
      <c r="A146" s="1709"/>
      <c r="B146" s="1709"/>
      <c r="C146" s="1700"/>
      <c r="D146" s="1455"/>
      <c r="E146" s="1450"/>
      <c r="F146" s="1452"/>
      <c r="G146" s="1367"/>
      <c r="H146" s="1367"/>
      <c r="I146" s="1367"/>
      <c r="J146" s="1379"/>
      <c r="K146" s="1388"/>
      <c r="L146" s="1396"/>
      <c r="M146" s="1721"/>
      <c r="N146" s="1705"/>
      <c r="O146" s="1672"/>
      <c r="P146" s="1672"/>
      <c r="Q146" s="1672"/>
      <c r="R146" s="1330"/>
      <c r="S146" s="93" t="s">
        <v>117</v>
      </c>
      <c r="T146" s="727">
        <v>1</v>
      </c>
      <c r="U146" s="290"/>
      <c r="V146" s="290"/>
      <c r="W146" s="290"/>
      <c r="X146" s="288">
        <f t="shared" ref="X146:X168" si="291">SUM(U146:W146)</f>
        <v>0</v>
      </c>
      <c r="Y146" s="965"/>
      <c r="Z146" s="965"/>
      <c r="AA146" s="965"/>
      <c r="AB146" s="288">
        <f t="shared" ref="AB146:AB168" si="292">SUM(Y146:AA146)</f>
        <v>0</v>
      </c>
      <c r="AC146" s="1023"/>
      <c r="AD146" s="1023"/>
      <c r="AE146" s="1023"/>
      <c r="AF146" s="288">
        <f t="shared" si="253"/>
        <v>0</v>
      </c>
      <c r="AG146" s="290"/>
      <c r="AH146" s="290"/>
      <c r="AI146" s="290"/>
      <c r="AJ146" s="288">
        <f t="shared" si="144"/>
        <v>0</v>
      </c>
      <c r="AK146" s="291">
        <f t="shared" si="145"/>
        <v>0</v>
      </c>
      <c r="AL146" s="97"/>
      <c r="AM146" s="1408"/>
      <c r="AN146" s="1330"/>
      <c r="AO146" s="1404"/>
      <c r="AP146" s="62" t="str">
        <f>C145</f>
        <v>46 - AGUA DESMINERALIZADA</v>
      </c>
      <c r="AQ146" s="62" t="s">
        <v>313</v>
      </c>
      <c r="AR146" s="508" t="str" cm="1">
        <f t="array" aca="1" ref="AR146" ca="1">IF(OR(AP146="",AP146=0),"",IF(SUMPRODUCT(($C$55:$C$175=AP146)*($U$54:AI$54&lt;=TODAY())*(ISNUMBER($U$56:AI$176)),$U$56:AI$176)=0,"",SUMPRODUCT(($C$55:$C$175=AP146)*($U$54:AI$54&lt;=TODAY())*(ISNUMBER($U$56:AI$176)),$U$56:AI$176)))</f>
        <v/>
      </c>
      <c r="AS146" s="508" t="str">
        <f>A145</f>
        <v>Kaizen - Custo Evitado</v>
      </c>
      <c r="AU146" s="1567"/>
      <c r="AV146" s="1567"/>
    </row>
    <row r="147" spans="1:48" ht="33.75" customHeight="1" x14ac:dyDescent="0.3">
      <c r="A147" s="1691" t="s">
        <v>91</v>
      </c>
      <c r="B147" s="1701" t="s">
        <v>95</v>
      </c>
      <c r="C147" s="1695" t="s">
        <v>526</v>
      </c>
      <c r="D147" s="1486" t="s">
        <v>527</v>
      </c>
      <c r="E147" s="1368" t="s">
        <v>528</v>
      </c>
      <c r="F147" s="1370" t="s">
        <v>376</v>
      </c>
      <c r="G147" s="1372">
        <v>46119</v>
      </c>
      <c r="H147" s="1372">
        <v>46206</v>
      </c>
      <c r="I147" s="1710">
        <v>189200</v>
      </c>
      <c r="J147" s="1376">
        <v>46235</v>
      </c>
      <c r="K147" s="1389">
        <f>IF(J147="", "", 12 - MONTH(J147) + 1)</f>
        <v>5</v>
      </c>
      <c r="L147" s="1354"/>
      <c r="M147" s="1350" t="s">
        <v>308</v>
      </c>
      <c r="N147" s="1391">
        <v>70963.59</v>
      </c>
      <c r="O147" s="1327" t="s">
        <v>83</v>
      </c>
      <c r="P147" s="1678" t="s">
        <v>516</v>
      </c>
      <c r="Q147" s="1669">
        <v>46240</v>
      </c>
      <c r="R147" s="1327">
        <v>0.5</v>
      </c>
      <c r="S147" s="87" t="s">
        <v>116</v>
      </c>
      <c r="T147" s="726">
        <v>0.24</v>
      </c>
      <c r="U147" s="287">
        <f>IFERROR(IF(AND(U$54&gt;=EOMONTH($J147,-1)+1,U$54&lt;=EOMONTH(EOMONTH($J147,-1)+1,$K147-1)),IF(NOT(ISBLANK($N147)),$N147/$K147,$I147/$K147),0),0)</f>
        <v>0</v>
      </c>
      <c r="V147" s="287">
        <f>IFERROR(IF(AND(V$54&gt;=EOMONTH($J147,-1)+1,V$54&lt;=EOMONTH(EOMONTH($J147,-1)+1,$K147-1)),IF(NOT(ISBLANK($N147)),$N147/$K147,$I147/$K147),0),0)</f>
        <v>0</v>
      </c>
      <c r="W147" s="287">
        <f>IFERROR(IF(AND(W$54&gt;=EOMONTH($J147,-1)+1,W$54&lt;=EOMONTH(EOMONTH($J147,-1)+1,$K147-1)),IF(NOT(ISBLANK($N147)),$N147/$K147,$I147/$K147),0),0)</f>
        <v>0</v>
      </c>
      <c r="X147" s="89">
        <f t="shared" si="291"/>
        <v>0</v>
      </c>
      <c r="Y147" s="287">
        <f>IFERROR(IF(AND(Y$54&gt;=EOMONTH($J147,-1)+1,Y$54&lt;=EOMONTH(EOMONTH($J147,-1)+1,$K147-1)),IF(NOT(ISBLANK($N147)),$N147/$K147,$I147/$K147),0),0)</f>
        <v>0</v>
      </c>
      <c r="Z147" s="287">
        <f>IFERROR(IF(AND(Z$54&gt;=EOMONTH($J147,-1)+1,Z$54&lt;=EOMONTH(EOMONTH($J147,-1)+1,$K147-1)),IF(NOT(ISBLANK($N147)),$N147/$K147,$I147/$K147),0),0)</f>
        <v>0</v>
      </c>
      <c r="AA147" s="287">
        <f>IFERROR(IF(AND(AA$54&gt;=EOMONTH($J147,-1)+1,AA$54&lt;=EOMONTH(EOMONTH($J147,-1)+1,$K147-1)),IF(NOT(ISBLANK($N147)),$N147/$K147,$I147/$K147),0),0)</f>
        <v>0</v>
      </c>
      <c r="AB147" s="89">
        <f t="shared" si="292"/>
        <v>0</v>
      </c>
      <c r="AC147" s="287">
        <f>IFERROR(IF(AND(AC$54&gt;=EOMONTH($J147,-1)+1,AC$54&lt;=EOMONTH(EOMONTH($J147,-1)+1,$K147-1)),IF(NOT(ISBLANK($N147)),$N147/$K147,$I147/$K147),0),0)</f>
        <v>0</v>
      </c>
      <c r="AD147" s="287">
        <f>IFERROR(IF(AND(AD$54&gt;=EOMONTH($J147,-1)+1,AD$54&lt;=EOMONTH(EOMONTH($J147,-1)+1,$K147-1)),IF(NOT(ISBLANK($N147)),$N147/$K147,$I147/$K147),0),0)</f>
        <v>14192.717999999999</v>
      </c>
      <c r="AE147" s="287">
        <f>IFERROR(IF(AND(AE$54&gt;=EOMONTH($J147,-1)+1,AE$54&lt;=EOMONTH(EOMONTH($J147,-1)+1,$K147-1)),IF(NOT(ISBLANK($N147)),$N147/$K147,$I147/$K147),0),0)</f>
        <v>14192.717999999999</v>
      </c>
      <c r="AF147" s="89">
        <f t="shared" si="253"/>
        <v>28385.435999999998</v>
      </c>
      <c r="AG147" s="287">
        <f>IFERROR(IF(AND(AG$54&gt;=EOMONTH($J147,-1)+1,AG$54&lt;=EOMONTH(EOMONTH($J147,-1)+1,$K147-1)),IF(NOT(ISBLANK($N147)),$N147/$K147,$I147/$K147),0),0)</f>
        <v>14192.717999999999</v>
      </c>
      <c r="AH147" s="287">
        <f>IFERROR(IF(AND(AH$54&gt;=EOMONTH($J147,-1)+1,AH$54&lt;=EOMONTH(EOMONTH($J147,-1)+1,$K147-1)),IF(NOT(ISBLANK($N147)),$N147/$K147,$I147/$K147),0),0)</f>
        <v>14192.717999999999</v>
      </c>
      <c r="AI147" s="287">
        <f>IFERROR(IF(AND(AI$54&gt;=EOMONTH($J147,-1)+1,AI$54&lt;=EOMONTH(EOMONTH($J147,-1)+1,$K147-1)),IF(NOT(ISBLANK($N147)),$N147/$K147,$I147/$K147),0),0)</f>
        <v>14192.717999999999</v>
      </c>
      <c r="AJ147" s="89">
        <f t="shared" si="144"/>
        <v>42578.153999999995</v>
      </c>
      <c r="AK147" s="90">
        <f t="shared" si="145"/>
        <v>70963.59</v>
      </c>
      <c r="AL147" s="92" t="s">
        <v>529</v>
      </c>
      <c r="AM147" s="1370"/>
      <c r="AN147" s="1411"/>
      <c r="AO147" s="1405">
        <f>N147*AN147</f>
        <v>0</v>
      </c>
      <c r="AP147" s="62" t="str">
        <f>C147</f>
        <v>47 - REDUÇÃO DE MP DJ000079Z – 80Z</v>
      </c>
      <c r="AQ147" s="62" t="s">
        <v>311</v>
      </c>
      <c r="AR147" s="508" t="str" cm="1">
        <f t="array" aca="1" ref="AR147" ca="1">IF(OR(AP147="",AP147=0),"",IF(SUMPRODUCT(($C$55:$C$175=AP147)*(U$54:$AI$54&lt;EOMONTH(TODAY(),-1)+1)*(ISNUMBER(U$55:$AI$175)),U$55:$AI$175)=0,"",SUMPRODUCT(($C$55:$C$175=AP147)*(U$54:$AI$54&lt;EOMONTH(TODAY(),-1)+1)*(ISNUMBER(U$55:$AI$175)),U$55:$AI$175)))</f>
        <v/>
      </c>
      <c r="AS147" s="508" t="str">
        <f>A147</f>
        <v>BSW</v>
      </c>
      <c r="AU147" s="1566">
        <f t="shared" ref="AU147" si="293">IF(OR(I147="",K147=""),0,(I147/12)*K147)</f>
        <v>78833.333333333328</v>
      </c>
      <c r="AV147" s="1566">
        <f t="shared" ref="AV147" si="294">IF(OR(N147="",K147="",K147=0),0,(N147/K147)*12)</f>
        <v>170312.61599999998</v>
      </c>
    </row>
    <row r="148" spans="1:48" ht="30.75" customHeight="1" x14ac:dyDescent="0.3">
      <c r="A148" s="1692"/>
      <c r="B148" s="1702"/>
      <c r="C148" s="1696"/>
      <c r="D148" s="1487"/>
      <c r="E148" s="1369"/>
      <c r="F148" s="1371"/>
      <c r="G148" s="1373"/>
      <c r="H148" s="1373"/>
      <c r="I148" s="1711"/>
      <c r="J148" s="1377"/>
      <c r="K148" s="1390"/>
      <c r="L148" s="1355"/>
      <c r="M148" s="1460"/>
      <c r="N148" s="1392"/>
      <c r="O148" s="1328"/>
      <c r="P148" s="1682"/>
      <c r="Q148" s="1670"/>
      <c r="R148" s="1328"/>
      <c r="S148" s="87" t="s">
        <v>117</v>
      </c>
      <c r="T148" s="727">
        <v>0.38</v>
      </c>
      <c r="U148" s="287"/>
      <c r="V148" s="287"/>
      <c r="W148" s="287"/>
      <c r="X148" s="288">
        <f t="shared" si="291"/>
        <v>0</v>
      </c>
      <c r="Y148" s="287"/>
      <c r="Z148" s="287"/>
      <c r="AA148" s="287"/>
      <c r="AB148" s="288">
        <f t="shared" si="292"/>
        <v>0</v>
      </c>
      <c r="AC148" s="287"/>
      <c r="AD148" s="287"/>
      <c r="AE148" s="287"/>
      <c r="AF148" s="288">
        <f t="shared" si="253"/>
        <v>0</v>
      </c>
      <c r="AG148" s="287"/>
      <c r="AH148" s="287"/>
      <c r="AI148" s="287"/>
      <c r="AJ148" s="288">
        <f t="shared" si="144"/>
        <v>0</v>
      </c>
      <c r="AK148" s="289">
        <f t="shared" si="145"/>
        <v>0</v>
      </c>
      <c r="AL148" s="337"/>
      <c r="AM148" s="1371"/>
      <c r="AN148" s="1412"/>
      <c r="AO148" s="1406"/>
      <c r="AP148" s="62" t="str">
        <f>C147</f>
        <v>47 - REDUÇÃO DE MP DJ000079Z – 80Z</v>
      </c>
      <c r="AQ148" s="62" t="s">
        <v>313</v>
      </c>
      <c r="AR148" s="508" t="str" cm="1">
        <f t="array" aca="1" ref="AR148" ca="1">IF(OR(AP148="",AP148=0),"",IF(SUMPRODUCT(($C$55:$C$175=AP148)*($U$54:AI$54&lt;=TODAY())*(ISNUMBER($U$56:AI$176)),$U$56:AI$176)=0,"",SUMPRODUCT(($C$55:$C$175=AP148)*($U$54:AI$54&lt;=TODAY())*(ISNUMBER($U$56:AI$176)),$U$56:AI$176)))</f>
        <v/>
      </c>
      <c r="AS148" s="508" t="str">
        <f>A147</f>
        <v>BSW</v>
      </c>
      <c r="AU148" s="1567"/>
      <c r="AV148" s="1567"/>
    </row>
    <row r="149" spans="1:48" ht="29.1" customHeight="1" x14ac:dyDescent="0.3">
      <c r="A149" s="1693" t="s">
        <v>91</v>
      </c>
      <c r="B149" s="1708" t="s">
        <v>95</v>
      </c>
      <c r="C149" s="1697" t="s">
        <v>530</v>
      </c>
      <c r="D149" s="1356" t="s">
        <v>531</v>
      </c>
      <c r="E149" s="1449" t="s">
        <v>532</v>
      </c>
      <c r="F149" s="1451" t="s">
        <v>376</v>
      </c>
      <c r="G149" s="1366">
        <v>46114</v>
      </c>
      <c r="H149" s="1366">
        <v>46234</v>
      </c>
      <c r="I149" s="1724">
        <v>26400.00099</v>
      </c>
      <c r="J149" s="1378">
        <v>46235</v>
      </c>
      <c r="K149" s="1387">
        <f>IF(J149="", "", 12 - MONTH(J149) + 1)</f>
        <v>5</v>
      </c>
      <c r="L149" s="1395"/>
      <c r="M149" s="1720" t="s">
        <v>308</v>
      </c>
      <c r="N149" s="1728">
        <v>43285.04</v>
      </c>
      <c r="O149" s="1334" t="s">
        <v>83</v>
      </c>
      <c r="P149" s="1680" t="s">
        <v>516</v>
      </c>
      <c r="Q149" s="1675">
        <v>46240</v>
      </c>
      <c r="R149" s="1334">
        <v>0.5</v>
      </c>
      <c r="S149" s="93" t="s">
        <v>116</v>
      </c>
      <c r="T149" s="727">
        <v>0.21</v>
      </c>
      <c r="U149" s="498">
        <f>IFERROR(IF(AND(U$54&gt;=EOMONTH($J149,-1)+1,U$54&lt;=EOMONTH(EOMONTH($J149,-1)+1,$K149-1)),IF(NOT(ISBLANK($N149)),$N149/$K149,$I149/$K149),0),0)</f>
        <v>0</v>
      </c>
      <c r="V149" s="498">
        <f>IFERROR(IF(AND(V$54&gt;=EOMONTH($J149,-1)+1,V$54&lt;=EOMONTH(EOMONTH($J149,-1)+1,$K149-1)),IF(NOT(ISBLANK($N149)),$N149/$K149,$I149/$K149),0),0)</f>
        <v>0</v>
      </c>
      <c r="W149" s="498">
        <f>IFERROR(IF(AND(W$54&gt;=EOMONTH($J149,-1)+1,W$54&lt;=EOMONTH(EOMONTH($J149,-1)+1,$K149-1)),IF(NOT(ISBLANK($N149)),$N149/$K149,$I149/$K149),0),0)</f>
        <v>0</v>
      </c>
      <c r="X149" s="89">
        <f t="shared" si="291"/>
        <v>0</v>
      </c>
      <c r="Y149" s="498">
        <f>IFERROR(IF(AND(Y$54&gt;=EOMONTH($J149,-1)+1,Y$54&lt;=EOMONTH(EOMONTH($J149,-1)+1,$K149-1)),IF(NOT(ISBLANK($N149)),$N149/$K149,$I149/$K149),0),0)</f>
        <v>0</v>
      </c>
      <c r="Z149" s="498">
        <f>IFERROR(IF(AND(Z$54&gt;=EOMONTH($J149,-1)+1,Z$54&lt;=EOMONTH(EOMONTH($J149,-1)+1,$K149-1)),IF(NOT(ISBLANK($N149)),$N149/$K149,$I149/$K149),0),0)</f>
        <v>0</v>
      </c>
      <c r="AA149" s="498">
        <f>IFERROR(IF(AND(AA$54&gt;=EOMONTH($J149,-1)+1,AA$54&lt;=EOMONTH(EOMONTH($J149,-1)+1,$K149-1)),IF(NOT(ISBLANK($N149)),$N149/$K149,$I149/$K149),0),0)</f>
        <v>0</v>
      </c>
      <c r="AB149" s="89">
        <f t="shared" si="292"/>
        <v>0</v>
      </c>
      <c r="AC149" s="498">
        <f>IFERROR(IF(AND(AC$54&gt;=EOMONTH($J149,-1)+1,AC$54&lt;=EOMONTH(EOMONTH($J149,-1)+1,$K149-1)),IF(NOT(ISBLANK($N149)),$N149/$K149,$I149/$K149),0),0)</f>
        <v>0</v>
      </c>
      <c r="AD149" s="498">
        <f>IFERROR(IF(AND(AD$54&gt;=EOMONTH($J149,-1)+1,AD$54&lt;=EOMONTH(EOMONTH($J149,-1)+1,$K149-1)),IF(NOT(ISBLANK($N149)),$N149/$K149,$I149/$K149),0),0)</f>
        <v>8657.0079999999998</v>
      </c>
      <c r="AE149" s="498">
        <f>IFERROR(IF(AND(AE$54&gt;=EOMONTH($J149,-1)+1,AE$54&lt;=EOMONTH(EOMONTH($J149,-1)+1,$K149-1)),IF(NOT(ISBLANK($N149)),$N149/$K149,$I149/$K149),0),0)</f>
        <v>8657.0079999999998</v>
      </c>
      <c r="AF149" s="89">
        <f t="shared" si="253"/>
        <v>17314.016</v>
      </c>
      <c r="AG149" s="498">
        <f>IFERROR(IF(AND(AG$54&gt;=EOMONTH($J149,-1)+1,AG$54&lt;=EOMONTH(EOMONTH($J149,-1)+1,$K149-1)),IF(NOT(ISBLANK($N149)),$N149/$K149,$I149/$K149),0),0)</f>
        <v>8657.0079999999998</v>
      </c>
      <c r="AH149" s="498">
        <f>IFERROR(IF(AND(AH$54&gt;=EOMONTH($J149,-1)+1,AH$54&lt;=EOMONTH(EOMONTH($J149,-1)+1,$K149-1)),IF(NOT(ISBLANK($N149)),$N149/$K149,$I149/$K149),0),0)</f>
        <v>8657.0079999999998</v>
      </c>
      <c r="AI149" s="498">
        <f>IFERROR(IF(AND(AI$54&gt;=EOMONTH($J149,-1)+1,AI$54&lt;=EOMONTH(EOMONTH($J149,-1)+1,$K149-1)),IF(NOT(ISBLANK($N149)),$N149/$K149,$I149/$K149),0),0)</f>
        <v>8657.0079999999998</v>
      </c>
      <c r="AJ149" s="89">
        <f t="shared" si="144"/>
        <v>25971.023999999998</v>
      </c>
      <c r="AK149" s="95">
        <f t="shared" si="145"/>
        <v>43285.039999999994</v>
      </c>
      <c r="AL149" s="97" t="s">
        <v>533</v>
      </c>
      <c r="AM149" s="1407"/>
      <c r="AN149" s="1334"/>
      <c r="AO149" s="1403">
        <f>N149*AN149</f>
        <v>0</v>
      </c>
      <c r="AP149" s="62" t="str">
        <f>C149</f>
        <v>48 - REDUÇÃO DE MP BOZ0150HX1000</v>
      </c>
      <c r="AQ149" s="62" t="s">
        <v>311</v>
      </c>
      <c r="AR149" s="508" t="str" cm="1">
        <f t="array" aca="1" ref="AR149" ca="1">IF(OR(AP149="",AP149=0),"",IF(SUMPRODUCT(($C$55:$C$175=AP149)*(U$54:$AI$54&lt;EOMONTH(TODAY(),-1)+1)*(ISNUMBER(U$55:$AI$175)),U$55:$AI$175)=0,"",SUMPRODUCT(($C$55:$C$175=AP149)*(U$54:$AI$54&lt;EOMONTH(TODAY(),-1)+1)*(ISNUMBER(U$55:$AI$175)),U$55:$AI$175)))</f>
        <v/>
      </c>
      <c r="AS149" s="508" t="str">
        <f>A149</f>
        <v>BSW</v>
      </c>
      <c r="AU149" s="1566">
        <f t="shared" ref="AU149" si="295">IF(OR(I149="",K149=""),0,(I149/12)*K149)</f>
        <v>11000.000412500001</v>
      </c>
      <c r="AV149" s="1566">
        <f t="shared" ref="AV149" si="296">IF(OR(N149="",K149="",K149=0),0,(N149/K149)*12)</f>
        <v>103884.09599999999</v>
      </c>
    </row>
    <row r="150" spans="1:48" ht="29.1" customHeight="1" x14ac:dyDescent="0.3">
      <c r="A150" s="1694"/>
      <c r="B150" s="1709"/>
      <c r="C150" s="1698"/>
      <c r="D150" s="1455"/>
      <c r="E150" s="1450"/>
      <c r="F150" s="1452"/>
      <c r="G150" s="1367"/>
      <c r="H150" s="1367"/>
      <c r="I150" s="1725"/>
      <c r="J150" s="1379"/>
      <c r="K150" s="1388"/>
      <c r="L150" s="1396"/>
      <c r="M150" s="1721"/>
      <c r="N150" s="1729"/>
      <c r="O150" s="1330"/>
      <c r="P150" s="1681"/>
      <c r="Q150" s="1676"/>
      <c r="R150" s="1330"/>
      <c r="S150" s="93" t="s">
        <v>117</v>
      </c>
      <c r="T150" s="727">
        <v>0.52</v>
      </c>
      <c r="U150" s="290"/>
      <c r="V150" s="290"/>
      <c r="W150" s="290"/>
      <c r="X150" s="288">
        <f t="shared" si="291"/>
        <v>0</v>
      </c>
      <c r="Y150" s="290"/>
      <c r="Z150" s="290"/>
      <c r="AA150" s="290"/>
      <c r="AB150" s="288">
        <f t="shared" si="292"/>
        <v>0</v>
      </c>
      <c r="AC150" s="290"/>
      <c r="AD150" s="290"/>
      <c r="AE150" s="290"/>
      <c r="AF150" s="288">
        <f t="shared" si="253"/>
        <v>0</v>
      </c>
      <c r="AG150" s="290"/>
      <c r="AH150" s="290"/>
      <c r="AI150" s="290"/>
      <c r="AJ150" s="288">
        <f t="shared" si="144"/>
        <v>0</v>
      </c>
      <c r="AK150" s="291">
        <f t="shared" si="145"/>
        <v>0</v>
      </c>
      <c r="AL150" s="97"/>
      <c r="AM150" s="1408"/>
      <c r="AN150" s="1330"/>
      <c r="AO150" s="1404"/>
      <c r="AP150" s="62" t="str">
        <f>C149</f>
        <v>48 - REDUÇÃO DE MP BOZ0150HX1000</v>
      </c>
      <c r="AQ150" s="62" t="s">
        <v>313</v>
      </c>
      <c r="AR150" s="508" t="str" cm="1">
        <f t="array" aca="1" ref="AR150" ca="1">IF(OR(AP150="",AP150=0),"",IF(SUMPRODUCT(($C$55:$C$175=AP150)*($U$54:AI$54&lt;=TODAY())*(ISNUMBER($U$56:AI$176)),$U$56:AI$176)=0,"",SUMPRODUCT(($C$55:$C$175=AP150)*($U$54:AI$54&lt;=TODAY())*(ISNUMBER($U$56:AI$176)),$U$56:AI$176)))</f>
        <v/>
      </c>
      <c r="AS150" s="508" t="str">
        <f>A149</f>
        <v>BSW</v>
      </c>
      <c r="AU150" s="1567"/>
      <c r="AV150" s="1567"/>
    </row>
    <row r="151" spans="1:48" ht="29.1" customHeight="1" x14ac:dyDescent="0.3">
      <c r="A151" s="1701" t="s">
        <v>91</v>
      </c>
      <c r="B151" s="1701" t="s">
        <v>95</v>
      </c>
      <c r="C151" s="1754" t="s">
        <v>534</v>
      </c>
      <c r="D151" s="1486" t="s">
        <v>535</v>
      </c>
      <c r="E151" s="1368" t="s">
        <v>536</v>
      </c>
      <c r="F151" s="1370" t="s">
        <v>376</v>
      </c>
      <c r="G151" s="1372">
        <v>46114</v>
      </c>
      <c r="H151" s="1372">
        <v>46206</v>
      </c>
      <c r="I151" s="1689">
        <v>63600</v>
      </c>
      <c r="J151" s="1376">
        <v>46266</v>
      </c>
      <c r="K151" s="1389">
        <f>IF(J151="", "", 12 - MONTH(J151) + 1)</f>
        <v>4</v>
      </c>
      <c r="L151" s="1354"/>
      <c r="M151" s="1736"/>
      <c r="N151" s="1730"/>
      <c r="O151" s="1732" t="s">
        <v>83</v>
      </c>
      <c r="P151" s="1678" t="s">
        <v>516</v>
      </c>
      <c r="Q151" s="1669">
        <v>46240</v>
      </c>
      <c r="R151" s="1327">
        <v>0.5</v>
      </c>
      <c r="S151" s="87" t="s">
        <v>116</v>
      </c>
      <c r="T151" s="726">
        <v>0.28000000000000003</v>
      </c>
      <c r="U151" s="287">
        <f>IFERROR(IF(AND(U$54&gt;=EOMONTH($J151,-1)+1,U$54&lt;=EOMONTH(EOMONTH($J151,-1)+1,$K151-1)),IF(NOT(ISBLANK($N151)),$N151/$K151,$I151/$K151),0),0)</f>
        <v>0</v>
      </c>
      <c r="V151" s="287">
        <f>IFERROR(IF(AND(V$54&gt;=EOMONTH($J151,-1)+1,V$54&lt;=EOMONTH(EOMONTH($J151,-1)+1,$K151-1)),IF(NOT(ISBLANK($N151)),$N151/$K151,$I151/$K151),0),0)</f>
        <v>0</v>
      </c>
      <c r="W151" s="287">
        <f>IFERROR(IF(AND(W$54&gt;=EOMONTH($J151,-1)+1,W$54&lt;=EOMONTH(EOMONTH($J151,-1)+1,$K151-1)),IF(NOT(ISBLANK($N151)),$N151/$K151,$I151/$K151),0),0)</f>
        <v>0</v>
      </c>
      <c r="X151" s="89">
        <f t="shared" si="291"/>
        <v>0</v>
      </c>
      <c r="Y151" s="287">
        <f>IFERROR(IF(AND(Y$54&gt;=EOMONTH($J151,-1)+1,Y$54&lt;=EOMONTH(EOMONTH($J151,-1)+1,$K151-1)),IF(NOT(ISBLANK($N151)),$N151/$K151,$I151/$K151),0),0)</f>
        <v>0</v>
      </c>
      <c r="Z151" s="287">
        <f>IFERROR(IF(AND(Z$54&gt;=EOMONTH($J151,-1)+1,Z$54&lt;=EOMONTH(EOMONTH($J151,-1)+1,$K151-1)),IF(NOT(ISBLANK($N151)),$N151/$K151,$I151/$K151),0),0)</f>
        <v>0</v>
      </c>
      <c r="AA151" s="287">
        <f>IFERROR(IF(AND(AA$54&gt;=EOMONTH($J151,-1)+1,AA$54&lt;=EOMONTH(EOMONTH($J151,-1)+1,$K151-1)),IF(NOT(ISBLANK($N151)),$N151/$K151,$I151/$K151),0),0)</f>
        <v>0</v>
      </c>
      <c r="AB151" s="89">
        <f t="shared" si="292"/>
        <v>0</v>
      </c>
      <c r="AC151" s="287">
        <f>IFERROR(IF(AND(AC$54&gt;=EOMONTH($J151,-1)+1,AC$54&lt;=EOMONTH(EOMONTH($J151,-1)+1,$K151-1)),IF(NOT(ISBLANK($N151)),$N151/$K151,$I151/$K151),0),0)</f>
        <v>0</v>
      </c>
      <c r="AD151" s="287">
        <f>IFERROR(IF(AND(AD$54&gt;=EOMONTH($J151,-1)+1,AD$54&lt;=EOMONTH(EOMONTH($J151,-1)+1,$K151-1)),IF(NOT(ISBLANK($N151)),$N151/$K151,$I151/$K151),0),0)</f>
        <v>0</v>
      </c>
      <c r="AE151" s="287">
        <f>IFERROR(IF(AND(AE$54&gt;=EOMONTH($J151,-1)+1,AE$54&lt;=EOMONTH(EOMONTH($J151,-1)+1,$K151-1)),IF(NOT(ISBLANK($N151)),$N151/$K151,$I151/$K151),0),0)</f>
        <v>15900</v>
      </c>
      <c r="AF151" s="89">
        <f t="shared" si="253"/>
        <v>15900</v>
      </c>
      <c r="AG151" s="287">
        <f>IFERROR(IF(AND(AG$54&gt;=EOMONTH($J151,-1)+1,AG$54&lt;=EOMONTH(EOMONTH($J151,-1)+1,$K151-1)),IF(NOT(ISBLANK($N151)),$N151/$K151,$I151/$K151),0),0)</f>
        <v>15900</v>
      </c>
      <c r="AH151" s="287">
        <f>IFERROR(IF(AND(AH$54&gt;=EOMONTH($J151,-1)+1,AH$54&lt;=EOMONTH(EOMONTH($J151,-1)+1,$K151-1)),IF(NOT(ISBLANK($N151)),$N151/$K151,$I151/$K151),0),0)</f>
        <v>15900</v>
      </c>
      <c r="AI151" s="287">
        <f>IFERROR(IF(AND(AI$54&gt;=EOMONTH($J151,-1)+1,AI$54&lt;=EOMONTH(EOMONTH($J151,-1)+1,$K151-1)),IF(NOT(ISBLANK($N151)),$N151/$K151,$I151/$K151),0),0)</f>
        <v>15900</v>
      </c>
      <c r="AJ151" s="89">
        <f t="shared" si="144"/>
        <v>47700</v>
      </c>
      <c r="AK151" s="90">
        <f t="shared" si="145"/>
        <v>63600</v>
      </c>
      <c r="AL151" s="337" t="s">
        <v>537</v>
      </c>
      <c r="AM151" s="1370"/>
      <c r="AN151" s="1411"/>
      <c r="AO151" s="1405">
        <f>N151*AN151</f>
        <v>0</v>
      </c>
      <c r="AP151" s="62" t="str">
        <f>C151</f>
        <v>49 - REDUÇÃO DE MP GM000408Z / GM000409Z</v>
      </c>
      <c r="AQ151" s="62" t="s">
        <v>311</v>
      </c>
      <c r="AR151" s="508" t="str" cm="1">
        <f t="array" aca="1" ref="AR151" ca="1">IF(OR(AP151="",AP151=0),"",IF(SUMPRODUCT(($C$55:$C$175=AP151)*(U$54:$AI$54&lt;EOMONTH(TODAY(),-1)+1)*(ISNUMBER(U$55:$AI$175)),U$55:$AI$175)=0,"",SUMPRODUCT(($C$55:$C$175=AP151)*(U$54:$AI$54&lt;EOMONTH(TODAY(),-1)+1)*(ISNUMBER(U$55:$AI$175)),U$55:$AI$175)))</f>
        <v/>
      </c>
      <c r="AS151" s="508" t="str">
        <f>A151</f>
        <v>BSW</v>
      </c>
      <c r="AU151" s="1566">
        <f t="shared" ref="AU151" si="297">IF(OR(I151="",K151=""),0,(I151/12)*K151)</f>
        <v>21200</v>
      </c>
      <c r="AV151" s="1566">
        <f t="shared" ref="AV151" si="298">IF(OR(N151="",K151="",K151=0),0,(N151/K151)*12)</f>
        <v>0</v>
      </c>
    </row>
    <row r="152" spans="1:48" ht="29.1" customHeight="1" x14ac:dyDescent="0.3">
      <c r="A152" s="1702"/>
      <c r="B152" s="1702"/>
      <c r="C152" s="1755"/>
      <c r="D152" s="1487"/>
      <c r="E152" s="1369"/>
      <c r="F152" s="1371"/>
      <c r="G152" s="1373"/>
      <c r="H152" s="1373"/>
      <c r="I152" s="1690"/>
      <c r="J152" s="1377"/>
      <c r="K152" s="1390"/>
      <c r="L152" s="1355"/>
      <c r="M152" s="1737"/>
      <c r="N152" s="1731"/>
      <c r="O152" s="1733"/>
      <c r="P152" s="1682"/>
      <c r="Q152" s="1670"/>
      <c r="R152" s="1328"/>
      <c r="S152" s="87" t="s">
        <v>117</v>
      </c>
      <c r="T152" s="727">
        <v>1</v>
      </c>
      <c r="U152" s="287"/>
      <c r="V152" s="287"/>
      <c r="W152" s="287"/>
      <c r="X152" s="288">
        <f t="shared" si="291"/>
        <v>0</v>
      </c>
      <c r="Y152" s="287"/>
      <c r="Z152" s="287"/>
      <c r="AA152" s="287"/>
      <c r="AB152" s="288">
        <f t="shared" si="292"/>
        <v>0</v>
      </c>
      <c r="AC152" s="287"/>
      <c r="AD152" s="287"/>
      <c r="AE152" s="287"/>
      <c r="AF152" s="288">
        <f t="shared" si="253"/>
        <v>0</v>
      </c>
      <c r="AG152" s="287"/>
      <c r="AH152" s="287"/>
      <c r="AI152" s="287"/>
      <c r="AJ152" s="288">
        <f t="shared" si="144"/>
        <v>0</v>
      </c>
      <c r="AK152" s="289">
        <f t="shared" si="145"/>
        <v>0</v>
      </c>
      <c r="AL152" s="337"/>
      <c r="AM152" s="1371"/>
      <c r="AN152" s="1412"/>
      <c r="AO152" s="1406"/>
      <c r="AP152" s="62" t="str">
        <f>C151</f>
        <v>49 - REDUÇÃO DE MP GM000408Z / GM000409Z</v>
      </c>
      <c r="AQ152" s="62" t="s">
        <v>313</v>
      </c>
      <c r="AR152" s="508" t="str" cm="1">
        <f t="array" aca="1" ref="AR152" ca="1">IF(OR(AP152="",AP152=0),"",IF(SUMPRODUCT(($C$55:$C$175=AP152)*($U$54:AI$54&lt;=TODAY())*(ISNUMBER($U$56:AI$176)),$U$56:AI$176)=0,"",SUMPRODUCT(($C$55:$C$175=AP152)*($U$54:AI$54&lt;=TODAY())*(ISNUMBER($U$56:AI$176)),$U$56:AI$176)))</f>
        <v/>
      </c>
      <c r="AS152" s="508" t="str">
        <f>A151</f>
        <v>BSW</v>
      </c>
      <c r="AU152" s="1567"/>
      <c r="AV152" s="1567"/>
    </row>
    <row r="153" spans="1:48" ht="29.1" customHeight="1" x14ac:dyDescent="0.3">
      <c r="A153" s="1693" t="s">
        <v>91</v>
      </c>
      <c r="B153" s="1708" t="s">
        <v>95</v>
      </c>
      <c r="C153" s="1697" t="s">
        <v>538</v>
      </c>
      <c r="D153" s="1356" t="s">
        <v>539</v>
      </c>
      <c r="E153" s="1449" t="s">
        <v>540</v>
      </c>
      <c r="F153" s="1451" t="s">
        <v>382</v>
      </c>
      <c r="G153" s="1366">
        <v>46121</v>
      </c>
      <c r="H153" s="1518">
        <v>46129</v>
      </c>
      <c r="I153" s="1488">
        <v>92500</v>
      </c>
      <c r="J153" s="1378">
        <v>46174</v>
      </c>
      <c r="K153" s="1387">
        <f>IF(J153="", "", 12 - MONTH(J153) + 1)</f>
        <v>7</v>
      </c>
      <c r="L153" s="1395"/>
      <c r="M153" s="1720" t="s">
        <v>308</v>
      </c>
      <c r="N153" s="1728">
        <v>153302.57999999999</v>
      </c>
      <c r="O153" s="1334" t="s">
        <v>83</v>
      </c>
      <c r="P153" s="1703" t="s">
        <v>457</v>
      </c>
      <c r="Q153" s="1667">
        <v>46240</v>
      </c>
      <c r="R153" s="1334">
        <v>1</v>
      </c>
      <c r="S153" s="93" t="s">
        <v>116</v>
      </c>
      <c r="T153" s="727">
        <v>0.86</v>
      </c>
      <c r="U153" s="498">
        <f>IFERROR(IF(AND(U$54&gt;=EOMONTH($J153,-1)+1,U$54&lt;=EOMONTH(EOMONTH($J153,-1)+1,$K153-1)),IF(NOT(ISBLANK($N153)),$N153/$K153,$I153/$K153),0),0)</f>
        <v>0</v>
      </c>
      <c r="V153" s="498">
        <f>IFERROR(IF(AND(V$54&gt;=EOMONTH($J153,-1)+1,V$54&lt;=EOMONTH(EOMONTH($J153,-1)+1,$K153-1)),IF(NOT(ISBLANK($N153)),$N153/$K153,$I153/$K153),0),0)</f>
        <v>0</v>
      </c>
      <c r="W153" s="498">
        <f>IFERROR(IF(AND(W$54&gt;=EOMONTH($J153,-1)+1,W$54&lt;=EOMONTH(EOMONTH($J153,-1)+1,$K153-1)),IF(NOT(ISBLANK($N153)),$N153/$K153,$I153/$K153),0),0)</f>
        <v>0</v>
      </c>
      <c r="X153" s="89">
        <f t="shared" si="291"/>
        <v>0</v>
      </c>
      <c r="Y153" s="498">
        <f>IFERROR(IF(AND(Y$54&gt;=EOMONTH($J153,-1)+1,Y$54&lt;=EOMONTH(EOMONTH($J153,-1)+1,$K153-1)),IF(NOT(ISBLANK($N153)),$N153/$K153,$I153/$K153),0),0)</f>
        <v>0</v>
      </c>
      <c r="Z153" s="498">
        <f>IFERROR(IF(AND(Z$54&gt;=EOMONTH($J153,-1)+1,Z$54&lt;=EOMONTH(EOMONTH($J153,-1)+1,$K153-1)),IF(NOT(ISBLANK($N153)),$N153/$K153,$I153/$K153),0),0)</f>
        <v>0</v>
      </c>
      <c r="AA153" s="498">
        <f>IFERROR(IF(AND(AA$54&gt;=EOMONTH($J153,-1)+1,AA$54&lt;=EOMONTH(EOMONTH($J153,-1)+1,$K153-1)),IF(NOT(ISBLANK($N153)),$N153/$K153,$I153/$K153),0),0)</f>
        <v>21900.368571428571</v>
      </c>
      <c r="AB153" s="89">
        <f t="shared" si="292"/>
        <v>21900.368571428571</v>
      </c>
      <c r="AC153" s="498">
        <f>IFERROR(IF(AND(AC$54&gt;=EOMONTH($J153,-1)+1,AC$54&lt;=EOMONTH(EOMONTH($J153,-1)+1,$K153-1)),IF(NOT(ISBLANK($N153)),$N153/$K153,$I153/$K153),0),0)</f>
        <v>21900.368571428571</v>
      </c>
      <c r="AD153" s="498">
        <f>IFERROR(IF(AND(AD$54&gt;=EOMONTH($J153,-1)+1,AD$54&lt;=EOMONTH(EOMONTH($J153,-1)+1,$K153-1)),IF(NOT(ISBLANK($N153)),$N153/$K153,$I153/$K153),0),0)</f>
        <v>21900.368571428571</v>
      </c>
      <c r="AE153" s="498">
        <f>IFERROR(IF(AND(AE$54&gt;=EOMONTH($J153,-1)+1,AE$54&lt;=EOMONTH(EOMONTH($J153,-1)+1,$K153-1)),IF(NOT(ISBLANK($N153)),$N153/$K153,$I153/$K153),0),0)</f>
        <v>21900.368571428571</v>
      </c>
      <c r="AF153" s="89">
        <f t="shared" si="253"/>
        <v>65701.105714285717</v>
      </c>
      <c r="AG153" s="498">
        <f>IFERROR(IF(AND(AG$54&gt;=EOMONTH($J153,-1)+1,AG$54&lt;=EOMONTH(EOMONTH($J153,-1)+1,$K153-1)),IF(NOT(ISBLANK($N153)),$N153/$K153,$I153/$K153),0),0)</f>
        <v>21900.368571428571</v>
      </c>
      <c r="AH153" s="498">
        <f>IFERROR(IF(AND(AH$54&gt;=EOMONTH($J153,-1)+1,AH$54&lt;=EOMONTH(EOMONTH($J153,-1)+1,$K153-1)),IF(NOT(ISBLANK($N153)),$N153/$K153,$I153/$K153),0),0)</f>
        <v>21900.368571428571</v>
      </c>
      <c r="AI153" s="498">
        <f>IFERROR(IF(AND(AI$54&gt;=EOMONTH($J153,-1)+1,AI$54&lt;=EOMONTH(EOMONTH($J153,-1)+1,$K153-1)),IF(NOT(ISBLANK($N153)),$N153/$K153,$I153/$K153),0),0)</f>
        <v>21900.368571428571</v>
      </c>
      <c r="AJ153" s="89">
        <f t="shared" si="144"/>
        <v>65701.105714285717</v>
      </c>
      <c r="AK153" s="95">
        <f t="shared" si="145"/>
        <v>153302.58000000002</v>
      </c>
      <c r="AL153" s="338" t="s">
        <v>541</v>
      </c>
      <c r="AM153" s="1407"/>
      <c r="AN153" s="1334"/>
      <c r="AO153" s="1403">
        <f>N153*AN153</f>
        <v>0</v>
      </c>
      <c r="AP153" s="62" t="str">
        <f>C153</f>
        <v>50 - Suporte da lanterna MB003681</v>
      </c>
      <c r="AQ153" s="62" t="s">
        <v>311</v>
      </c>
      <c r="AR153" s="508" cm="1">
        <f t="array" aca="1" ref="AR153" ca="1">IF(OR(AP153="",AP153=0),"",IF(SUMPRODUCT(($C$55:$C$175=AP153)*(U$54:$AI$54&lt;EOMONTH(TODAY(),-1)+1)*(ISNUMBER(U$55:$AI$175)),U$55:$AI$175)=0,"",SUMPRODUCT(($C$55:$C$175=AP153)*(U$54:$AI$54&lt;EOMONTH(TODAY(),-1)+1)*(ISNUMBER(U$55:$AI$175)),U$55:$AI$175)))</f>
        <v>43800.737142857142</v>
      </c>
      <c r="AS153" s="508" t="str">
        <f>A153</f>
        <v>BSW</v>
      </c>
      <c r="AU153" s="1566">
        <f t="shared" ref="AU153" si="299">IF(OR(I153="",K153=""),0,(I153/12)*K153)</f>
        <v>53958.333333333328</v>
      </c>
      <c r="AV153" s="1566">
        <f t="shared" ref="AV153" si="300">IF(OR(N153="",K153="",K153=0),0,(N153/K153)*12)</f>
        <v>262804.42285714287</v>
      </c>
    </row>
    <row r="154" spans="1:48" ht="29.1" customHeight="1" x14ac:dyDescent="0.3">
      <c r="A154" s="1694"/>
      <c r="B154" s="1709"/>
      <c r="C154" s="1698"/>
      <c r="D154" s="1455"/>
      <c r="E154" s="1450"/>
      <c r="F154" s="1452"/>
      <c r="G154" s="1367"/>
      <c r="H154" s="1519"/>
      <c r="I154" s="1367"/>
      <c r="J154" s="1379"/>
      <c r="K154" s="1388"/>
      <c r="L154" s="1396"/>
      <c r="M154" s="1721"/>
      <c r="N154" s="1729"/>
      <c r="O154" s="1330"/>
      <c r="P154" s="1668"/>
      <c r="Q154" s="1668"/>
      <c r="R154" s="1330"/>
      <c r="S154" s="93" t="s">
        <v>117</v>
      </c>
      <c r="T154" s="727">
        <v>0.86</v>
      </c>
      <c r="U154" s="290"/>
      <c r="V154" s="290"/>
      <c r="W154" s="290"/>
      <c r="X154" s="288">
        <f t="shared" si="291"/>
        <v>0</v>
      </c>
      <c r="Y154" s="290"/>
      <c r="Z154" s="290"/>
      <c r="AA154" s="2507"/>
      <c r="AB154" s="288">
        <f t="shared" si="292"/>
        <v>0</v>
      </c>
      <c r="AC154" s="2506"/>
      <c r="AD154" s="290"/>
      <c r="AE154" s="290"/>
      <c r="AF154" s="288">
        <f t="shared" si="253"/>
        <v>0</v>
      </c>
      <c r="AG154" s="290"/>
      <c r="AH154" s="290"/>
      <c r="AI154" s="290"/>
      <c r="AJ154" s="288">
        <f t="shared" si="144"/>
        <v>0</v>
      </c>
      <c r="AK154" s="291">
        <f t="shared" si="145"/>
        <v>0</v>
      </c>
      <c r="AL154" s="97"/>
      <c r="AM154" s="1408"/>
      <c r="AN154" s="1330"/>
      <c r="AO154" s="1404"/>
      <c r="AP154" s="62" t="str">
        <f>C153</f>
        <v>50 - Suporte da lanterna MB003681</v>
      </c>
      <c r="AQ154" s="62" t="s">
        <v>313</v>
      </c>
      <c r="AR154" s="508" t="str" cm="1">
        <f t="array" aca="1" ref="AR154" ca="1">IF(OR(AP154="",AP154=0),"",IF(SUMPRODUCT(($C$55:$C$175=AP154)*($U$54:AI$54&lt;=TODAY())*(ISNUMBER($U$56:AI$176)),$U$56:AI$176)=0,"",SUMPRODUCT(($C$55:$C$175=AP154)*($U$54:AI$54&lt;=TODAY())*(ISNUMBER($U$56:AI$176)),$U$56:AI$176)))</f>
        <v/>
      </c>
      <c r="AS154" s="508" t="str">
        <f>A153</f>
        <v>BSW</v>
      </c>
      <c r="AU154" s="1567"/>
      <c r="AV154" s="1567"/>
    </row>
    <row r="155" spans="1:48" ht="29.1" customHeight="1" x14ac:dyDescent="0.3">
      <c r="A155" s="1691" t="s">
        <v>91</v>
      </c>
      <c r="B155" s="1701" t="s">
        <v>95</v>
      </c>
      <c r="C155" s="1716" t="s">
        <v>542</v>
      </c>
      <c r="D155" s="1486" t="s">
        <v>543</v>
      </c>
      <c r="E155" s="1368" t="s">
        <v>544</v>
      </c>
      <c r="F155" s="1370" t="s">
        <v>376</v>
      </c>
      <c r="G155" s="1372">
        <v>46120</v>
      </c>
      <c r="H155" s="1726">
        <v>46142</v>
      </c>
      <c r="I155" s="1710">
        <v>40000.000780000002</v>
      </c>
      <c r="J155" s="1376">
        <v>46143</v>
      </c>
      <c r="K155" s="1389">
        <f>IF(J155="", "", 12 - MONTH(J155) + 1)</f>
        <v>8</v>
      </c>
      <c r="L155" s="1354"/>
      <c r="M155" s="1350" t="s">
        <v>308</v>
      </c>
      <c r="N155" s="1730">
        <v>38893.96</v>
      </c>
      <c r="O155" s="1665" t="s">
        <v>81</v>
      </c>
      <c r="P155" s="1665" t="s">
        <v>309</v>
      </c>
      <c r="Q155" s="1677" t="s">
        <v>309</v>
      </c>
      <c r="R155" s="1327">
        <v>1</v>
      </c>
      <c r="S155" s="87" t="s">
        <v>116</v>
      </c>
      <c r="T155" s="726">
        <v>0.87</v>
      </c>
      <c r="U155" s="287">
        <f>IFERROR(IF(AND(U$54&gt;=EOMONTH($J155,-1)+1,U$54&lt;=EOMONTH(EOMONTH($J155,-1)+1,$K155-1)),IF(NOT(ISBLANK($N155)),$N155/$K155,$I155/$K155),0),0)</f>
        <v>0</v>
      </c>
      <c r="V155" s="287">
        <f>IFERROR(IF(AND(V$54&gt;=EOMONTH($J155,-1)+1,V$54&lt;=EOMONTH(EOMONTH($J155,-1)+1,$K155-1)),IF(NOT(ISBLANK($N155)),$N155/$K155,$I155/$K155),0),0)</f>
        <v>0</v>
      </c>
      <c r="W155" s="287">
        <f>IFERROR(IF(AND(W$54&gt;=EOMONTH($J155,-1)+1,W$54&lt;=EOMONTH(EOMONTH($J155,-1)+1,$K155-1)),IF(NOT(ISBLANK($N155)),$N155/$K155,$I155/$K155),0),0)</f>
        <v>0</v>
      </c>
      <c r="X155" s="89">
        <f t="shared" si="291"/>
        <v>0</v>
      </c>
      <c r="Y155" s="287">
        <f>IFERROR(IF(AND(Y$54&gt;=EOMONTH($J155,-1)+1,Y$54&lt;=EOMONTH(EOMONTH($J155,-1)+1,$K155-1)),IF(NOT(ISBLANK($N155)),$N155/$K155,$I155/$K155),0),0)</f>
        <v>0</v>
      </c>
      <c r="Z155" s="287">
        <f>IFERROR(IF(AND(Z$54&gt;=EOMONTH($J155,-1)+1,Z$54&lt;=EOMONTH(EOMONTH($J155,-1)+1,$K155-1)),IF(NOT(ISBLANK($N155)),$N155/$K155,$I155/$K155),0),0)</f>
        <v>4861.7449999999999</v>
      </c>
      <c r="AA155" s="287">
        <f>IFERROR(IF(AND(AA$54&gt;=EOMONTH($J155,-1)+1,AA$54&lt;=EOMONTH(EOMONTH($J155,-1)+1,$K155-1)),IF(NOT(ISBLANK($N155)),$N155/$K155,$I155/$K155),0),0)</f>
        <v>4861.7449999999999</v>
      </c>
      <c r="AB155" s="89">
        <f t="shared" si="292"/>
        <v>9723.49</v>
      </c>
      <c r="AC155" s="287">
        <f>IFERROR(IF(AND(AC$54&gt;=EOMONTH($J155,-1)+1,AC$54&lt;=EOMONTH(EOMONTH($J155,-1)+1,$K155-1)),IF(NOT(ISBLANK($N155)),$N155/$K155,$I155/$K155),0),0)</f>
        <v>4861.7449999999999</v>
      </c>
      <c r="AD155" s="287">
        <f>IFERROR(IF(AND(AD$54&gt;=EOMONTH($J155,-1)+1,AD$54&lt;=EOMONTH(EOMONTH($J155,-1)+1,$K155-1)),IF(NOT(ISBLANK($N155)),$N155/$K155,$I155/$K155),0),0)</f>
        <v>4861.7449999999999</v>
      </c>
      <c r="AE155" s="287">
        <f>IFERROR(IF(AND(AE$54&gt;=EOMONTH($J155,-1)+1,AE$54&lt;=EOMONTH(EOMONTH($J155,-1)+1,$K155-1)),IF(NOT(ISBLANK($N155)),$N155/$K155,$I155/$K155),0),0)</f>
        <v>4861.7449999999999</v>
      </c>
      <c r="AF155" s="89">
        <f t="shared" si="253"/>
        <v>14585.235000000001</v>
      </c>
      <c r="AG155" s="287">
        <f>IFERROR(IF(AND(AG$54&gt;=EOMONTH($J155,-1)+1,AG$54&lt;=EOMONTH(EOMONTH($J155,-1)+1,$K155-1)),IF(NOT(ISBLANK($N155)),$N155/$K155,$I155/$K155),0),0)</f>
        <v>4861.7449999999999</v>
      </c>
      <c r="AH155" s="287">
        <f>IFERROR(IF(AND(AH$54&gt;=EOMONTH($J155,-1)+1,AH$54&lt;=EOMONTH(EOMONTH($J155,-1)+1,$K155-1)),IF(NOT(ISBLANK($N155)),$N155/$K155,$I155/$K155),0),0)</f>
        <v>4861.7449999999999</v>
      </c>
      <c r="AI155" s="287">
        <f>IFERROR(IF(AND(AI$54&gt;=EOMONTH($J155,-1)+1,AI$54&lt;=EOMONTH(EOMONTH($J155,-1)+1,$K155-1)),IF(NOT(ISBLANK($N155)),$N155/$K155,$I155/$K155),0),0)</f>
        <v>4861.7449999999999</v>
      </c>
      <c r="AJ155" s="89">
        <f t="shared" si="144"/>
        <v>14585.235000000001</v>
      </c>
      <c r="AK155" s="90">
        <f t="shared" si="145"/>
        <v>38893.96</v>
      </c>
      <c r="AL155" s="700" t="s">
        <v>545</v>
      </c>
      <c r="AM155" s="1370"/>
      <c r="AN155" s="1411"/>
      <c r="AO155" s="1405">
        <f>N155*AN155</f>
        <v>0</v>
      </c>
      <c r="AP155" s="62" t="str">
        <f>C155</f>
        <v>51 - Redução de MP - GM000402Z_403Z_Passo</v>
      </c>
      <c r="AQ155" s="62" t="s">
        <v>311</v>
      </c>
      <c r="AR155" s="508" cm="1">
        <f t="array" aca="1" ref="AR155" ca="1">IF(OR(AP155="",AP155=0),"",IF(SUMPRODUCT(($C$55:$C$175=AP155)*(U$54:$AI$54&lt;EOMONTH(TODAY(),-1)+1)*(ISNUMBER(U$55:$AI$175)),U$55:$AI$175)=0,"",SUMPRODUCT(($C$55:$C$175=AP155)*(U$54:$AI$54&lt;EOMONTH(TODAY(),-1)+1)*(ISNUMBER(U$55:$AI$175)),U$55:$AI$175)))</f>
        <v>14585.235000000001</v>
      </c>
      <c r="AS155" s="508" t="str">
        <f>A155</f>
        <v>BSW</v>
      </c>
      <c r="AU155" s="1566">
        <f t="shared" ref="AU155" si="301">IF(OR(I155="",K155=""),0,(I155/12)*K155)</f>
        <v>26666.667186666669</v>
      </c>
      <c r="AV155" s="1566">
        <f t="shared" ref="AV155" si="302">IF(OR(N155="",K155="",K155=0),0,(N155/K155)*12)</f>
        <v>58340.94</v>
      </c>
    </row>
    <row r="156" spans="1:48" ht="29.1" customHeight="1" x14ac:dyDescent="0.3">
      <c r="A156" s="1692"/>
      <c r="B156" s="1702"/>
      <c r="C156" s="1717"/>
      <c r="D156" s="1487"/>
      <c r="E156" s="1369"/>
      <c r="F156" s="1371"/>
      <c r="G156" s="1373"/>
      <c r="H156" s="1727"/>
      <c r="I156" s="1711"/>
      <c r="J156" s="1377"/>
      <c r="K156" s="1390"/>
      <c r="L156" s="1355"/>
      <c r="M156" s="1460"/>
      <c r="N156" s="1731"/>
      <c r="O156" s="1666"/>
      <c r="P156" s="1666"/>
      <c r="Q156" s="1666"/>
      <c r="R156" s="1328"/>
      <c r="S156" s="87" t="s">
        <v>117</v>
      </c>
      <c r="T156" s="726">
        <v>1</v>
      </c>
      <c r="U156" s="287"/>
      <c r="V156" s="287"/>
      <c r="W156" s="287"/>
      <c r="X156" s="288">
        <f t="shared" si="291"/>
        <v>0</v>
      </c>
      <c r="Y156" s="287"/>
      <c r="Z156" s="287">
        <v>3800.3005510934777</v>
      </c>
      <c r="AA156" s="287">
        <v>4307.0072912392743</v>
      </c>
      <c r="AB156" s="288">
        <f t="shared" si="292"/>
        <v>8107.3078423327515</v>
      </c>
      <c r="AC156" s="287">
        <v>3166.9171259112313</v>
      </c>
      <c r="AD156" s="287"/>
      <c r="AE156" s="287"/>
      <c r="AF156" s="288">
        <f t="shared" si="253"/>
        <v>3166.9171259112313</v>
      </c>
      <c r="AG156" s="287"/>
      <c r="AH156" s="287"/>
      <c r="AI156" s="287"/>
      <c r="AJ156" s="288">
        <f t="shared" si="144"/>
        <v>0</v>
      </c>
      <c r="AK156" s="289">
        <f t="shared" si="145"/>
        <v>11274.224968243983</v>
      </c>
      <c r="AL156" s="337"/>
      <c r="AM156" s="1371"/>
      <c r="AN156" s="1412"/>
      <c r="AO156" s="1406"/>
      <c r="AP156" s="62" t="str">
        <f>C155</f>
        <v>51 - Redução de MP - GM000402Z_403Z_Passo</v>
      </c>
      <c r="AQ156" s="62" t="s">
        <v>313</v>
      </c>
      <c r="AR156" s="508" cm="1">
        <f t="array" aca="1" ref="AR156" ca="1">IF(OR(AP156="",AP156=0),"",IF(SUMPRODUCT(($C$55:$C$175=AP156)*($U$54:AI$54&lt;=TODAY())*(ISNUMBER($U$56:AI$176)),$U$56:AI$176)=0,"",SUMPRODUCT(($C$55:$C$175=AP156)*($U$54:AI$54&lt;=TODAY())*(ISNUMBER($U$56:AI$176)),$U$56:AI$176)))</f>
        <v>11274.224968243983</v>
      </c>
      <c r="AS156" s="508" t="str">
        <f>A155</f>
        <v>BSW</v>
      </c>
      <c r="AU156" s="1567"/>
      <c r="AV156" s="1567"/>
    </row>
    <row r="157" spans="1:48" ht="29.1" customHeight="1" x14ac:dyDescent="0.3">
      <c r="A157" s="1693" t="s">
        <v>91</v>
      </c>
      <c r="B157" s="1708" t="s">
        <v>95</v>
      </c>
      <c r="C157" s="1699" t="s">
        <v>546</v>
      </c>
      <c r="D157" s="1356" t="s">
        <v>547</v>
      </c>
      <c r="E157" s="1449" t="s">
        <v>548</v>
      </c>
      <c r="F157" s="1451" t="s">
        <v>307</v>
      </c>
      <c r="G157" s="1366">
        <v>46134</v>
      </c>
      <c r="H157" s="1366">
        <v>46160</v>
      </c>
      <c r="I157" s="1488">
        <v>236000</v>
      </c>
      <c r="J157" s="1378">
        <v>46174</v>
      </c>
      <c r="K157" s="1387">
        <f>IF(J157="", "", 12 - MONTH(J157) + 1)</f>
        <v>7</v>
      </c>
      <c r="L157" s="1395"/>
      <c r="M157" s="1720" t="s">
        <v>308</v>
      </c>
      <c r="N157" s="2508">
        <v>77354.64</v>
      </c>
      <c r="O157" s="1671" t="s">
        <v>81</v>
      </c>
      <c r="P157" s="1663" t="s">
        <v>309</v>
      </c>
      <c r="Q157" s="1663" t="s">
        <v>309</v>
      </c>
      <c r="R157" s="1334">
        <v>1</v>
      </c>
      <c r="S157" s="93" t="s">
        <v>116</v>
      </c>
      <c r="T157" s="96">
        <f ca="1">IF(OR(G157="", H157=""), "", IF(TODAY()&lt;G157, 0, IF(TODAY()&gt;H157, 1, (TODAY()-G157+1)/(H157-G157+1))))</f>
        <v>1</v>
      </c>
      <c r="U157" s="498">
        <f>IFERROR(IF(AND(U$54&gt;=EOMONTH($J157,-1)+1,U$54&lt;=EOMONTH(EOMONTH($J157,-1)+1,$K157-1)),IF(NOT(ISBLANK($N157)),$N157/$K157,$I157/$K157),0),0)</f>
        <v>0</v>
      </c>
      <c r="V157" s="498">
        <f>IFERROR(IF(AND(V$54&gt;=EOMONTH($J157,-1)+1,V$54&lt;=EOMONTH(EOMONTH($J157,-1)+1,$K157-1)),IF(NOT(ISBLANK($N157)),$N157/$K157,$I157/$K157),0),0)</f>
        <v>0</v>
      </c>
      <c r="W157" s="498">
        <f>IFERROR(IF(AND(W$54&gt;=EOMONTH($J157,-1)+1,W$54&lt;=EOMONTH(EOMONTH($J157,-1)+1,$K157-1)),IF(NOT(ISBLANK($N157)),$N157/$K157,$I157/$K157),0),0)</f>
        <v>0</v>
      </c>
      <c r="X157" s="89">
        <f t="shared" si="291"/>
        <v>0</v>
      </c>
      <c r="Y157" s="498">
        <f>IFERROR(IF(AND(Y$54&gt;=EOMONTH($J157,-1)+1,Y$54&lt;=EOMONTH(EOMONTH($J157,-1)+1,$K157-1)),IF(NOT(ISBLANK($N157)),$N157/$K157,$I157/$K157),0),0)</f>
        <v>0</v>
      </c>
      <c r="Z157" s="498">
        <f>IFERROR(IF(AND(Z$54&gt;=EOMONTH($J157,-1)+1,Z$54&lt;=EOMONTH(EOMONTH($J157,-1)+1,$K157-1)),IF(NOT(ISBLANK($N157)),$N157/$K157,$I157/$K157),0),0)</f>
        <v>0</v>
      </c>
      <c r="AA157" s="498">
        <f>IFERROR(IF(AND(AA$54&gt;=EOMONTH($J157,-1)+1,AA$54&lt;=EOMONTH(EOMONTH($J157,-1)+1,$K157-1)),IF(NOT(ISBLANK($N157)),$N157/$K157,$I157/$K157),0),0)</f>
        <v>11050.662857142857</v>
      </c>
      <c r="AB157" s="89">
        <f t="shared" si="292"/>
        <v>11050.662857142857</v>
      </c>
      <c r="AC157" s="498">
        <f>IFERROR(IF(AND(AC$54&gt;=EOMONTH($J157,-1)+1,AC$54&lt;=EOMONTH(EOMONTH($J157,-1)+1,$K157-1)),IF(NOT(ISBLANK($N157)),$N157/$K157,$I157/$K157),0),0)</f>
        <v>11050.662857142857</v>
      </c>
      <c r="AD157" s="498">
        <f>IFERROR(IF(AND(AD$54&gt;=EOMONTH($J157,-1)+1,AD$54&lt;=EOMONTH(EOMONTH($J157,-1)+1,$K157-1)),IF(NOT(ISBLANK($N157)),$N157/$K157,$I157/$K157),0),0)</f>
        <v>11050.662857142857</v>
      </c>
      <c r="AE157" s="498">
        <f>IFERROR(IF(AND(AE$54&gt;=EOMONTH($J157,-1)+1,AE$54&lt;=EOMONTH(EOMONTH($J157,-1)+1,$K157-1)),IF(NOT(ISBLANK($N157)),$N157/$K157,$I157/$K157),0),0)</f>
        <v>11050.662857142857</v>
      </c>
      <c r="AF157" s="89">
        <f t="shared" si="253"/>
        <v>33151.98857142857</v>
      </c>
      <c r="AG157" s="498">
        <f>IFERROR(IF(AND(AG$54&gt;=EOMONTH($J157,-1)+1,AG$54&lt;=EOMONTH(EOMONTH($J157,-1)+1,$K157-1)),IF(NOT(ISBLANK($N157)),$N157/$K157,$I157/$K157),0),0)</f>
        <v>11050.662857142857</v>
      </c>
      <c r="AH157" s="498">
        <f>IFERROR(IF(AND(AH$54&gt;=EOMONTH($J157,-1)+1,AH$54&lt;=EOMONTH(EOMONTH($J157,-1)+1,$K157-1)),IF(NOT(ISBLANK($N157)),$N157/$K157,$I157/$K157),0),0)</f>
        <v>11050.662857142857</v>
      </c>
      <c r="AI157" s="498">
        <f>IFERROR(IF(AND(AI$54&gt;=EOMONTH($J157,-1)+1,AI$54&lt;=EOMONTH(EOMONTH($J157,-1)+1,$K157-1)),IF(NOT(ISBLANK($N157)),$N157/$K157,$I157/$K157),0),0)</f>
        <v>11050.662857142857</v>
      </c>
      <c r="AJ157" s="89">
        <f t="shared" si="144"/>
        <v>33151.98857142857</v>
      </c>
      <c r="AK157" s="95">
        <f t="shared" si="145"/>
        <v>77354.64</v>
      </c>
      <c r="AL157" s="150" t="s">
        <v>549</v>
      </c>
      <c r="AM157" s="1407"/>
      <c r="AN157" s="1334"/>
      <c r="AO157" s="1403">
        <f>N157*AN157</f>
        <v>0</v>
      </c>
      <c r="AP157" s="62" t="str">
        <f>C157</f>
        <v>52 - Redução de MP - GM000458Z / GM000459Z</v>
      </c>
      <c r="AQ157" s="62" t="s">
        <v>311</v>
      </c>
      <c r="AR157" s="508" cm="1">
        <f t="array" aca="1" ref="AR157" ca="1">IF(OR(AP157="",AP157=0),"",IF(SUMPRODUCT(($C$55:$C$175=AP157)*(U$54:$AI$54&lt;EOMONTH(TODAY(),-1)+1)*(ISNUMBER(U$55:$AI$175)),U$55:$AI$175)=0,"",SUMPRODUCT(($C$55:$C$175=AP157)*(U$54:$AI$54&lt;EOMONTH(TODAY(),-1)+1)*(ISNUMBER(U$55:$AI$175)),U$55:$AI$175)))</f>
        <v>22101.325714285715</v>
      </c>
      <c r="AS157" s="508" t="str">
        <f>A157</f>
        <v>BSW</v>
      </c>
      <c r="AU157" s="1566">
        <f t="shared" ref="AU157" si="303">IF(OR(I157="",K157=""),0,(I157/12)*K157)</f>
        <v>137666.66666666669</v>
      </c>
      <c r="AV157" s="1566">
        <f t="shared" ref="AV157" si="304">IF(OR(N157="",K157="",K157=0),0,(N157/K157)*12)</f>
        <v>132607.95428571428</v>
      </c>
    </row>
    <row r="158" spans="1:48" ht="29.1" customHeight="1" x14ac:dyDescent="0.3">
      <c r="A158" s="1694"/>
      <c r="B158" s="1709"/>
      <c r="C158" s="1700"/>
      <c r="D158" s="1455"/>
      <c r="E158" s="1450"/>
      <c r="F158" s="1452"/>
      <c r="G158" s="1367"/>
      <c r="H158" s="1367"/>
      <c r="I158" s="1367"/>
      <c r="J158" s="1379"/>
      <c r="K158" s="1388"/>
      <c r="L158" s="1396"/>
      <c r="M158" s="1721"/>
      <c r="N158" s="2509"/>
      <c r="O158" s="1672"/>
      <c r="P158" s="1664"/>
      <c r="Q158" s="1664"/>
      <c r="R158" s="1330"/>
      <c r="S158" s="93" t="s">
        <v>117</v>
      </c>
      <c r="T158" s="727">
        <v>1</v>
      </c>
      <c r="U158" s="290"/>
      <c r="V158" s="290"/>
      <c r="W158" s="290"/>
      <c r="X158" s="288">
        <f t="shared" si="291"/>
        <v>0</v>
      </c>
      <c r="Y158" s="290"/>
      <c r="Z158" s="290"/>
      <c r="AA158" s="2507"/>
      <c r="AB158" s="288">
        <f t="shared" si="292"/>
        <v>0</v>
      </c>
      <c r="AC158" s="290">
        <v>12498.573232819546</v>
      </c>
      <c r="AD158" s="290"/>
      <c r="AE158" s="290"/>
      <c r="AF158" s="288">
        <f t="shared" si="253"/>
        <v>12498.573232819546</v>
      </c>
      <c r="AG158" s="290"/>
      <c r="AH158" s="290"/>
      <c r="AI158" s="290"/>
      <c r="AJ158" s="288">
        <f t="shared" si="144"/>
        <v>0</v>
      </c>
      <c r="AK158" s="291">
        <f t="shared" si="145"/>
        <v>12498.573232819546</v>
      </c>
      <c r="AL158" s="97"/>
      <c r="AM158" s="1408"/>
      <c r="AN158" s="1330"/>
      <c r="AO158" s="1404"/>
      <c r="AP158" s="62" t="str">
        <f>C157</f>
        <v>52 - Redução de MP - GM000458Z / GM000459Z</v>
      </c>
      <c r="AQ158" s="62" t="s">
        <v>313</v>
      </c>
      <c r="AR158" s="508" cm="1">
        <f t="array" aca="1" ref="AR158" ca="1">IF(OR(AP158="",AP158=0),"",IF(SUMPRODUCT(($C$55:$C$175=AP158)*($U$54:AI$54&lt;=TODAY())*(ISNUMBER($U$56:AI$176)),$U$56:AI$176)=0,"",SUMPRODUCT(($C$55:$C$175=AP158)*($U$54:AI$54&lt;=TODAY())*(ISNUMBER($U$56:AI$176)),$U$56:AI$176)))</f>
        <v>12498.573232819546</v>
      </c>
      <c r="AS158" s="508" t="str">
        <f>A157</f>
        <v>BSW</v>
      </c>
      <c r="AU158" s="1567"/>
      <c r="AV158" s="1567"/>
    </row>
    <row r="159" spans="1:48" ht="27" customHeight="1" x14ac:dyDescent="0.3">
      <c r="A159" s="1380" t="s">
        <v>59</v>
      </c>
      <c r="B159" s="1701" t="s">
        <v>97</v>
      </c>
      <c r="C159" s="1752" t="s">
        <v>550</v>
      </c>
      <c r="D159" s="1486" t="s">
        <v>551</v>
      </c>
      <c r="E159" s="1368" t="s">
        <v>552</v>
      </c>
      <c r="F159" s="1370" t="s">
        <v>317</v>
      </c>
      <c r="G159" s="1372">
        <v>46126</v>
      </c>
      <c r="H159" s="1372">
        <v>46142</v>
      </c>
      <c r="I159" s="1354"/>
      <c r="J159" s="1376">
        <v>46174</v>
      </c>
      <c r="K159" s="1389">
        <f>IF(J159="", "", 12 - MONTH(J159) + 1)</f>
        <v>7</v>
      </c>
      <c r="L159" s="1354"/>
      <c r="M159" s="1350"/>
      <c r="N159" s="1391"/>
      <c r="O159" s="1673" t="s">
        <v>81</v>
      </c>
      <c r="P159" s="1665" t="s">
        <v>309</v>
      </c>
      <c r="Q159" s="1665" t="s">
        <v>309</v>
      </c>
      <c r="R159" s="1327">
        <v>1</v>
      </c>
      <c r="S159" s="87" t="s">
        <v>116</v>
      </c>
      <c r="T159" s="91">
        <f ca="1">IF(OR(G159="", H159=""), "", IF(TODAY()&lt;G159, 0, IF(TODAY()&gt;H159, 1, (TODAY()-G159+1)/(H159-G159+1))))</f>
        <v>1</v>
      </c>
      <c r="U159" s="287">
        <f>IFERROR(IF(AND(U$54&gt;=EOMONTH($J159,-1)+1,U$54&lt;=EOMONTH(EOMONTH($J159,-1)+1,$K159-1)),IF(NOT(ISBLANK($N159)),$N159/$K159,$I159/$K159),0),0)</f>
        <v>0</v>
      </c>
      <c r="V159" s="287">
        <f>IFERROR(IF(AND(V$54&gt;=EOMONTH($J159,-1)+1,V$54&lt;=EOMONTH(EOMONTH($J159,-1)+1,$K159-1)),IF(NOT(ISBLANK($N159)),$N159/$K159,$I159/$K159),0),0)</f>
        <v>0</v>
      </c>
      <c r="W159" s="287">
        <f>IFERROR(IF(AND(W$54&gt;=EOMONTH($J159,-1)+1,W$54&lt;=EOMONTH(EOMONTH($J159,-1)+1,$K159-1)),IF(NOT(ISBLANK($N159)),$N159/$K159,$I159/$K159),0),0)</f>
        <v>0</v>
      </c>
      <c r="X159" s="89">
        <f t="shared" si="291"/>
        <v>0</v>
      </c>
      <c r="Y159" s="287">
        <f>IFERROR(IF(AND(Y$54&gt;=EOMONTH($J159,-1)+1,Y$54&lt;=EOMONTH(EOMONTH($J159,-1)+1,$K159-1)),IF(NOT(ISBLANK($N159)),$N159/$K159,$I159/$K159),0),0)</f>
        <v>0</v>
      </c>
      <c r="Z159" s="287">
        <f>IFERROR(IF(AND(Z$54&gt;=EOMONTH($J159,-1)+1,Z$54&lt;=EOMONTH(EOMONTH($J159,-1)+1,$K159-1)),IF(NOT(ISBLANK($N159)),$N159/$K159,$I159/$K159),0),0)</f>
        <v>0</v>
      </c>
      <c r="AA159" s="287">
        <f>IFERROR(IF(AND(AA$54&gt;=EOMONTH($J159,-1)+1,AA$54&lt;=EOMONTH(EOMONTH($J159,-1)+1,$K159-1)),IF(NOT(ISBLANK($N159)),$N159/$K159,$I159/$K159),0),0)</f>
        <v>0</v>
      </c>
      <c r="AB159" s="89">
        <f t="shared" si="292"/>
        <v>0</v>
      </c>
      <c r="AC159" s="287">
        <f>IFERROR(IF(AND(AC$54&gt;=EOMONTH($J159,-1)+1,AC$54&lt;=EOMONTH(EOMONTH($J159,-1)+1,$K159-1)),IF(NOT(ISBLANK($N159)),$N159/$K159,$I159/$K159),0),0)</f>
        <v>0</v>
      </c>
      <c r="AD159" s="287">
        <f>IFERROR(IF(AND(AD$54&gt;=EOMONTH($J159,-1)+1,AD$54&lt;=EOMONTH(EOMONTH($J159,-1)+1,$K159-1)),IF(NOT(ISBLANK($N159)),$N159/$K159,$I159/$K159),0),0)</f>
        <v>0</v>
      </c>
      <c r="AE159" s="287">
        <f>IFERROR(IF(AND(AE$54&gt;=EOMONTH($J159,-1)+1,AE$54&lt;=EOMONTH(EOMONTH($J159,-1)+1,$K159-1)),IF(NOT(ISBLANK($N159)),$N159/$K159,$I159/$K159),0),0)</f>
        <v>0</v>
      </c>
      <c r="AF159" s="89">
        <f t="shared" si="253"/>
        <v>0</v>
      </c>
      <c r="AG159" s="287">
        <f>IFERROR(IF(AND(AG$54&gt;=EOMONTH($J159,-1)+1,AG$54&lt;=EOMONTH(EOMONTH($J159,-1)+1,$K159-1)),IF(NOT(ISBLANK($N159)),$N159/$K159,$I159/$K159),0),0)</f>
        <v>0</v>
      </c>
      <c r="AH159" s="287">
        <f>IFERROR(IF(AND(AH$54&gt;=EOMONTH($J159,-1)+1,AH$54&lt;=EOMONTH(EOMONTH($J159,-1)+1,$K159-1)),IF(NOT(ISBLANK($N159)),$N159/$K159,$I159/$K159),0),0)</f>
        <v>0</v>
      </c>
      <c r="AI159" s="287">
        <f>IFERROR(IF(AND(AI$54&gt;=EOMONTH($J159,-1)+1,AI$54&lt;=EOMONTH(EOMONTH($J159,-1)+1,$K159-1)),IF(NOT(ISBLANK($N159)),$N159/$K159,$I159/$K159),0),0)</f>
        <v>0</v>
      </c>
      <c r="AJ159" s="89">
        <f t="shared" si="144"/>
        <v>0</v>
      </c>
      <c r="AK159" s="90">
        <f t="shared" si="145"/>
        <v>0</v>
      </c>
      <c r="AL159" s="337" t="s">
        <v>553</v>
      </c>
      <c r="AM159" s="1370"/>
      <c r="AN159" s="1411"/>
      <c r="AO159" s="1405">
        <f>N159*AN159</f>
        <v>0</v>
      </c>
      <c r="AP159" s="62" t="str">
        <f>C159</f>
        <v xml:space="preserve">53 - Redução no custo de aluguel de cilindros. </v>
      </c>
      <c r="AQ159" s="62" t="s">
        <v>311</v>
      </c>
      <c r="AR159" s="508" t="str" cm="1">
        <f t="array" aca="1" ref="AR159" ca="1">IF(OR(AP159="",AP159=0),"",IF(SUMPRODUCT(($C$55:$C$175=AP159)*(U$54:$AI$54&lt;EOMONTH(TODAY(),-1)+1)*(ISNUMBER(U$55:$AI$175)),U$55:$AI$175)=0,"",SUMPRODUCT(($C$55:$C$175=AP159)*(U$54:$AI$54&lt;EOMONTH(TODAY(),-1)+1)*(ISNUMBER(U$55:$AI$175)),U$55:$AI$175)))</f>
        <v/>
      </c>
      <c r="AS159" s="508" t="str">
        <f>A159</f>
        <v>Kaizen - Ganho Recorrente</v>
      </c>
      <c r="AU159" s="1566">
        <f t="shared" ref="AU159" si="305">IF(OR(I159="",K159=""),0,(I159/12)*K159)</f>
        <v>0</v>
      </c>
      <c r="AV159" s="1566">
        <f t="shared" ref="AV159" si="306">IF(OR(N159="",K159="",K159=0),0,(N159/K159)*12)</f>
        <v>0</v>
      </c>
    </row>
    <row r="160" spans="1:48" ht="29.1" customHeight="1" x14ac:dyDescent="0.3">
      <c r="A160" s="1381"/>
      <c r="B160" s="1702"/>
      <c r="C160" s="1753"/>
      <c r="D160" s="1510"/>
      <c r="E160" s="1369"/>
      <c r="F160" s="1371"/>
      <c r="G160" s="1373"/>
      <c r="H160" s="1373"/>
      <c r="I160" s="1355"/>
      <c r="J160" s="1377"/>
      <c r="K160" s="1390"/>
      <c r="L160" s="1355"/>
      <c r="M160" s="1460"/>
      <c r="N160" s="1392"/>
      <c r="O160" s="1674"/>
      <c r="P160" s="1666"/>
      <c r="Q160" s="1666"/>
      <c r="R160" s="1328"/>
      <c r="S160" s="87" t="s">
        <v>117</v>
      </c>
      <c r="T160" s="91">
        <v>1</v>
      </c>
      <c r="U160" s="287"/>
      <c r="V160" s="287"/>
      <c r="W160" s="287"/>
      <c r="X160" s="288">
        <f t="shared" si="291"/>
        <v>0</v>
      </c>
      <c r="Y160" s="287"/>
      <c r="Z160" s="287"/>
      <c r="AA160" s="287"/>
      <c r="AB160" s="288">
        <f t="shared" si="292"/>
        <v>0</v>
      </c>
      <c r="AC160" s="287"/>
      <c r="AD160" s="287"/>
      <c r="AE160" s="287"/>
      <c r="AF160" s="288">
        <f t="shared" si="253"/>
        <v>0</v>
      </c>
      <c r="AG160" s="287"/>
      <c r="AH160" s="287"/>
      <c r="AI160" s="287"/>
      <c r="AJ160" s="288">
        <f t="shared" si="144"/>
        <v>0</v>
      </c>
      <c r="AK160" s="289">
        <f t="shared" si="145"/>
        <v>0</v>
      </c>
      <c r="AL160" s="337"/>
      <c r="AM160" s="1371"/>
      <c r="AN160" s="1412"/>
      <c r="AO160" s="1406"/>
      <c r="AP160" s="62" t="str">
        <f>C159</f>
        <v xml:space="preserve">53 - Redução no custo de aluguel de cilindros. </v>
      </c>
      <c r="AQ160" s="62" t="s">
        <v>313</v>
      </c>
      <c r="AR160" s="508" t="str" cm="1">
        <f t="array" aca="1" ref="AR160" ca="1">IF(OR(AP160="",AP160=0),"",IF(SUMPRODUCT(($C$55:$C$175=AP160)*($U$54:AI$54&lt;=TODAY())*(ISNUMBER($U$56:AI$176)),$U$56:AI$176)=0,"",SUMPRODUCT(($C$55:$C$175=AP160)*($U$54:AI$54&lt;=TODAY())*(ISNUMBER($U$56:AI$176)),$U$56:AI$176)))</f>
        <v/>
      </c>
      <c r="AS160" s="508" t="str">
        <f>A159</f>
        <v>Kaizen - Ganho Recorrente</v>
      </c>
      <c r="AU160" s="1567"/>
      <c r="AV160" s="1567"/>
    </row>
    <row r="161" spans="1:48" ht="29.1" customHeight="1" x14ac:dyDescent="0.3">
      <c r="A161" s="1407" t="s">
        <v>91</v>
      </c>
      <c r="B161" s="1708" t="s">
        <v>95</v>
      </c>
      <c r="C161" s="1722" t="s">
        <v>554</v>
      </c>
      <c r="D161" s="1356" t="s">
        <v>555</v>
      </c>
      <c r="E161" s="1449" t="s">
        <v>556</v>
      </c>
      <c r="F161" s="1451" t="s">
        <v>557</v>
      </c>
      <c r="G161" s="1366">
        <v>46136</v>
      </c>
      <c r="H161" s="1518">
        <v>46172</v>
      </c>
      <c r="I161" s="1706">
        <v>60000.000008800002</v>
      </c>
      <c r="J161" s="1378">
        <v>46266</v>
      </c>
      <c r="K161" s="1387">
        <f>IF(J161="", "", 12 - MONTH(J161) + 1)</f>
        <v>4</v>
      </c>
      <c r="L161" s="1395"/>
      <c r="M161" s="1718" t="s">
        <v>363</v>
      </c>
      <c r="N161" s="1704"/>
      <c r="O161" s="1334" t="s">
        <v>83</v>
      </c>
      <c r="P161" s="1680" t="s">
        <v>558</v>
      </c>
      <c r="Q161" s="1667">
        <v>46240</v>
      </c>
      <c r="R161" s="1334">
        <v>1</v>
      </c>
      <c r="S161" s="93" t="s">
        <v>116</v>
      </c>
      <c r="T161" s="96">
        <f ca="1">IF(OR(G161="", H161=""), "", IF(TODAY()&lt;G161, 0, IF(TODAY()&gt;H161, 1, (TODAY()-G161+1)/(H161-G161+1))))</f>
        <v>1</v>
      </c>
      <c r="U161" s="498">
        <f>IFERROR(IF(AND(U$54&gt;=EOMONTH($J161,-1)+1,U$54&lt;=EOMONTH(EOMONTH($J161,-1)+1,$K161-1)),IF(NOT(ISBLANK($N161)),$N161/$K161,$I161/$K161),0),0)</f>
        <v>0</v>
      </c>
      <c r="V161" s="498">
        <f>IFERROR(IF(AND(V$54&gt;=EOMONTH($J161,-1)+1,V$54&lt;=EOMONTH(EOMONTH($J161,-1)+1,$K161-1)),IF(NOT(ISBLANK($N161)),$N161/$K161,$I161/$K161),0),0)</f>
        <v>0</v>
      </c>
      <c r="W161" s="498">
        <f>IFERROR(IF(AND(W$54&gt;=EOMONTH($J161,-1)+1,W$54&lt;=EOMONTH(EOMONTH($J161,-1)+1,$K161-1)),IF(NOT(ISBLANK($N161)),$N161/$K161,$I161/$K161),0),0)</f>
        <v>0</v>
      </c>
      <c r="X161" s="89">
        <f t="shared" si="291"/>
        <v>0</v>
      </c>
      <c r="Y161" s="498">
        <f>IFERROR(IF(AND(Y$54&gt;=EOMONTH($J161,-1)+1,Y$54&lt;=EOMONTH(EOMONTH($J161,-1)+1,$K161-1)),IF(NOT(ISBLANK($N161)),$N161/$K161,$I161/$K161),0),0)</f>
        <v>0</v>
      </c>
      <c r="Z161" s="498">
        <f>IFERROR(IF(AND(Z$54&gt;=EOMONTH($J161,-1)+1,Z$54&lt;=EOMONTH(EOMONTH($J161,-1)+1,$K161-1)),IF(NOT(ISBLANK($N161)),$N161/$K161,$I161/$K161),0),0)</f>
        <v>0</v>
      </c>
      <c r="AA161" s="498">
        <f>IFERROR(IF(AND(AA$54&gt;=EOMONTH($J161,-1)+1,AA$54&lt;=EOMONTH(EOMONTH($J161,-1)+1,$K161-1)),IF(NOT(ISBLANK($N161)),$N161/$K161,$I161/$K161),0),0)</f>
        <v>0</v>
      </c>
      <c r="AB161" s="89">
        <f t="shared" si="292"/>
        <v>0</v>
      </c>
      <c r="AC161" s="498">
        <f>IFERROR(IF(AND(AC$54&gt;=EOMONTH($J161,-1)+1,AC$54&lt;=EOMONTH(EOMONTH($J161,-1)+1,$K161-1)),IF(NOT(ISBLANK($N161)),$N161/$K161,$I161/$K161),0),0)</f>
        <v>0</v>
      </c>
      <c r="AD161" s="498">
        <f>IFERROR(IF(AND(AD$54&gt;=EOMONTH($J161,-1)+1,AD$54&lt;=EOMONTH(EOMONTH($J161,-1)+1,$K161-1)),IF(NOT(ISBLANK($N161)),$N161/$K161,$I161/$K161),0),0)</f>
        <v>0</v>
      </c>
      <c r="AE161" s="498">
        <f>IFERROR(IF(AND(AE$54&gt;=EOMONTH($J161,-1)+1,AE$54&lt;=EOMONTH(EOMONTH($J161,-1)+1,$K161-1)),IF(NOT(ISBLANK($N161)),$N161/$K161,$I161/$K161),0),0)</f>
        <v>15000.0000022</v>
      </c>
      <c r="AF161" s="89">
        <f t="shared" si="253"/>
        <v>15000.0000022</v>
      </c>
      <c r="AG161" s="498">
        <f>IFERROR(IF(AND(AG$54&gt;=EOMONTH($J161,-1)+1,AG$54&lt;=EOMONTH(EOMONTH($J161,-1)+1,$K161-1)),IF(NOT(ISBLANK($N161)),$N161/$K161,$I161/$K161),0),0)</f>
        <v>15000.0000022</v>
      </c>
      <c r="AH161" s="498">
        <f>IFERROR(IF(AND(AH$54&gt;=EOMONTH($J161,-1)+1,AH$54&lt;=EOMONTH(EOMONTH($J161,-1)+1,$K161-1)),IF(NOT(ISBLANK($N161)),$N161/$K161,$I161/$K161),0),0)</f>
        <v>15000.0000022</v>
      </c>
      <c r="AI161" s="498">
        <f>IFERROR(IF(AND(AI$54&gt;=EOMONTH($J161,-1)+1,AI$54&lt;=EOMONTH(EOMONTH($J161,-1)+1,$K161-1)),IF(NOT(ISBLANK($N161)),$N161/$K161,$I161/$K161),0),0)</f>
        <v>15000.0000022</v>
      </c>
      <c r="AJ161" s="89">
        <f t="shared" ref="AJ161:AJ168" si="307">SUM(AG161:AI161)</f>
        <v>45000.000006599999</v>
      </c>
      <c r="AK161" s="95">
        <f t="shared" ref="AK161:AK168" si="308">SUM(X161,AB161,AF161,AJ161)</f>
        <v>60000.000008800002</v>
      </c>
      <c r="AL161" s="338" t="s">
        <v>559</v>
      </c>
      <c r="AM161" s="1407"/>
      <c r="AN161" s="1334"/>
      <c r="AO161" s="1403">
        <f>N161*AN161</f>
        <v>0</v>
      </c>
      <c r="AP161" s="62" t="str">
        <f>C161</f>
        <v>54 - Redução de MP - VW000585Z_586Z (20mm no passo)</v>
      </c>
      <c r="AQ161" s="62" t="s">
        <v>311</v>
      </c>
      <c r="AR161" s="508" t="str" cm="1">
        <f t="array" aca="1" ref="AR161" ca="1">IF(OR(AP161="",AP161=0),"",IF(SUMPRODUCT(($C$55:$C$175=AP161)*(U$54:$AI$54&lt;EOMONTH(TODAY(),-1)+1)*(ISNUMBER(U$55:$AI$175)),U$55:$AI$175)=0,"",SUMPRODUCT(($C$55:$C$175=AP161)*(U$54:$AI$54&lt;EOMONTH(TODAY(),-1)+1)*(ISNUMBER(U$55:$AI$175)),U$55:$AI$175)))</f>
        <v/>
      </c>
      <c r="AS161" s="508" t="str">
        <f>A161</f>
        <v>BSW</v>
      </c>
      <c r="AU161" s="1566">
        <f t="shared" ref="AU161" si="309">IF(OR(I161="",K161=""),0,(I161/12)*K161)</f>
        <v>20000.000002933335</v>
      </c>
      <c r="AV161" s="1566">
        <f t="shared" ref="AV161" si="310">IF(OR(N161="",K161="",K161=0),0,(N161/K161)*12)</f>
        <v>0</v>
      </c>
    </row>
    <row r="162" spans="1:48" ht="29.1" customHeight="1" x14ac:dyDescent="0.3">
      <c r="A162" s="1408"/>
      <c r="B162" s="1709"/>
      <c r="C162" s="1723"/>
      <c r="D162" s="1455"/>
      <c r="E162" s="1450"/>
      <c r="F162" s="1452"/>
      <c r="G162" s="1367"/>
      <c r="H162" s="1519"/>
      <c r="I162" s="1707"/>
      <c r="J162" s="1379"/>
      <c r="K162" s="1388"/>
      <c r="L162" s="1396"/>
      <c r="M162" s="1719"/>
      <c r="N162" s="1705"/>
      <c r="O162" s="1330"/>
      <c r="P162" s="1681"/>
      <c r="Q162" s="1668"/>
      <c r="R162" s="1330"/>
      <c r="S162" s="93" t="s">
        <v>117</v>
      </c>
      <c r="T162" s="96">
        <v>0.8</v>
      </c>
      <c r="U162" s="290"/>
      <c r="V162" s="290"/>
      <c r="W162" s="290"/>
      <c r="X162" s="288">
        <f t="shared" si="291"/>
        <v>0</v>
      </c>
      <c r="Y162" s="290"/>
      <c r="Z162" s="290"/>
      <c r="AA162" s="290"/>
      <c r="AB162" s="288">
        <f t="shared" si="292"/>
        <v>0</v>
      </c>
      <c r="AC162" s="290"/>
      <c r="AD162" s="290"/>
      <c r="AE162" s="290"/>
      <c r="AF162" s="288">
        <f t="shared" si="253"/>
        <v>0</v>
      </c>
      <c r="AG162" s="290"/>
      <c r="AH162" s="290"/>
      <c r="AI162" s="290"/>
      <c r="AJ162" s="288">
        <f t="shared" si="307"/>
        <v>0</v>
      </c>
      <c r="AK162" s="291">
        <f t="shared" si="308"/>
        <v>0</v>
      </c>
      <c r="AL162" s="97"/>
      <c r="AM162" s="1408"/>
      <c r="AN162" s="1330"/>
      <c r="AO162" s="1404"/>
      <c r="AP162" s="62" t="str">
        <f>C161</f>
        <v>54 - Redução de MP - VW000585Z_586Z (20mm no passo)</v>
      </c>
      <c r="AQ162" s="62" t="s">
        <v>313</v>
      </c>
      <c r="AR162" s="508" t="str" cm="1">
        <f t="array" aca="1" ref="AR162" ca="1">IF(OR(AP162="",AP162=0),"",IF(SUMPRODUCT(($C$55:$C$175=AP162)*($U$54:AI$54&lt;=TODAY())*(ISNUMBER($U$56:AI$176)),$U$56:AI$176)=0,"",SUMPRODUCT(($C$55:$C$175=AP162)*($U$54:AI$54&lt;=TODAY())*(ISNUMBER($U$56:AI$176)),$U$56:AI$176)))</f>
        <v/>
      </c>
      <c r="AS162" s="508" t="str">
        <f>A161</f>
        <v>BSW</v>
      </c>
      <c r="AU162" s="1567"/>
      <c r="AV162" s="1567"/>
    </row>
    <row r="163" spans="1:48" ht="29.1" customHeight="1" x14ac:dyDescent="0.3">
      <c r="A163" s="1691" t="s">
        <v>91</v>
      </c>
      <c r="B163" s="1701" t="s">
        <v>95</v>
      </c>
      <c r="C163" s="1716" t="s">
        <v>560</v>
      </c>
      <c r="D163" s="1486" t="s">
        <v>561</v>
      </c>
      <c r="E163" s="1368" t="s">
        <v>562</v>
      </c>
      <c r="F163" s="1370" t="s">
        <v>557</v>
      </c>
      <c r="G163" s="1372">
        <v>46149</v>
      </c>
      <c r="H163" s="1372">
        <v>46233</v>
      </c>
      <c r="I163" s="1689">
        <v>60000</v>
      </c>
      <c r="J163" s="1376">
        <v>46235</v>
      </c>
      <c r="K163" s="1389">
        <f>IF(J163="", "", 12 - MONTH(J163) + 1)</f>
        <v>5</v>
      </c>
      <c r="L163" s="1354"/>
      <c r="M163" s="1350" t="s">
        <v>308</v>
      </c>
      <c r="N163" s="1730">
        <v>37697.32</v>
      </c>
      <c r="O163" s="1327" t="s">
        <v>83</v>
      </c>
      <c r="P163" s="1678" t="s">
        <v>457</v>
      </c>
      <c r="Q163" s="1669">
        <v>46240</v>
      </c>
      <c r="R163" s="1327">
        <v>1</v>
      </c>
      <c r="S163" s="87" t="s">
        <v>116</v>
      </c>
      <c r="T163" s="91">
        <f ca="1">IF(OR(G163="", H163=""), "", IF(TODAY()&lt;G163, 0, IF(TODAY()&gt;H163, 1, (TODAY()-G163+1)/(H163-G163+1))))</f>
        <v>1</v>
      </c>
      <c r="U163" s="287">
        <f>IFERROR(IF(AND(U$54&gt;=EOMONTH($J163,-1)+1,U$54&lt;=EOMONTH(EOMONTH($J163,-1)+1,$K163-1)),IF(NOT(ISBLANK($N163)),$N163/$K163,$I163/$K163),0),0)</f>
        <v>0</v>
      </c>
      <c r="V163" s="287">
        <f>IFERROR(IF(AND(V$54&gt;=EOMONTH($J163,-1)+1,V$54&lt;=EOMONTH(EOMONTH($J163,-1)+1,$K163-1)),IF(NOT(ISBLANK($N163)),$N163/$K163,$I163/$K163),0),0)</f>
        <v>0</v>
      </c>
      <c r="W163" s="287">
        <f>IFERROR(IF(AND(W$54&gt;=EOMONTH($J163,-1)+1,W$54&lt;=EOMONTH(EOMONTH($J163,-1)+1,$K163-1)),IF(NOT(ISBLANK($N163)),$N163/$K163,$I163/$K163),0),0)</f>
        <v>0</v>
      </c>
      <c r="X163" s="89">
        <f t="shared" si="291"/>
        <v>0</v>
      </c>
      <c r="Y163" s="287">
        <f>IFERROR(IF(AND(Y$54&gt;=EOMONTH($J163,-1)+1,Y$54&lt;=EOMONTH(EOMONTH($J163,-1)+1,$K163-1)),IF(NOT(ISBLANK($N163)),$N163/$K163,$I163/$K163),0),0)</f>
        <v>0</v>
      </c>
      <c r="Z163" s="287">
        <f>IFERROR(IF(AND(Z$54&gt;=EOMONTH($J163,-1)+1,Z$54&lt;=EOMONTH(EOMONTH($J163,-1)+1,$K163-1)),IF(NOT(ISBLANK($N163)),$N163/$K163,$I163/$K163),0),0)</f>
        <v>0</v>
      </c>
      <c r="AA163" s="287">
        <f>IFERROR(IF(AND(AA$54&gt;=EOMONTH($J163,-1)+1,AA$54&lt;=EOMONTH(EOMONTH($J163,-1)+1,$K163-1)),IF(NOT(ISBLANK($N163)),$N163/$K163,$I163/$K163),0),0)</f>
        <v>0</v>
      </c>
      <c r="AB163" s="89">
        <f t="shared" si="292"/>
        <v>0</v>
      </c>
      <c r="AC163" s="287">
        <f>IFERROR(IF(AND(AC$54&gt;=EOMONTH($J163,-1)+1,AC$54&lt;=EOMONTH(EOMONTH($J163,-1)+1,$K163-1)),IF(NOT(ISBLANK($N163)),$N163/$K163,$I163/$K163),0),0)</f>
        <v>0</v>
      </c>
      <c r="AD163" s="287">
        <f>IFERROR(IF(AND(AD$54&gt;=EOMONTH($J163,-1)+1,AD$54&lt;=EOMONTH(EOMONTH($J163,-1)+1,$K163-1)),IF(NOT(ISBLANK($N163)),$N163/$K163,$I163/$K163),0),0)</f>
        <v>7539.4639999999999</v>
      </c>
      <c r="AE163" s="287">
        <f>IFERROR(IF(AND(AE$54&gt;=EOMONTH($J163,-1)+1,AE$54&lt;=EOMONTH(EOMONTH($J163,-1)+1,$K163-1)),IF(NOT(ISBLANK($N163)),$N163/$K163,$I163/$K163),0),0)</f>
        <v>7539.4639999999999</v>
      </c>
      <c r="AF163" s="89">
        <f t="shared" si="253"/>
        <v>15078.928</v>
      </c>
      <c r="AG163" s="287">
        <f>IFERROR(IF(AND(AG$54&gt;=EOMONTH($J163,-1)+1,AG$54&lt;=EOMONTH(EOMONTH($J163,-1)+1,$K163-1)),IF(NOT(ISBLANK($N163)),$N163/$K163,$I163/$K163),0),0)</f>
        <v>7539.4639999999999</v>
      </c>
      <c r="AH163" s="287">
        <f>IFERROR(IF(AND(AH$54&gt;=EOMONTH($J163,-1)+1,AH$54&lt;=EOMONTH(EOMONTH($J163,-1)+1,$K163-1)),IF(NOT(ISBLANK($N163)),$N163/$K163,$I163/$K163),0),0)</f>
        <v>7539.4639999999999</v>
      </c>
      <c r="AI163" s="287">
        <f>IFERROR(IF(AND(AI$54&gt;=EOMONTH($J163,-1)+1,AI$54&lt;=EOMONTH(EOMONTH($J163,-1)+1,$K163-1)),IF(NOT(ISBLANK($N163)),$N163/$K163,$I163/$K163),0),0)</f>
        <v>7539.4639999999999</v>
      </c>
      <c r="AJ163" s="89">
        <f t="shared" si="307"/>
        <v>22618.392</v>
      </c>
      <c r="AK163" s="90">
        <f t="shared" si="308"/>
        <v>37697.32</v>
      </c>
      <c r="AL163" s="337" t="s">
        <v>563</v>
      </c>
      <c r="AM163" s="1370"/>
      <c r="AN163" s="1411"/>
      <c r="AO163" s="1405">
        <f>N163*AN163</f>
        <v>0</v>
      </c>
      <c r="AP163" s="62" t="str">
        <f>C163</f>
        <v>55 -  Redução de MP - GM000378Z / GM000379Z</v>
      </c>
      <c r="AQ163" s="62" t="s">
        <v>311</v>
      </c>
      <c r="AR163" s="508" t="str" cm="1">
        <f t="array" aca="1" ref="AR163" ca="1">IF(OR(AP163="",AP163=0),"",IF(SUMPRODUCT(($C$55:$C$175=AP163)*(U$54:$AI$54&lt;EOMONTH(TODAY(),-1)+1)*(ISNUMBER(U$55:$AI$175)),U$55:$AI$175)=0,"",SUMPRODUCT(($C$55:$C$175=AP163)*(U$54:$AI$54&lt;EOMONTH(TODAY(),-1)+1)*(ISNUMBER(U$55:$AI$175)),U$55:$AI$175)))</f>
        <v/>
      </c>
      <c r="AS163" s="508" t="str">
        <f>A163</f>
        <v>BSW</v>
      </c>
      <c r="AU163" s="1566">
        <f t="shared" ref="AU163" si="311">IF(OR(I163="",K163=""),0,(I163/12)*K163)</f>
        <v>25000</v>
      </c>
      <c r="AV163" s="1566">
        <f t="shared" ref="AV163" si="312">IF(OR(N163="",K163="",K163=0),0,(N163/K163)*12)</f>
        <v>90473.567999999999</v>
      </c>
    </row>
    <row r="164" spans="1:48" ht="29.1" customHeight="1" x14ac:dyDescent="0.3">
      <c r="A164" s="1692"/>
      <c r="B164" s="1702"/>
      <c r="C164" s="1717"/>
      <c r="D164" s="1487"/>
      <c r="E164" s="1369"/>
      <c r="F164" s="1371"/>
      <c r="G164" s="1373"/>
      <c r="H164" s="1373"/>
      <c r="I164" s="1690"/>
      <c r="J164" s="1377"/>
      <c r="K164" s="1390"/>
      <c r="L164" s="1355"/>
      <c r="M164" s="1460"/>
      <c r="N164" s="1731"/>
      <c r="O164" s="1328"/>
      <c r="P164" s="1682"/>
      <c r="Q164" s="1670"/>
      <c r="R164" s="1328"/>
      <c r="S164" s="87" t="s">
        <v>117</v>
      </c>
      <c r="T164" s="91">
        <v>0.7</v>
      </c>
      <c r="U164" s="287"/>
      <c r="V164" s="287"/>
      <c r="W164" s="287"/>
      <c r="X164" s="288">
        <f t="shared" si="291"/>
        <v>0</v>
      </c>
      <c r="Y164" s="287"/>
      <c r="Z164" s="287"/>
      <c r="AA164" s="287"/>
      <c r="AB164" s="288">
        <f t="shared" si="292"/>
        <v>0</v>
      </c>
      <c r="AC164" s="287"/>
      <c r="AD164" s="287"/>
      <c r="AE164" s="287"/>
      <c r="AF164" s="288">
        <f t="shared" si="253"/>
        <v>0</v>
      </c>
      <c r="AG164" s="287"/>
      <c r="AH164" s="287"/>
      <c r="AI164" s="287"/>
      <c r="AJ164" s="288">
        <f t="shared" si="307"/>
        <v>0</v>
      </c>
      <c r="AK164" s="289">
        <f t="shared" si="308"/>
        <v>0</v>
      </c>
      <c r="AL164" s="337"/>
      <c r="AM164" s="1371"/>
      <c r="AN164" s="1412"/>
      <c r="AO164" s="1406"/>
      <c r="AP164" s="62" t="str">
        <f>C163</f>
        <v>55 -  Redução de MP - GM000378Z / GM000379Z</v>
      </c>
      <c r="AQ164" s="62" t="s">
        <v>313</v>
      </c>
      <c r="AR164" s="508" t="str" cm="1">
        <f t="array" aca="1" ref="AR164" ca="1">IF(OR(AP164="",AP164=0),"",IF(SUMPRODUCT(($C$55:$C$175=AP164)*($U$54:AI$54&lt;=TODAY())*(ISNUMBER($U$56:AI$176)),$U$56:AI$176)=0,"",SUMPRODUCT(($C$55:$C$175=AP164)*($U$54:AI$54&lt;=TODAY())*(ISNUMBER($U$56:AI$176)),$U$56:AI$176)))</f>
        <v/>
      </c>
      <c r="AS164" s="508" t="str">
        <f>A163</f>
        <v>BSW</v>
      </c>
      <c r="AU164" s="1567"/>
      <c r="AV164" s="1567"/>
    </row>
    <row r="165" spans="1:48" ht="29.1" customHeight="1" x14ac:dyDescent="0.3">
      <c r="A165" s="1693" t="s">
        <v>91</v>
      </c>
      <c r="B165" s="1708" t="s">
        <v>95</v>
      </c>
      <c r="C165" s="1699" t="s">
        <v>564</v>
      </c>
      <c r="D165" s="1356" t="s">
        <v>565</v>
      </c>
      <c r="E165" s="1449" t="s">
        <v>566</v>
      </c>
      <c r="F165" s="1451" t="s">
        <v>307</v>
      </c>
      <c r="G165" s="1366">
        <v>46151</v>
      </c>
      <c r="H165" s="1366">
        <v>46203</v>
      </c>
      <c r="I165" s="1706">
        <v>91200</v>
      </c>
      <c r="J165" s="1378">
        <v>46204</v>
      </c>
      <c r="K165" s="1387">
        <f>IF(J165="", "", 12 - MONTH(J165) + 1)</f>
        <v>6</v>
      </c>
      <c r="L165" s="1395"/>
      <c r="M165" s="1720" t="s">
        <v>308</v>
      </c>
      <c r="N165" s="1704">
        <f>17730.18+6800.09</f>
        <v>24530.27</v>
      </c>
      <c r="O165" s="1663" t="s">
        <v>81</v>
      </c>
      <c r="P165" s="1671" t="s">
        <v>309</v>
      </c>
      <c r="Q165" s="1671" t="s">
        <v>309</v>
      </c>
      <c r="R165" s="1334">
        <v>1</v>
      </c>
      <c r="S165" s="93" t="s">
        <v>116</v>
      </c>
      <c r="T165" s="96">
        <f ca="1">IF(OR(G165="", H165=""), "", IF(TODAY()&lt;G165, 0, IF(TODAY()&gt;H165, 1, (TODAY()-G165+1)/(H165-G165+1))))</f>
        <v>1</v>
      </c>
      <c r="U165" s="498">
        <f>IFERROR(IF(AND(U$54&gt;=EOMONTH($J165,-1)+1,U$54&lt;=EOMONTH(EOMONTH($J165,-1)+1,$K165-1)),IF(NOT(ISBLANK($N165)),$N165/$K165,$I165/$K165),0),0)</f>
        <v>0</v>
      </c>
      <c r="V165" s="498">
        <f>IFERROR(IF(AND(V$54&gt;=EOMONTH($J165,-1)+1,V$54&lt;=EOMONTH(EOMONTH($J165,-1)+1,$K165-1)),IF(NOT(ISBLANK($N165)),$N165/$K165,$I165/$K165),0),0)</f>
        <v>0</v>
      </c>
      <c r="W165" s="498">
        <f>IFERROR(IF(AND(W$54&gt;=EOMONTH($J165,-1)+1,W$54&lt;=EOMONTH(EOMONTH($J165,-1)+1,$K165-1)),IF(NOT(ISBLANK($N165)),$N165/$K165,$I165/$K165),0),0)</f>
        <v>0</v>
      </c>
      <c r="X165" s="89">
        <f t="shared" si="291"/>
        <v>0</v>
      </c>
      <c r="Y165" s="498">
        <f>IFERROR(IF(AND(Y$54&gt;=EOMONTH($J165,-1)+1,Y$54&lt;=EOMONTH(EOMONTH($J165,-1)+1,$K165-1)),IF(NOT(ISBLANK($N165)),$N165/$K165,$I165/$K165),0),0)</f>
        <v>0</v>
      </c>
      <c r="Z165" s="498">
        <f>IFERROR(IF(AND(Z$54&gt;=EOMONTH($J165,-1)+1,Z$54&lt;=EOMONTH(EOMONTH($J165,-1)+1,$K165-1)),IF(NOT(ISBLANK($N165)),$N165/$K165,$I165/$K165),0),0)</f>
        <v>0</v>
      </c>
      <c r="AA165" s="498">
        <f>IFERROR(IF(AND(AA$54&gt;=EOMONTH($J165,-1)+1,AA$54&lt;=EOMONTH(EOMONTH($J165,-1)+1,$K165-1)),IF(NOT(ISBLANK($N165)),$N165/$K165,$I165/$K165),0),0)</f>
        <v>0</v>
      </c>
      <c r="AB165" s="89">
        <f t="shared" si="292"/>
        <v>0</v>
      </c>
      <c r="AC165" s="498">
        <f>IFERROR(IF(AND(AC$54&gt;=EOMONTH($J165,-1)+1,AC$54&lt;=EOMONTH(EOMONTH($J165,-1)+1,$K165-1)),IF(NOT(ISBLANK($N165)),$N165/$K165,$I165/$K165),0),0)</f>
        <v>4088.3783333333336</v>
      </c>
      <c r="AD165" s="498">
        <f>IFERROR(IF(AND(AD$54&gt;=EOMONTH($J165,-1)+1,AD$54&lt;=EOMONTH(EOMONTH($J165,-1)+1,$K165-1)),IF(NOT(ISBLANK($N165)),$N165/$K165,$I165/$K165),0),0)</f>
        <v>4088.3783333333336</v>
      </c>
      <c r="AE165" s="498">
        <f>IFERROR(IF(AND(AE$54&gt;=EOMONTH($J165,-1)+1,AE$54&lt;=EOMONTH(EOMONTH($J165,-1)+1,$K165-1)),IF(NOT(ISBLANK($N165)),$N165/$K165,$I165/$K165),0),0)</f>
        <v>4088.3783333333336</v>
      </c>
      <c r="AF165" s="89">
        <f t="shared" si="253"/>
        <v>12265.135</v>
      </c>
      <c r="AG165" s="498">
        <f>IFERROR(IF(AND(AG$54&gt;=EOMONTH($J165,-1)+1,AG$54&lt;=EOMONTH(EOMONTH($J165,-1)+1,$K165-1)),IF(NOT(ISBLANK($N165)),$N165/$K165,$I165/$K165),0),0)</f>
        <v>4088.3783333333336</v>
      </c>
      <c r="AH165" s="498">
        <f>IFERROR(IF(AND(AH$54&gt;=EOMONTH($J165,-1)+1,AH$54&lt;=EOMONTH(EOMONTH($J165,-1)+1,$K165-1)),IF(NOT(ISBLANK($N165)),$N165/$K165,$I165/$K165),0),0)</f>
        <v>4088.3783333333336</v>
      </c>
      <c r="AI165" s="498">
        <f>IFERROR(IF(AND(AI$54&gt;=EOMONTH($J165,-1)+1,AI$54&lt;=EOMONTH(EOMONTH($J165,-1)+1,$K165-1)),IF(NOT(ISBLANK($N165)),$N165/$K165,$I165/$K165),0),0)</f>
        <v>4088.3783333333336</v>
      </c>
      <c r="AJ165" s="89">
        <f t="shared" si="307"/>
        <v>12265.135</v>
      </c>
      <c r="AK165" s="95">
        <f t="shared" si="308"/>
        <v>24530.27</v>
      </c>
      <c r="AL165" s="338" t="s">
        <v>567</v>
      </c>
      <c r="AM165" s="1407"/>
      <c r="AN165" s="1334"/>
      <c r="AO165" s="1403">
        <f>N165*AN165</f>
        <v>0</v>
      </c>
      <c r="AP165" s="62" t="str">
        <f>C165</f>
        <v>56 -Redução de Peso Bruto do item SV001141LA / SV001142LA</v>
      </c>
      <c r="AQ165" s="62" t="s">
        <v>311</v>
      </c>
      <c r="AR165" s="508" cm="1">
        <f t="array" aca="1" ref="AR165" ca="1">IF(OR(AP165="",AP165=0),"",IF(SUMPRODUCT(($C$55:$C$175=AP165)*(U$54:$AI$54&lt;EOMONTH(TODAY(),-1)+1)*(ISNUMBER(U$55:$AI$175)),U$55:$AI$175)=0,"",SUMPRODUCT(($C$55:$C$175=AP165)*(U$54:$AI$54&lt;EOMONTH(TODAY(),-1)+1)*(ISNUMBER(U$55:$AI$175)),U$55:$AI$175)))</f>
        <v>4088.3783333333336</v>
      </c>
      <c r="AS165" s="508" t="str">
        <f>A165</f>
        <v>BSW</v>
      </c>
      <c r="AU165" s="1566">
        <f t="shared" ref="AU165" si="313">IF(OR(I165="",K165=""),0,(I165/12)*K165)</f>
        <v>45600</v>
      </c>
      <c r="AV165" s="1566">
        <f t="shared" ref="AV165" si="314">IF(OR(N165="",K165="",K165=0),0,(N165/K165)*12)</f>
        <v>49060.54</v>
      </c>
    </row>
    <row r="166" spans="1:48" ht="29.1" customHeight="1" x14ac:dyDescent="0.3">
      <c r="A166" s="1694"/>
      <c r="B166" s="1709"/>
      <c r="C166" s="1700"/>
      <c r="D166" s="1455"/>
      <c r="E166" s="1450"/>
      <c r="F166" s="1452"/>
      <c r="G166" s="1367"/>
      <c r="H166" s="1367"/>
      <c r="I166" s="1707"/>
      <c r="J166" s="1379"/>
      <c r="K166" s="1388"/>
      <c r="L166" s="1396"/>
      <c r="M166" s="1721"/>
      <c r="N166" s="1705"/>
      <c r="O166" s="1664"/>
      <c r="P166" s="1672"/>
      <c r="Q166" s="1672"/>
      <c r="R166" s="1330"/>
      <c r="S166" s="93" t="s">
        <v>117</v>
      </c>
      <c r="T166" s="96">
        <v>1</v>
      </c>
      <c r="U166" s="290"/>
      <c r="V166" s="290"/>
      <c r="W166" s="290"/>
      <c r="X166" s="288">
        <f t="shared" si="291"/>
        <v>0</v>
      </c>
      <c r="Y166" s="290"/>
      <c r="Z166" s="290"/>
      <c r="AA166" s="290"/>
      <c r="AB166" s="288">
        <f t="shared" si="292"/>
        <v>0</v>
      </c>
      <c r="AC166" s="715">
        <v>3614.0313599999999</v>
      </c>
      <c r="AD166" s="290"/>
      <c r="AE166" s="290"/>
      <c r="AF166" s="288">
        <f t="shared" si="253"/>
        <v>3614.0313599999999</v>
      </c>
      <c r="AG166" s="290"/>
      <c r="AH166" s="290"/>
      <c r="AI166" s="290"/>
      <c r="AJ166" s="288">
        <f t="shared" si="307"/>
        <v>0</v>
      </c>
      <c r="AK166" s="291">
        <f t="shared" si="308"/>
        <v>3614.0313599999999</v>
      </c>
      <c r="AL166" s="97"/>
      <c r="AM166" s="1408"/>
      <c r="AN166" s="1330"/>
      <c r="AO166" s="1404"/>
      <c r="AP166" s="62" t="str">
        <f>C165</f>
        <v>56 -Redução de Peso Bruto do item SV001141LA / SV001142LA</v>
      </c>
      <c r="AQ166" s="62" t="s">
        <v>313</v>
      </c>
      <c r="AR166" s="508" cm="1">
        <f t="array" aca="1" ref="AR166" ca="1">IF(OR(AP166="",AP166=0),"",IF(SUMPRODUCT(($C$55:$C$175=AP166)*($U$54:AI$54&lt;=TODAY())*(ISNUMBER($U$56:AI$176)),$U$56:AI$176)=0,"",SUMPRODUCT(($C$55:$C$175=AP166)*($U$54:AI$54&lt;=TODAY())*(ISNUMBER($U$56:AI$176)),$U$56:AI$176)))</f>
        <v>3614.0313599999999</v>
      </c>
      <c r="AS166" s="508" t="str">
        <f>A165</f>
        <v>BSW</v>
      </c>
      <c r="AU166" s="1567"/>
      <c r="AV166" s="1567"/>
    </row>
    <row r="167" spans="1:48" ht="29.1" customHeight="1" x14ac:dyDescent="0.3">
      <c r="A167" s="1756" t="s">
        <v>91</v>
      </c>
      <c r="B167" s="1701" t="s">
        <v>95</v>
      </c>
      <c r="C167" s="1695" t="s">
        <v>568</v>
      </c>
      <c r="D167" s="1486" t="s">
        <v>569</v>
      </c>
      <c r="E167" s="1368" t="s">
        <v>570</v>
      </c>
      <c r="F167" s="1370" t="s">
        <v>307</v>
      </c>
      <c r="G167" s="1372">
        <v>46170</v>
      </c>
      <c r="H167" s="1372">
        <v>46178</v>
      </c>
      <c r="I167" s="1689">
        <f>18600*12</f>
        <v>223200</v>
      </c>
      <c r="J167" s="1376">
        <v>46174</v>
      </c>
      <c r="K167" s="1389">
        <f>IF(J167="", "", 12 - MONTH(J167) + 1)</f>
        <v>7</v>
      </c>
      <c r="L167" s="1354"/>
      <c r="M167" s="1350" t="s">
        <v>308</v>
      </c>
      <c r="N167" s="1730">
        <v>202515.94</v>
      </c>
      <c r="O167" s="1673" t="s">
        <v>81</v>
      </c>
      <c r="P167" s="1673" t="s">
        <v>309</v>
      </c>
      <c r="Q167" s="1673" t="s">
        <v>309</v>
      </c>
      <c r="R167" s="1327">
        <v>1</v>
      </c>
      <c r="S167" s="87" t="s">
        <v>116</v>
      </c>
      <c r="T167" s="91">
        <f ca="1">IF(OR(G167="", H167=""), "", IF(TODAY()&lt;G167, 0, IF(TODAY()&gt;H167, 1, (TODAY()-G167+1)/(H167-G167+1))))</f>
        <v>1</v>
      </c>
      <c r="U167" s="287">
        <f>IFERROR(IF(AND(U$54&gt;=EOMONTH($J167,-1)+1,U$54&lt;=EOMONTH(EOMONTH($J167,-1)+1,$K167-1)),IF(NOT(ISBLANK($N167)),$N167/$K167,$I167/$K167),0),0)</f>
        <v>0</v>
      </c>
      <c r="V167" s="287">
        <f>IFERROR(IF(AND(V$54&gt;=EOMONTH($J167,-1)+1,V$54&lt;=EOMONTH(EOMONTH($J167,-1)+1,$K167-1)),IF(NOT(ISBLANK($N167)),$N167/$K167,$I167/$K167),0),0)</f>
        <v>0</v>
      </c>
      <c r="W167" s="287">
        <f>IFERROR(IF(AND(W$54&gt;=EOMONTH($J167,-1)+1,W$54&lt;=EOMONTH(EOMONTH($J167,-1)+1,$K167-1)),IF(NOT(ISBLANK($N167)),$N167/$K167,$I167/$K167),0),0)</f>
        <v>0</v>
      </c>
      <c r="X167" s="89">
        <f t="shared" si="291"/>
        <v>0</v>
      </c>
      <c r="Y167" s="287">
        <f>IFERROR(IF(AND(Y$54&gt;=EOMONTH($J167,-1)+1,Y$54&lt;=EOMONTH(EOMONTH($J167,-1)+1,$K167-1)),IF(NOT(ISBLANK($N167)),$N167/$K167,$I167/$K167),0),0)</f>
        <v>0</v>
      </c>
      <c r="Z167" s="287">
        <f>IFERROR(IF(AND(Z$54&gt;=EOMONTH($J167,-1)+1,Z$54&lt;=EOMONTH(EOMONTH($J167,-1)+1,$K167-1)),IF(NOT(ISBLANK($N167)),$N167/$K167,$I167/$K167),0),0)</f>
        <v>0</v>
      </c>
      <c r="AA167" s="287">
        <f>IFERROR(IF(AND(AA$54&gt;=EOMONTH($J167,-1)+1,AA$54&lt;=EOMONTH(EOMONTH($J167,-1)+1,$K167-1)),IF(NOT(ISBLANK($N167)),$N167/$K167,$I167/$K167),0),0)</f>
        <v>28930.848571428571</v>
      </c>
      <c r="AB167" s="89">
        <f t="shared" si="292"/>
        <v>28930.848571428571</v>
      </c>
      <c r="AC167" s="287">
        <f>IFERROR(IF(AND(AC$54&gt;=EOMONTH($J167,-1)+1,AC$54&lt;=EOMONTH(EOMONTH($J167,-1)+1,$K167-1)),IF(NOT(ISBLANK($N167)),$N167/$K167,$I167/$K167),0),0)</f>
        <v>28930.848571428571</v>
      </c>
      <c r="AD167" s="287">
        <f>IFERROR(IF(AND(AD$54&gt;=EOMONTH($J167,-1)+1,AD$54&lt;=EOMONTH(EOMONTH($J167,-1)+1,$K167-1)),IF(NOT(ISBLANK($N167)),$N167/$K167,$I167/$K167),0),0)</f>
        <v>28930.848571428571</v>
      </c>
      <c r="AE167" s="287">
        <f>IFERROR(IF(AND(AE$54&gt;=EOMONTH($J167,-1)+1,AE$54&lt;=EOMONTH(EOMONTH($J167,-1)+1,$K167-1)),IF(NOT(ISBLANK($N167)),$N167/$K167,$I167/$K167),0),0)</f>
        <v>28930.848571428571</v>
      </c>
      <c r="AF167" s="89">
        <f t="shared" ref="AF167:AF168" si="315">SUM(AC167:AE167)</f>
        <v>86792.545714285719</v>
      </c>
      <c r="AG167" s="287">
        <f>IFERROR(IF(AND(AG$54&gt;=EOMONTH($J167,-1)+1,AG$54&lt;=EOMONTH(EOMONTH($J167,-1)+1,$K167-1)),IF(NOT(ISBLANK($N167)),$N167/$K167,$I167/$K167),0),0)</f>
        <v>28930.848571428571</v>
      </c>
      <c r="AH167" s="287">
        <f>IFERROR(IF(AND(AH$54&gt;=EOMONTH($J167,-1)+1,AH$54&lt;=EOMONTH(EOMONTH($J167,-1)+1,$K167-1)),IF(NOT(ISBLANK($N167)),$N167/$K167,$I167/$K167),0),0)</f>
        <v>28930.848571428571</v>
      </c>
      <c r="AI167" s="287">
        <f>IFERROR(IF(AND(AI$54&gt;=EOMONTH($J167,-1)+1,AI$54&lt;=EOMONTH(EOMONTH($J167,-1)+1,$K167-1)),IF(NOT(ISBLANK($N167)),$N167/$K167,$I167/$K167),0),0)</f>
        <v>28930.848571428571</v>
      </c>
      <c r="AJ167" s="89">
        <f t="shared" si="307"/>
        <v>86792.545714285719</v>
      </c>
      <c r="AK167" s="90">
        <f t="shared" si="308"/>
        <v>202515.94</v>
      </c>
      <c r="AL167" s="337" t="s">
        <v>571</v>
      </c>
      <c r="AM167" s="1370"/>
      <c r="AN167" s="1411"/>
      <c r="AO167" s="1405">
        <f>N167*AN167</f>
        <v>0</v>
      </c>
      <c r="AP167" s="62" t="str">
        <f>C167</f>
        <v>57 - AlmaCAM_Redução de Peso</v>
      </c>
      <c r="AQ167" s="62" t="s">
        <v>311</v>
      </c>
      <c r="AR167" s="508" cm="1">
        <f t="array" aca="1" ref="AR167" ca="1">IF(OR(AP167="",AP167=0),"",IF(SUMPRODUCT(($C$55:$C$175=AP167)*(U$54:$AI$54&lt;EOMONTH(TODAY(),-1)+1)*(ISNUMBER(U$55:$AI$175)),U$55:$AI$175)=0,"",SUMPRODUCT(($C$55:$C$175=AP167)*(U$54:$AI$54&lt;EOMONTH(TODAY(),-1)+1)*(ISNUMBER(U$55:$AI$175)),U$55:$AI$175)))</f>
        <v>57861.697142857141</v>
      </c>
      <c r="AS167" s="508" t="str">
        <f>A167</f>
        <v>BSW</v>
      </c>
      <c r="AU167" s="1566">
        <f t="shared" ref="AU167" si="316">IF(OR(I167="",K167=""),0,(I167/12)*K167)</f>
        <v>130200</v>
      </c>
      <c r="AV167" s="1566">
        <f t="shared" ref="AV167" si="317">IF(OR(N167="",K167="",K167=0),0,(N167/K167)*12)</f>
        <v>347170.18285714288</v>
      </c>
    </row>
    <row r="168" spans="1:48" ht="29.1" customHeight="1" x14ac:dyDescent="0.3">
      <c r="A168" s="1757"/>
      <c r="B168" s="1702"/>
      <c r="C168" s="1696"/>
      <c r="D168" s="1487"/>
      <c r="E168" s="1369"/>
      <c r="F168" s="1371"/>
      <c r="G168" s="1373"/>
      <c r="H168" s="1373"/>
      <c r="I168" s="1690"/>
      <c r="J168" s="1377"/>
      <c r="K168" s="1390"/>
      <c r="L168" s="1355"/>
      <c r="M168" s="1460"/>
      <c r="N168" s="1731"/>
      <c r="O168" s="1674"/>
      <c r="P168" s="1674"/>
      <c r="Q168" s="1674"/>
      <c r="R168" s="1328"/>
      <c r="S168" s="87" t="s">
        <v>117</v>
      </c>
      <c r="T168" s="91">
        <v>1</v>
      </c>
      <c r="U168" s="287"/>
      <c r="V168" s="287"/>
      <c r="W168" s="287"/>
      <c r="X168" s="288">
        <f t="shared" si="291"/>
        <v>0</v>
      </c>
      <c r="Y168" s="287"/>
      <c r="Z168" s="287"/>
      <c r="AA168" s="287">
        <v>27146.623922454113</v>
      </c>
      <c r="AB168" s="288">
        <f t="shared" si="292"/>
        <v>27146.623922454113</v>
      </c>
      <c r="AC168" s="287"/>
      <c r="AD168" s="287"/>
      <c r="AE168" s="287"/>
      <c r="AF168" s="288">
        <f t="shared" si="315"/>
        <v>0</v>
      </c>
      <c r="AG168" s="287"/>
      <c r="AH168" s="287"/>
      <c r="AI168" s="287"/>
      <c r="AJ168" s="288">
        <f t="shared" si="307"/>
        <v>0</v>
      </c>
      <c r="AK168" s="289">
        <f t="shared" si="308"/>
        <v>27146.623922454113</v>
      </c>
      <c r="AL168" s="337"/>
      <c r="AM168" s="1371"/>
      <c r="AN168" s="1412"/>
      <c r="AO168" s="1406"/>
      <c r="AP168" s="62" t="str">
        <f>C167</f>
        <v>57 - AlmaCAM_Redução de Peso</v>
      </c>
      <c r="AQ168" s="62" t="s">
        <v>313</v>
      </c>
      <c r="AR168" s="508" cm="1">
        <f t="array" aca="1" ref="AR168" ca="1">IF(OR(AP168="",AP168=0),"",IF(SUMPRODUCT(($C$55:$C$175=AP168)*($U$54:AI$54&lt;=TODAY())*(ISNUMBER($U$56:AI$176)),$U$56:AI$176)=0,"",SUMPRODUCT(($C$55:$C$175=AP168)*($U$54:AI$54&lt;=TODAY())*(ISNUMBER($U$56:AI$176)),$U$56:AI$176)))</f>
        <v>27146.623922454113</v>
      </c>
      <c r="AS168" s="508" t="str">
        <f>A167</f>
        <v>BSW</v>
      </c>
      <c r="AU168" s="1567"/>
      <c r="AV168" s="1567"/>
    </row>
    <row r="169" spans="1:48" ht="29.1" customHeight="1" x14ac:dyDescent="0.3">
      <c r="A169" s="1693"/>
      <c r="B169" s="1407"/>
      <c r="C169" s="1699"/>
      <c r="D169" s="1356"/>
      <c r="E169" s="1449"/>
      <c r="F169" s="1451"/>
      <c r="G169" s="1366"/>
      <c r="H169" s="1366"/>
      <c r="I169" s="1706"/>
      <c r="J169" s="1376"/>
      <c r="K169" s="1387"/>
      <c r="L169" s="1395"/>
      <c r="M169" s="1720"/>
      <c r="N169" s="1704"/>
      <c r="O169" s="1334" t="str">
        <f ca="1">IF(OR(H169="", I169=""), "", IF(TODAY()&lt;H169, 0, IF(TODAY()&gt;I169, 1, (TODAY()-H169+1)/(I169-H169+1))))</f>
        <v/>
      </c>
      <c r="P169" s="1671"/>
      <c r="Q169" s="1671"/>
      <c r="R169" s="1334"/>
      <c r="S169" s="93" t="s">
        <v>116</v>
      </c>
      <c r="T169" s="96" t="str">
        <f ca="1">IF(OR(G169="", H169=""), "", IF(TODAY()&lt;G169, 0, IF(TODAY()&gt;H169, 1, (TODAY()-G169+1)/(H169-G169+1))))</f>
        <v/>
      </c>
      <c r="U169" s="498">
        <f>IFERROR(IF(AND(U$54&gt;=EOMONTH($J169,-1)+1,U$54&lt;=EOMONTH(EOMONTH($J169,-1)+1,$K169-1)),IF(NOT(ISBLANK($N169)),$N169/$K169,$I169/$K169),0),0)</f>
        <v>0</v>
      </c>
      <c r="V169" s="498">
        <f>IFERROR(IF(AND(V$54&gt;=EOMONTH($J169,-1)+1,V$54&lt;=EOMONTH(EOMONTH($J169,-1)+1,$K169-1)),IF(NOT(ISBLANK($N169)),$N169/$K169,$I169/$K169),0),0)</f>
        <v>0</v>
      </c>
      <c r="W169" s="498">
        <f>IFERROR(IF(AND(W$54&gt;=EOMONTH($J169,-1)+1,W$54&lt;=EOMONTH(EOMONTH($J169,-1)+1,$K169-1)),IF(NOT(ISBLANK($N169)),$N169/$K169,$I169/$K169),0),0)</f>
        <v>0</v>
      </c>
      <c r="X169" s="89">
        <f t="shared" ref="X169" si="318">SUM(U169:W169)</f>
        <v>0</v>
      </c>
      <c r="Y169" s="498">
        <f>IFERROR(IF(AND(Y$54&gt;=EOMONTH($J169,-1)+1,Y$54&lt;=EOMONTH(EOMONTH($J169,-1)+1,$K169-1)),IF(NOT(ISBLANK($N169)),$N169/$K169,$I169/$K169),0),0)</f>
        <v>0</v>
      </c>
      <c r="Z169" s="498">
        <f>IFERROR(IF(AND(Z$54&gt;=EOMONTH($J169,-1)+1,Z$54&lt;=EOMONTH(EOMONTH($J169,-1)+1,$K169-1)),IF(NOT(ISBLANK($N169)),$N169/$K169,$I169/$K169),0),0)</f>
        <v>0</v>
      </c>
      <c r="AA169" s="498">
        <f>IFERROR(IF(AND(AA$54&gt;=EOMONTH($J169,-1)+1,AA$54&lt;=EOMONTH(EOMONTH($J169,-1)+1,$K169-1)),IF(NOT(ISBLANK($N169)),$N169/$K169,$I169/$K169),0),0)</f>
        <v>0</v>
      </c>
      <c r="AB169" s="89">
        <f t="shared" ref="AB169" si="319">SUM(Y169:AA169)</f>
        <v>0</v>
      </c>
      <c r="AC169" s="498">
        <f>IFERROR(IF(AND(AC$54&gt;=EOMONTH($J169,-1)+1,AC$54&lt;=EOMONTH(EOMONTH($J169,-1)+1,$K169-1)),IF(NOT(ISBLANK($N169)),$N169/$K169,$I169/$K169),0),0)</f>
        <v>0</v>
      </c>
      <c r="AD169" s="498">
        <f>IFERROR(IF(AND(AD$54&gt;=EOMONTH($J169,-1)+1,AD$54&lt;=EOMONTH(EOMONTH($J169,-1)+1,$K169-1)),IF(NOT(ISBLANK($N169)),$N169/$K169,$I169/$K169),0),0)</f>
        <v>0</v>
      </c>
      <c r="AE169" s="498">
        <f>IFERROR(IF(AND(AE$54&gt;=EOMONTH($J169,-1)+1,AE$54&lt;=EOMONTH(EOMONTH($J169,-1)+1,$K169-1)),IF(NOT(ISBLANK($N169)),$N169/$K169,$I169/$K169),0),0)</f>
        <v>0</v>
      </c>
      <c r="AF169" s="89">
        <f t="shared" si="253"/>
        <v>0</v>
      </c>
      <c r="AG169" s="498">
        <f>IFERROR(IF(AND(AG$54&gt;=EOMONTH($J169,-1)+1,AG$54&lt;=EOMONTH(EOMONTH($J169,-1)+1,$K169-1)),IF(NOT(ISBLANK($N169)),$N169/$K169,$I169/$K169),0),0)</f>
        <v>0</v>
      </c>
      <c r="AH169" s="498">
        <f>IFERROR(IF(AND(AH$54&gt;=EOMONTH($J169,-1)+1,AH$54&lt;=EOMONTH(EOMONTH($J169,-1)+1,$K169-1)),IF(NOT(ISBLANK($N169)),$N169/$K169,$I169/$K169),0),0)</f>
        <v>0</v>
      </c>
      <c r="AI169" s="498">
        <f>IFERROR(IF(AND(AI$54&gt;=EOMONTH($J169,-1)+1,AI$54&lt;=EOMONTH(EOMONTH($J169,-1)+1,$K169-1)),IF(NOT(ISBLANK($N169)),$N169/$K169,$I169/$K169),0),0)</f>
        <v>0</v>
      </c>
      <c r="AJ169" s="89">
        <f t="shared" si="144"/>
        <v>0</v>
      </c>
      <c r="AK169" s="974">
        <f t="shared" si="145"/>
        <v>0</v>
      </c>
      <c r="AL169" s="338"/>
      <c r="AM169" s="1407"/>
      <c r="AN169" s="1334"/>
      <c r="AO169" s="1403">
        <f>N169*AN169</f>
        <v>0</v>
      </c>
      <c r="AP169" s="62">
        <f>C169</f>
        <v>0</v>
      </c>
      <c r="AQ169" s="62" t="s">
        <v>311</v>
      </c>
      <c r="AR169" s="508" t="str" cm="1">
        <f t="array" aca="1" ref="AR169" ca="1">IF(OR(AP169="",AP169=0),"",IF(SUMPRODUCT(($C$55:$C$175=AP169)*(U$54:$AI$54&lt;EOMONTH(TODAY(),-1)+1)*(ISNUMBER(U$55:$AI$175)),U$55:$AI$175)=0,"",SUMPRODUCT(($C$55:$C$175=AP169)*(U$54:$AI$54&lt;EOMONTH(TODAY(),-1)+1)*(ISNUMBER(U$55:$AI$175)),U$55:$AI$175)))</f>
        <v/>
      </c>
      <c r="AS169" s="508">
        <f>A169</f>
        <v>0</v>
      </c>
      <c r="AU169" s="1566">
        <f t="shared" ref="AU169" si="320">IF(OR(I169="",K169=""),0,(I169/12)*K169)</f>
        <v>0</v>
      </c>
      <c r="AV169" s="1566">
        <f t="shared" ref="AV169" si="321">IF(OR(N169="",K169="",K169=0),0,(N169/K169)*12)</f>
        <v>0</v>
      </c>
    </row>
    <row r="170" spans="1:48" ht="29.1" customHeight="1" x14ac:dyDescent="0.3">
      <c r="A170" s="1694"/>
      <c r="B170" s="1408"/>
      <c r="C170" s="1700"/>
      <c r="D170" s="1455"/>
      <c r="E170" s="1450"/>
      <c r="F170" s="1452"/>
      <c r="G170" s="1367"/>
      <c r="H170" s="1367"/>
      <c r="I170" s="1707"/>
      <c r="J170" s="1377"/>
      <c r="K170" s="1388"/>
      <c r="L170" s="1396"/>
      <c r="M170" s="1721"/>
      <c r="N170" s="1705"/>
      <c r="O170" s="1330"/>
      <c r="P170" s="1672"/>
      <c r="Q170" s="1672"/>
      <c r="R170" s="1330"/>
      <c r="S170" s="93" t="s">
        <v>117</v>
      </c>
      <c r="T170" s="96"/>
      <c r="U170" s="290"/>
      <c r="V170" s="290"/>
      <c r="W170" s="290"/>
      <c r="X170" s="288">
        <f t="shared" ref="X170" si="322">SUM(U170:W170)</f>
        <v>0</v>
      </c>
      <c r="Y170" s="290"/>
      <c r="Z170" s="290"/>
      <c r="AA170" s="290"/>
      <c r="AB170" s="288">
        <f t="shared" ref="AB170" si="323">SUM(Y170:AA170)</f>
        <v>0</v>
      </c>
      <c r="AC170" s="290"/>
      <c r="AD170" s="290"/>
      <c r="AE170" s="290"/>
      <c r="AF170" s="288">
        <f t="shared" si="253"/>
        <v>0</v>
      </c>
      <c r="AG170" s="290"/>
      <c r="AH170" s="290"/>
      <c r="AI170" s="290"/>
      <c r="AJ170" s="288">
        <f t="shared" si="144"/>
        <v>0</v>
      </c>
      <c r="AK170" s="291">
        <f t="shared" si="145"/>
        <v>0</v>
      </c>
      <c r="AL170" s="97"/>
      <c r="AM170" s="1408"/>
      <c r="AN170" s="1330"/>
      <c r="AO170" s="1404"/>
      <c r="AP170" s="62">
        <f>C169</f>
        <v>0</v>
      </c>
      <c r="AQ170" s="62" t="s">
        <v>313</v>
      </c>
      <c r="AR170" s="508" t="str" cm="1">
        <f t="array" aca="1" ref="AR170" ca="1">IF(OR(AP170="",AP170=0),"",IF(SUMPRODUCT(($C$55:$C$175=AP170)*($U$54:AI$54&lt;=TODAY())*(ISNUMBER($U$56:AI$176)),$U$56:AI$176)=0,"",SUMPRODUCT(($C$55:$C$175=AP170)*($U$54:AI$54&lt;=TODAY())*(ISNUMBER($U$56:AI$176)),$U$56:AI$176)))</f>
        <v/>
      </c>
      <c r="AS170" s="508">
        <f>A169</f>
        <v>0</v>
      </c>
      <c r="AU170" s="1567"/>
      <c r="AV170" s="1567"/>
    </row>
    <row r="171" spans="1:48" ht="29.1" customHeight="1" x14ac:dyDescent="0.3">
      <c r="A171" s="1691"/>
      <c r="B171" s="1691"/>
      <c r="C171" s="1716"/>
      <c r="D171" s="1486"/>
      <c r="E171" s="1368"/>
      <c r="F171" s="1370"/>
      <c r="G171" s="1372"/>
      <c r="H171" s="1372"/>
      <c r="I171" s="1689"/>
      <c r="J171" s="1376"/>
      <c r="K171" s="1389" t="str">
        <f t="shared" ref="K171" si="324">IF(J171="", "", 12 - MONTH(J171) + 1)</f>
        <v/>
      </c>
      <c r="L171" s="1354"/>
      <c r="M171" s="1350"/>
      <c r="N171" s="1730"/>
      <c r="O171" s="1327"/>
      <c r="P171" s="1673"/>
      <c r="Q171" s="1673"/>
      <c r="R171" s="1327"/>
      <c r="S171" s="87" t="s">
        <v>116</v>
      </c>
      <c r="T171" s="91" t="str">
        <f ca="1">IF(OR(G171="", H171=""), "", IF(TODAY()&lt;G171, 0, IF(TODAY()&gt;H171, 1, (TODAY()-G171+1)/(H171-G171+1))))</f>
        <v/>
      </c>
      <c r="U171" s="287">
        <f>IFERROR(IF(AND(U$54&gt;=EOMONTH($J171,-1)+1,U$54&lt;=EOMONTH(EOMONTH($J171,-1)+1,$K171-1)),IF(NOT(ISBLANK($N171)),$N171/$K171,$I171/$K171),0),0)</f>
        <v>0</v>
      </c>
      <c r="V171" s="287">
        <f>IFERROR(IF(AND(V$54&gt;=EOMONTH($J171,-1)+1,V$54&lt;=EOMONTH(EOMONTH($J171,-1)+1,$K171-1)),IF(NOT(ISBLANK($N171)),$N171/$K171,$I171/$K171),0),0)</f>
        <v>0</v>
      </c>
      <c r="W171" s="287">
        <f>IFERROR(IF(AND(W$54&gt;=EOMONTH($J171,-1)+1,W$54&lt;=EOMONTH(EOMONTH($J171,-1)+1,$K171-1)),IF(NOT(ISBLANK($N171)),$N171/$K171,$I171/$K171),0),0)</f>
        <v>0</v>
      </c>
      <c r="X171" s="89">
        <f t="shared" ref="X171" si="325">SUM(U171:W171)</f>
        <v>0</v>
      </c>
      <c r="Y171" s="287">
        <f>IFERROR(IF(AND(Y$54&gt;=EOMONTH($J171,-1)+1,Y$54&lt;=EOMONTH(EOMONTH($J171,-1)+1,$K171-1)),IF(NOT(ISBLANK($N171)),$N171/$K171,$I171/$K171),0),0)</f>
        <v>0</v>
      </c>
      <c r="Z171" s="287">
        <f>IFERROR(IF(AND(Z$54&gt;=EOMONTH($J171,-1)+1,Z$54&lt;=EOMONTH(EOMONTH($J171,-1)+1,$K171-1)),IF(NOT(ISBLANK($N171)),$N171/$K171,$I171/$K171),0),0)</f>
        <v>0</v>
      </c>
      <c r="AA171" s="287">
        <f>IFERROR(IF(AND(AA$54&gt;=EOMONTH($J171,-1)+1,AA$54&lt;=EOMONTH(EOMONTH($J171,-1)+1,$K171-1)),IF(NOT(ISBLANK($N171)),$N171/$K171,$I171/$K171),0),0)</f>
        <v>0</v>
      </c>
      <c r="AB171" s="89">
        <f t="shared" ref="AB171" si="326">SUM(Y171:AA171)</f>
        <v>0</v>
      </c>
      <c r="AC171" s="287">
        <f>IFERROR(IF(AND(AC$54&gt;=EOMONTH($J171,-1)+1,AC$54&lt;=EOMONTH(EOMONTH($J171,-1)+1,$K171-1)),IF(NOT(ISBLANK($N171)),$N171/$K171,$I171/$K171),0),0)</f>
        <v>0</v>
      </c>
      <c r="AD171" s="287">
        <f>IFERROR(IF(AND(AD$54&gt;=EOMONTH($J171,-1)+1,AD$54&lt;=EOMONTH(EOMONTH($J171,-1)+1,$K171-1)),IF(NOT(ISBLANK($N171)),$N171/$K171,$I171/$K171),0),0)</f>
        <v>0</v>
      </c>
      <c r="AE171" s="287">
        <f>IFERROR(IF(AND(AE$54&gt;=EOMONTH($J171,-1)+1,AE$54&lt;=EOMONTH(EOMONTH($J171,-1)+1,$K171-1)),IF(NOT(ISBLANK($N171)),$N171/$K171,$I171/$K171),0),0)</f>
        <v>0</v>
      </c>
      <c r="AF171" s="89">
        <f t="shared" si="253"/>
        <v>0</v>
      </c>
      <c r="AG171" s="287">
        <f>IFERROR(IF(AND(AG$54&gt;=EOMONTH($J171,-1)+1,AG$54&lt;=EOMONTH(EOMONTH($J171,-1)+1,$K171-1)),IF(NOT(ISBLANK($N171)),$N171/$K171,$I171/$K171),0),0)</f>
        <v>0</v>
      </c>
      <c r="AH171" s="287">
        <f>IFERROR(IF(AND(AH$54&gt;=EOMONTH($J171,-1)+1,AH$54&lt;=EOMONTH(EOMONTH($J171,-1)+1,$K171-1)),IF(NOT(ISBLANK($N171)),$N171/$K171,$I171/$K171),0),0)</f>
        <v>0</v>
      </c>
      <c r="AI171" s="287">
        <f>IFERROR(IF(AND(AI$54&gt;=EOMONTH($J171,-1)+1,AI$54&lt;=EOMONTH(EOMONTH($J171,-1)+1,$K171-1)),IF(NOT(ISBLANK($N171)),$N171/$K171,$I171/$K171),0),0)</f>
        <v>0</v>
      </c>
      <c r="AJ171" s="89">
        <f t="shared" si="107"/>
        <v>0</v>
      </c>
      <c r="AK171" s="90">
        <f t="shared" si="18"/>
        <v>0</v>
      </c>
      <c r="AL171" s="337"/>
      <c r="AM171" s="1370"/>
      <c r="AN171" s="1411"/>
      <c r="AO171" s="1405">
        <f>N171*AN171</f>
        <v>0</v>
      </c>
      <c r="AP171" s="62">
        <f>C171</f>
        <v>0</v>
      </c>
      <c r="AQ171" s="62" t="s">
        <v>311</v>
      </c>
      <c r="AR171" s="508" t="str" cm="1">
        <f t="array" aca="1" ref="AR171" ca="1">IF(OR(AP171="",AP171=0),"",IF(SUMPRODUCT(($C$55:$C$175=AP171)*(U$54:$AI$54&lt;EOMONTH(TODAY(),-1)+1)*(ISNUMBER(U$55:$AI$175)),U$55:$AI$175)=0,"",SUMPRODUCT(($C$55:$C$175=AP171)*(U$54:$AI$54&lt;EOMONTH(TODAY(),-1)+1)*(ISNUMBER(U$55:$AI$175)),U$55:$AI$175)))</f>
        <v/>
      </c>
      <c r="AS171" s="508">
        <f>A171</f>
        <v>0</v>
      </c>
      <c r="AU171" s="1566">
        <f t="shared" ref="AU171" si="327">IF(OR(I171="",K171=""),0,(I171/12)*K171)</f>
        <v>0</v>
      </c>
      <c r="AV171" s="1566">
        <f t="shared" ref="AV171" si="328">IF(OR(N171="",K171="",K171=0),0,(N171/K171)*12)</f>
        <v>0</v>
      </c>
    </row>
    <row r="172" spans="1:48" ht="29.1" customHeight="1" x14ac:dyDescent="0.3">
      <c r="A172" s="1692"/>
      <c r="B172" s="1692"/>
      <c r="C172" s="1717"/>
      <c r="D172" s="1487"/>
      <c r="E172" s="1369"/>
      <c r="F172" s="1371"/>
      <c r="G172" s="1373"/>
      <c r="H172" s="1373"/>
      <c r="I172" s="1690"/>
      <c r="J172" s="1377"/>
      <c r="K172" s="1390"/>
      <c r="L172" s="1355"/>
      <c r="M172" s="1460"/>
      <c r="N172" s="1731"/>
      <c r="O172" s="1328"/>
      <c r="P172" s="1674"/>
      <c r="Q172" s="1674"/>
      <c r="R172" s="1328"/>
      <c r="S172" s="87" t="s">
        <v>117</v>
      </c>
      <c r="T172" s="91"/>
      <c r="U172" s="287"/>
      <c r="V172" s="287"/>
      <c r="W172" s="287"/>
      <c r="X172" s="288">
        <f t="shared" ref="X172" si="329">SUM(U172:W172)</f>
        <v>0</v>
      </c>
      <c r="Y172" s="287"/>
      <c r="Z172" s="287"/>
      <c r="AA172" s="287"/>
      <c r="AB172" s="288">
        <f t="shared" ref="AB172" si="330">SUM(Y172:AA172)</f>
        <v>0</v>
      </c>
      <c r="AC172" s="287"/>
      <c r="AD172" s="287"/>
      <c r="AE172" s="287"/>
      <c r="AF172" s="288">
        <f t="shared" si="253"/>
        <v>0</v>
      </c>
      <c r="AG172" s="287"/>
      <c r="AH172" s="287"/>
      <c r="AI172" s="287"/>
      <c r="AJ172" s="288">
        <f t="shared" si="107"/>
        <v>0</v>
      </c>
      <c r="AK172" s="289">
        <f t="shared" si="18"/>
        <v>0</v>
      </c>
      <c r="AL172" s="337"/>
      <c r="AM172" s="1371"/>
      <c r="AN172" s="1412"/>
      <c r="AO172" s="1406"/>
      <c r="AP172" s="62">
        <f>C171</f>
        <v>0</v>
      </c>
      <c r="AQ172" s="62" t="s">
        <v>313</v>
      </c>
      <c r="AR172" s="508" t="str" cm="1">
        <f t="array" aca="1" ref="AR172" ca="1">IF(OR(AP172="",AP172=0),"",IF(SUMPRODUCT(($C$55:$C$175=AP172)*($U$54:AI$54&lt;=TODAY())*(ISNUMBER($U$56:AI$176)),$U$56:AI$176)=0,"",SUMPRODUCT(($C$55:$C$175=AP172)*($U$54:AI$54&lt;=TODAY())*(ISNUMBER($U$56:AI$176)),$U$56:AI$176)))</f>
        <v/>
      </c>
      <c r="AS172" s="508">
        <f>A171</f>
        <v>0</v>
      </c>
      <c r="AU172" s="1567"/>
      <c r="AV172" s="1567"/>
    </row>
    <row r="173" spans="1:48" ht="29.1" customHeight="1" x14ac:dyDescent="0.3">
      <c r="A173" s="1693"/>
      <c r="B173" s="1407"/>
      <c r="C173" s="1699"/>
      <c r="D173" s="1356"/>
      <c r="E173" s="1449"/>
      <c r="F173" s="1451"/>
      <c r="G173" s="1366"/>
      <c r="H173" s="1366"/>
      <c r="I173" s="1706"/>
      <c r="J173" s="1378"/>
      <c r="K173" s="1387" t="str">
        <f t="shared" ref="K173" si="331">IF(J173="", "", 12 - MONTH(J173) + 1)</f>
        <v/>
      </c>
      <c r="L173" s="1395"/>
      <c r="M173" s="1720"/>
      <c r="N173" s="1704"/>
      <c r="O173" s="1334"/>
      <c r="P173" s="1671"/>
      <c r="Q173" s="1671"/>
      <c r="R173" s="1334"/>
      <c r="S173" s="93" t="s">
        <v>116</v>
      </c>
      <c r="T173" s="96" t="str">
        <f ca="1">IF(OR(G173="", H173=""), "", IF(TODAY()&lt;G173, 0, IF(TODAY()&gt;H173, 1, (TODAY()-G173+1)/(H173-G173+1))))</f>
        <v/>
      </c>
      <c r="U173" s="498">
        <f>IFERROR(IF(AND(U$54&gt;=EOMONTH($J173,-1)+1,U$54&lt;=EOMONTH(EOMONTH($J173,-1)+1,$K173-1)),IF(NOT(ISBLANK($N173)),$N173/$K173,$I173/$K173),0),0)</f>
        <v>0</v>
      </c>
      <c r="V173" s="498">
        <f>IFERROR(IF(AND(V$54&gt;=EOMONTH($J173,-1)+1,V$54&lt;=EOMONTH(EOMONTH($J173,-1)+1,$K173-1)),IF(NOT(ISBLANK($N173)),$N173/$K173,$I173/$K173),0),0)</f>
        <v>0</v>
      </c>
      <c r="W173" s="498">
        <f>IFERROR(IF(AND(W$54&gt;=EOMONTH($J173,-1)+1,W$54&lt;=EOMONTH(EOMONTH($J173,-1)+1,$K173-1)),IF(NOT(ISBLANK($N173)),$N173/$K173,$I173/$K173),0),0)</f>
        <v>0</v>
      </c>
      <c r="X173" s="89">
        <f t="shared" ref="X173" si="332">SUM(U173:W173)</f>
        <v>0</v>
      </c>
      <c r="Y173" s="498">
        <f>IFERROR(IF(AND(Y$54&gt;=EOMONTH($J173,-1)+1,Y$54&lt;=EOMONTH(EOMONTH($J173,-1)+1,$K173-1)),IF(NOT(ISBLANK($N173)),$N173/$K173,$I173/$K173),0),0)</f>
        <v>0</v>
      </c>
      <c r="Z173" s="498">
        <f>IFERROR(IF(AND(Z$54&gt;=EOMONTH($J173,-1)+1,Z$54&lt;=EOMONTH(EOMONTH($J173,-1)+1,$K173-1)),IF(NOT(ISBLANK($N173)),$N173/$K173,$I173/$K173),0),0)</f>
        <v>0</v>
      </c>
      <c r="AA173" s="498">
        <f>IFERROR(IF(AND(AA$54&gt;=EOMONTH($J173,-1)+1,AA$54&lt;=EOMONTH(EOMONTH($J173,-1)+1,$K173-1)),IF(NOT(ISBLANK($N173)),$N173/$K173,$I173/$K173),0),0)</f>
        <v>0</v>
      </c>
      <c r="AB173" s="89">
        <f t="shared" ref="AB173" si="333">SUM(Y173:AA173)</f>
        <v>0</v>
      </c>
      <c r="AC173" s="498">
        <f>IFERROR(IF(AND(AC$54&gt;=EOMONTH($J173,-1)+1,AC$54&lt;=EOMONTH(EOMONTH($J173,-1)+1,$K173-1)),IF(NOT(ISBLANK($N173)),$N173/$K173,$I173/$K173),0),0)</f>
        <v>0</v>
      </c>
      <c r="AD173" s="498">
        <f>IFERROR(IF(AND(AD$54&gt;=EOMONTH($J173,-1)+1,AD$54&lt;=EOMONTH(EOMONTH($J173,-1)+1,$K173-1)),IF(NOT(ISBLANK($N173)),$N173/$K173,$I173/$K173),0),0)</f>
        <v>0</v>
      </c>
      <c r="AE173" s="498">
        <f>IFERROR(IF(AND(AE$54&gt;=EOMONTH($J173,-1)+1,AE$54&lt;=EOMONTH(EOMONTH($J173,-1)+1,$K173-1)),IF(NOT(ISBLANK($N173)),$N173/$K173,$I173/$K173),0),0)</f>
        <v>0</v>
      </c>
      <c r="AF173" s="89">
        <f t="shared" si="253"/>
        <v>0</v>
      </c>
      <c r="AG173" s="498">
        <f>IFERROR(IF(AND(AG$54&gt;=EOMONTH($J173,-1)+1,AG$54&lt;=EOMONTH(EOMONTH($J173,-1)+1,$K173-1)),IF(NOT(ISBLANK($N173)),$N173/$K173,$I173/$K173),0),0)</f>
        <v>0</v>
      </c>
      <c r="AH173" s="498">
        <f>IFERROR(IF(AND(AH$54&gt;=EOMONTH($J173,-1)+1,AH$54&lt;=EOMONTH(EOMONTH($J173,-1)+1,$K173-1)),IF(NOT(ISBLANK($N173)),$N173/$K173,$I173/$K173),0),0)</f>
        <v>0</v>
      </c>
      <c r="AI173" s="498">
        <f>IFERROR(IF(AND(AI$54&gt;=EOMONTH($J173,-1)+1,AI$54&lt;=EOMONTH(EOMONTH($J173,-1)+1,$K173-1)),IF(NOT(ISBLANK($N173)),$N173/$K173,$I173/$K173),0),0)</f>
        <v>0</v>
      </c>
      <c r="AJ173" s="89">
        <f t="shared" si="107"/>
        <v>0</v>
      </c>
      <c r="AK173" s="95">
        <f t="shared" si="18"/>
        <v>0</v>
      </c>
      <c r="AL173" s="338"/>
      <c r="AM173" s="1407"/>
      <c r="AN173" s="1334"/>
      <c r="AO173" s="1403">
        <f>N173*AN173</f>
        <v>0</v>
      </c>
      <c r="AP173" s="62">
        <f>C173</f>
        <v>0</v>
      </c>
      <c r="AQ173" s="62" t="s">
        <v>311</v>
      </c>
      <c r="AR173" s="508" t="str" cm="1">
        <f t="array" aca="1" ref="AR173" ca="1">IF(OR(AP173="",AP173=0),"",IF(SUMPRODUCT(($C$55:$C$175=AP173)*(U$54:$AI$54&lt;EOMONTH(TODAY(),-1)+1)*(ISNUMBER(U$55:$AI$175)),U$55:$AI$175)=0,"",SUMPRODUCT(($C$55:$C$175=AP173)*(U$54:$AI$54&lt;EOMONTH(TODAY(),-1)+1)*(ISNUMBER(U$55:$AI$175)),U$55:$AI$175)))</f>
        <v/>
      </c>
      <c r="AS173" s="508">
        <f>A173</f>
        <v>0</v>
      </c>
      <c r="AU173" s="1566">
        <f t="shared" ref="AU173" si="334">IF(OR(I173="",K173=""),0,(I173/12)*K173)</f>
        <v>0</v>
      </c>
      <c r="AV173" s="1566">
        <f t="shared" ref="AV173" si="335">IF(OR(N173="",K173="",K173=0),0,(N173/K173)*12)</f>
        <v>0</v>
      </c>
    </row>
    <row r="174" spans="1:48" ht="29.1" customHeight="1" x14ac:dyDescent="0.3">
      <c r="A174" s="1694"/>
      <c r="B174" s="1408"/>
      <c r="C174" s="1700"/>
      <c r="D174" s="1455"/>
      <c r="E174" s="1450"/>
      <c r="F174" s="1452"/>
      <c r="G174" s="1367"/>
      <c r="H174" s="1367"/>
      <c r="I174" s="1707"/>
      <c r="J174" s="1379"/>
      <c r="K174" s="1388"/>
      <c r="L174" s="1396"/>
      <c r="M174" s="1721"/>
      <c r="N174" s="1705"/>
      <c r="O174" s="1330"/>
      <c r="P174" s="1672"/>
      <c r="Q174" s="1672"/>
      <c r="R174" s="1330"/>
      <c r="S174" s="93" t="s">
        <v>117</v>
      </c>
      <c r="T174" s="96"/>
      <c r="U174" s="290"/>
      <c r="V174" s="290"/>
      <c r="W174" s="290"/>
      <c r="X174" s="288">
        <f t="shared" ref="X174" si="336">SUM(U174:W174)</f>
        <v>0</v>
      </c>
      <c r="Y174" s="290"/>
      <c r="Z174" s="290"/>
      <c r="AA174" s="290"/>
      <c r="AB174" s="288">
        <f t="shared" ref="AB174" si="337">SUM(Y174:AA174)</f>
        <v>0</v>
      </c>
      <c r="AC174" s="290"/>
      <c r="AD174" s="290"/>
      <c r="AE174" s="290"/>
      <c r="AF174" s="288">
        <f t="shared" si="253"/>
        <v>0</v>
      </c>
      <c r="AG174" s="290"/>
      <c r="AH174" s="290"/>
      <c r="AI174" s="290"/>
      <c r="AJ174" s="288">
        <f t="shared" si="107"/>
        <v>0</v>
      </c>
      <c r="AK174" s="291">
        <f t="shared" si="18"/>
        <v>0</v>
      </c>
      <c r="AL174" s="97"/>
      <c r="AM174" s="1408"/>
      <c r="AN174" s="1330"/>
      <c r="AO174" s="1404"/>
      <c r="AP174" s="62">
        <f>C173</f>
        <v>0</v>
      </c>
      <c r="AQ174" s="62" t="s">
        <v>313</v>
      </c>
      <c r="AR174" s="508" t="str" cm="1">
        <f t="array" aca="1" ref="AR174" ca="1">IF(OR(AP174="",AP174=0),"",IF(SUMPRODUCT(($C$55:$C$175=AP174)*($U$54:AI$54&lt;=TODAY())*(ISNUMBER($U$56:AI$176)),$U$56:AI$176)=0,"",SUMPRODUCT(($C$55:$C$175=AP174)*($U$54:AI$54&lt;=TODAY())*(ISNUMBER($U$56:AI$176)),$U$56:AI$176)))</f>
        <v/>
      </c>
      <c r="AS174" s="508">
        <f>A173</f>
        <v>0</v>
      </c>
      <c r="AU174" s="1567"/>
      <c r="AV174" s="1567"/>
    </row>
    <row r="175" spans="1:48" ht="29.1" customHeight="1" x14ac:dyDescent="0.3">
      <c r="A175" s="1691"/>
      <c r="B175" s="1691"/>
      <c r="C175" s="1716"/>
      <c r="D175" s="1486"/>
      <c r="E175" s="1368"/>
      <c r="F175" s="1370"/>
      <c r="G175" s="1372"/>
      <c r="H175" s="1372"/>
      <c r="I175" s="1689"/>
      <c r="J175" s="1376"/>
      <c r="K175" s="1389" t="str">
        <f t="shared" ref="K175" si="338">IF(J175="", "", 12 - MONTH(J175) + 1)</f>
        <v/>
      </c>
      <c r="L175" s="1354"/>
      <c r="M175" s="1350"/>
      <c r="N175" s="1730"/>
      <c r="O175" s="1327"/>
      <c r="P175" s="1673"/>
      <c r="Q175" s="1673"/>
      <c r="R175" s="1327"/>
      <c r="S175" s="87" t="s">
        <v>116</v>
      </c>
      <c r="T175" s="91" t="str">
        <f ca="1">IF(OR(G175="", H175=""), "", IF(TODAY()&lt;G175, 0, IF(TODAY()&gt;H175, 1, (TODAY()-G175+1)/(H175-G175+1))))</f>
        <v/>
      </c>
      <c r="U175" s="287">
        <f>IFERROR(IF(AND(U$54&gt;=EOMONTH($J175,-1)+1,U$54&lt;=EOMONTH(EOMONTH($J175,-1)+1,$K175-1)),IF(NOT(ISBLANK($N175)),$N175/$K175,$I175/$K175),0),0)</f>
        <v>0</v>
      </c>
      <c r="V175" s="287">
        <f>IFERROR(IF(AND(V$54&gt;=EOMONTH($J175,-1)+1,V$54&lt;=EOMONTH(EOMONTH($J175,-1)+1,$K175-1)),IF(NOT(ISBLANK($N175)),$N175/$K175,$I175/$K175),0),0)</f>
        <v>0</v>
      </c>
      <c r="W175" s="287">
        <f>IFERROR(IF(AND(W$54&gt;=EOMONTH($J175,-1)+1,W$54&lt;=EOMONTH(EOMONTH($J175,-1)+1,$K175-1)),IF(NOT(ISBLANK($N175)),$N175/$K175,$I175/$K175),0),0)</f>
        <v>0</v>
      </c>
      <c r="X175" s="89">
        <f t="shared" ref="X175" si="339">SUM(U175:W175)</f>
        <v>0</v>
      </c>
      <c r="Y175" s="287">
        <f>IFERROR(IF(AND(Y$54&gt;=EOMONTH($J175,-1)+1,Y$54&lt;=EOMONTH(EOMONTH($J175,-1)+1,$K175-1)),IF(NOT(ISBLANK($N175)),$N175/$K175,$I175/$K175),0),0)</f>
        <v>0</v>
      </c>
      <c r="Z175" s="287">
        <f>IFERROR(IF(AND(Z$54&gt;=EOMONTH($J175,-1)+1,Z$54&lt;=EOMONTH(EOMONTH($J175,-1)+1,$K175-1)),IF(NOT(ISBLANK($N175)),$N175/$K175,$I175/$K175),0),0)</f>
        <v>0</v>
      </c>
      <c r="AA175" s="287">
        <f>IFERROR(IF(AND(AA$54&gt;=EOMONTH($J175,-1)+1,AA$54&lt;=EOMONTH(EOMONTH($J175,-1)+1,$K175-1)),IF(NOT(ISBLANK($N175)),$N175/$K175,$I175/$K175),0),0)</f>
        <v>0</v>
      </c>
      <c r="AB175" s="89">
        <f t="shared" ref="AB175" si="340">SUM(Y175:AA175)</f>
        <v>0</v>
      </c>
      <c r="AC175" s="287">
        <f>IFERROR(IF(AND(AC$54&gt;=EOMONTH($J175,-1)+1,AC$54&lt;=EOMONTH(EOMONTH($J175,-1)+1,$K175-1)),IF(NOT(ISBLANK($N175)),$N175/$K175,$I175/$K175),0),0)</f>
        <v>0</v>
      </c>
      <c r="AD175" s="287">
        <f>IFERROR(IF(AND(AD$54&gt;=EOMONTH($J175,-1)+1,AD$54&lt;=EOMONTH(EOMONTH($J175,-1)+1,$K175-1)),IF(NOT(ISBLANK($N175)),$N175/$K175,$I175/$K175),0),0)</f>
        <v>0</v>
      </c>
      <c r="AE175" s="287">
        <f>IFERROR(IF(AND(AE$54&gt;=EOMONTH($J175,-1)+1,AE$54&lt;=EOMONTH(EOMONTH($J175,-1)+1,$K175-1)),IF(NOT(ISBLANK($N175)),$N175/$K175,$I175/$K175),0),0)</f>
        <v>0</v>
      </c>
      <c r="AF175" s="89">
        <f t="shared" si="253"/>
        <v>0</v>
      </c>
      <c r="AG175" s="287">
        <f>IFERROR(IF(AND(AG$54&gt;=EOMONTH($J175,-1)+1,AG$54&lt;=EOMONTH(EOMONTH($J175,-1)+1,$K175-1)),IF(NOT(ISBLANK($N175)),$N175/$K175,$I175/$K175),0),0)</f>
        <v>0</v>
      </c>
      <c r="AH175" s="287">
        <f>IFERROR(IF(AND(AH$54&gt;=EOMONTH($J175,-1)+1,AH$54&lt;=EOMONTH(EOMONTH($J175,-1)+1,$K175-1)),IF(NOT(ISBLANK($N175)),$N175/$K175,$I175/$K175),0),0)</f>
        <v>0</v>
      </c>
      <c r="AI175" s="287">
        <f>IFERROR(IF(AND(AI$54&gt;=EOMONTH($J175,-1)+1,AI$54&lt;=EOMONTH(EOMONTH($J175,-1)+1,$K175-1)),IF(NOT(ISBLANK($N175)),$N175/$K175,$I175/$K175),0),0)</f>
        <v>0</v>
      </c>
      <c r="AJ175" s="89">
        <f t="shared" si="107"/>
        <v>0</v>
      </c>
      <c r="AK175" s="90">
        <f t="shared" si="18"/>
        <v>0</v>
      </c>
      <c r="AL175" s="337"/>
      <c r="AM175" s="1370"/>
      <c r="AN175" s="1411"/>
      <c r="AO175" s="1405">
        <f>N175*AN175</f>
        <v>0</v>
      </c>
      <c r="AP175" s="62">
        <f>C175</f>
        <v>0</v>
      </c>
      <c r="AQ175" s="62" t="s">
        <v>311</v>
      </c>
      <c r="AR175" s="508" t="str" cm="1">
        <f t="array" aca="1" ref="AR175" ca="1">IF(OR(AP175="",AP175=0),"",IF(SUMPRODUCT(($C$55:$C$175=AP175)*(U$54:$AI$54&lt;EOMONTH(TODAY(),-1)+1)*(ISNUMBER(U$55:$AI$175)),U$55:$AI$175)=0,"",SUMPRODUCT(($C$55:$C$175=AP175)*(U$54:$AI$54&lt;EOMONTH(TODAY(),-1)+1)*(ISNUMBER(U$55:$AI$175)),U$55:$AI$175)))</f>
        <v/>
      </c>
      <c r="AS175" s="508">
        <f>A175</f>
        <v>0</v>
      </c>
      <c r="AU175" s="1566">
        <f t="shared" ref="AU175" si="341">IF(OR(I175="",K175=""),0,(I175/12)*K175)</f>
        <v>0</v>
      </c>
      <c r="AV175" s="1566">
        <f t="shared" ref="AV175" si="342">IF(OR(N175="",K175="",K175=0),0,(N175/K175)*12)</f>
        <v>0</v>
      </c>
    </row>
    <row r="176" spans="1:48" ht="29.1" customHeight="1" x14ac:dyDescent="0.3">
      <c r="A176" s="1692"/>
      <c r="B176" s="1692"/>
      <c r="C176" s="1717"/>
      <c r="D176" s="1487"/>
      <c r="E176" s="1369"/>
      <c r="F176" s="1371"/>
      <c r="G176" s="1373"/>
      <c r="H176" s="1373"/>
      <c r="I176" s="1690"/>
      <c r="J176" s="1377"/>
      <c r="K176" s="1390"/>
      <c r="L176" s="1355"/>
      <c r="M176" s="1460"/>
      <c r="N176" s="1731"/>
      <c r="O176" s="1328"/>
      <c r="P176" s="1674"/>
      <c r="Q176" s="1674"/>
      <c r="R176" s="1328"/>
      <c r="S176" s="87" t="s">
        <v>117</v>
      </c>
      <c r="T176" s="91"/>
      <c r="U176" s="287"/>
      <c r="V176" s="287"/>
      <c r="W176" s="287"/>
      <c r="X176" s="288">
        <f t="shared" ref="X176" si="343">SUM(U176:W176)</f>
        <v>0</v>
      </c>
      <c r="Y176" s="287"/>
      <c r="Z176" s="287"/>
      <c r="AA176" s="287"/>
      <c r="AB176" s="288">
        <f t="shared" ref="AB176" si="344">SUM(Y176:AA176)</f>
        <v>0</v>
      </c>
      <c r="AC176" s="287"/>
      <c r="AD176" s="287"/>
      <c r="AE176" s="287"/>
      <c r="AF176" s="288">
        <f t="shared" si="253"/>
        <v>0</v>
      </c>
      <c r="AG176" s="287"/>
      <c r="AH176" s="287"/>
      <c r="AI176" s="287"/>
      <c r="AJ176" s="288">
        <f t="shared" si="107"/>
        <v>0</v>
      </c>
      <c r="AK176" s="289">
        <f t="shared" si="18"/>
        <v>0</v>
      </c>
      <c r="AL176" s="337"/>
      <c r="AM176" s="1371"/>
      <c r="AN176" s="1412"/>
      <c r="AO176" s="1406"/>
      <c r="AP176" s="62">
        <f>C175</f>
        <v>0</v>
      </c>
      <c r="AQ176" s="62" t="s">
        <v>313</v>
      </c>
      <c r="AR176" s="508" t="str" cm="1">
        <f t="array" aca="1" ref="AR176" ca="1">IF(OR(AP176="",AP176=0),"",IF(SUMPRODUCT(($C$55:$C$175=AP176)*($U$54:AI$54&lt;=TODAY())*(ISNUMBER($U$56:AI$176)),$U$56:AI$176)=0,"",SUMPRODUCT(($C$55:$C$175=AP176)*($U$54:AI$54&lt;=TODAY())*(ISNUMBER($U$56:AI$176)),$U$56:AI$176)))</f>
        <v/>
      </c>
      <c r="AS176" s="508">
        <f>A175</f>
        <v>0</v>
      </c>
      <c r="AU176" s="1567"/>
      <c r="AV176" s="1567"/>
    </row>
    <row r="177" spans="1:33" x14ac:dyDescent="0.3">
      <c r="A177" s="47"/>
      <c r="B177" s="47"/>
      <c r="C177" s="47"/>
      <c r="D177" s="47"/>
      <c r="E177" s="47"/>
      <c r="F177" s="47"/>
      <c r="G177" s="47"/>
      <c r="H177" s="47"/>
      <c r="I177" s="47"/>
      <c r="J177" s="47"/>
      <c r="K177" s="47"/>
      <c r="L177" s="47"/>
      <c r="M177" s="1760"/>
      <c r="N177" s="1760"/>
      <c r="O177" s="1760"/>
      <c r="P177" s="1760"/>
      <c r="Q177" s="47"/>
      <c r="R177" s="47"/>
      <c r="S177" s="47"/>
      <c r="T177" s="47"/>
      <c r="U177" s="47"/>
      <c r="V177" s="47"/>
      <c r="W177" s="47"/>
      <c r="X177" s="47"/>
      <c r="Y177" s="47"/>
      <c r="Z177" s="47"/>
      <c r="AA177" s="47"/>
      <c r="AB177" s="47"/>
      <c r="AC177" s="47"/>
      <c r="AD177" s="47"/>
      <c r="AE177" s="59"/>
      <c r="AF177" s="59"/>
    </row>
    <row r="178" spans="1:33" ht="15.6" x14ac:dyDescent="0.3">
      <c r="A178" s="100" t="s">
        <v>572</v>
      </c>
      <c r="B178" s="100"/>
      <c r="C178" s="100"/>
      <c r="D178" s="99" t="s">
        <v>573</v>
      </c>
      <c r="E178" s="99" t="s">
        <v>78</v>
      </c>
      <c r="F178" s="99" t="s">
        <v>79</v>
      </c>
      <c r="G178" s="47"/>
      <c r="H178" s="102" t="s">
        <v>574</v>
      </c>
      <c r="I178" s="102"/>
      <c r="J178" s="102"/>
      <c r="K178" s="102"/>
      <c r="L178" s="102"/>
      <c r="M178" s="1385"/>
      <c r="N178" s="1385"/>
      <c r="O178" s="1384"/>
      <c r="P178" s="1384"/>
      <c r="Q178" s="180"/>
      <c r="R178" s="180"/>
      <c r="S178" s="151"/>
      <c r="T178" s="85">
        <v>46023</v>
      </c>
      <c r="U178" s="151">
        <v>46054</v>
      </c>
      <c r="V178" s="151">
        <v>46082</v>
      </c>
      <c r="W178" s="151">
        <v>46113</v>
      </c>
      <c r="X178" s="151">
        <v>46143</v>
      </c>
      <c r="Y178" s="151">
        <v>46174</v>
      </c>
      <c r="Z178" s="151">
        <v>46204</v>
      </c>
      <c r="AA178" s="151">
        <v>46235</v>
      </c>
      <c r="AB178" s="151">
        <v>46266</v>
      </c>
      <c r="AC178" s="151">
        <v>46296</v>
      </c>
      <c r="AD178" s="151">
        <v>46327</v>
      </c>
      <c r="AE178" s="151">
        <v>46357</v>
      </c>
      <c r="AF178" s="151" t="s">
        <v>115</v>
      </c>
      <c r="AG178" s="59"/>
    </row>
    <row r="179" spans="1:33" ht="15.6" x14ac:dyDescent="0.3">
      <c r="A179" s="112" t="s">
        <v>575</v>
      </c>
      <c r="B179" s="112" t="s">
        <v>576</v>
      </c>
      <c r="C179" s="310"/>
      <c r="D179" s="649" t="s">
        <v>577</v>
      </c>
      <c r="E179" s="894">
        <v>1</v>
      </c>
      <c r="F179" s="894">
        <v>0.75</v>
      </c>
      <c r="G179" s="47"/>
      <c r="H179" s="102" t="s">
        <v>578</v>
      </c>
      <c r="I179" s="102" t="s">
        <v>579</v>
      </c>
      <c r="J179" s="102" t="s">
        <v>580</v>
      </c>
      <c r="K179" s="102" t="s">
        <v>581</v>
      </c>
      <c r="L179" s="104" t="s">
        <v>183</v>
      </c>
      <c r="M179" s="1346" t="s">
        <v>582</v>
      </c>
      <c r="N179" s="1346"/>
      <c r="O179" s="1346"/>
      <c r="P179" s="1346"/>
      <c r="Q179" s="104" t="s">
        <v>583</v>
      </c>
      <c r="R179" s="777" t="s">
        <v>584</v>
      </c>
      <c r="S179" s="471" t="s">
        <v>116</v>
      </c>
      <c r="T179" s="152">
        <f>SUMIF($S$55:$S$176,$S$179,U55:U176)</f>
        <v>41403.54</v>
      </c>
      <c r="U179" s="152">
        <f>SUMIF($S$55:$S$176,$S$179,V55:V176)</f>
        <v>13978.190188470118</v>
      </c>
      <c r="V179" s="152">
        <f>SUMIF($S$55:$S$176,$S$179,W55:W176)</f>
        <v>122608.16027847011</v>
      </c>
      <c r="W179" s="152">
        <f>SUMIF($S$55:$S$176,$S$179,Y55:Y176)</f>
        <v>134188.30027847012</v>
      </c>
      <c r="X179" s="152">
        <f>SUMIF($S$55:$S$176,$S$179,Z55:Z176)</f>
        <v>208504.29402847015</v>
      </c>
      <c r="Y179" s="152">
        <f>SUMIF($S$55:$S$176,$S$179,AA55:AA176)</f>
        <v>340485.69269504148</v>
      </c>
      <c r="Z179" s="152">
        <f>SUMIF($S$55:$S$176,$S$179,AC55:AC176)</f>
        <v>317691.73769504158</v>
      </c>
      <c r="AA179" s="152">
        <f>SUMIF($S$55:$S$176,$S$179,AD55:AD176)</f>
        <v>391961.28969504149</v>
      </c>
      <c r="AB179" s="152">
        <f>SUMIF($S$55:$S$176,$S$179,AE55:AE176)</f>
        <v>422861.2896972415</v>
      </c>
      <c r="AC179" s="152">
        <f>SUMIF($S$55:$S$176,$S$179,AG55:AG176)</f>
        <v>422861.2896972415</v>
      </c>
      <c r="AD179" s="152">
        <f>SUMIF($S$55:$S$176,$S$179,AH55:AH176)</f>
        <v>422861.2896972415</v>
      </c>
      <c r="AE179" s="152">
        <f>SUMIF($S$55:$S$176,$S$179,AI55:AI176)</f>
        <v>422861.2896972415</v>
      </c>
      <c r="AF179" s="152">
        <f>SUM(T179:AE179)</f>
        <v>3262266.3636479713</v>
      </c>
      <c r="AG179" s="59"/>
    </row>
    <row r="180" spans="1:33" x14ac:dyDescent="0.3">
      <c r="A180" s="679" t="s">
        <v>585</v>
      </c>
      <c r="B180" s="679" t="s">
        <v>586</v>
      </c>
      <c r="C180" s="678"/>
      <c r="D180" s="680" t="s">
        <v>577</v>
      </c>
      <c r="E180" s="895">
        <v>1</v>
      </c>
      <c r="F180" s="895">
        <v>0.75</v>
      </c>
      <c r="G180" s="47"/>
      <c r="H180" s="344" t="s">
        <v>587</v>
      </c>
      <c r="I180" s="616" t="s">
        <v>308</v>
      </c>
      <c r="J180" s="616" t="s">
        <v>308</v>
      </c>
      <c r="K180" s="106" t="s">
        <v>363</v>
      </c>
      <c r="L180" s="181">
        <f>(COUNTIF(I180:K180,"OK"))*33.333333/100</f>
        <v>0.66666666000000008</v>
      </c>
      <c r="M180" s="642" t="s">
        <v>588</v>
      </c>
      <c r="N180" s="643"/>
      <c r="O180" s="643"/>
      <c r="P180" s="644"/>
      <c r="Q180" s="644" t="s">
        <v>589</v>
      </c>
      <c r="R180" s="644" t="s">
        <v>589</v>
      </c>
      <c r="S180" s="472" t="s">
        <v>117</v>
      </c>
      <c r="T180" s="154">
        <f>SUMIF($S$55:$S$176,$S$180,U55:U176)</f>
        <v>41403.54</v>
      </c>
      <c r="U180" s="154">
        <f>SUMIF($S$55:$S$176,$S$180,V55:V176)</f>
        <v>4586.7548434203618</v>
      </c>
      <c r="V180" s="154">
        <f>SUMIF($S$55:$S$176,$S$180,W55:W176)</f>
        <v>95474.746790466073</v>
      </c>
      <c r="W180" s="154">
        <f>SUMIF($S$55:$S$176,$S$180,Y55:Y176)</f>
        <v>134499.4510592015</v>
      </c>
      <c r="X180" s="154">
        <f>SUMIF($S$55:$S$176,$S$180,Z55:Z176)</f>
        <v>215601.85480234073</v>
      </c>
      <c r="Y180" s="154">
        <f>SUMIF($S$55:$S$176,$S$180,AA55:AA176)</f>
        <v>314725.24982747412</v>
      </c>
      <c r="Z180" s="154">
        <f>SUMIF($S$55:$S$176,$S$180,AC55:AC176)</f>
        <v>202504.39718416211</v>
      </c>
      <c r="AA180" s="154">
        <f>SUMIF($S$55:$S$176,$S$180,AD55:AD176)</f>
        <v>0</v>
      </c>
      <c r="AB180" s="154">
        <f>SUMIF($S$55:$S$176,$S$180,AE55:AE176)</f>
        <v>0</v>
      </c>
      <c r="AC180" s="154">
        <f>SUMIF($S$55:$S$176,$S$180,AG55:AG176)</f>
        <v>0</v>
      </c>
      <c r="AD180" s="154">
        <f>SUMIF($S$55:$S$176,$S$180,AH55:AH176)</f>
        <v>0</v>
      </c>
      <c r="AE180" s="154">
        <f>SUMIF($S$55:$S$176,$S$180,AI55:AI176)</f>
        <v>0</v>
      </c>
      <c r="AF180" s="154">
        <f>SUM(T180:AE180)</f>
        <v>1008795.9945070648</v>
      </c>
      <c r="AG180" s="59"/>
    </row>
    <row r="181" spans="1:33" x14ac:dyDescent="0.3">
      <c r="A181" s="112" t="s">
        <v>590</v>
      </c>
      <c r="B181" s="112" t="s">
        <v>591</v>
      </c>
      <c r="C181" s="310"/>
      <c r="D181" s="649" t="s">
        <v>577</v>
      </c>
      <c r="E181" s="894">
        <v>1</v>
      </c>
      <c r="F181" s="894">
        <v>1</v>
      </c>
      <c r="G181" s="47"/>
      <c r="H181" s="345" t="s">
        <v>592</v>
      </c>
      <c r="I181" s="603" t="s">
        <v>308</v>
      </c>
      <c r="J181" s="603" t="s">
        <v>308</v>
      </c>
      <c r="K181" s="109" t="s">
        <v>363</v>
      </c>
      <c r="L181" s="182">
        <f>(COUNTIF(I181:K181,"OK"))*33.333333/100</f>
        <v>0.66666666000000008</v>
      </c>
      <c r="M181" s="639" t="s">
        <v>593</v>
      </c>
      <c r="N181" s="640"/>
      <c r="O181" s="640"/>
      <c r="P181" s="641"/>
      <c r="Q181" s="641" t="s">
        <v>589</v>
      </c>
      <c r="R181" s="641" t="s">
        <v>589</v>
      </c>
      <c r="S181" s="473" t="s">
        <v>118</v>
      </c>
      <c r="T181" s="160" cm="1">
        <f t="array" ref="T181">SUMPRODUCT(
($G$55:$G$176&lt;&gt;"")*
($G$55:$G$176&lt;=T$178)*
(($H$55:$H$176="")+($H$55:$H$176&gt;=X$108))
)</f>
        <v>6</v>
      </c>
      <c r="U181" s="160" cm="1">
        <f t="array" ref="U181">SUMPRODUCT(
($G$55:$G$176&lt;&gt;"")*
($G$55:$G$176&lt;=U$178)*
(($H$55:$H$176="")+($H$55:$H$176&gt;=Y$108))
)</f>
        <v>19</v>
      </c>
      <c r="V181" s="160" cm="1">
        <f t="array" ref="V181">SUMPRODUCT(
($G$55:$G$176&lt;&gt;"")*
($G$55:$G$176&lt;=V$178)*
(($H$55:$H$176="")+($H$55:$H$176&gt;=Z$108))
)</f>
        <v>27</v>
      </c>
      <c r="W181" s="160" cm="1">
        <f t="array" ref="W181">SUMPRODUCT(
($G$55:$G$176&lt;&gt;"")*
($G$55:$G$176&lt;=W$178)*
(($H$55:$H$176="")+($H$55:$H$176&gt;=AA$108))
)</f>
        <v>43</v>
      </c>
      <c r="X181" s="160" cm="1">
        <f t="array" ref="X181">SUMPRODUCT(
($G$55:$G$176&lt;&gt;"")*
($G$55:$G$176&lt;=X$178)*
(($H$55:$H$176="")+($H$55:$H$176&gt;=AB$108))
)</f>
        <v>54</v>
      </c>
      <c r="Y181" s="160" cm="1">
        <f t="array" ref="Y181">SUMPRODUCT(
($G$55:$G$176&lt;&gt;"")*
($G$55:$G$176&lt;=Y$178)*
(($H$55:$H$176="")+($H$55:$H$176&gt;=AC$108))
)</f>
        <v>57</v>
      </c>
      <c r="Z181" s="160" cm="1">
        <f t="array" ref="Z181">SUMPRODUCT(
($G$55:$G$176&lt;&gt;"")*
($G$55:$G$176&lt;=Z$178)*
(($H$55:$H$176="")+($H$55:$H$176&gt;=AD$108))
)</f>
        <v>57</v>
      </c>
      <c r="AA181" s="160" cm="1">
        <f t="array" ref="AA181">SUMPRODUCT(
($G$55:$G$176&lt;&gt;"")*
($G$55:$G$176&lt;=AA$178)*
(($H$55:$H$176="")+($H$55:$H$176&gt;=AE$108))
)</f>
        <v>57</v>
      </c>
      <c r="AB181" s="160" cm="1">
        <f t="array" ref="AB181">SUMPRODUCT(
($G$55:$G$176&lt;&gt;"")*
($G$55:$G$176&lt;=AB$178)*
(($H$55:$H$176="")+($H$55:$H$176&gt;=AF$108))
)</f>
        <v>57</v>
      </c>
      <c r="AC181" s="160" cm="1">
        <f t="array" ref="AC181">SUMPRODUCT(
($G$55:$G$176&lt;&gt;"")*
($G$55:$G$176&lt;=AC$178)*
(($H$55:$H$176="")+($H$55:$H$176&gt;=AG$108))
)</f>
        <v>57</v>
      </c>
      <c r="AD181" s="160" cm="1">
        <f t="array" ref="AD181">SUMPRODUCT(
($G$55:$G$176&lt;&gt;"")*
($G$55:$G$176&lt;=AD$178)*
(($H$55:$H$176="")+($H$55:$H$176&gt;=AH$108))
)</f>
        <v>57</v>
      </c>
      <c r="AE181" s="160" cm="1">
        <f t="array" ref="AE181">SUMPRODUCT(
($G$55:$G$176&lt;&gt;"")*
($G$55:$G$176&lt;=AE$178)*
(($H$55:$H$176="")+($H$55:$H$176&gt;=AI$108))
)</f>
        <v>57</v>
      </c>
      <c r="AF181" s="160"/>
      <c r="AG181" s="59"/>
    </row>
    <row r="182" spans="1:33" ht="16.350000000000001" customHeight="1" x14ac:dyDescent="0.3">
      <c r="A182" s="679" t="s">
        <v>594</v>
      </c>
      <c r="B182" s="679" t="s">
        <v>595</v>
      </c>
      <c r="C182" s="678"/>
      <c r="D182" s="680" t="s">
        <v>596</v>
      </c>
      <c r="E182" s="895">
        <v>1</v>
      </c>
      <c r="F182" s="895">
        <v>1</v>
      </c>
      <c r="G182" s="47"/>
      <c r="H182" s="344" t="s">
        <v>597</v>
      </c>
      <c r="I182" s="960" t="s">
        <v>308</v>
      </c>
      <c r="J182" s="106" t="s">
        <v>363</v>
      </c>
      <c r="K182" s="106" t="s">
        <v>363</v>
      </c>
      <c r="L182" s="181">
        <f>(COUNTIF(I182:K182,"OK"))*33.333333/100</f>
        <v>0.33333333000000004</v>
      </c>
      <c r="M182" s="642" t="s">
        <v>598</v>
      </c>
      <c r="N182" s="643"/>
      <c r="O182" s="643"/>
      <c r="P182" s="644"/>
      <c r="Q182" s="644"/>
      <c r="R182" s="644"/>
      <c r="S182" s="472" t="s">
        <v>119</v>
      </c>
      <c r="T182" s="154">
        <f>T179</f>
        <v>41403.54</v>
      </c>
      <c r="U182" s="154">
        <f>T182+U179</f>
        <v>55381.730188470116</v>
      </c>
      <c r="V182" s="154">
        <f t="shared" ref="V182:AE183" si="345">U182+V179</f>
        <v>177989.89046694024</v>
      </c>
      <c r="W182" s="154">
        <f t="shared" si="345"/>
        <v>312178.19074541039</v>
      </c>
      <c r="X182" s="154">
        <f t="shared" si="345"/>
        <v>520682.48477388057</v>
      </c>
      <c r="Y182" s="154">
        <f t="shared" si="345"/>
        <v>861168.17746892199</v>
      </c>
      <c r="Z182" s="154">
        <f t="shared" si="345"/>
        <v>1178859.9151639636</v>
      </c>
      <c r="AA182" s="154">
        <f t="shared" si="345"/>
        <v>1570821.2048590051</v>
      </c>
      <c r="AB182" s="154">
        <f t="shared" si="345"/>
        <v>1993682.4945562466</v>
      </c>
      <c r="AC182" s="154">
        <f t="shared" si="345"/>
        <v>2416543.7842534883</v>
      </c>
      <c r="AD182" s="154">
        <f t="shared" si="345"/>
        <v>2839405.0739507298</v>
      </c>
      <c r="AE182" s="154">
        <f t="shared" si="345"/>
        <v>3262266.3636479713</v>
      </c>
      <c r="AF182" s="154"/>
      <c r="AG182" s="59"/>
    </row>
    <row r="183" spans="1:33" ht="14.85" customHeight="1" x14ac:dyDescent="0.3">
      <c r="A183" s="112" t="s">
        <v>594</v>
      </c>
      <c r="B183" s="112" t="s">
        <v>599</v>
      </c>
      <c r="C183" s="310"/>
      <c r="D183" s="649" t="s">
        <v>596</v>
      </c>
      <c r="E183" s="894">
        <v>1</v>
      </c>
      <c r="F183" s="894">
        <v>1</v>
      </c>
      <c r="G183" s="47"/>
      <c r="H183" s="783" t="s">
        <v>600</v>
      </c>
      <c r="I183" s="603" t="s">
        <v>308</v>
      </c>
      <c r="J183" s="109" t="s">
        <v>363</v>
      </c>
      <c r="K183" s="109" t="s">
        <v>363</v>
      </c>
      <c r="L183" s="182">
        <f>(COUNTIF(I183:K183,"OK"))*33.333333/100</f>
        <v>0.33333333000000004</v>
      </c>
      <c r="M183" s="639" t="s">
        <v>601</v>
      </c>
      <c r="N183" s="640"/>
      <c r="O183" s="640"/>
      <c r="P183" s="641"/>
      <c r="Q183" s="641"/>
      <c r="R183" s="641"/>
      <c r="S183" s="473" t="s">
        <v>120</v>
      </c>
      <c r="T183" s="474">
        <f>T180</f>
        <v>41403.54</v>
      </c>
      <c r="U183" s="474">
        <f>T183+U180</f>
        <v>45990.294843420364</v>
      </c>
      <c r="V183" s="474">
        <f t="shared" si="345"/>
        <v>141465.04163388643</v>
      </c>
      <c r="W183" s="474">
        <f t="shared" si="345"/>
        <v>275964.4926930879</v>
      </c>
      <c r="X183" s="474">
        <f t="shared" si="345"/>
        <v>491566.34749542864</v>
      </c>
      <c r="Y183" s="474">
        <f t="shared" si="345"/>
        <v>806291.59732290276</v>
      </c>
      <c r="Z183" s="474">
        <f t="shared" si="345"/>
        <v>1008795.9945070648</v>
      </c>
      <c r="AA183" s="474">
        <f t="shared" si="345"/>
        <v>1008795.9945070648</v>
      </c>
      <c r="AB183" s="474">
        <f t="shared" si="345"/>
        <v>1008795.9945070648</v>
      </c>
      <c r="AC183" s="474">
        <f t="shared" si="345"/>
        <v>1008795.9945070648</v>
      </c>
      <c r="AD183" s="474">
        <f t="shared" si="345"/>
        <v>1008795.9945070648</v>
      </c>
      <c r="AE183" s="474">
        <f t="shared" si="345"/>
        <v>1008795.9945070648</v>
      </c>
      <c r="AF183" s="474"/>
      <c r="AG183" s="59"/>
    </row>
    <row r="184" spans="1:33" ht="14.85" customHeight="1" x14ac:dyDescent="0.3">
      <c r="A184" s="679" t="s">
        <v>594</v>
      </c>
      <c r="B184" s="679" t="s">
        <v>602</v>
      </c>
      <c r="C184" s="678"/>
      <c r="D184" s="680" t="s">
        <v>596</v>
      </c>
      <c r="E184" s="895">
        <v>1</v>
      </c>
      <c r="F184" s="895">
        <v>1</v>
      </c>
      <c r="G184" s="47"/>
      <c r="H184" s="784" t="s">
        <v>603</v>
      </c>
      <c r="I184" s="616" t="s">
        <v>308</v>
      </c>
      <c r="J184" s="109" t="s">
        <v>363</v>
      </c>
      <c r="K184" s="106" t="s">
        <v>363</v>
      </c>
      <c r="L184" s="181">
        <f>(COUNTIF(I184:K184,"OK"))*33.333333/100</f>
        <v>0.33333333000000004</v>
      </c>
      <c r="M184" s="642" t="s">
        <v>604</v>
      </c>
      <c r="N184" s="643"/>
      <c r="O184" s="643"/>
      <c r="P184" s="644"/>
      <c r="Q184" s="644"/>
      <c r="R184" s="644"/>
      <c r="S184" s="472" t="s">
        <v>121</v>
      </c>
      <c r="T184" s="154">
        <f t="shared" ref="T184:AE184" si="346">IF(AND(ISNUMBER(T180),T180&lt;&gt;0), T183, S184 + (($A$5 - MAX($T$183:$AE$183)) / COUNTIF($T$180:$AE$180,0)))</f>
        <v>41403.54</v>
      </c>
      <c r="U184" s="154">
        <f t="shared" si="346"/>
        <v>45990.294843420364</v>
      </c>
      <c r="V184" s="154">
        <f t="shared" si="346"/>
        <v>141465.04163388643</v>
      </c>
      <c r="W184" s="154">
        <f t="shared" si="346"/>
        <v>275964.4926930879</v>
      </c>
      <c r="X184" s="154">
        <f t="shared" si="346"/>
        <v>491566.34749542864</v>
      </c>
      <c r="Y184" s="154">
        <f t="shared" si="346"/>
        <v>806291.59732290276</v>
      </c>
      <c r="Z184" s="154">
        <f t="shared" si="346"/>
        <v>1008795.9945070648</v>
      </c>
      <c r="AA184" s="154">
        <f t="shared" si="346"/>
        <v>2196436.795605652</v>
      </c>
      <c r="AB184" s="154">
        <f t="shared" si="346"/>
        <v>3384077.596704239</v>
      </c>
      <c r="AC184" s="154">
        <f t="shared" si="346"/>
        <v>4571718.397802826</v>
      </c>
      <c r="AD184" s="154">
        <f t="shared" si="346"/>
        <v>5759359.198901413</v>
      </c>
      <c r="AE184" s="154">
        <f t="shared" si="346"/>
        <v>6947000</v>
      </c>
      <c r="AF184" s="154"/>
      <c r="AG184" s="59"/>
    </row>
    <row r="185" spans="1:33" x14ac:dyDescent="0.3">
      <c r="A185" s="112"/>
      <c r="B185" s="112"/>
      <c r="C185" s="310"/>
      <c r="D185" s="649"/>
      <c r="E185" s="109"/>
      <c r="F185" s="109"/>
      <c r="G185" s="47"/>
      <c r="H185" s="105" t="s">
        <v>605</v>
      </c>
      <c r="I185" s="106" t="s">
        <v>363</v>
      </c>
      <c r="J185" s="106" t="s">
        <v>363</v>
      </c>
      <c r="K185" s="106" t="s">
        <v>363</v>
      </c>
      <c r="L185" s="181">
        <v>0</v>
      </c>
      <c r="M185" s="642" t="s">
        <v>606</v>
      </c>
      <c r="N185" s="643"/>
      <c r="O185" s="643"/>
      <c r="P185" s="644"/>
      <c r="Q185" s="641" t="s">
        <v>23</v>
      </c>
      <c r="R185" s="641" t="s">
        <v>607</v>
      </c>
      <c r="S185" s="62" t="s">
        <v>122</v>
      </c>
      <c r="T185" s="1003">
        <f>SUMIFS(U55:U176,$S$55:$S$176,$S$55,$M$55:$M$176,"ok")</f>
        <v>41403.54</v>
      </c>
      <c r="U185" s="1003">
        <f>SUMIFS(V55:V176,$S$55:$S$176,$S$55,$M$55:$M$176,"ok")</f>
        <v>4272.4483702882999</v>
      </c>
      <c r="V185" s="1003">
        <f>SUMIFS(W55:W176,$S$55:$S$176,$S$55,$M$55:$M$176,"ok")</f>
        <v>100902.41837028827</v>
      </c>
      <c r="W185" s="1003">
        <f>SUMIFS(Y55:Y176,$S$55:$S$176,$S$55,$M$55:$M$176,"ok")</f>
        <v>111944.78059251049</v>
      </c>
      <c r="X185" s="1003">
        <f>SUMIFS(Z55:Z176,$S$55:$S$176,$S$55,$M$55:$M$176,"ok")</f>
        <v>184198.27434251056</v>
      </c>
      <c r="Y185" s="1003">
        <f>SUMIFS(AA55:AA176,$S$55:$S$176,$S$55,$M$55:$M$176,"ok")</f>
        <v>315579.67291393911</v>
      </c>
      <c r="Z185" s="1003">
        <f>SUMIFS(AC55:AC176,$S$55:$S$176,$S$55,$M$55:$M$176,"ok")</f>
        <v>292785.71791393909</v>
      </c>
      <c r="AA185" s="1003">
        <f>SUMIFS(AD55:AD176,$S$55:$S$176,$S$55,$M$55:$M$176,"ok")</f>
        <v>365239.66991393903</v>
      </c>
      <c r="AB185" s="1003">
        <f>SUMIFS(AE55:AE176,$S$55:$S$176,$S$55,$M$55:$M$176,"ok")</f>
        <v>365239.66991393903</v>
      </c>
      <c r="AC185" s="1003">
        <f>SUMIFS(AG55:AG176,$S$55:$S$176,$S$55,$M$55:$M$176,"ok")</f>
        <v>365239.66991393903</v>
      </c>
      <c r="AD185" s="1003">
        <f>SUMIFS(AH55:AH176,$S$55:$S$176,$S$55,$M$55:$M$176,"ok")</f>
        <v>365239.66991393903</v>
      </c>
      <c r="AE185" s="1003">
        <f>SUMIFS(AI55:AI176,$S$55:$S$176,$S$55,$M$55:$M$176,"ok")</f>
        <v>365239.66991393903</v>
      </c>
      <c r="AF185" s="154">
        <f>SUM(T185:AE185)</f>
        <v>2877285.2020731713</v>
      </c>
      <c r="AG185" s="59"/>
    </row>
    <row r="186" spans="1:33" x14ac:dyDescent="0.3">
      <c r="A186" s="679"/>
      <c r="B186" s="679"/>
      <c r="C186" s="678"/>
      <c r="D186" s="680"/>
      <c r="E186" s="732"/>
      <c r="F186" s="732"/>
      <c r="G186" s="47"/>
      <c r="H186" s="105" t="s">
        <v>608</v>
      </c>
      <c r="I186" s="106" t="s">
        <v>363</v>
      </c>
      <c r="J186" s="106" t="s">
        <v>363</v>
      </c>
      <c r="K186" s="106" t="s">
        <v>363</v>
      </c>
      <c r="L186" s="181">
        <v>0</v>
      </c>
      <c r="M186" s="642" t="s">
        <v>609</v>
      </c>
      <c r="N186" s="643"/>
      <c r="O186" s="643"/>
      <c r="P186" s="644"/>
      <c r="Q186" s="641" t="s">
        <v>23</v>
      </c>
      <c r="R186" s="644" t="s">
        <v>610</v>
      </c>
      <c r="S186" s="47"/>
      <c r="T186" s="47"/>
      <c r="U186" s="47"/>
      <c r="V186" s="47"/>
      <c r="W186" s="47"/>
      <c r="X186" s="47"/>
      <c r="Y186" s="47"/>
      <c r="Z186" s="47"/>
      <c r="AA186" s="47"/>
      <c r="AB186" s="47"/>
      <c r="AC186" s="47"/>
      <c r="AD186" s="47"/>
      <c r="AE186" s="47"/>
      <c r="AF186" s="47"/>
      <c r="AG186" s="59"/>
    </row>
    <row r="187" spans="1:33" x14ac:dyDescent="0.3">
      <c r="A187" s="112"/>
      <c r="B187" s="112"/>
      <c r="C187" s="310"/>
      <c r="D187" s="649"/>
      <c r="E187" s="712"/>
      <c r="F187" s="712"/>
      <c r="G187" s="47"/>
      <c r="H187" s="345" t="s">
        <v>611</v>
      </c>
      <c r="I187" s="826" t="s">
        <v>308</v>
      </c>
      <c r="J187" s="603" t="s">
        <v>308</v>
      </c>
      <c r="K187" s="109" t="s">
        <v>363</v>
      </c>
      <c r="L187" s="182">
        <f>(COUNTIF(I187:K187,"OK"))*33.333333/100</f>
        <v>0.66666666000000008</v>
      </c>
      <c r="M187" s="639" t="s">
        <v>612</v>
      </c>
      <c r="N187" s="640"/>
      <c r="O187" s="640"/>
      <c r="P187" s="641"/>
      <c r="Q187" s="641"/>
      <c r="R187" s="641"/>
      <c r="S187" s="47"/>
      <c r="T187" s="47"/>
      <c r="U187" s="47"/>
      <c r="V187" s="47"/>
      <c r="W187" s="47"/>
      <c r="X187" s="47"/>
      <c r="Y187" s="47"/>
      <c r="Z187" s="47"/>
      <c r="AA187" s="47"/>
      <c r="AB187" s="47"/>
      <c r="AC187" s="47"/>
      <c r="AD187" s="47"/>
      <c r="AE187" s="47"/>
      <c r="AF187" s="47"/>
      <c r="AG187" s="59"/>
    </row>
    <row r="188" spans="1:33" ht="14.85" customHeight="1" x14ac:dyDescent="0.3">
      <c r="A188" s="679"/>
      <c r="B188" s="679"/>
      <c r="C188" s="678"/>
      <c r="D188" s="680"/>
      <c r="E188" s="711"/>
      <c r="F188" s="711"/>
      <c r="G188" s="47"/>
      <c r="H188" s="344" t="s">
        <v>613</v>
      </c>
      <c r="I188" s="616" t="s">
        <v>308</v>
      </c>
      <c r="J188" s="616" t="s">
        <v>308</v>
      </c>
      <c r="K188" s="106" t="s">
        <v>363</v>
      </c>
      <c r="L188" s="181">
        <f t="shared" ref="L188:L199" si="347">(COUNTIF(I188:K188,"OK"))*33.333333/100</f>
        <v>0.66666666000000008</v>
      </c>
      <c r="M188" s="642" t="s">
        <v>614</v>
      </c>
      <c r="N188" s="643"/>
      <c r="O188" s="643"/>
      <c r="P188" s="644"/>
      <c r="Q188" s="644"/>
      <c r="R188" s="644"/>
      <c r="S188" s="47"/>
      <c r="T188" s="47"/>
      <c r="U188" s="47"/>
      <c r="V188" s="47"/>
      <c r="W188" s="47"/>
      <c r="X188" s="47"/>
      <c r="Y188" s="47"/>
      <c r="Z188" s="47"/>
      <c r="AA188" s="47"/>
      <c r="AB188" s="47"/>
      <c r="AC188" s="47"/>
      <c r="AD188" s="47"/>
      <c r="AE188" s="47"/>
      <c r="AF188" s="47"/>
      <c r="AG188" s="59"/>
    </row>
    <row r="189" spans="1:33" ht="14.85" customHeight="1" x14ac:dyDescent="0.3">
      <c r="A189" s="112"/>
      <c r="B189" s="112"/>
      <c r="C189" s="310"/>
      <c r="D189" s="649"/>
      <c r="E189" s="109"/>
      <c r="F189" s="109"/>
      <c r="G189" s="272">
        <f>8/13</f>
        <v>0.61538461538461542</v>
      </c>
      <c r="H189" s="345" t="s">
        <v>615</v>
      </c>
      <c r="I189" s="603" t="s">
        <v>308</v>
      </c>
      <c r="J189" s="603" t="s">
        <v>308</v>
      </c>
      <c r="K189" s="109" t="s">
        <v>363</v>
      </c>
      <c r="L189" s="182">
        <f t="shared" si="347"/>
        <v>0.66666666000000008</v>
      </c>
      <c r="M189" s="639" t="s">
        <v>616</v>
      </c>
      <c r="N189" s="640"/>
      <c r="O189" s="640"/>
      <c r="P189" s="641"/>
      <c r="Q189" s="641"/>
      <c r="R189" s="641"/>
      <c r="S189" s="47"/>
      <c r="T189" s="47"/>
      <c r="U189" s="47"/>
      <c r="V189" s="47"/>
      <c r="W189" s="47"/>
      <c r="X189" s="47"/>
      <c r="Y189" s="47"/>
      <c r="Z189" s="47"/>
      <c r="AA189" s="47"/>
      <c r="AB189" s="47"/>
      <c r="AC189" s="47"/>
      <c r="AD189" s="47"/>
      <c r="AE189" s="47"/>
      <c r="AF189" s="47"/>
      <c r="AG189" s="59"/>
    </row>
    <row r="190" spans="1:33" x14ac:dyDescent="0.3">
      <c r="A190" s="679"/>
      <c r="B190" s="679"/>
      <c r="C190" s="678"/>
      <c r="D190" s="680"/>
      <c r="E190" s="738"/>
      <c r="F190" s="732"/>
      <c r="G190" s="272">
        <f>11/13</f>
        <v>0.84615384615384615</v>
      </c>
      <c r="H190" s="344" t="s">
        <v>617</v>
      </c>
      <c r="I190" s="616" t="s">
        <v>308</v>
      </c>
      <c r="J190" s="106" t="s">
        <v>363</v>
      </c>
      <c r="K190" s="106" t="s">
        <v>363</v>
      </c>
      <c r="L190" s="181">
        <f t="shared" si="347"/>
        <v>0.33333333000000004</v>
      </c>
      <c r="M190" s="642" t="s">
        <v>618</v>
      </c>
      <c r="N190" s="643"/>
      <c r="O190" s="643"/>
      <c r="P190" s="644"/>
      <c r="Q190" s="644"/>
      <c r="R190" s="644"/>
      <c r="S190" s="47"/>
      <c r="T190" s="47"/>
      <c r="U190" s="47"/>
      <c r="V190" s="47"/>
      <c r="W190" s="47"/>
      <c r="X190" s="47"/>
      <c r="Y190" s="47"/>
      <c r="Z190" s="47"/>
      <c r="AA190" s="47"/>
      <c r="AB190" s="47"/>
      <c r="AC190" s="47"/>
      <c r="AD190" s="47"/>
      <c r="AE190" s="47"/>
      <c r="AF190" s="47"/>
      <c r="AG190" s="59"/>
    </row>
    <row r="191" spans="1:33" x14ac:dyDescent="0.3">
      <c r="A191" s="112"/>
      <c r="B191" s="112"/>
      <c r="C191" s="310"/>
      <c r="D191" s="649"/>
      <c r="E191" s="109"/>
      <c r="F191" s="109"/>
      <c r="G191" s="59">
        <v>13</v>
      </c>
      <c r="H191" s="345" t="s">
        <v>619</v>
      </c>
      <c r="I191" s="603" t="s">
        <v>308</v>
      </c>
      <c r="J191" s="109" t="s">
        <v>363</v>
      </c>
      <c r="K191" s="109" t="s">
        <v>363</v>
      </c>
      <c r="L191" s="182">
        <f t="shared" si="347"/>
        <v>0.33333333000000004</v>
      </c>
      <c r="M191" s="639" t="s">
        <v>620</v>
      </c>
      <c r="N191" s="640"/>
      <c r="O191" s="640"/>
      <c r="P191" s="641"/>
      <c r="Q191" s="641"/>
      <c r="R191" s="641"/>
      <c r="S191" s="47"/>
      <c r="T191" s="47"/>
      <c r="U191" s="47"/>
      <c r="V191" s="47"/>
      <c r="W191" s="47"/>
      <c r="X191" s="47"/>
      <c r="Y191" s="47"/>
      <c r="Z191" s="47"/>
      <c r="AA191" s="47"/>
      <c r="AB191" s="47"/>
      <c r="AC191" s="47"/>
      <c r="AD191" s="47"/>
      <c r="AE191" s="47"/>
      <c r="AF191" s="47"/>
      <c r="AG191" s="59"/>
    </row>
    <row r="192" spans="1:33" x14ac:dyDescent="0.3">
      <c r="A192" s="679"/>
      <c r="B192" s="679"/>
      <c r="C192" s="678"/>
      <c r="D192" s="680"/>
      <c r="E192" s="711"/>
      <c r="F192" s="711"/>
      <c r="G192" s="47"/>
      <c r="H192" s="344" t="s">
        <v>621</v>
      </c>
      <c r="I192" s="616" t="s">
        <v>308</v>
      </c>
      <c r="J192" s="616" t="s">
        <v>308</v>
      </c>
      <c r="K192" s="106" t="s">
        <v>363</v>
      </c>
      <c r="L192" s="181">
        <f t="shared" si="347"/>
        <v>0.66666666000000008</v>
      </c>
      <c r="M192" s="642" t="s">
        <v>622</v>
      </c>
      <c r="N192" s="643"/>
      <c r="O192" s="643"/>
      <c r="P192" s="644"/>
      <c r="Q192" s="644" t="s">
        <v>589</v>
      </c>
      <c r="R192" s="644" t="s">
        <v>589</v>
      </c>
      <c r="S192" s="47"/>
      <c r="T192" s="47"/>
      <c r="U192" s="47"/>
      <c r="V192" s="47"/>
      <c r="W192" s="47"/>
      <c r="X192" s="47"/>
      <c r="Y192" s="47"/>
      <c r="Z192" s="47"/>
      <c r="AA192" s="47"/>
      <c r="AB192" s="47"/>
      <c r="AC192" s="47"/>
      <c r="AD192" s="47"/>
      <c r="AE192" s="47"/>
      <c r="AF192" s="47"/>
      <c r="AG192" s="59"/>
    </row>
    <row r="193" spans="1:44" x14ac:dyDescent="0.3">
      <c r="A193" s="112"/>
      <c r="B193" s="112"/>
      <c r="C193" s="310"/>
      <c r="D193" s="649"/>
      <c r="E193" s="109"/>
      <c r="F193" s="109"/>
      <c r="G193" s="47"/>
      <c r="H193" s="345" t="s">
        <v>623</v>
      </c>
      <c r="I193" s="603" t="s">
        <v>308</v>
      </c>
      <c r="J193" s="603" t="s">
        <v>308</v>
      </c>
      <c r="K193" s="109" t="s">
        <v>363</v>
      </c>
      <c r="L193" s="182">
        <f t="shared" si="347"/>
        <v>0.66666666000000008</v>
      </c>
      <c r="M193" s="639" t="s">
        <v>624</v>
      </c>
      <c r="N193" s="640"/>
      <c r="O193" s="640"/>
      <c r="P193" s="641"/>
      <c r="Q193" s="641" t="s">
        <v>589</v>
      </c>
      <c r="R193" s="641" t="s">
        <v>589</v>
      </c>
      <c r="S193" s="47"/>
      <c r="T193" s="47"/>
      <c r="U193" s="47"/>
      <c r="V193" s="47"/>
      <c r="W193" s="47"/>
      <c r="X193" s="47"/>
      <c r="Y193" s="47"/>
      <c r="Z193" s="47"/>
      <c r="AA193" s="47"/>
      <c r="AB193" s="47"/>
      <c r="AC193" s="47"/>
      <c r="AD193" s="47"/>
      <c r="AE193" s="47"/>
      <c r="AF193" s="47"/>
      <c r="AG193" s="59"/>
    </row>
    <row r="194" spans="1:44" x14ac:dyDescent="0.3">
      <c r="A194" s="679"/>
      <c r="B194" s="679"/>
      <c r="C194" s="678"/>
      <c r="D194" s="680"/>
      <c r="E194" s="711"/>
      <c r="F194" s="711"/>
      <c r="G194" s="47"/>
      <c r="H194" s="344" t="s">
        <v>625</v>
      </c>
      <c r="I194" s="616" t="s">
        <v>308</v>
      </c>
      <c r="J194" s="106" t="s">
        <v>363</v>
      </c>
      <c r="K194" s="106" t="s">
        <v>363</v>
      </c>
      <c r="L194" s="181">
        <f t="shared" si="347"/>
        <v>0.33333333000000004</v>
      </c>
      <c r="M194" s="642" t="s">
        <v>626</v>
      </c>
      <c r="N194" s="643"/>
      <c r="O194" s="643"/>
      <c r="P194" s="644"/>
      <c r="Q194" s="644"/>
      <c r="R194" s="644"/>
      <c r="S194" s="47"/>
      <c r="T194" s="47"/>
      <c r="U194" s="47"/>
      <c r="V194" s="47"/>
      <c r="W194" s="47"/>
      <c r="X194" s="47"/>
      <c r="Y194" s="47"/>
      <c r="Z194" s="47"/>
      <c r="AA194" s="47"/>
      <c r="AB194" s="47"/>
      <c r="AC194" s="47"/>
      <c r="AD194" s="47"/>
      <c r="AE194" s="47"/>
      <c r="AF194" s="47"/>
      <c r="AG194" s="59"/>
    </row>
    <row r="195" spans="1:44" x14ac:dyDescent="0.3">
      <c r="A195" s="112"/>
      <c r="B195" s="112"/>
      <c r="C195" s="310"/>
      <c r="D195" s="649"/>
      <c r="E195" s="109"/>
      <c r="F195" s="109"/>
      <c r="G195" s="47"/>
      <c r="H195" s="345" t="s">
        <v>627</v>
      </c>
      <c r="I195" s="1004" t="s">
        <v>308</v>
      </c>
      <c r="J195" s="109" t="s">
        <v>363</v>
      </c>
      <c r="K195" s="109" t="s">
        <v>363</v>
      </c>
      <c r="L195" s="182">
        <f t="shared" si="347"/>
        <v>0.33333333000000004</v>
      </c>
      <c r="M195" s="639" t="s">
        <v>628</v>
      </c>
      <c r="N195" s="640"/>
      <c r="O195" s="640"/>
      <c r="P195" s="641"/>
      <c r="Q195" s="641"/>
      <c r="R195" s="641"/>
      <c r="S195" s="47"/>
      <c r="T195" s="47"/>
      <c r="U195" s="47"/>
      <c r="V195" s="47"/>
      <c r="W195" s="47"/>
      <c r="X195" s="47"/>
      <c r="Y195" s="47"/>
      <c r="Z195" s="47"/>
      <c r="AA195" s="47"/>
      <c r="AB195" s="47"/>
      <c r="AC195" s="47"/>
      <c r="AD195" s="47"/>
      <c r="AE195" s="47"/>
      <c r="AF195" s="47"/>
      <c r="AG195" s="59"/>
    </row>
    <row r="196" spans="1:44" x14ac:dyDescent="0.3">
      <c r="A196" s="679"/>
      <c r="B196" s="679"/>
      <c r="C196" s="678"/>
      <c r="D196" s="680"/>
      <c r="E196" s="711"/>
      <c r="F196" s="711"/>
      <c r="G196" s="47"/>
      <c r="H196" s="344" t="s">
        <v>629</v>
      </c>
      <c r="I196" s="960" t="s">
        <v>308</v>
      </c>
      <c r="J196" s="106" t="s">
        <v>363</v>
      </c>
      <c r="K196" s="106" t="s">
        <v>363</v>
      </c>
      <c r="L196" s="181">
        <f t="shared" si="347"/>
        <v>0.33333333000000004</v>
      </c>
      <c r="M196" s="642" t="s">
        <v>630</v>
      </c>
      <c r="N196" s="643"/>
      <c r="O196" s="643"/>
      <c r="P196" s="644"/>
      <c r="Q196" s="644"/>
      <c r="R196" s="644"/>
      <c r="S196" s="47"/>
      <c r="T196" s="47"/>
      <c r="U196" s="47"/>
      <c r="V196" s="47"/>
      <c r="W196" s="47"/>
      <c r="X196" s="47"/>
      <c r="Y196" s="47"/>
      <c r="Z196" s="47"/>
      <c r="AA196" s="47"/>
      <c r="AB196" s="47"/>
      <c r="AC196" s="47"/>
      <c r="AD196" s="47"/>
      <c r="AE196" s="47"/>
      <c r="AF196" s="47"/>
      <c r="AG196" s="59"/>
    </row>
    <row r="197" spans="1:44" x14ac:dyDescent="0.3">
      <c r="A197" s="112"/>
      <c r="B197" s="112"/>
      <c r="C197" s="310"/>
      <c r="D197" s="649"/>
      <c r="E197" s="109"/>
      <c r="F197" s="109"/>
      <c r="G197" s="47"/>
      <c r="H197" s="108" t="s">
        <v>631</v>
      </c>
      <c r="I197" s="109" t="s">
        <v>363</v>
      </c>
      <c r="J197" s="109" t="s">
        <v>363</v>
      </c>
      <c r="K197" s="109" t="s">
        <v>363</v>
      </c>
      <c r="L197" s="182">
        <f t="shared" si="347"/>
        <v>0</v>
      </c>
      <c r="M197" s="639" t="s">
        <v>632</v>
      </c>
      <c r="N197" s="640"/>
      <c r="O197" s="640"/>
      <c r="P197" s="641"/>
      <c r="Q197" s="641"/>
      <c r="R197" s="641" t="s">
        <v>633</v>
      </c>
      <c r="S197" s="47"/>
      <c r="T197" s="47"/>
      <c r="U197" s="47"/>
      <c r="V197" s="47"/>
      <c r="W197" s="47"/>
      <c r="X197" s="47"/>
      <c r="Y197" s="47"/>
      <c r="Z197" s="47"/>
      <c r="AA197" s="47"/>
      <c r="AB197" s="47"/>
      <c r="AC197" s="47"/>
      <c r="AD197" s="47"/>
      <c r="AE197" s="47"/>
      <c r="AF197" s="47"/>
      <c r="AG197" s="59"/>
    </row>
    <row r="198" spans="1:44" x14ac:dyDescent="0.3">
      <c r="A198" s="679"/>
      <c r="B198" s="679"/>
      <c r="C198" s="678"/>
      <c r="D198" s="680"/>
      <c r="E198" s="711"/>
      <c r="F198" s="711"/>
      <c r="G198" s="47"/>
      <c r="H198" s="344" t="s">
        <v>634</v>
      </c>
      <c r="I198" s="960" t="s">
        <v>308</v>
      </c>
      <c r="J198" s="106" t="s">
        <v>363</v>
      </c>
      <c r="K198" s="106" t="s">
        <v>363</v>
      </c>
      <c r="L198" s="181">
        <f t="shared" si="347"/>
        <v>0.33333333000000004</v>
      </c>
      <c r="M198" s="642" t="s">
        <v>635</v>
      </c>
      <c r="N198" s="643"/>
      <c r="O198" s="643"/>
      <c r="P198" s="644"/>
      <c r="Q198" s="644"/>
      <c r="R198" s="644"/>
      <c r="S198" s="47"/>
      <c r="T198" s="47"/>
      <c r="U198" s="47"/>
      <c r="V198" s="47"/>
      <c r="W198" s="47"/>
      <c r="X198" s="47"/>
      <c r="Y198" s="47"/>
      <c r="Z198" s="47"/>
      <c r="AA198" s="47"/>
      <c r="AB198" s="47"/>
      <c r="AC198" s="47"/>
      <c r="AD198" s="47"/>
      <c r="AE198" s="47"/>
      <c r="AF198" s="47"/>
      <c r="AG198" s="59"/>
    </row>
    <row r="199" spans="1:44" x14ac:dyDescent="0.3">
      <c r="A199" s="112"/>
      <c r="B199" s="112"/>
      <c r="C199" s="310"/>
      <c r="D199" s="649"/>
      <c r="E199" s="109"/>
      <c r="F199" s="109"/>
      <c r="G199" s="47"/>
      <c r="H199" s="108" t="s">
        <v>636</v>
      </c>
      <c r="I199" s="109" t="s">
        <v>363</v>
      </c>
      <c r="J199" s="109" t="s">
        <v>363</v>
      </c>
      <c r="K199" s="109" t="s">
        <v>363</v>
      </c>
      <c r="L199" s="182">
        <f t="shared" si="347"/>
        <v>0</v>
      </c>
      <c r="M199" s="639" t="s">
        <v>637</v>
      </c>
      <c r="N199" s="640"/>
      <c r="O199" s="640"/>
      <c r="P199" s="641"/>
      <c r="Q199" s="641"/>
      <c r="R199" s="641" t="s">
        <v>633</v>
      </c>
      <c r="S199" s="47"/>
      <c r="T199" s="47"/>
      <c r="U199" s="47"/>
      <c r="V199" s="47"/>
      <c r="W199" s="47"/>
      <c r="X199" s="47"/>
      <c r="Y199" s="47"/>
      <c r="Z199" s="47"/>
      <c r="AA199" s="47"/>
      <c r="AB199" s="47"/>
      <c r="AC199" s="47"/>
      <c r="AD199" s="47"/>
      <c r="AE199" s="47"/>
      <c r="AF199" s="47"/>
      <c r="AG199" s="59"/>
    </row>
    <row r="200" spans="1:44" x14ac:dyDescent="0.3">
      <c r="A200" s="679"/>
      <c r="B200" s="679"/>
      <c r="C200" s="678"/>
      <c r="D200" s="680"/>
      <c r="E200" s="711"/>
      <c r="F200" s="711"/>
      <c r="G200" s="47"/>
      <c r="H200" s="345" t="s">
        <v>638</v>
      </c>
      <c r="I200" s="826" t="s">
        <v>308</v>
      </c>
      <c r="J200" s="826" t="s">
        <v>308</v>
      </c>
      <c r="K200" s="109" t="s">
        <v>363</v>
      </c>
      <c r="L200" s="182">
        <f t="shared" ref="L200:L206" si="348">(COUNTIF(I200:K200,"OK"))*33.333333/100</f>
        <v>0.66666666000000008</v>
      </c>
      <c r="M200" s="639" t="s">
        <v>639</v>
      </c>
      <c r="N200" s="640"/>
      <c r="O200" s="640"/>
      <c r="P200" s="641"/>
      <c r="Q200" s="644"/>
      <c r="R200" s="644"/>
      <c r="S200" s="47"/>
      <c r="T200" s="47"/>
      <c r="U200" s="47"/>
      <c r="V200" s="47"/>
      <c r="W200" s="47"/>
      <c r="X200" s="47"/>
      <c r="Y200" s="47"/>
      <c r="Z200" s="47"/>
      <c r="AA200" s="47"/>
      <c r="AB200" s="47"/>
      <c r="AC200" s="47"/>
      <c r="AD200" s="47"/>
      <c r="AE200" s="47"/>
      <c r="AF200" s="47"/>
      <c r="AG200" s="59"/>
    </row>
    <row r="201" spans="1:44" x14ac:dyDescent="0.3">
      <c r="A201" s="112"/>
      <c r="B201" s="112"/>
      <c r="C201" s="310"/>
      <c r="D201" s="649"/>
      <c r="E201" s="109"/>
      <c r="F201" s="109"/>
      <c r="G201" s="47"/>
      <c r="H201" s="800" t="s">
        <v>640</v>
      </c>
      <c r="I201" s="801" t="s">
        <v>363</v>
      </c>
      <c r="J201" s="801" t="s">
        <v>363</v>
      </c>
      <c r="K201" s="801" t="s">
        <v>363</v>
      </c>
      <c r="L201" s="802">
        <f t="shared" si="348"/>
        <v>0</v>
      </c>
      <c r="M201" s="806" t="s">
        <v>641</v>
      </c>
      <c r="N201" s="803"/>
      <c r="O201" s="803"/>
      <c r="P201" s="804"/>
      <c r="Q201" s="804" t="s">
        <v>642</v>
      </c>
      <c r="R201" s="804"/>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59"/>
    </row>
    <row r="202" spans="1:44" ht="14.85" customHeight="1" x14ac:dyDescent="0.3">
      <c r="A202" s="679"/>
      <c r="B202" s="679"/>
      <c r="C202" s="678"/>
      <c r="D202" s="680"/>
      <c r="E202" s="711"/>
      <c r="F202" s="711"/>
      <c r="G202" s="47"/>
      <c r="H202" s="811" t="s">
        <v>643</v>
      </c>
      <c r="I202" s="807" t="s">
        <v>363</v>
      </c>
      <c r="J202" s="807" t="s">
        <v>363</v>
      </c>
      <c r="K202" s="807" t="s">
        <v>363</v>
      </c>
      <c r="L202" s="808">
        <f t="shared" si="348"/>
        <v>0</v>
      </c>
      <c r="M202" s="809" t="s">
        <v>641</v>
      </c>
      <c r="N202" s="810"/>
      <c r="O202" s="810"/>
      <c r="P202" s="805"/>
      <c r="Q202" s="805" t="s">
        <v>642</v>
      </c>
      <c r="R202" s="805"/>
      <c r="S202" s="47"/>
      <c r="T202" s="47"/>
      <c r="U202" s="47"/>
      <c r="V202" s="47"/>
      <c r="W202" s="47"/>
      <c r="X202" s="47"/>
      <c r="Y202" s="47"/>
      <c r="Z202" s="47"/>
      <c r="AA202" s="47"/>
      <c r="AB202" s="47"/>
      <c r="AC202" s="47"/>
      <c r="AD202" s="47"/>
      <c r="AE202" s="47"/>
      <c r="AF202" s="47"/>
      <c r="AG202" s="59"/>
    </row>
    <row r="203" spans="1:44" ht="14.85" customHeight="1" x14ac:dyDescent="0.3">
      <c r="A203" s="112"/>
      <c r="B203" s="112"/>
      <c r="C203" s="310"/>
      <c r="D203" s="649"/>
      <c r="E203" s="109"/>
      <c r="F203" s="109"/>
      <c r="G203" s="299">
        <f>3/14</f>
        <v>0.21428571428571427</v>
      </c>
      <c r="H203" s="800" t="s">
        <v>644</v>
      </c>
      <c r="I203" s="801" t="s">
        <v>363</v>
      </c>
      <c r="J203" s="801" t="s">
        <v>363</v>
      </c>
      <c r="K203" s="801" t="s">
        <v>363</v>
      </c>
      <c r="L203" s="802">
        <f t="shared" si="348"/>
        <v>0</v>
      </c>
      <c r="M203" s="806" t="s">
        <v>645</v>
      </c>
      <c r="N203" s="803"/>
      <c r="O203" s="803"/>
      <c r="P203" s="804"/>
      <c r="Q203" s="804" t="s">
        <v>642</v>
      </c>
      <c r="R203" s="804"/>
      <c r="S203" s="47"/>
      <c r="T203" s="47"/>
      <c r="U203" s="47"/>
      <c r="V203" s="47"/>
      <c r="W203" s="47"/>
      <c r="X203" s="47"/>
      <c r="Y203" s="47"/>
      <c r="Z203" s="47"/>
      <c r="AA203" s="47"/>
      <c r="AB203" s="47"/>
      <c r="AC203" s="47"/>
      <c r="AD203" s="47"/>
      <c r="AE203" s="47"/>
      <c r="AF203" s="59"/>
    </row>
    <row r="204" spans="1:44" x14ac:dyDescent="0.3">
      <c r="A204" s="679"/>
      <c r="B204" s="679"/>
      <c r="C204" s="678"/>
      <c r="D204" s="680"/>
      <c r="E204" s="711"/>
      <c r="F204" s="711"/>
      <c r="G204" s="299">
        <f>7/14</f>
        <v>0.5</v>
      </c>
      <c r="H204" s="811" t="s">
        <v>646</v>
      </c>
      <c r="I204" s="807" t="s">
        <v>363</v>
      </c>
      <c r="J204" s="807" t="s">
        <v>363</v>
      </c>
      <c r="K204" s="807" t="s">
        <v>363</v>
      </c>
      <c r="L204" s="808">
        <f t="shared" si="348"/>
        <v>0</v>
      </c>
      <c r="M204" s="809" t="s">
        <v>647</v>
      </c>
      <c r="N204" s="810"/>
      <c r="O204" s="810"/>
      <c r="P204" s="805"/>
      <c r="Q204" s="805" t="s">
        <v>642</v>
      </c>
      <c r="R204" s="805"/>
      <c r="S204" s="47"/>
      <c r="T204" s="47"/>
      <c r="U204" s="47"/>
      <c r="V204" s="47"/>
      <c r="W204" s="47"/>
      <c r="X204" s="47"/>
      <c r="Y204" s="47"/>
      <c r="Z204" s="47"/>
      <c r="AA204" s="47"/>
      <c r="AB204" s="47"/>
      <c r="AC204" s="47"/>
      <c r="AD204" s="47"/>
      <c r="AE204" s="47"/>
      <c r="AF204" s="59"/>
    </row>
    <row r="205" spans="1:44" x14ac:dyDescent="0.3">
      <c r="A205" s="112"/>
      <c r="B205" s="112"/>
      <c r="C205" s="310"/>
      <c r="D205" s="649"/>
      <c r="E205" s="109"/>
      <c r="F205" s="109"/>
      <c r="G205" s="59">
        <v>14</v>
      </c>
      <c r="H205" s="800" t="s">
        <v>648</v>
      </c>
      <c r="I205" s="801" t="s">
        <v>363</v>
      </c>
      <c r="J205" s="801" t="s">
        <v>363</v>
      </c>
      <c r="K205" s="801" t="s">
        <v>363</v>
      </c>
      <c r="L205" s="802">
        <f t="shared" si="348"/>
        <v>0</v>
      </c>
      <c r="M205" s="806" t="s">
        <v>649</v>
      </c>
      <c r="N205" s="803"/>
      <c r="O205" s="803"/>
      <c r="P205" s="804"/>
      <c r="Q205" s="804" t="s">
        <v>642</v>
      </c>
      <c r="R205" s="804"/>
      <c r="S205" s="47"/>
      <c r="T205" s="47"/>
      <c r="U205" s="47"/>
      <c r="V205" s="47"/>
      <c r="W205" s="47"/>
      <c r="X205" s="47"/>
      <c r="Y205" s="47"/>
      <c r="Z205" s="47"/>
      <c r="AA205" s="47"/>
      <c r="AB205" s="47"/>
      <c r="AC205" s="47"/>
      <c r="AD205" s="47"/>
      <c r="AE205" s="47"/>
      <c r="AF205" s="59"/>
    </row>
    <row r="206" spans="1:44" ht="14.85" customHeight="1" x14ac:dyDescent="0.3">
      <c r="A206" s="679"/>
      <c r="B206" s="679"/>
      <c r="C206" s="678"/>
      <c r="D206" s="680"/>
      <c r="E206" s="711"/>
      <c r="F206" s="711"/>
      <c r="G206" s="297">
        <v>1</v>
      </c>
      <c r="H206" s="811" t="s">
        <v>650</v>
      </c>
      <c r="I206" s="807" t="s">
        <v>363</v>
      </c>
      <c r="J206" s="807" t="s">
        <v>363</v>
      </c>
      <c r="K206" s="807" t="s">
        <v>363</v>
      </c>
      <c r="L206" s="808">
        <f t="shared" si="348"/>
        <v>0</v>
      </c>
      <c r="M206" s="809" t="s">
        <v>651</v>
      </c>
      <c r="N206" s="810"/>
      <c r="O206" s="810"/>
      <c r="P206" s="805"/>
      <c r="Q206" s="805" t="s">
        <v>642</v>
      </c>
      <c r="R206" s="805"/>
      <c r="S206" s="47"/>
      <c r="T206" s="47"/>
      <c r="U206" s="47"/>
      <c r="V206" s="47"/>
      <c r="W206" s="47"/>
      <c r="X206" s="47"/>
      <c r="Y206" s="47"/>
      <c r="Z206" s="47"/>
      <c r="AA206" s="47"/>
      <c r="AB206" s="47"/>
      <c r="AC206" s="47"/>
      <c r="AD206" s="47"/>
      <c r="AE206" s="47"/>
      <c r="AF206" s="59"/>
    </row>
    <row r="207" spans="1:44" ht="21" x14ac:dyDescent="0.3">
      <c r="A207" s="100"/>
      <c r="B207" s="100"/>
      <c r="C207" s="100"/>
      <c r="D207" s="113"/>
      <c r="E207" s="113">
        <f>AVERAGE(E179:E184)</f>
        <v>1</v>
      </c>
      <c r="F207" s="113">
        <f>AVERAGE(F179:F184)</f>
        <v>0.91666666666666663</v>
      </c>
      <c r="G207" s="47"/>
      <c r="H207" s="800" t="s">
        <v>652</v>
      </c>
      <c r="I207" s="801" t="s">
        <v>363</v>
      </c>
      <c r="J207" s="801" t="s">
        <v>363</v>
      </c>
      <c r="K207" s="801" t="s">
        <v>363</v>
      </c>
      <c r="L207" s="808">
        <f t="shared" ref="L207:L212" si="349">(COUNTIF(I207:K207,"OK"))*33.333333/100</f>
        <v>0</v>
      </c>
      <c r="M207" s="806" t="s">
        <v>653</v>
      </c>
      <c r="N207" s="803"/>
      <c r="O207" s="803"/>
      <c r="P207" s="804"/>
      <c r="Q207" s="804" t="s">
        <v>654</v>
      </c>
      <c r="R207" s="804"/>
      <c r="S207" s="47"/>
      <c r="T207" s="47"/>
      <c r="U207" s="47"/>
      <c r="V207" s="47"/>
      <c r="W207" s="47"/>
      <c r="X207" s="47"/>
      <c r="Y207" s="47"/>
      <c r="Z207" s="47"/>
      <c r="AA207" s="47"/>
      <c r="AB207" s="47"/>
      <c r="AC207" s="47"/>
      <c r="AD207" s="47"/>
      <c r="AE207" s="47"/>
      <c r="AF207" s="59"/>
    </row>
    <row r="208" spans="1:44" x14ac:dyDescent="0.3">
      <c r="A208" s="47"/>
      <c r="B208" s="47"/>
      <c r="C208" s="47"/>
      <c r="D208" s="47"/>
      <c r="E208" s="47"/>
      <c r="F208" s="47"/>
      <c r="G208" s="47"/>
      <c r="H208" s="811" t="s">
        <v>655</v>
      </c>
      <c r="I208" s="807" t="s">
        <v>363</v>
      </c>
      <c r="J208" s="807" t="s">
        <v>363</v>
      </c>
      <c r="K208" s="807" t="s">
        <v>363</v>
      </c>
      <c r="L208" s="808">
        <f t="shared" si="349"/>
        <v>0</v>
      </c>
      <c r="M208" s="809" t="s">
        <v>656</v>
      </c>
      <c r="N208" s="810"/>
      <c r="O208" s="810"/>
      <c r="P208" s="805"/>
      <c r="Q208" s="805" t="s">
        <v>654</v>
      </c>
      <c r="R208" s="805"/>
      <c r="S208" s="47"/>
      <c r="T208" s="47"/>
      <c r="U208" s="47"/>
      <c r="V208" s="47"/>
      <c r="W208" s="47"/>
      <c r="X208" s="47"/>
      <c r="Y208" s="47"/>
      <c r="Z208" s="47"/>
      <c r="AA208" s="47"/>
      <c r="AB208" s="47"/>
      <c r="AC208" s="47"/>
      <c r="AD208" s="47"/>
      <c r="AE208" s="47"/>
      <c r="AF208" s="47"/>
    </row>
    <row r="209" spans="1:32" x14ac:dyDescent="0.3">
      <c r="A209" s="47"/>
      <c r="B209" s="47"/>
      <c r="C209" s="47"/>
      <c r="D209" s="47"/>
      <c r="E209" s="47"/>
      <c r="F209" s="47"/>
      <c r="G209" s="47"/>
      <c r="H209" s="800" t="s">
        <v>657</v>
      </c>
      <c r="I209" s="801" t="s">
        <v>363</v>
      </c>
      <c r="J209" s="801" t="s">
        <v>363</v>
      </c>
      <c r="K209" s="801" t="s">
        <v>363</v>
      </c>
      <c r="L209" s="808">
        <f t="shared" si="349"/>
        <v>0</v>
      </c>
      <c r="M209" s="806" t="s">
        <v>658</v>
      </c>
      <c r="N209" s="803"/>
      <c r="O209" s="803"/>
      <c r="P209" s="804"/>
      <c r="Q209" s="804" t="s">
        <v>654</v>
      </c>
      <c r="R209" s="804"/>
      <c r="S209" s="47"/>
      <c r="T209" s="47"/>
      <c r="U209" s="47"/>
      <c r="V209" s="47"/>
      <c r="W209" s="47"/>
      <c r="X209" s="47"/>
      <c r="Y209" s="47"/>
      <c r="Z209" s="47"/>
      <c r="AA209" s="47"/>
      <c r="AB209" s="47"/>
      <c r="AC209" s="47"/>
      <c r="AD209" s="47"/>
      <c r="AE209" s="47"/>
      <c r="AF209" s="47"/>
    </row>
    <row r="210" spans="1:32" x14ac:dyDescent="0.3">
      <c r="A210" s="47"/>
      <c r="B210" s="47"/>
      <c r="C210" s="47"/>
      <c r="D210" s="47"/>
      <c r="E210" s="47"/>
      <c r="F210" s="47"/>
      <c r="G210" s="47"/>
      <c r="H210" s="811" t="s">
        <v>659</v>
      </c>
      <c r="I210" s="807" t="s">
        <v>363</v>
      </c>
      <c r="J210" s="807" t="s">
        <v>363</v>
      </c>
      <c r="K210" s="807" t="s">
        <v>363</v>
      </c>
      <c r="L210" s="808">
        <f t="shared" si="349"/>
        <v>0</v>
      </c>
      <c r="M210" s="809" t="s">
        <v>660</v>
      </c>
      <c r="N210" s="810"/>
      <c r="O210" s="810"/>
      <c r="P210" s="805"/>
      <c r="Q210" s="805" t="s">
        <v>654</v>
      </c>
      <c r="R210" s="805"/>
      <c r="S210" s="47"/>
      <c r="T210" s="47"/>
      <c r="U210" s="47"/>
      <c r="V210" s="47"/>
      <c r="W210" s="47"/>
      <c r="X210" s="47"/>
      <c r="Y210" s="47"/>
      <c r="Z210" s="47"/>
      <c r="AA210" s="47"/>
      <c r="AB210" s="47"/>
      <c r="AC210" s="47"/>
      <c r="AD210" s="47"/>
      <c r="AE210" s="47"/>
      <c r="AF210" s="47"/>
    </row>
    <row r="211" spans="1:32" x14ac:dyDescent="0.3">
      <c r="A211" s="47"/>
      <c r="B211" s="47"/>
      <c r="C211" s="47"/>
      <c r="D211" s="47"/>
      <c r="E211" s="47"/>
      <c r="F211" s="47"/>
      <c r="G211" s="47"/>
      <c r="H211" s="800" t="s">
        <v>661</v>
      </c>
      <c r="I211" s="801" t="s">
        <v>363</v>
      </c>
      <c r="J211" s="801" t="s">
        <v>363</v>
      </c>
      <c r="K211" s="801" t="s">
        <v>363</v>
      </c>
      <c r="L211" s="808">
        <f t="shared" si="349"/>
        <v>0</v>
      </c>
      <c r="M211" s="806" t="s">
        <v>662</v>
      </c>
      <c r="N211" s="803"/>
      <c r="O211" s="803"/>
      <c r="P211" s="804"/>
      <c r="Q211" s="804" t="s">
        <v>654</v>
      </c>
      <c r="R211" s="804"/>
      <c r="S211" s="47"/>
      <c r="T211" s="47"/>
      <c r="U211" s="47"/>
      <c r="V211" s="47"/>
      <c r="W211" s="47"/>
      <c r="X211" s="47"/>
      <c r="Y211" s="47"/>
      <c r="Z211" s="47"/>
      <c r="AA211" s="47"/>
      <c r="AB211" s="47"/>
      <c r="AC211" s="47"/>
      <c r="AD211" s="47"/>
      <c r="AE211" s="47"/>
      <c r="AF211" s="47"/>
    </row>
    <row r="212" spans="1:32" x14ac:dyDescent="0.3">
      <c r="A212" s="47"/>
      <c r="B212" s="47"/>
      <c r="C212" s="47"/>
      <c r="D212" s="47"/>
      <c r="E212" s="47"/>
      <c r="F212" s="47"/>
      <c r="G212" s="47"/>
      <c r="H212" s="811" t="s">
        <v>663</v>
      </c>
      <c r="I212" s="807" t="s">
        <v>363</v>
      </c>
      <c r="J212" s="807" t="s">
        <v>363</v>
      </c>
      <c r="K212" s="807" t="s">
        <v>363</v>
      </c>
      <c r="L212" s="808">
        <f t="shared" si="349"/>
        <v>0</v>
      </c>
      <c r="M212" s="809" t="s">
        <v>664</v>
      </c>
      <c r="N212" s="810"/>
      <c r="O212" s="810"/>
      <c r="P212" s="805"/>
      <c r="Q212" s="805" t="s">
        <v>654</v>
      </c>
      <c r="R212" s="805"/>
      <c r="S212" s="47"/>
      <c r="T212" s="47"/>
      <c r="U212" s="47"/>
      <c r="V212" s="47"/>
      <c r="W212" s="47"/>
      <c r="X212" s="47"/>
      <c r="Y212" s="47"/>
      <c r="Z212" s="47"/>
      <c r="AA212" s="47"/>
      <c r="AB212" s="47"/>
      <c r="AC212" s="47"/>
      <c r="AD212" s="47"/>
      <c r="AE212" s="47"/>
      <c r="AF212" s="47"/>
    </row>
    <row r="213" spans="1:32" x14ac:dyDescent="0.3">
      <c r="A213" s="47"/>
      <c r="B213" s="47"/>
      <c r="C213" s="47"/>
      <c r="D213" s="47"/>
      <c r="E213" s="47"/>
      <c r="F213" s="47"/>
      <c r="G213" s="47"/>
      <c r="H213" s="105"/>
      <c r="I213" s="106"/>
      <c r="J213" s="106"/>
      <c r="K213" s="106"/>
      <c r="L213" s="181"/>
      <c r="M213" s="642"/>
      <c r="N213" s="643"/>
      <c r="O213" s="643"/>
      <c r="P213" s="644"/>
      <c r="Q213" s="644"/>
      <c r="R213" s="644"/>
      <c r="S213" s="47"/>
      <c r="T213" s="47"/>
      <c r="U213" s="47"/>
      <c r="V213" s="47"/>
      <c r="W213" s="47"/>
      <c r="X213" s="47"/>
      <c r="Y213" s="47"/>
      <c r="Z213" s="47"/>
      <c r="AA213" s="47"/>
      <c r="AB213" s="47"/>
      <c r="AC213" s="47"/>
      <c r="AD213" s="47"/>
      <c r="AE213" s="47"/>
      <c r="AF213" s="47"/>
    </row>
    <row r="214" spans="1:32" ht="15.6" x14ac:dyDescent="0.3">
      <c r="A214" s="47"/>
      <c r="B214" s="47"/>
      <c r="C214" s="47"/>
      <c r="D214" s="47"/>
      <c r="E214" s="47"/>
      <c r="F214" s="47"/>
      <c r="G214" s="47"/>
      <c r="H214" s="155"/>
      <c r="I214" s="443">
        <f>COUNTIF(I180:I213,"OK")/(COUNTIF(I180:I213,"OK")+COUNTIF(I180:I213,"Não OK"))</f>
        <v>0.51515151515151514</v>
      </c>
      <c r="J214" s="443">
        <f>COUNTIF(J180:J213,"OK")/(COUNTIF(J180:J213,"OK")+COUNTIF(J180:J213,"Não OK"))</f>
        <v>0.24242424242424243</v>
      </c>
      <c r="K214" s="443">
        <f>COUNTIF(K180:K213,"OK")/(COUNTIF(K180:K213,"OK")+COUNTIF(K180:K213,"Não OK"))</f>
        <v>0</v>
      </c>
      <c r="L214" s="104">
        <f>AVERAGE(L180:L213)</f>
        <v>0.25252525000000009</v>
      </c>
      <c r="M214" s="102"/>
      <c r="N214" s="102"/>
      <c r="O214" s="180"/>
      <c r="P214" s="180"/>
      <c r="Q214" s="180"/>
      <c r="R214" s="180"/>
      <c r="S214" s="47"/>
      <c r="T214" s="47"/>
      <c r="U214" s="47"/>
      <c r="V214" s="47"/>
      <c r="W214" s="47"/>
      <c r="X214" s="47"/>
      <c r="Y214" s="47"/>
      <c r="Z214" s="47"/>
      <c r="AA214" s="47"/>
      <c r="AB214" s="47"/>
      <c r="AC214" s="47"/>
      <c r="AD214" s="47"/>
      <c r="AE214" s="47"/>
      <c r="AF214" s="47"/>
    </row>
    <row r="215" spans="1:32" x14ac:dyDescent="0.3">
      <c r="A215" s="47"/>
      <c r="B215" s="47"/>
      <c r="C215" s="47"/>
      <c r="D215" s="47"/>
      <c r="E215" s="47"/>
      <c r="F215" s="47"/>
      <c r="G215" s="47"/>
      <c r="H215" s="47"/>
      <c r="I215" s="831"/>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row>
    <row r="216" spans="1:32" x14ac:dyDescent="0.3">
      <c r="A216" s="47"/>
      <c r="B216" s="47"/>
      <c r="C216" s="47"/>
      <c r="D216" s="47"/>
      <c r="E216" s="47"/>
      <c r="F216" s="47"/>
      <c r="G216" s="47"/>
      <c r="H216" s="59"/>
      <c r="I216" s="47"/>
      <c r="J216" s="59"/>
      <c r="K216" s="59"/>
      <c r="L216" s="59"/>
      <c r="M216" s="59"/>
      <c r="N216" s="59"/>
      <c r="O216" s="59"/>
      <c r="P216" s="47"/>
      <c r="Q216" s="47"/>
      <c r="R216" s="47"/>
      <c r="S216" s="47"/>
      <c r="T216" s="47"/>
      <c r="U216" s="47"/>
      <c r="V216" s="47"/>
      <c r="W216" s="47"/>
      <c r="X216" s="47"/>
      <c r="Y216" s="47"/>
      <c r="Z216" s="47"/>
      <c r="AA216" s="47"/>
      <c r="AB216" s="47"/>
      <c r="AC216" s="47"/>
      <c r="AD216" s="47"/>
      <c r="AE216" s="47"/>
      <c r="AF216" s="47"/>
    </row>
    <row r="217" spans="1:32" ht="15.6" x14ac:dyDescent="0.3">
      <c r="A217" s="47"/>
      <c r="B217" s="47"/>
      <c r="C217" s="47"/>
      <c r="D217" s="47"/>
      <c r="E217" s="47"/>
      <c r="F217" s="47"/>
      <c r="G217" s="47"/>
      <c r="H217" s="225" t="s">
        <v>665</v>
      </c>
      <c r="I217" s="225"/>
      <c r="J217" s="225"/>
      <c r="K217" s="225"/>
      <c r="L217" s="225"/>
      <c r="M217" s="225"/>
      <c r="N217" s="225"/>
      <c r="O217" s="59"/>
      <c r="P217" s="47"/>
      <c r="Q217" s="47"/>
      <c r="R217" s="47"/>
      <c r="S217" s="47"/>
      <c r="T217" s="47"/>
      <c r="U217" s="47"/>
      <c r="V217" s="47"/>
      <c r="W217" s="47"/>
      <c r="X217" s="47"/>
      <c r="Y217" s="47"/>
      <c r="Z217" s="47"/>
      <c r="AA217" s="47"/>
      <c r="AB217" s="47"/>
      <c r="AC217" s="47"/>
      <c r="AD217" s="47"/>
      <c r="AE217" s="47"/>
      <c r="AF217" s="47"/>
    </row>
    <row r="218" spans="1:32" x14ac:dyDescent="0.3">
      <c r="A218" s="47"/>
      <c r="B218" s="47"/>
      <c r="C218" s="47"/>
      <c r="D218" s="47"/>
      <c r="E218" s="47"/>
      <c r="F218" s="47"/>
      <c r="G218" s="47"/>
      <c r="H218" s="103" t="s">
        <v>77</v>
      </c>
      <c r="I218" s="103" t="s">
        <v>78</v>
      </c>
      <c r="J218" s="103" t="s">
        <v>80</v>
      </c>
      <c r="K218" s="103" t="s">
        <v>79</v>
      </c>
      <c r="L218" s="103" t="s">
        <v>78</v>
      </c>
      <c r="M218" s="103" t="s">
        <v>79</v>
      </c>
      <c r="N218" s="103" t="s">
        <v>80</v>
      </c>
      <c r="O218" s="47"/>
      <c r="P218" s="47"/>
      <c r="Q218" s="47"/>
      <c r="R218" s="47"/>
      <c r="S218" s="47"/>
      <c r="T218" s="47"/>
      <c r="U218" s="47"/>
      <c r="V218" s="47"/>
      <c r="W218" s="47"/>
      <c r="X218" s="47"/>
      <c r="Y218" s="47"/>
      <c r="Z218" s="47"/>
      <c r="AA218" s="47"/>
      <c r="AB218" s="47"/>
      <c r="AC218" s="47"/>
      <c r="AD218" s="47"/>
      <c r="AE218" s="47"/>
      <c r="AF218" s="47"/>
    </row>
    <row r="219" spans="1:32" ht="28.8" x14ac:dyDescent="0.3">
      <c r="A219" s="47"/>
      <c r="B219" s="47"/>
      <c r="C219" s="47"/>
      <c r="D219" s="47"/>
      <c r="E219" s="47"/>
      <c r="F219" s="47"/>
      <c r="G219" s="47"/>
      <c r="H219" s="677" t="s">
        <v>82</v>
      </c>
      <c r="I219" s="317">
        <f>E179</f>
        <v>1</v>
      </c>
      <c r="J219" s="272">
        <v>1</v>
      </c>
      <c r="K219" s="59"/>
      <c r="L219" s="272">
        <f>IF(I219=0,"0",I219/J219)</f>
        <v>1</v>
      </c>
      <c r="M219" s="272">
        <f>F179</f>
        <v>0.75</v>
      </c>
      <c r="N219" s="317">
        <v>1</v>
      </c>
      <c r="O219" s="47"/>
      <c r="P219" s="47"/>
      <c r="Q219" s="47"/>
      <c r="R219" s="47"/>
      <c r="S219" s="47"/>
      <c r="T219" s="47"/>
      <c r="U219" s="47"/>
      <c r="V219" s="47"/>
      <c r="W219" s="47"/>
      <c r="X219" s="47"/>
      <c r="Y219" s="47"/>
      <c r="Z219" s="47"/>
      <c r="AA219" s="47"/>
      <c r="AB219" s="47"/>
      <c r="AC219" s="47"/>
      <c r="AD219" s="47"/>
      <c r="AE219" s="47"/>
      <c r="AF219" s="47"/>
    </row>
    <row r="220" spans="1:32" x14ac:dyDescent="0.3">
      <c r="A220" s="47"/>
      <c r="B220" s="47"/>
      <c r="C220" s="47"/>
      <c r="D220" s="47"/>
      <c r="E220" s="47"/>
      <c r="F220" s="47"/>
      <c r="G220" s="47"/>
      <c r="H220" s="681" t="s">
        <v>84</v>
      </c>
      <c r="I220" s="684">
        <f>E180</f>
        <v>1</v>
      </c>
      <c r="J220" s="683">
        <v>1</v>
      </c>
      <c r="K220" s="682"/>
      <c r="L220" s="683">
        <f>IF(I220=0,"0",I220/J220)</f>
        <v>1</v>
      </c>
      <c r="M220" s="683">
        <f>F180</f>
        <v>0.75</v>
      </c>
      <c r="N220" s="684">
        <v>1</v>
      </c>
      <c r="O220" s="47"/>
      <c r="P220" s="47"/>
      <c r="Q220" s="47"/>
      <c r="R220" s="47"/>
      <c r="S220" s="47"/>
      <c r="T220" s="47"/>
      <c r="U220" s="47"/>
      <c r="V220" s="47"/>
      <c r="W220" s="47"/>
      <c r="X220" s="47"/>
      <c r="Y220" s="47"/>
      <c r="Z220" s="47"/>
      <c r="AA220" s="47"/>
      <c r="AB220" s="47"/>
      <c r="AC220" s="47"/>
      <c r="AD220" s="47"/>
      <c r="AE220" s="47"/>
      <c r="AF220" s="47"/>
    </row>
    <row r="221" spans="1:32" x14ac:dyDescent="0.3">
      <c r="A221" s="47"/>
      <c r="B221" s="47"/>
      <c r="C221" s="47"/>
      <c r="D221" s="47"/>
      <c r="E221" s="47"/>
      <c r="F221" s="47"/>
      <c r="G221" s="47"/>
      <c r="H221" s="329" t="s">
        <v>86</v>
      </c>
      <c r="I221" s="317">
        <f>AVERAGE(E182:E184)</f>
        <v>1</v>
      </c>
      <c r="J221" s="272">
        <v>1</v>
      </c>
      <c r="K221" s="59"/>
      <c r="L221" s="272">
        <f>IF(I221=0,"0",I221/J221)</f>
        <v>1</v>
      </c>
      <c r="M221" s="272">
        <f>AVERAGE(F182:F184)</f>
        <v>1</v>
      </c>
      <c r="N221" s="317">
        <v>1</v>
      </c>
      <c r="O221" s="47"/>
      <c r="P221" s="47"/>
      <c r="Q221" s="47"/>
      <c r="R221" s="47"/>
      <c r="S221" s="47"/>
      <c r="T221" s="47"/>
      <c r="U221" s="47"/>
      <c r="V221" s="47"/>
      <c r="W221" s="47"/>
      <c r="X221" s="47"/>
      <c r="Y221" s="47"/>
      <c r="Z221" s="47"/>
      <c r="AA221" s="47"/>
      <c r="AB221" s="47"/>
      <c r="AC221" s="47"/>
      <c r="AD221" s="47"/>
      <c r="AE221" s="47"/>
      <c r="AF221" s="47"/>
    </row>
    <row r="222" spans="1:32" x14ac:dyDescent="0.3">
      <c r="A222" s="47"/>
      <c r="B222" s="47"/>
      <c r="C222" s="47"/>
      <c r="D222" s="47"/>
      <c r="E222" s="47"/>
      <c r="F222" s="47"/>
      <c r="G222" s="47"/>
      <c r="H222" s="681" t="s">
        <v>88</v>
      </c>
      <c r="I222" s="684">
        <f>E181</f>
        <v>1</v>
      </c>
      <c r="J222" s="683">
        <v>1</v>
      </c>
      <c r="K222" s="682"/>
      <c r="L222" s="683">
        <f>IF(I222=0,"0",I222/J222)</f>
        <v>1</v>
      </c>
      <c r="M222" s="683">
        <f>F181</f>
        <v>1</v>
      </c>
      <c r="N222" s="684">
        <v>1</v>
      </c>
      <c r="O222" s="47"/>
      <c r="P222" s="47"/>
      <c r="Q222" s="47"/>
      <c r="R222" s="47"/>
      <c r="S222" s="47"/>
      <c r="T222" s="47"/>
      <c r="U222" s="47"/>
      <c r="V222" s="47"/>
      <c r="W222" s="47"/>
      <c r="X222" s="47"/>
      <c r="Y222" s="47"/>
      <c r="Z222" s="47"/>
      <c r="AA222" s="47"/>
      <c r="AB222" s="47"/>
      <c r="AC222" s="47"/>
      <c r="AD222" s="47"/>
      <c r="AE222" s="47"/>
      <c r="AF222" s="47"/>
    </row>
    <row r="223" spans="1:32" x14ac:dyDescent="0.3">
      <c r="A223" s="47"/>
      <c r="B223" s="47"/>
      <c r="C223" s="47"/>
      <c r="D223" s="47"/>
      <c r="E223" s="47"/>
      <c r="F223" s="47"/>
      <c r="G223" s="47"/>
      <c r="H223" s="329"/>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row>
    <row r="224" spans="1:32" x14ac:dyDescent="0.3">
      <c r="A224" s="47"/>
      <c r="B224" s="47"/>
      <c r="C224" s="47"/>
      <c r="D224" s="47"/>
      <c r="E224" s="47"/>
      <c r="F224" s="47"/>
      <c r="G224" s="47"/>
      <c r="H224" s="312" t="s">
        <v>666</v>
      </c>
      <c r="I224" s="312" t="s">
        <v>667</v>
      </c>
      <c r="J224" s="312" t="s">
        <v>668</v>
      </c>
      <c r="K224" s="312" t="s">
        <v>669</v>
      </c>
      <c r="L224" s="312" t="s">
        <v>670</v>
      </c>
      <c r="M224" s="312" t="s">
        <v>671</v>
      </c>
      <c r="N224" s="312" t="s">
        <v>672</v>
      </c>
      <c r="O224" s="312" t="s">
        <v>673</v>
      </c>
      <c r="P224" s="312" t="s">
        <v>674</v>
      </c>
      <c r="Q224" s="47"/>
      <c r="R224" s="47"/>
      <c r="S224" s="47"/>
      <c r="T224" s="47"/>
      <c r="U224" s="47"/>
      <c r="V224" s="47"/>
      <c r="W224" s="47"/>
      <c r="X224" s="47"/>
      <c r="Y224" s="47"/>
      <c r="Z224" s="47"/>
      <c r="AA224" s="47"/>
      <c r="AB224" s="47"/>
      <c r="AC224" s="47"/>
      <c r="AD224" s="47"/>
      <c r="AE224" s="47"/>
      <c r="AF224" s="47"/>
    </row>
    <row r="225" spans="1:32" x14ac:dyDescent="0.3">
      <c r="A225" s="47"/>
      <c r="B225" s="47"/>
      <c r="C225" s="47"/>
      <c r="D225" s="47"/>
      <c r="E225" s="47"/>
      <c r="F225" s="47"/>
      <c r="G225" s="47"/>
      <c r="H225" s="297">
        <v>1</v>
      </c>
      <c r="I225" s="297">
        <v>3</v>
      </c>
      <c r="J225" s="297"/>
      <c r="K225" s="300"/>
      <c r="L225" s="299">
        <f>AVERAGE(E179:E181)</f>
        <v>1</v>
      </c>
      <c r="M225" s="297"/>
      <c r="N225" s="297"/>
      <c r="O225" s="299">
        <f>AVERAGE(F179:F181)</f>
        <v>0.83333333333333337</v>
      </c>
      <c r="P225" s="598"/>
      <c r="Q225" s="47"/>
      <c r="R225" s="47"/>
      <c r="S225" s="47"/>
      <c r="T225" s="47"/>
      <c r="U225" s="47"/>
      <c r="V225" s="47"/>
      <c r="W225" s="47"/>
      <c r="X225" s="47"/>
      <c r="Y225" s="47"/>
      <c r="Z225" s="47"/>
      <c r="AA225" s="47"/>
      <c r="AB225" s="47"/>
      <c r="AC225" s="47"/>
      <c r="AD225" s="47"/>
      <c r="AE225" s="47"/>
      <c r="AF225" s="47"/>
    </row>
    <row r="226" spans="1:32" x14ac:dyDescent="0.3">
      <c r="A226" s="47"/>
      <c r="B226" s="47"/>
      <c r="C226" s="47"/>
      <c r="D226" s="47"/>
      <c r="E226" s="47"/>
      <c r="F226" s="47"/>
      <c r="G226" s="47"/>
      <c r="H226" s="313">
        <v>2</v>
      </c>
      <c r="I226" s="313">
        <v>3</v>
      </c>
      <c r="J226" s="313"/>
      <c r="K226" s="313"/>
      <c r="L226" s="314">
        <f>AVERAGE(E182:E184)</f>
        <v>1</v>
      </c>
      <c r="M226" s="313"/>
      <c r="N226" s="313"/>
      <c r="O226" s="314">
        <f>AVERAGE(F182:F184)</f>
        <v>1</v>
      </c>
      <c r="P226" s="599"/>
      <c r="Q226" s="47"/>
      <c r="R226" s="47"/>
      <c r="S226" s="47"/>
      <c r="T226" s="47"/>
      <c r="U226" s="47"/>
      <c r="V226" s="47"/>
      <c r="W226" s="47"/>
      <c r="X226" s="47"/>
      <c r="Y226" s="47"/>
      <c r="Z226" s="47"/>
      <c r="AA226" s="47"/>
      <c r="AB226" s="47"/>
      <c r="AC226" s="47"/>
      <c r="AD226" s="47"/>
      <c r="AE226" s="47"/>
      <c r="AF226" s="47"/>
    </row>
    <row r="227" spans="1:32" x14ac:dyDescent="0.3">
      <c r="A227" s="47"/>
      <c r="B227" s="47"/>
      <c r="C227" s="47"/>
      <c r="D227" s="47"/>
      <c r="E227" s="47"/>
      <c r="F227" s="47"/>
      <c r="G227" s="47"/>
      <c r="H227" s="297">
        <v>3</v>
      </c>
      <c r="I227" s="297">
        <f>COUNTIF($D$179:$D$206,H227)</f>
        <v>0</v>
      </c>
      <c r="J227" s="297"/>
      <c r="K227" s="300"/>
      <c r="L227" s="299" t="e">
        <f>COUNTIFS(E179:E206,"OK",D179:D206,H227)/I227</f>
        <v>#DIV/0!</v>
      </c>
      <c r="M227" s="297"/>
      <c r="N227" s="297"/>
      <c r="O227" s="299" t="e">
        <f>COUNTIFS(F179:F206,"OK",D179:D206,H227)/I227</f>
        <v>#DIV/0!</v>
      </c>
      <c r="P227" s="298"/>
      <c r="Q227" s="47"/>
      <c r="R227" s="47"/>
      <c r="S227" s="47"/>
      <c r="T227" s="47"/>
      <c r="U227" s="47"/>
      <c r="V227" s="47"/>
      <c r="W227" s="47"/>
      <c r="X227" s="47"/>
      <c r="Y227" s="47"/>
      <c r="Z227" s="47"/>
      <c r="AA227" s="47"/>
      <c r="AB227" s="47"/>
      <c r="AC227" s="47"/>
      <c r="AD227" s="47"/>
      <c r="AE227" s="47"/>
      <c r="AF227" s="47"/>
    </row>
    <row r="228" spans="1:32" ht="15.6" x14ac:dyDescent="0.3">
      <c r="A228" s="233" t="s">
        <v>675</v>
      </c>
      <c r="B228" s="233"/>
      <c r="C228" s="233"/>
      <c r="D228" s="233"/>
      <c r="E228" s="234"/>
      <c r="F228" s="47"/>
      <c r="G228" s="47"/>
      <c r="H228" s="312" t="s">
        <v>149</v>
      </c>
      <c r="I228" s="312">
        <f>SUM(I225:I227)</f>
        <v>6</v>
      </c>
      <c r="J228" s="312"/>
      <c r="K228" s="312"/>
      <c r="L228" s="312"/>
      <c r="M228" s="312"/>
      <c r="N228" s="312"/>
      <c r="O228" s="312"/>
      <c r="P228" s="312"/>
      <c r="Q228" s="47"/>
      <c r="R228" s="47"/>
      <c r="S228" s="47"/>
      <c r="T228" s="47"/>
      <c r="U228" s="47"/>
      <c r="V228" s="47"/>
      <c r="W228" s="47"/>
      <c r="X228" s="47"/>
      <c r="Y228" s="47"/>
      <c r="Z228" s="47"/>
      <c r="AA228" s="47"/>
      <c r="AB228" s="47"/>
      <c r="AC228" s="47"/>
      <c r="AD228" s="47"/>
      <c r="AE228" s="47"/>
      <c r="AF228" s="47"/>
    </row>
    <row r="229" spans="1:32" ht="21" x14ac:dyDescent="0.3">
      <c r="A229" s="513" t="s">
        <v>676</v>
      </c>
      <c r="B229" s="513" t="s">
        <v>677</v>
      </c>
      <c r="C229" s="513" t="s">
        <v>678</v>
      </c>
      <c r="D229" s="513" t="s">
        <v>679</v>
      </c>
      <c r="E229" s="513" t="s">
        <v>680</v>
      </c>
      <c r="F229" s="523"/>
      <c r="G229" s="47"/>
      <c r="H229" s="733" t="s">
        <v>681</v>
      </c>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row>
    <row r="230" spans="1:32" x14ac:dyDescent="0.3">
      <c r="A230" s="512" t="s">
        <v>682</v>
      </c>
      <c r="B230" s="512" t="s">
        <v>587</v>
      </c>
      <c r="C230" s="512" t="s">
        <v>588</v>
      </c>
      <c r="D230" s="512" t="s">
        <v>683</v>
      </c>
      <c r="E230" s="512"/>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row>
    <row r="231" spans="1:32" x14ac:dyDescent="0.3">
      <c r="A231" s="514" t="s">
        <v>682</v>
      </c>
      <c r="B231" s="514" t="s">
        <v>592</v>
      </c>
      <c r="C231" s="514" t="s">
        <v>593</v>
      </c>
      <c r="D231" s="514" t="s">
        <v>683</v>
      </c>
      <c r="E231" s="514"/>
      <c r="F231" s="47"/>
      <c r="G231" s="47"/>
      <c r="H231" s="610"/>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row>
    <row r="232" spans="1:32" x14ac:dyDescent="0.3">
      <c r="A232" s="512" t="s">
        <v>682</v>
      </c>
      <c r="B232" s="512" t="s">
        <v>597</v>
      </c>
      <c r="C232" s="512" t="s">
        <v>598</v>
      </c>
      <c r="D232" s="512" t="s">
        <v>683</v>
      </c>
      <c r="E232" s="512"/>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row>
    <row r="233" spans="1:32" x14ac:dyDescent="0.3">
      <c r="A233" s="514" t="s">
        <v>682</v>
      </c>
      <c r="B233" s="514" t="s">
        <v>600</v>
      </c>
      <c r="C233" s="514" t="s">
        <v>601</v>
      </c>
      <c r="D233" s="514" t="s">
        <v>683</v>
      </c>
      <c r="E233" s="514"/>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row>
    <row r="234" spans="1:32" x14ac:dyDescent="0.3">
      <c r="A234" s="512" t="s">
        <v>682</v>
      </c>
      <c r="B234" s="512" t="s">
        <v>603</v>
      </c>
      <c r="C234" s="512" t="s">
        <v>604</v>
      </c>
      <c r="D234" s="512" t="s">
        <v>683</v>
      </c>
      <c r="E234" s="512"/>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row>
    <row r="235" spans="1:32" x14ac:dyDescent="0.3">
      <c r="A235" s="514" t="s">
        <v>682</v>
      </c>
      <c r="B235" s="514" t="s">
        <v>608</v>
      </c>
      <c r="C235" s="514" t="s">
        <v>609</v>
      </c>
      <c r="D235" s="514" t="s">
        <v>683</v>
      </c>
      <c r="E235" s="514"/>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row>
    <row r="236" spans="1:32" x14ac:dyDescent="0.3">
      <c r="A236" s="512" t="s">
        <v>682</v>
      </c>
      <c r="B236" s="512" t="s">
        <v>605</v>
      </c>
      <c r="C236" s="512" t="s">
        <v>606</v>
      </c>
      <c r="D236" s="512" t="s">
        <v>683</v>
      </c>
      <c r="E236" s="512"/>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row>
    <row r="237" spans="1:32" x14ac:dyDescent="0.3">
      <c r="A237" s="514" t="s">
        <v>682</v>
      </c>
      <c r="B237" s="514" t="s">
        <v>684</v>
      </c>
      <c r="C237" s="514" t="s">
        <v>685</v>
      </c>
      <c r="D237" s="514" t="s">
        <v>683</v>
      </c>
      <c r="E237" s="514"/>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row>
    <row r="238" spans="1:32" x14ac:dyDescent="0.3">
      <c r="A238" s="512" t="s">
        <v>682</v>
      </c>
      <c r="B238" s="512" t="s">
        <v>686</v>
      </c>
      <c r="C238" s="512" t="s">
        <v>687</v>
      </c>
      <c r="D238" s="512" t="s">
        <v>683</v>
      </c>
      <c r="E238" s="512"/>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row>
    <row r="239" spans="1:32" x14ac:dyDescent="0.3">
      <c r="A239" s="514" t="s">
        <v>682</v>
      </c>
      <c r="B239" s="514" t="s">
        <v>688</v>
      </c>
      <c r="C239" s="514" t="s">
        <v>689</v>
      </c>
      <c r="D239" s="514" t="s">
        <v>683</v>
      </c>
      <c r="E239" s="514"/>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row>
    <row r="240" spans="1:32" x14ac:dyDescent="0.3">
      <c r="A240" s="512" t="s">
        <v>682</v>
      </c>
      <c r="B240" s="512" t="s">
        <v>690</v>
      </c>
      <c r="C240" s="512" t="s">
        <v>691</v>
      </c>
      <c r="D240" s="512" t="s">
        <v>683</v>
      </c>
      <c r="E240" s="512"/>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row>
    <row r="241" spans="1:32" x14ac:dyDescent="0.3">
      <c r="A241" s="514" t="s">
        <v>682</v>
      </c>
      <c r="B241" s="514" t="s">
        <v>615</v>
      </c>
      <c r="C241" s="514" t="s">
        <v>616</v>
      </c>
      <c r="D241" s="514" t="s">
        <v>683</v>
      </c>
      <c r="E241" s="514"/>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row>
    <row r="242" spans="1:32" x14ac:dyDescent="0.3">
      <c r="A242" s="512" t="s">
        <v>682</v>
      </c>
      <c r="B242" s="512" t="s">
        <v>617</v>
      </c>
      <c r="C242" s="512" t="s">
        <v>618</v>
      </c>
      <c r="D242" s="512" t="s">
        <v>683</v>
      </c>
      <c r="E242" s="512"/>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row>
    <row r="243" spans="1:32" x14ac:dyDescent="0.3">
      <c r="A243" s="514" t="s">
        <v>682</v>
      </c>
      <c r="B243" s="514" t="s">
        <v>619</v>
      </c>
      <c r="C243" s="514" t="s">
        <v>620</v>
      </c>
      <c r="D243" s="514" t="s">
        <v>683</v>
      </c>
      <c r="E243" s="514"/>
      <c r="F243" s="47"/>
      <c r="G243" s="47"/>
      <c r="H243" s="47"/>
      <c r="I243" s="47"/>
      <c r="J243" s="47"/>
      <c r="K243" s="47"/>
      <c r="L243" s="47"/>
      <c r="M243" s="47"/>
      <c r="N243" s="47"/>
      <c r="O243" s="47"/>
      <c r="P243" s="47"/>
      <c r="Q243" s="47"/>
      <c r="R243" s="47"/>
    </row>
    <row r="244" spans="1:32" x14ac:dyDescent="0.3">
      <c r="A244" s="512" t="s">
        <v>682</v>
      </c>
      <c r="B244" s="512" t="s">
        <v>621</v>
      </c>
      <c r="C244" s="512" t="s">
        <v>622</v>
      </c>
      <c r="D244" s="512" t="s">
        <v>683</v>
      </c>
      <c r="E244" s="512"/>
      <c r="F244" s="47"/>
      <c r="G244" s="47"/>
      <c r="H244" s="47"/>
      <c r="I244" s="47"/>
      <c r="J244" s="47"/>
      <c r="K244" s="47"/>
      <c r="L244" s="47"/>
      <c r="M244" s="47"/>
      <c r="N244" s="47"/>
      <c r="O244" s="47"/>
      <c r="P244" s="47"/>
      <c r="Q244" s="47"/>
      <c r="R244" s="47"/>
    </row>
    <row r="245" spans="1:32" x14ac:dyDescent="0.3">
      <c r="A245" s="514" t="s">
        <v>682</v>
      </c>
      <c r="B245" s="514" t="s">
        <v>623</v>
      </c>
      <c r="C245" s="514" t="s">
        <v>624</v>
      </c>
      <c r="D245" s="514" t="s">
        <v>683</v>
      </c>
      <c r="E245" s="514"/>
      <c r="F245" s="47"/>
      <c r="G245" s="47"/>
      <c r="H245" s="47"/>
      <c r="I245" s="47"/>
      <c r="J245" s="47"/>
      <c r="K245" s="47"/>
      <c r="L245" s="47"/>
      <c r="M245" s="47"/>
      <c r="N245" s="47"/>
      <c r="O245" s="47"/>
      <c r="P245" s="47"/>
      <c r="Q245" s="47"/>
      <c r="R245" s="47"/>
    </row>
    <row r="246" spans="1:32" x14ac:dyDescent="0.3">
      <c r="A246" s="512" t="s">
        <v>682</v>
      </c>
      <c r="B246" s="512" t="s">
        <v>625</v>
      </c>
      <c r="C246" s="512" t="s">
        <v>626</v>
      </c>
      <c r="D246" s="512" t="s">
        <v>692</v>
      </c>
      <c r="E246" s="512"/>
      <c r="F246" s="47"/>
      <c r="G246" s="47"/>
      <c r="H246" s="47"/>
      <c r="I246" s="47"/>
      <c r="J246" s="47"/>
      <c r="K246" s="47"/>
      <c r="L246" s="47"/>
      <c r="M246" s="47"/>
      <c r="N246" s="47"/>
      <c r="O246" s="47"/>
      <c r="P246" s="47"/>
      <c r="Q246" s="47"/>
      <c r="R246" s="47"/>
    </row>
    <row r="247" spans="1:32" x14ac:dyDescent="0.3">
      <c r="A247" s="514" t="s">
        <v>682</v>
      </c>
      <c r="B247" s="514" t="s">
        <v>629</v>
      </c>
      <c r="C247" s="514" t="s">
        <v>630</v>
      </c>
      <c r="D247" s="514" t="s">
        <v>683</v>
      </c>
      <c r="E247" s="514"/>
      <c r="F247" s="47"/>
      <c r="G247" s="47"/>
      <c r="H247" s="47"/>
      <c r="I247" s="47"/>
      <c r="J247" s="47"/>
      <c r="K247" s="47"/>
      <c r="L247" s="47"/>
      <c r="M247" s="47"/>
      <c r="N247" s="47"/>
      <c r="O247" s="47"/>
      <c r="P247" s="47"/>
      <c r="Q247" s="47"/>
      <c r="R247" s="47"/>
    </row>
    <row r="248" spans="1:32" x14ac:dyDescent="0.3">
      <c r="A248" s="512" t="s">
        <v>682</v>
      </c>
      <c r="B248" s="512" t="s">
        <v>627</v>
      </c>
      <c r="C248" s="512" t="s">
        <v>628</v>
      </c>
      <c r="D248" s="512" t="s">
        <v>683</v>
      </c>
      <c r="E248" s="512"/>
      <c r="F248" s="47"/>
      <c r="G248" s="47"/>
      <c r="H248" s="47"/>
      <c r="I248" s="47"/>
      <c r="J248" s="47"/>
      <c r="K248" s="47"/>
      <c r="L248" s="47"/>
      <c r="M248" s="47"/>
      <c r="N248" s="47"/>
      <c r="O248" s="47"/>
      <c r="P248" s="47"/>
      <c r="Q248" s="47"/>
      <c r="R248" s="47"/>
    </row>
    <row r="249" spans="1:32" x14ac:dyDescent="0.3">
      <c r="A249" s="514" t="s">
        <v>682</v>
      </c>
      <c r="B249" s="514" t="s">
        <v>634</v>
      </c>
      <c r="C249" s="514" t="s">
        <v>635</v>
      </c>
      <c r="D249" s="514" t="s">
        <v>683</v>
      </c>
      <c r="E249" s="514"/>
      <c r="F249" s="47"/>
      <c r="G249" s="47"/>
      <c r="H249" s="47"/>
      <c r="I249" s="47"/>
      <c r="J249" s="47"/>
      <c r="K249" s="47"/>
      <c r="L249" s="47"/>
      <c r="M249" s="47"/>
      <c r="N249" s="47"/>
      <c r="O249" s="47"/>
      <c r="P249" s="47"/>
      <c r="Q249" s="47"/>
      <c r="R249" s="47"/>
    </row>
    <row r="250" spans="1:32" x14ac:dyDescent="0.3">
      <c r="A250" s="512" t="s">
        <v>682</v>
      </c>
      <c r="B250" s="512" t="s">
        <v>693</v>
      </c>
      <c r="C250" s="512" t="s">
        <v>694</v>
      </c>
      <c r="D250" s="512" t="s">
        <v>692</v>
      </c>
      <c r="E250" s="512"/>
      <c r="F250" s="47"/>
      <c r="G250" s="47"/>
      <c r="H250" s="47"/>
      <c r="I250" s="47"/>
      <c r="J250" s="47"/>
      <c r="K250" s="47"/>
      <c r="L250" s="47"/>
      <c r="M250" s="47"/>
      <c r="N250" s="47"/>
      <c r="O250" s="47"/>
      <c r="P250" s="47"/>
      <c r="Q250" s="47"/>
      <c r="R250" s="47"/>
    </row>
    <row r="251" spans="1:32" x14ac:dyDescent="0.3">
      <c r="A251" s="514" t="s">
        <v>682</v>
      </c>
      <c r="B251" s="514" t="s">
        <v>695</v>
      </c>
      <c r="C251" s="514" t="s">
        <v>696</v>
      </c>
      <c r="D251" s="514" t="s">
        <v>692</v>
      </c>
      <c r="E251" s="514"/>
      <c r="F251" s="47"/>
      <c r="G251" s="47"/>
      <c r="H251" s="47"/>
      <c r="I251" s="47"/>
      <c r="J251" s="47"/>
      <c r="K251" s="47"/>
      <c r="L251" s="47"/>
      <c r="M251" s="47"/>
      <c r="N251" s="47"/>
      <c r="O251" s="47"/>
      <c r="P251" s="47"/>
      <c r="Q251" s="47"/>
      <c r="R251" s="47"/>
    </row>
    <row r="252" spans="1:32" x14ac:dyDescent="0.3">
      <c r="A252" s="512" t="s">
        <v>682</v>
      </c>
      <c r="B252" s="512" t="s">
        <v>697</v>
      </c>
      <c r="C252" s="512" t="s">
        <v>698</v>
      </c>
      <c r="D252" s="512" t="s">
        <v>683</v>
      </c>
      <c r="E252" s="512"/>
      <c r="F252" s="47"/>
      <c r="G252" s="47"/>
      <c r="H252" s="47"/>
      <c r="I252" s="47"/>
      <c r="J252" s="47"/>
      <c r="K252" s="47"/>
      <c r="L252" s="47"/>
      <c r="M252" s="47"/>
      <c r="N252" s="47"/>
      <c r="O252" s="47"/>
      <c r="P252" s="47"/>
      <c r="Q252" s="47"/>
      <c r="R252" s="47"/>
    </row>
    <row r="253" spans="1:32" x14ac:dyDescent="0.3">
      <c r="A253" s="514" t="s">
        <v>682</v>
      </c>
      <c r="B253" s="514" t="s">
        <v>699</v>
      </c>
      <c r="C253" s="514" t="s">
        <v>700</v>
      </c>
      <c r="D253" s="514" t="s">
        <v>683</v>
      </c>
      <c r="E253" s="514"/>
      <c r="F253" s="47"/>
      <c r="G253" s="47"/>
      <c r="H253" s="47"/>
      <c r="I253" s="47"/>
      <c r="J253" s="47"/>
      <c r="K253" s="47"/>
      <c r="L253" s="47"/>
      <c r="M253" s="47"/>
      <c r="N253" s="47"/>
      <c r="O253" s="47"/>
      <c r="P253" s="47"/>
      <c r="Q253" s="47"/>
      <c r="R253" s="47"/>
    </row>
    <row r="254" spans="1:32" x14ac:dyDescent="0.3">
      <c r="A254" s="512" t="s">
        <v>682</v>
      </c>
      <c r="B254" s="512" t="s">
        <v>701</v>
      </c>
      <c r="C254" s="512" t="s">
        <v>702</v>
      </c>
      <c r="D254" s="512" t="s">
        <v>683</v>
      </c>
      <c r="E254" s="512"/>
      <c r="F254" s="47"/>
      <c r="G254" s="47"/>
      <c r="H254" s="47"/>
      <c r="I254" s="47"/>
      <c r="J254" s="47"/>
      <c r="K254" s="47"/>
      <c r="L254" s="47"/>
      <c r="M254" s="47"/>
      <c r="N254" s="47"/>
      <c r="O254" s="47"/>
      <c r="P254" s="47"/>
      <c r="Q254" s="47"/>
      <c r="R254" s="47"/>
    </row>
    <row r="255" spans="1:32" x14ac:dyDescent="0.3">
      <c r="A255" s="514" t="s">
        <v>682</v>
      </c>
      <c r="B255" s="514" t="s">
        <v>703</v>
      </c>
      <c r="C255" s="514" t="s">
        <v>704</v>
      </c>
      <c r="D255" s="514" t="s">
        <v>683</v>
      </c>
      <c r="E255" s="514"/>
      <c r="F255" s="47"/>
      <c r="G255" s="47"/>
      <c r="H255" s="47"/>
      <c r="I255" s="47"/>
      <c r="J255" s="47"/>
    </row>
    <row r="256" spans="1:32" x14ac:dyDescent="0.3">
      <c r="A256" s="512" t="s">
        <v>682</v>
      </c>
      <c r="B256" s="512" t="s">
        <v>705</v>
      </c>
      <c r="C256" s="512" t="s">
        <v>706</v>
      </c>
      <c r="D256" s="512" t="s">
        <v>692</v>
      </c>
      <c r="E256" s="512"/>
      <c r="F256" s="47"/>
      <c r="G256" s="47"/>
      <c r="H256" s="47"/>
      <c r="I256" s="47"/>
      <c r="J256" s="47"/>
    </row>
    <row r="257" spans="1:10" x14ac:dyDescent="0.3">
      <c r="A257" s="514" t="s">
        <v>682</v>
      </c>
      <c r="B257" s="514" t="s">
        <v>707</v>
      </c>
      <c r="C257" s="514" t="s">
        <v>708</v>
      </c>
      <c r="D257" s="514" t="s">
        <v>692</v>
      </c>
      <c r="E257" s="514"/>
      <c r="F257" s="47"/>
      <c r="G257" s="47"/>
      <c r="H257" s="47"/>
      <c r="I257" s="47"/>
      <c r="J257" s="47"/>
    </row>
    <row r="258" spans="1:10" x14ac:dyDescent="0.3">
      <c r="A258" s="512" t="s">
        <v>682</v>
      </c>
      <c r="B258" s="512" t="s">
        <v>709</v>
      </c>
      <c r="C258" s="512" t="s">
        <v>710</v>
      </c>
      <c r="D258" s="512" t="s">
        <v>692</v>
      </c>
      <c r="E258" s="512"/>
      <c r="F258" s="47"/>
      <c r="G258" s="47"/>
      <c r="H258" s="47"/>
      <c r="I258" s="47"/>
      <c r="J258" s="47"/>
    </row>
    <row r="259" spans="1:10" x14ac:dyDescent="0.3">
      <c r="A259" s="514" t="s">
        <v>682</v>
      </c>
      <c r="B259" s="514" t="s">
        <v>711</v>
      </c>
      <c r="C259" s="514" t="s">
        <v>712</v>
      </c>
      <c r="D259" s="514" t="s">
        <v>683</v>
      </c>
      <c r="E259" s="514"/>
      <c r="F259" s="47"/>
      <c r="G259" s="47"/>
      <c r="H259" s="47"/>
      <c r="I259" s="47"/>
      <c r="J259" s="47"/>
    </row>
    <row r="260" spans="1:10" x14ac:dyDescent="0.3">
      <c r="A260" s="512" t="s">
        <v>713</v>
      </c>
      <c r="B260" s="512" t="s">
        <v>714</v>
      </c>
      <c r="C260" s="512" t="s">
        <v>715</v>
      </c>
      <c r="D260" s="512" t="s">
        <v>716</v>
      </c>
      <c r="E260" s="512"/>
      <c r="F260" s="47"/>
      <c r="G260" s="47"/>
      <c r="H260" s="47"/>
      <c r="I260" s="47"/>
      <c r="J260" s="47"/>
    </row>
    <row r="261" spans="1:10" x14ac:dyDescent="0.3">
      <c r="A261" s="514" t="s">
        <v>682</v>
      </c>
      <c r="B261" s="514" t="s">
        <v>717</v>
      </c>
      <c r="C261" s="514" t="s">
        <v>718</v>
      </c>
      <c r="D261" s="514" t="s">
        <v>683</v>
      </c>
      <c r="E261" s="514"/>
      <c r="F261" s="47"/>
      <c r="G261" s="47"/>
      <c r="H261" s="47"/>
      <c r="I261" s="47"/>
      <c r="J261" s="47"/>
    </row>
    <row r="262" spans="1:10" x14ac:dyDescent="0.3">
      <c r="A262" s="512" t="s">
        <v>682</v>
      </c>
      <c r="B262" s="512" t="s">
        <v>719</v>
      </c>
      <c r="C262" s="512" t="s">
        <v>720</v>
      </c>
      <c r="D262" s="512" t="s">
        <v>683</v>
      </c>
      <c r="E262" s="512"/>
      <c r="F262" s="47"/>
      <c r="G262" s="47"/>
      <c r="H262" s="47"/>
      <c r="I262" s="47"/>
      <c r="J262" s="47"/>
    </row>
    <row r="263" spans="1:10" x14ac:dyDescent="0.3">
      <c r="A263" s="514" t="s">
        <v>682</v>
      </c>
      <c r="B263" s="514" t="s">
        <v>721</v>
      </c>
      <c r="C263" s="514" t="s">
        <v>722</v>
      </c>
      <c r="D263" s="514" t="s">
        <v>683</v>
      </c>
      <c r="E263" s="514"/>
      <c r="F263" s="47"/>
      <c r="G263" s="47"/>
      <c r="H263" s="47"/>
      <c r="I263" s="47"/>
      <c r="J263" s="47"/>
    </row>
    <row r="264" spans="1:10" x14ac:dyDescent="0.3">
      <c r="A264" s="512" t="s">
        <v>682</v>
      </c>
      <c r="B264" s="512" t="s">
        <v>723</v>
      </c>
      <c r="C264" s="512" t="s">
        <v>718</v>
      </c>
      <c r="D264" s="512" t="s">
        <v>683</v>
      </c>
      <c r="E264" s="512"/>
      <c r="F264" s="47"/>
      <c r="G264" s="47"/>
      <c r="H264" s="47"/>
      <c r="I264" s="47"/>
      <c r="J264" s="47"/>
    </row>
    <row r="265" spans="1:10" x14ac:dyDescent="0.3">
      <c r="A265" s="514" t="s">
        <v>682</v>
      </c>
      <c r="B265" s="514" t="s">
        <v>724</v>
      </c>
      <c r="C265" s="514" t="s">
        <v>725</v>
      </c>
      <c r="D265" s="514" t="s">
        <v>683</v>
      </c>
      <c r="E265" s="514"/>
      <c r="F265" s="47"/>
      <c r="G265" s="47"/>
      <c r="H265" s="47"/>
      <c r="I265" s="47"/>
      <c r="J265" s="47"/>
    </row>
    <row r="266" spans="1:10" x14ac:dyDescent="0.3">
      <c r="A266" s="512" t="s">
        <v>682</v>
      </c>
      <c r="B266" s="512" t="s">
        <v>726</v>
      </c>
      <c r="C266" s="512" t="s">
        <v>727</v>
      </c>
      <c r="D266" s="512" t="s">
        <v>692</v>
      </c>
      <c r="E266" s="512"/>
      <c r="F266" s="47"/>
      <c r="G266" s="47"/>
      <c r="H266" s="47"/>
      <c r="I266" s="47"/>
      <c r="J266" s="47"/>
    </row>
    <row r="267" spans="1:10" x14ac:dyDescent="0.3">
      <c r="A267" s="514" t="s">
        <v>682</v>
      </c>
      <c r="B267" s="514" t="s">
        <v>728</v>
      </c>
      <c r="C267" s="514" t="s">
        <v>725</v>
      </c>
      <c r="D267" s="514" t="s">
        <v>683</v>
      </c>
      <c r="E267" s="514"/>
      <c r="F267" s="47"/>
      <c r="G267" s="47"/>
      <c r="H267" s="47"/>
      <c r="I267" s="47"/>
      <c r="J267" s="47"/>
    </row>
    <row r="268" spans="1:10" x14ac:dyDescent="0.3">
      <c r="A268" s="512" t="s">
        <v>682</v>
      </c>
      <c r="B268" s="512" t="s">
        <v>729</v>
      </c>
      <c r="C268" s="512" t="s">
        <v>730</v>
      </c>
      <c r="D268" s="512" t="s">
        <v>683</v>
      </c>
      <c r="E268" s="512"/>
      <c r="F268" s="47"/>
      <c r="G268" s="47"/>
      <c r="H268" s="47"/>
      <c r="I268" s="47"/>
      <c r="J268" s="47"/>
    </row>
    <row r="269" spans="1:10" x14ac:dyDescent="0.3">
      <c r="A269" s="514" t="s">
        <v>682</v>
      </c>
      <c r="B269" s="514" t="s">
        <v>731</v>
      </c>
      <c r="C269" s="514" t="s">
        <v>732</v>
      </c>
      <c r="D269" s="514" t="s">
        <v>683</v>
      </c>
      <c r="E269" s="514"/>
      <c r="F269" s="47"/>
      <c r="G269" s="47"/>
      <c r="H269" s="47"/>
      <c r="I269" s="47"/>
      <c r="J269" s="47"/>
    </row>
    <row r="270" spans="1:10" x14ac:dyDescent="0.3">
      <c r="A270" s="512" t="s">
        <v>682</v>
      </c>
      <c r="B270" s="512" t="s">
        <v>733</v>
      </c>
      <c r="C270" s="512" t="s">
        <v>734</v>
      </c>
      <c r="D270" s="512" t="s">
        <v>683</v>
      </c>
      <c r="E270" s="512"/>
      <c r="F270" s="47"/>
      <c r="G270" s="47"/>
      <c r="H270" s="47"/>
      <c r="I270" s="47"/>
      <c r="J270" s="47"/>
    </row>
    <row r="271" spans="1:10" x14ac:dyDescent="0.3">
      <c r="A271" s="514" t="s">
        <v>713</v>
      </c>
      <c r="B271" s="514" t="s">
        <v>735</v>
      </c>
      <c r="C271" s="514" t="s">
        <v>736</v>
      </c>
      <c r="D271" s="514" t="s">
        <v>737</v>
      </c>
      <c r="E271" s="514"/>
      <c r="F271" s="47"/>
      <c r="G271" s="47"/>
      <c r="H271" s="47"/>
      <c r="I271" s="47"/>
      <c r="J271" s="47"/>
    </row>
    <row r="272" spans="1:10" x14ac:dyDescent="0.3">
      <c r="A272" s="512" t="s">
        <v>682</v>
      </c>
      <c r="B272" s="512" t="s">
        <v>738</v>
      </c>
      <c r="C272" s="512" t="s">
        <v>739</v>
      </c>
      <c r="D272" s="512" t="s">
        <v>683</v>
      </c>
      <c r="E272" s="512"/>
      <c r="F272" s="47"/>
      <c r="G272" s="47"/>
      <c r="H272" s="47"/>
      <c r="I272" s="47"/>
      <c r="J272" s="47"/>
    </row>
    <row r="273" spans="1:10" x14ac:dyDescent="0.3">
      <c r="A273" s="514" t="s">
        <v>682</v>
      </c>
      <c r="B273" s="514" t="s">
        <v>740</v>
      </c>
      <c r="C273" s="514" t="s">
        <v>741</v>
      </c>
      <c r="D273" s="514" t="s">
        <v>742</v>
      </c>
      <c r="E273" s="514"/>
      <c r="F273" s="47"/>
      <c r="G273" s="47"/>
      <c r="H273" s="47"/>
      <c r="I273" s="47"/>
      <c r="J273" s="47"/>
    </row>
    <row r="274" spans="1:10" x14ac:dyDescent="0.3">
      <c r="A274" s="512" t="s">
        <v>713</v>
      </c>
      <c r="B274" s="512" t="s">
        <v>743</v>
      </c>
      <c r="C274" s="512" t="s">
        <v>744</v>
      </c>
      <c r="D274" s="512" t="s">
        <v>737</v>
      </c>
      <c r="E274" s="512"/>
      <c r="F274" s="47"/>
      <c r="G274" s="47"/>
      <c r="H274" s="47"/>
      <c r="I274" s="47"/>
      <c r="J274" s="47"/>
    </row>
    <row r="275" spans="1:10" x14ac:dyDescent="0.3">
      <c r="A275" s="514" t="s">
        <v>682</v>
      </c>
      <c r="B275" s="514" t="s">
        <v>745</v>
      </c>
      <c r="C275" s="514" t="s">
        <v>746</v>
      </c>
      <c r="D275" s="514" t="s">
        <v>683</v>
      </c>
      <c r="E275" s="514"/>
      <c r="F275" s="47"/>
      <c r="G275" s="47"/>
      <c r="H275" s="47"/>
      <c r="I275" s="47"/>
      <c r="J275" s="47"/>
    </row>
    <row r="276" spans="1:10" x14ac:dyDescent="0.3">
      <c r="A276" s="512" t="s">
        <v>682</v>
      </c>
      <c r="B276" s="512" t="s">
        <v>747</v>
      </c>
      <c r="C276" s="512" t="s">
        <v>748</v>
      </c>
      <c r="D276" s="512" t="s">
        <v>683</v>
      </c>
      <c r="E276" s="512"/>
      <c r="F276" s="47"/>
      <c r="G276" s="47"/>
      <c r="H276" s="47"/>
      <c r="I276" s="47"/>
      <c r="J276" s="47"/>
    </row>
    <row r="277" spans="1:10" x14ac:dyDescent="0.3">
      <c r="A277" s="514" t="s">
        <v>682</v>
      </c>
      <c r="B277" s="514" t="s">
        <v>749</v>
      </c>
      <c r="C277" s="514" t="s">
        <v>750</v>
      </c>
      <c r="D277" s="514" t="s">
        <v>683</v>
      </c>
      <c r="E277" s="514"/>
      <c r="F277" s="47"/>
      <c r="G277" s="47"/>
      <c r="H277" s="47"/>
      <c r="I277" s="47"/>
      <c r="J277" s="47"/>
    </row>
    <row r="278" spans="1:10" x14ac:dyDescent="0.3">
      <c r="A278" s="512" t="s">
        <v>682</v>
      </c>
      <c r="B278" s="512" t="s">
        <v>751</v>
      </c>
      <c r="C278" s="512" t="s">
        <v>752</v>
      </c>
      <c r="D278" s="512" t="s">
        <v>683</v>
      </c>
      <c r="E278" s="512"/>
      <c r="F278" s="47"/>
      <c r="G278" s="47"/>
      <c r="H278" s="47"/>
      <c r="I278" s="47"/>
      <c r="J278" s="47"/>
    </row>
    <row r="279" spans="1:10" x14ac:dyDescent="0.3">
      <c r="A279" s="514" t="s">
        <v>682</v>
      </c>
      <c r="B279" s="514" t="s">
        <v>638</v>
      </c>
      <c r="C279" s="514" t="s">
        <v>639</v>
      </c>
      <c r="D279" s="514" t="s">
        <v>683</v>
      </c>
      <c r="E279" s="514"/>
      <c r="F279" s="47"/>
      <c r="G279" s="47"/>
      <c r="H279" s="47"/>
      <c r="I279" s="47"/>
      <c r="J279" s="47"/>
    </row>
    <row r="280" spans="1:10" x14ac:dyDescent="0.3">
      <c r="A280" s="512" t="s">
        <v>682</v>
      </c>
      <c r="B280" s="512" t="s">
        <v>613</v>
      </c>
      <c r="C280" s="512" t="s">
        <v>614</v>
      </c>
      <c r="D280" s="512" t="s">
        <v>683</v>
      </c>
      <c r="E280" s="512"/>
      <c r="F280" s="47"/>
      <c r="G280" s="47"/>
      <c r="H280" s="47"/>
      <c r="I280" s="47"/>
      <c r="J280" s="47"/>
    </row>
    <row r="281" spans="1:10" x14ac:dyDescent="0.3">
      <c r="A281" s="514" t="s">
        <v>713</v>
      </c>
      <c r="B281" s="514" t="s">
        <v>753</v>
      </c>
      <c r="C281" s="514" t="s">
        <v>754</v>
      </c>
      <c r="D281" s="514" t="s">
        <v>737</v>
      </c>
      <c r="E281" s="514"/>
      <c r="F281" s="47"/>
      <c r="G281" s="47"/>
      <c r="H281" s="47"/>
      <c r="I281" s="47"/>
      <c r="J281" s="47"/>
    </row>
    <row r="282" spans="1:10" x14ac:dyDescent="0.3">
      <c r="A282" s="512" t="s">
        <v>713</v>
      </c>
      <c r="B282" s="512" t="s">
        <v>755</v>
      </c>
      <c r="C282" s="512" t="s">
        <v>756</v>
      </c>
      <c r="D282" s="512" t="s">
        <v>737</v>
      </c>
      <c r="E282" s="512"/>
      <c r="F282" s="47"/>
      <c r="G282" s="47"/>
      <c r="H282" s="47"/>
      <c r="I282" s="47"/>
      <c r="J282" s="47"/>
    </row>
    <row r="283" spans="1:10" x14ac:dyDescent="0.3">
      <c r="A283" s="514" t="s">
        <v>713</v>
      </c>
      <c r="B283" s="514" t="s">
        <v>757</v>
      </c>
      <c r="C283" s="514" t="s">
        <v>758</v>
      </c>
      <c r="D283" s="514" t="s">
        <v>737</v>
      </c>
      <c r="E283" s="514"/>
      <c r="F283" s="47"/>
      <c r="G283" s="47"/>
      <c r="H283" s="47"/>
      <c r="I283" s="47"/>
      <c r="J283" s="47"/>
    </row>
    <row r="284" spans="1:10" x14ac:dyDescent="0.3">
      <c r="A284" s="512" t="s">
        <v>682</v>
      </c>
      <c r="B284" s="512" t="s">
        <v>631</v>
      </c>
      <c r="C284" s="512" t="s">
        <v>632</v>
      </c>
      <c r="D284" s="512" t="s">
        <v>692</v>
      </c>
      <c r="E284" s="512"/>
      <c r="F284" s="47"/>
      <c r="G284" s="47"/>
      <c r="H284" s="47"/>
      <c r="I284" s="47"/>
      <c r="J284" s="47"/>
    </row>
    <row r="285" spans="1:10" x14ac:dyDescent="0.3">
      <c r="A285" s="514" t="s">
        <v>682</v>
      </c>
      <c r="B285" s="514" t="s">
        <v>636</v>
      </c>
      <c r="C285" s="514" t="s">
        <v>637</v>
      </c>
      <c r="D285" s="514" t="s">
        <v>692</v>
      </c>
      <c r="E285" s="514"/>
      <c r="F285" s="47"/>
      <c r="G285" s="47"/>
      <c r="H285" s="47"/>
      <c r="I285" s="47"/>
      <c r="J285" s="47"/>
    </row>
    <row r="286" spans="1:10" x14ac:dyDescent="0.3">
      <c r="A286" s="512" t="s">
        <v>682</v>
      </c>
      <c r="B286" s="512" t="s">
        <v>759</v>
      </c>
      <c r="C286" s="512" t="s">
        <v>760</v>
      </c>
      <c r="D286" s="512" t="s">
        <v>761</v>
      </c>
      <c r="E286" s="512"/>
      <c r="F286" s="47"/>
      <c r="G286" s="47"/>
      <c r="H286" s="47"/>
      <c r="I286" s="47"/>
      <c r="J286" s="47"/>
    </row>
    <row r="287" spans="1:10" x14ac:dyDescent="0.3">
      <c r="A287" s="514" t="s">
        <v>682</v>
      </c>
      <c r="B287" s="514" t="s">
        <v>762</v>
      </c>
      <c r="C287" s="514" t="s">
        <v>763</v>
      </c>
      <c r="D287" s="514" t="s">
        <v>692</v>
      </c>
      <c r="E287" s="514"/>
      <c r="F287" s="47"/>
      <c r="G287" s="47"/>
      <c r="H287" s="47"/>
      <c r="I287" s="47"/>
      <c r="J287" s="47"/>
    </row>
    <row r="288" spans="1:10" x14ac:dyDescent="0.3">
      <c r="A288" s="512" t="s">
        <v>682</v>
      </c>
      <c r="B288" s="512" t="s">
        <v>764</v>
      </c>
      <c r="C288" s="512" t="s">
        <v>765</v>
      </c>
      <c r="D288" s="512" t="s">
        <v>692</v>
      </c>
      <c r="E288" s="512"/>
      <c r="F288" s="47"/>
      <c r="G288" s="47"/>
      <c r="H288" s="47"/>
      <c r="I288" s="47"/>
      <c r="J288" s="47"/>
    </row>
    <row r="289" spans="1:10" x14ac:dyDescent="0.3">
      <c r="A289" s="514" t="s">
        <v>682</v>
      </c>
      <c r="B289" s="514" t="s">
        <v>766</v>
      </c>
      <c r="C289" s="514" t="s">
        <v>767</v>
      </c>
      <c r="D289" s="514" t="s">
        <v>683</v>
      </c>
      <c r="E289" s="514"/>
      <c r="F289" s="47"/>
      <c r="G289" s="47"/>
      <c r="H289" s="47"/>
      <c r="I289" s="47"/>
      <c r="J289" s="47"/>
    </row>
    <row r="290" spans="1:10" x14ac:dyDescent="0.3">
      <c r="A290" s="512" t="s">
        <v>682</v>
      </c>
      <c r="B290" s="512" t="s">
        <v>768</v>
      </c>
      <c r="C290" s="512" t="s">
        <v>769</v>
      </c>
      <c r="D290" s="512" t="s">
        <v>692</v>
      </c>
      <c r="E290" s="512"/>
      <c r="F290" s="47"/>
      <c r="G290" s="47"/>
      <c r="H290" s="47"/>
      <c r="I290" s="47"/>
      <c r="J290" s="47"/>
    </row>
    <row r="291" spans="1:10" x14ac:dyDescent="0.3">
      <c r="A291" s="514" t="s">
        <v>682</v>
      </c>
      <c r="B291" s="514" t="s">
        <v>770</v>
      </c>
      <c r="C291" s="514" t="s">
        <v>771</v>
      </c>
      <c r="D291" s="514" t="s">
        <v>683</v>
      </c>
      <c r="E291" s="514"/>
      <c r="F291" s="47"/>
      <c r="G291" s="47"/>
      <c r="H291" s="47"/>
      <c r="I291" s="47"/>
      <c r="J291" s="47"/>
    </row>
    <row r="292" spans="1:10" x14ac:dyDescent="0.3">
      <c r="A292" s="512" t="s">
        <v>682</v>
      </c>
      <c r="B292" s="512" t="s">
        <v>772</v>
      </c>
      <c r="C292" s="512" t="s">
        <v>773</v>
      </c>
      <c r="D292" s="512" t="s">
        <v>692</v>
      </c>
      <c r="E292" s="512"/>
      <c r="F292" s="47"/>
      <c r="G292" s="47"/>
      <c r="H292" s="47"/>
      <c r="I292" s="47"/>
      <c r="J292" s="47"/>
    </row>
    <row r="293" spans="1:10" x14ac:dyDescent="0.3">
      <c r="A293" s="514" t="s">
        <v>682</v>
      </c>
      <c r="B293" s="514" t="s">
        <v>774</v>
      </c>
      <c r="C293" s="514" t="s">
        <v>775</v>
      </c>
      <c r="D293" s="514" t="s">
        <v>692</v>
      </c>
      <c r="E293" s="514"/>
      <c r="F293" s="47"/>
      <c r="G293" s="47"/>
      <c r="H293" s="47"/>
      <c r="I293" s="47"/>
      <c r="J293" s="47"/>
    </row>
    <row r="294" spans="1:10" x14ac:dyDescent="0.3">
      <c r="A294" s="512" t="s">
        <v>713</v>
      </c>
      <c r="B294" s="512" t="s">
        <v>776</v>
      </c>
      <c r="C294" s="512" t="s">
        <v>777</v>
      </c>
      <c r="D294" s="512" t="s">
        <v>737</v>
      </c>
      <c r="E294" s="512"/>
      <c r="F294" s="47"/>
      <c r="G294" s="47"/>
      <c r="H294" s="47"/>
      <c r="I294" s="47"/>
      <c r="J294" s="47"/>
    </row>
    <row r="295" spans="1:10" x14ac:dyDescent="0.3">
      <c r="A295" s="514" t="s">
        <v>682</v>
      </c>
      <c r="B295" s="514" t="s">
        <v>778</v>
      </c>
      <c r="C295" s="514" t="s">
        <v>779</v>
      </c>
      <c r="D295" s="514" t="s">
        <v>692</v>
      </c>
      <c r="E295" s="514"/>
      <c r="F295" s="47"/>
      <c r="G295" s="47"/>
      <c r="H295" s="47"/>
      <c r="I295" s="47"/>
      <c r="J295" s="47"/>
    </row>
    <row r="296" spans="1:10" x14ac:dyDescent="0.3">
      <c r="A296" s="512" t="s">
        <v>682</v>
      </c>
      <c r="B296" s="512" t="s">
        <v>780</v>
      </c>
      <c r="C296" s="512" t="s">
        <v>781</v>
      </c>
      <c r="D296" s="512" t="s">
        <v>692</v>
      </c>
      <c r="E296" s="512"/>
      <c r="F296" s="47"/>
      <c r="G296" s="47"/>
      <c r="H296" s="47"/>
      <c r="I296" s="47"/>
      <c r="J296" s="47"/>
    </row>
    <row r="297" spans="1:10" x14ac:dyDescent="0.3">
      <c r="A297" s="514" t="s">
        <v>713</v>
      </c>
      <c r="B297" s="514" t="s">
        <v>782</v>
      </c>
      <c r="C297" s="514" t="s">
        <v>783</v>
      </c>
      <c r="D297" s="514" t="s">
        <v>737</v>
      </c>
      <c r="E297" s="514"/>
      <c r="F297" s="47"/>
      <c r="G297" s="47"/>
      <c r="H297" s="47"/>
      <c r="I297" s="47"/>
      <c r="J297" s="47"/>
    </row>
    <row r="298" spans="1:10" x14ac:dyDescent="0.3">
      <c r="A298" s="512" t="s">
        <v>682</v>
      </c>
      <c r="B298" s="512" t="s">
        <v>784</v>
      </c>
      <c r="C298" s="512" t="s">
        <v>785</v>
      </c>
      <c r="D298" s="512" t="s">
        <v>692</v>
      </c>
      <c r="E298" s="512"/>
      <c r="F298" s="47"/>
      <c r="G298" s="47"/>
      <c r="H298" s="47"/>
      <c r="I298" s="47"/>
      <c r="J298" s="47"/>
    </row>
    <row r="299" spans="1:10" x14ac:dyDescent="0.3">
      <c r="A299" s="514" t="s">
        <v>682</v>
      </c>
      <c r="B299" s="514" t="s">
        <v>786</v>
      </c>
      <c r="C299" s="514" t="s">
        <v>787</v>
      </c>
      <c r="D299" s="514" t="s">
        <v>683</v>
      </c>
      <c r="E299" s="514"/>
      <c r="F299" s="47"/>
      <c r="G299" s="47"/>
      <c r="H299" s="47"/>
      <c r="I299" s="47"/>
      <c r="J299" s="47"/>
    </row>
    <row r="300" spans="1:10" x14ac:dyDescent="0.3">
      <c r="A300" s="512" t="s">
        <v>713</v>
      </c>
      <c r="B300" s="512" t="s">
        <v>788</v>
      </c>
      <c r="C300" s="512" t="s">
        <v>789</v>
      </c>
      <c r="D300" s="512" t="s">
        <v>716</v>
      </c>
      <c r="E300" s="512"/>
      <c r="F300" s="47"/>
      <c r="G300" s="47"/>
      <c r="H300" s="47"/>
      <c r="I300" s="47"/>
      <c r="J300" s="47"/>
    </row>
    <row r="301" spans="1:10" x14ac:dyDescent="0.3">
      <c r="A301" s="514" t="s">
        <v>682</v>
      </c>
      <c r="B301" s="514" t="s">
        <v>790</v>
      </c>
      <c r="C301" s="514" t="s">
        <v>791</v>
      </c>
      <c r="D301" s="514" t="s">
        <v>683</v>
      </c>
      <c r="E301" s="514"/>
      <c r="F301" s="47"/>
      <c r="G301" s="47"/>
      <c r="H301" s="47"/>
      <c r="I301" s="47"/>
      <c r="J301" s="47"/>
    </row>
    <row r="302" spans="1:10" x14ac:dyDescent="0.3">
      <c r="A302" s="512" t="s">
        <v>713</v>
      </c>
      <c r="B302" s="512" t="s">
        <v>792</v>
      </c>
      <c r="C302" s="512" t="s">
        <v>793</v>
      </c>
      <c r="D302" s="512" t="s">
        <v>716</v>
      </c>
      <c r="E302" s="512"/>
      <c r="F302" s="47"/>
      <c r="G302" s="47"/>
      <c r="H302" s="47"/>
      <c r="I302" s="47"/>
      <c r="J302" s="47"/>
    </row>
    <row r="303" spans="1:10" x14ac:dyDescent="0.3">
      <c r="A303" s="514" t="s">
        <v>713</v>
      </c>
      <c r="B303" s="514" t="s">
        <v>794</v>
      </c>
      <c r="C303" s="514" t="s">
        <v>795</v>
      </c>
      <c r="D303" s="514" t="s">
        <v>716</v>
      </c>
      <c r="E303" s="514"/>
      <c r="F303" s="47"/>
      <c r="G303" s="47"/>
      <c r="H303" s="47"/>
      <c r="I303" s="47"/>
      <c r="J303" s="47"/>
    </row>
    <row r="304" spans="1:10" x14ac:dyDescent="0.3">
      <c r="A304" s="512" t="s">
        <v>682</v>
      </c>
      <c r="B304" s="512" t="s">
        <v>796</v>
      </c>
      <c r="C304" s="512" t="s">
        <v>797</v>
      </c>
      <c r="D304" s="512" t="s">
        <v>742</v>
      </c>
      <c r="E304" s="512"/>
      <c r="F304" s="47"/>
      <c r="G304" s="47"/>
      <c r="H304" s="47"/>
      <c r="I304" s="47"/>
      <c r="J304" s="47"/>
    </row>
    <row r="305" spans="1:10" x14ac:dyDescent="0.3">
      <c r="A305" s="514" t="s">
        <v>713</v>
      </c>
      <c r="B305" s="514" t="s">
        <v>798</v>
      </c>
      <c r="C305" s="514" t="s">
        <v>799</v>
      </c>
      <c r="D305" s="514" t="s">
        <v>737</v>
      </c>
      <c r="E305" s="514"/>
      <c r="F305" s="47"/>
      <c r="G305" s="47"/>
      <c r="H305" s="47"/>
      <c r="I305" s="47"/>
      <c r="J305" s="47"/>
    </row>
    <row r="306" spans="1:10" x14ac:dyDescent="0.3">
      <c r="A306" s="512" t="s">
        <v>682</v>
      </c>
      <c r="B306" s="512" t="s">
        <v>800</v>
      </c>
      <c r="C306" s="512" t="s">
        <v>801</v>
      </c>
      <c r="D306" s="512" t="s">
        <v>683</v>
      </c>
      <c r="E306" s="512"/>
      <c r="F306" s="47"/>
      <c r="G306" s="47"/>
      <c r="H306" s="47"/>
      <c r="I306" s="47"/>
      <c r="J306" s="47"/>
    </row>
    <row r="307" spans="1:10" x14ac:dyDescent="0.3">
      <c r="A307" s="514" t="s">
        <v>713</v>
      </c>
      <c r="B307" s="514" t="s">
        <v>802</v>
      </c>
      <c r="C307" s="514" t="s">
        <v>803</v>
      </c>
      <c r="D307" s="514" t="s">
        <v>737</v>
      </c>
      <c r="E307" s="514"/>
      <c r="F307" s="47"/>
      <c r="G307" s="47"/>
      <c r="H307" s="47"/>
      <c r="I307" s="47"/>
      <c r="J307" s="47"/>
    </row>
    <row r="308" spans="1:10" x14ac:dyDescent="0.3">
      <c r="A308" s="512" t="s">
        <v>713</v>
      </c>
      <c r="B308" s="512" t="s">
        <v>804</v>
      </c>
      <c r="C308" s="512" t="s">
        <v>805</v>
      </c>
      <c r="D308" s="512" t="s">
        <v>737</v>
      </c>
      <c r="E308" s="512"/>
      <c r="F308" s="47"/>
      <c r="G308" s="47"/>
      <c r="H308" s="47"/>
      <c r="I308" s="47"/>
      <c r="J308" s="47"/>
    </row>
    <row r="309" spans="1:10" x14ac:dyDescent="0.3">
      <c r="A309" s="514" t="s">
        <v>682</v>
      </c>
      <c r="B309" s="514" t="s">
        <v>806</v>
      </c>
      <c r="C309" s="514" t="s">
        <v>807</v>
      </c>
      <c r="D309" s="514" t="s">
        <v>808</v>
      </c>
      <c r="E309" s="514"/>
      <c r="F309" s="47"/>
      <c r="G309" s="47"/>
      <c r="H309" s="47"/>
      <c r="I309" s="47"/>
      <c r="J309" s="47"/>
    </row>
    <row r="310" spans="1:10" x14ac:dyDescent="0.3">
      <c r="A310" s="512" t="s">
        <v>682</v>
      </c>
      <c r="B310" s="512" t="s">
        <v>809</v>
      </c>
      <c r="C310" s="512" t="s">
        <v>810</v>
      </c>
      <c r="D310" s="512" t="s">
        <v>683</v>
      </c>
      <c r="E310" s="512"/>
      <c r="F310" s="47"/>
      <c r="G310" s="47"/>
      <c r="H310" s="47"/>
      <c r="I310" s="47"/>
      <c r="J310" s="47"/>
    </row>
    <row r="311" spans="1:10" x14ac:dyDescent="0.3">
      <c r="A311" s="514" t="s">
        <v>682</v>
      </c>
      <c r="B311" s="514" t="s">
        <v>811</v>
      </c>
      <c r="C311" s="514" t="s">
        <v>812</v>
      </c>
      <c r="D311" s="514" t="s">
        <v>683</v>
      </c>
      <c r="E311" s="514"/>
      <c r="F311" s="47"/>
      <c r="G311" s="47"/>
      <c r="H311" s="47"/>
      <c r="I311" s="47"/>
      <c r="J311" s="47"/>
    </row>
    <row r="312" spans="1:10" x14ac:dyDescent="0.3">
      <c r="A312" s="512" t="s">
        <v>682</v>
      </c>
      <c r="B312" s="512" t="s">
        <v>813</v>
      </c>
      <c r="C312" s="512" t="s">
        <v>814</v>
      </c>
      <c r="D312" s="512" t="s">
        <v>808</v>
      </c>
      <c r="E312" s="512"/>
      <c r="F312" s="47"/>
      <c r="G312" s="47"/>
      <c r="H312" s="47"/>
      <c r="I312" s="47"/>
      <c r="J312" s="47"/>
    </row>
    <row r="313" spans="1:10" x14ac:dyDescent="0.3">
      <c r="A313" s="514" t="s">
        <v>713</v>
      </c>
      <c r="B313" s="514" t="s">
        <v>815</v>
      </c>
      <c r="C313" s="514" t="s">
        <v>816</v>
      </c>
      <c r="D313" s="514" t="s">
        <v>737</v>
      </c>
      <c r="E313" s="514"/>
      <c r="F313" s="47"/>
      <c r="G313" s="47"/>
      <c r="H313" s="47"/>
      <c r="I313" s="47"/>
      <c r="J313" s="47"/>
    </row>
    <row r="314" spans="1:10" x14ac:dyDescent="0.3">
      <c r="A314" s="512" t="s">
        <v>713</v>
      </c>
      <c r="B314" s="512" t="s">
        <v>817</v>
      </c>
      <c r="C314" s="512" t="s">
        <v>818</v>
      </c>
      <c r="D314" s="512" t="s">
        <v>716</v>
      </c>
      <c r="E314" s="512"/>
      <c r="F314" s="47"/>
      <c r="G314" s="47"/>
      <c r="H314" s="47"/>
      <c r="I314" s="47"/>
      <c r="J314" s="47"/>
    </row>
    <row r="315" spans="1:10" x14ac:dyDescent="0.3">
      <c r="A315" s="514" t="s">
        <v>713</v>
      </c>
      <c r="B315" s="514" t="s">
        <v>819</v>
      </c>
      <c r="C315" s="514" t="s">
        <v>820</v>
      </c>
      <c r="D315" s="514" t="s">
        <v>716</v>
      </c>
      <c r="E315" s="514"/>
      <c r="F315" s="47"/>
      <c r="G315" s="47"/>
      <c r="H315" s="47"/>
      <c r="I315" s="47"/>
      <c r="J315" s="47"/>
    </row>
    <row r="316" spans="1:10" x14ac:dyDescent="0.3">
      <c r="A316" s="512" t="s">
        <v>713</v>
      </c>
      <c r="B316" s="512" t="s">
        <v>821</v>
      </c>
      <c r="C316" s="512" t="s">
        <v>822</v>
      </c>
      <c r="D316" s="512" t="s">
        <v>716</v>
      </c>
      <c r="E316" s="512"/>
      <c r="F316" s="47"/>
      <c r="G316" s="47"/>
      <c r="H316" s="47"/>
      <c r="I316" s="47"/>
      <c r="J316" s="47"/>
    </row>
    <row r="317" spans="1:10" x14ac:dyDescent="0.3">
      <c r="A317" s="514" t="s">
        <v>682</v>
      </c>
      <c r="B317" s="514" t="s">
        <v>823</v>
      </c>
      <c r="C317" s="514" t="s">
        <v>824</v>
      </c>
      <c r="D317" s="514" t="s">
        <v>683</v>
      </c>
      <c r="E317" s="514"/>
      <c r="F317" s="47"/>
      <c r="G317" s="47"/>
      <c r="H317" s="47"/>
      <c r="I317" s="47"/>
      <c r="J317" s="47"/>
    </row>
    <row r="318" spans="1:10" x14ac:dyDescent="0.3">
      <c r="A318" s="512" t="s">
        <v>713</v>
      </c>
      <c r="B318" s="512" t="s">
        <v>825</v>
      </c>
      <c r="C318" s="512" t="s">
        <v>826</v>
      </c>
      <c r="D318" s="512" t="s">
        <v>737</v>
      </c>
      <c r="E318" s="512"/>
      <c r="F318" s="47"/>
      <c r="G318" s="47"/>
      <c r="H318" s="47"/>
      <c r="I318" s="47"/>
      <c r="J318" s="47"/>
    </row>
    <row r="319" spans="1:10" x14ac:dyDescent="0.3">
      <c r="A319" s="514" t="s">
        <v>713</v>
      </c>
      <c r="B319" s="514" t="s">
        <v>827</v>
      </c>
      <c r="C319" s="514" t="s">
        <v>828</v>
      </c>
      <c r="D319" s="514" t="s">
        <v>737</v>
      </c>
      <c r="E319" s="514"/>
      <c r="F319" s="47"/>
      <c r="G319" s="47"/>
      <c r="H319" s="47"/>
      <c r="I319" s="47"/>
      <c r="J319" s="47"/>
    </row>
    <row r="320" spans="1:10" x14ac:dyDescent="0.3">
      <c r="A320" s="512" t="s">
        <v>713</v>
      </c>
      <c r="B320" s="512" t="s">
        <v>829</v>
      </c>
      <c r="C320" s="512" t="s">
        <v>830</v>
      </c>
      <c r="D320" s="512" t="s">
        <v>716</v>
      </c>
      <c r="E320" s="512"/>
      <c r="F320" s="47"/>
      <c r="G320" s="47"/>
      <c r="H320" s="47"/>
      <c r="I320" s="47"/>
      <c r="J320" s="47"/>
    </row>
    <row r="321" spans="1:10" x14ac:dyDescent="0.3">
      <c r="A321" s="514" t="s">
        <v>713</v>
      </c>
      <c r="B321" s="514" t="s">
        <v>831</v>
      </c>
      <c r="C321" s="514" t="s">
        <v>832</v>
      </c>
      <c r="D321" s="514" t="s">
        <v>716</v>
      </c>
      <c r="E321" s="514"/>
      <c r="F321" s="47"/>
      <c r="G321" s="47"/>
      <c r="H321" s="47"/>
      <c r="I321" s="47"/>
      <c r="J321" s="47"/>
    </row>
    <row r="322" spans="1:10" x14ac:dyDescent="0.3">
      <c r="A322" s="512" t="s">
        <v>833</v>
      </c>
      <c r="B322" s="512" t="s">
        <v>834</v>
      </c>
      <c r="C322" s="512" t="s">
        <v>835</v>
      </c>
      <c r="D322" s="512" t="s">
        <v>836</v>
      </c>
      <c r="E322" s="512"/>
      <c r="F322" s="47"/>
      <c r="G322" s="47"/>
      <c r="H322" s="47"/>
      <c r="I322" s="47"/>
      <c r="J322" s="47"/>
    </row>
    <row r="323" spans="1:10" x14ac:dyDescent="0.3">
      <c r="A323" s="514" t="s">
        <v>682</v>
      </c>
      <c r="B323" s="514" t="s">
        <v>837</v>
      </c>
      <c r="C323" s="514" t="s">
        <v>838</v>
      </c>
      <c r="D323" s="514" t="s">
        <v>692</v>
      </c>
      <c r="E323" s="514"/>
      <c r="F323" s="47"/>
      <c r="G323" s="47"/>
      <c r="H323" s="47"/>
      <c r="I323" s="47"/>
      <c r="J323" s="47"/>
    </row>
    <row r="324" spans="1:10" x14ac:dyDescent="0.3">
      <c r="A324" s="512" t="s">
        <v>682</v>
      </c>
      <c r="B324" s="512" t="s">
        <v>839</v>
      </c>
      <c r="C324" s="512" t="s">
        <v>840</v>
      </c>
      <c r="D324" s="512" t="s">
        <v>683</v>
      </c>
      <c r="E324" s="512"/>
      <c r="F324" s="47"/>
      <c r="G324" s="47"/>
      <c r="H324" s="47"/>
      <c r="I324" s="47"/>
      <c r="J324" s="47"/>
    </row>
    <row r="325" spans="1:10" x14ac:dyDescent="0.3">
      <c r="A325" s="514" t="s">
        <v>682</v>
      </c>
      <c r="B325" s="514" t="s">
        <v>841</v>
      </c>
      <c r="C325" s="514" t="s">
        <v>842</v>
      </c>
      <c r="D325" s="514" t="s">
        <v>692</v>
      </c>
      <c r="E325" s="514"/>
      <c r="F325" s="47"/>
      <c r="G325" s="47"/>
      <c r="H325" s="47"/>
      <c r="I325" s="47"/>
      <c r="J325" s="47"/>
    </row>
    <row r="326" spans="1:10" x14ac:dyDescent="0.3">
      <c r="A326" s="512" t="s">
        <v>713</v>
      </c>
      <c r="B326" s="512" t="s">
        <v>843</v>
      </c>
      <c r="C326" s="512" t="s">
        <v>844</v>
      </c>
      <c r="D326" s="512" t="s">
        <v>737</v>
      </c>
      <c r="E326" s="512"/>
      <c r="F326" s="47"/>
      <c r="G326" s="47"/>
      <c r="H326" s="47"/>
      <c r="I326" s="47"/>
      <c r="J326" s="47"/>
    </row>
    <row r="327" spans="1:10" x14ac:dyDescent="0.3">
      <c r="A327" s="514" t="s">
        <v>682</v>
      </c>
      <c r="B327" s="514" t="s">
        <v>845</v>
      </c>
      <c r="C327" s="514" t="s">
        <v>846</v>
      </c>
      <c r="D327" s="514" t="s">
        <v>808</v>
      </c>
      <c r="E327" s="514"/>
      <c r="F327" s="47"/>
      <c r="G327" s="47"/>
      <c r="H327" s="47"/>
      <c r="I327" s="47"/>
      <c r="J327" s="47"/>
    </row>
    <row r="328" spans="1:10" x14ac:dyDescent="0.3">
      <c r="A328" s="512" t="s">
        <v>713</v>
      </c>
      <c r="B328" s="512" t="s">
        <v>847</v>
      </c>
      <c r="C328" s="512" t="s">
        <v>848</v>
      </c>
      <c r="D328" s="512" t="s">
        <v>737</v>
      </c>
      <c r="E328" s="512"/>
      <c r="F328" s="47"/>
      <c r="G328" s="47"/>
      <c r="H328" s="47"/>
      <c r="I328" s="47"/>
      <c r="J328" s="47"/>
    </row>
    <row r="329" spans="1:10" x14ac:dyDescent="0.3">
      <c r="A329" s="514" t="s">
        <v>713</v>
      </c>
      <c r="B329" s="514" t="s">
        <v>849</v>
      </c>
      <c r="C329" s="514" t="s">
        <v>850</v>
      </c>
      <c r="D329" s="514" t="s">
        <v>716</v>
      </c>
      <c r="E329" s="514"/>
      <c r="F329" s="47"/>
      <c r="G329" s="47"/>
      <c r="H329" s="47"/>
      <c r="I329" s="47"/>
      <c r="J329" s="47"/>
    </row>
    <row r="330" spans="1:10" x14ac:dyDescent="0.3">
      <c r="A330" s="512" t="s">
        <v>682</v>
      </c>
      <c r="B330" s="512" t="s">
        <v>851</v>
      </c>
      <c r="C330" s="512" t="s">
        <v>852</v>
      </c>
      <c r="D330" s="512" t="s">
        <v>808</v>
      </c>
      <c r="E330" s="512"/>
      <c r="F330" s="47"/>
      <c r="G330" s="47"/>
      <c r="H330" s="47"/>
      <c r="I330" s="47"/>
      <c r="J330" s="47"/>
    </row>
    <row r="331" spans="1:10" x14ac:dyDescent="0.3">
      <c r="A331" s="514" t="s">
        <v>713</v>
      </c>
      <c r="B331" s="514" t="s">
        <v>853</v>
      </c>
      <c r="C331" s="514" t="s">
        <v>854</v>
      </c>
      <c r="D331" s="514" t="s">
        <v>737</v>
      </c>
      <c r="E331" s="514"/>
      <c r="F331" s="47"/>
      <c r="G331" s="47"/>
      <c r="H331" s="47"/>
      <c r="I331" s="47"/>
      <c r="J331" s="47"/>
    </row>
    <row r="332" spans="1:10" x14ac:dyDescent="0.3">
      <c r="A332" s="512" t="s">
        <v>682</v>
      </c>
      <c r="B332" s="512" t="s">
        <v>855</v>
      </c>
      <c r="C332" s="512" t="s">
        <v>856</v>
      </c>
      <c r="D332" s="512" t="s">
        <v>683</v>
      </c>
      <c r="E332" s="512"/>
      <c r="F332" s="47"/>
      <c r="G332" s="47"/>
      <c r="H332" s="47"/>
      <c r="I332" s="47"/>
      <c r="J332" s="47"/>
    </row>
    <row r="333" spans="1:10" x14ac:dyDescent="0.3">
      <c r="A333" s="514" t="s">
        <v>682</v>
      </c>
      <c r="B333" s="514" t="s">
        <v>857</v>
      </c>
      <c r="C333" s="514" t="s">
        <v>858</v>
      </c>
      <c r="D333" s="514" t="s">
        <v>683</v>
      </c>
      <c r="E333" s="514"/>
      <c r="F333" s="47"/>
      <c r="G333" s="47"/>
      <c r="H333" s="47"/>
      <c r="I333" s="47"/>
      <c r="J333" s="47"/>
    </row>
    <row r="334" spans="1:10" x14ac:dyDescent="0.3">
      <c r="A334" s="512" t="s">
        <v>682</v>
      </c>
      <c r="B334" s="512" t="s">
        <v>859</v>
      </c>
      <c r="C334" s="512" t="s">
        <v>860</v>
      </c>
      <c r="D334" s="512" t="s">
        <v>683</v>
      </c>
      <c r="E334" s="512"/>
      <c r="F334" s="47"/>
      <c r="G334" s="47"/>
      <c r="H334" s="47"/>
      <c r="I334" s="47"/>
      <c r="J334" s="47"/>
    </row>
    <row r="335" spans="1:10" x14ac:dyDescent="0.3">
      <c r="A335" s="514" t="s">
        <v>682</v>
      </c>
      <c r="B335" s="514" t="s">
        <v>861</v>
      </c>
      <c r="C335" s="514" t="s">
        <v>862</v>
      </c>
      <c r="D335" s="514" t="s">
        <v>683</v>
      </c>
      <c r="E335" s="514"/>
      <c r="F335" s="47"/>
      <c r="G335" s="47"/>
      <c r="H335" s="47"/>
      <c r="I335" s="47"/>
      <c r="J335" s="47"/>
    </row>
    <row r="336" spans="1:10" x14ac:dyDescent="0.3">
      <c r="A336" s="512" t="s">
        <v>682</v>
      </c>
      <c r="B336" s="512" t="s">
        <v>863</v>
      </c>
      <c r="C336" s="512" t="s">
        <v>864</v>
      </c>
      <c r="D336" s="512" t="s">
        <v>683</v>
      </c>
      <c r="E336" s="512"/>
      <c r="F336" s="47"/>
      <c r="G336" s="47"/>
      <c r="H336" s="47"/>
      <c r="I336" s="47"/>
      <c r="J336" s="47"/>
    </row>
    <row r="337" spans="1:10" x14ac:dyDescent="0.3">
      <c r="A337" s="514" t="s">
        <v>682</v>
      </c>
      <c r="B337" s="514" t="s">
        <v>865</v>
      </c>
      <c r="C337" s="514" t="s">
        <v>866</v>
      </c>
      <c r="D337" s="514" t="s">
        <v>683</v>
      </c>
      <c r="E337" s="514"/>
      <c r="F337" s="47"/>
      <c r="G337" s="47"/>
      <c r="H337" s="47"/>
      <c r="I337" s="47"/>
      <c r="J337" s="47"/>
    </row>
    <row r="338" spans="1:10" x14ac:dyDescent="0.3">
      <c r="A338" s="512" t="s">
        <v>682</v>
      </c>
      <c r="B338" s="512" t="s">
        <v>867</v>
      </c>
      <c r="C338" s="512" t="s">
        <v>868</v>
      </c>
      <c r="D338" s="512" t="s">
        <v>683</v>
      </c>
      <c r="E338" s="512"/>
      <c r="F338" s="47"/>
      <c r="G338" s="47"/>
      <c r="H338" s="47"/>
      <c r="I338" s="47"/>
      <c r="J338" s="47"/>
    </row>
    <row r="339" spans="1:10" x14ac:dyDescent="0.3">
      <c r="A339" s="514" t="s">
        <v>682</v>
      </c>
      <c r="B339" s="514" t="s">
        <v>869</v>
      </c>
      <c r="C339" s="514" t="s">
        <v>870</v>
      </c>
      <c r="D339" s="514" t="s">
        <v>683</v>
      </c>
      <c r="E339" s="514"/>
      <c r="F339" s="47"/>
      <c r="G339" s="47"/>
      <c r="H339" s="47"/>
      <c r="I339" s="47"/>
      <c r="J339" s="47"/>
    </row>
    <row r="340" spans="1:10" ht="21" x14ac:dyDescent="0.3">
      <c r="A340" s="113"/>
      <c r="B340" s="113"/>
      <c r="C340" s="113"/>
      <c r="D340" s="113"/>
      <c r="E340" s="341">
        <f>(COUNTIF(E230:E339,"Sim")/(COUNTA(B230:B339)))</f>
        <v>0</v>
      </c>
      <c r="F340" s="47"/>
      <c r="G340" s="47"/>
      <c r="H340" s="47"/>
      <c r="I340" s="47"/>
      <c r="J340" s="47"/>
    </row>
    <row r="341" spans="1:10" x14ac:dyDescent="0.3">
      <c r="H341" s="47"/>
      <c r="I341" s="47"/>
      <c r="J341" s="47"/>
    </row>
    <row r="342" spans="1:10" ht="15.6" x14ac:dyDescent="0.3">
      <c r="A342" s="100" t="s">
        <v>572</v>
      </c>
      <c r="B342" s="100"/>
      <c r="C342" s="100"/>
      <c r="D342" s="99" t="s">
        <v>573</v>
      </c>
      <c r="E342" s="99" t="s">
        <v>78</v>
      </c>
      <c r="F342" s="99" t="s">
        <v>79</v>
      </c>
      <c r="H342" s="47"/>
      <c r="I342" s="47"/>
      <c r="J342" s="47"/>
    </row>
    <row r="343" spans="1:10" x14ac:dyDescent="0.3">
      <c r="A343" s="112" t="s">
        <v>871</v>
      </c>
      <c r="B343" s="112" t="s">
        <v>872</v>
      </c>
      <c r="C343" s="310"/>
      <c r="D343" s="109">
        <v>1</v>
      </c>
      <c r="E343" s="603" t="s">
        <v>308</v>
      </c>
      <c r="F343" s="109" t="s">
        <v>873</v>
      </c>
      <c r="H343" s="47"/>
      <c r="I343" s="47"/>
      <c r="J343" s="47"/>
    </row>
    <row r="344" spans="1:10" x14ac:dyDescent="0.3">
      <c r="A344" s="321" t="s">
        <v>871</v>
      </c>
      <c r="B344" s="322" t="s">
        <v>874</v>
      </c>
      <c r="C344" s="323"/>
      <c r="D344" s="106">
        <v>1</v>
      </c>
      <c r="E344" s="106" t="s">
        <v>308</v>
      </c>
      <c r="F344" s="106" t="s">
        <v>308</v>
      </c>
      <c r="H344" s="47"/>
      <c r="I344" s="47"/>
      <c r="J344" s="47"/>
    </row>
    <row r="345" spans="1:10" x14ac:dyDescent="0.3">
      <c r="A345" s="112" t="s">
        <v>871</v>
      </c>
      <c r="B345" s="112" t="s">
        <v>875</v>
      </c>
      <c r="C345" s="310"/>
      <c r="D345" s="109">
        <v>1</v>
      </c>
      <c r="E345" s="109" t="s">
        <v>308</v>
      </c>
      <c r="F345" s="109" t="s">
        <v>308</v>
      </c>
      <c r="H345" s="47"/>
      <c r="I345" s="47"/>
      <c r="J345" s="47"/>
    </row>
    <row r="346" spans="1:10" x14ac:dyDescent="0.3">
      <c r="A346" s="321" t="s">
        <v>871</v>
      </c>
      <c r="B346" s="322" t="s">
        <v>876</v>
      </c>
      <c r="C346" s="323"/>
      <c r="D346" s="106">
        <v>1</v>
      </c>
      <c r="E346" s="106" t="s">
        <v>873</v>
      </c>
      <c r="F346" s="106" t="s">
        <v>873</v>
      </c>
      <c r="H346" s="47"/>
      <c r="I346" s="47"/>
      <c r="J346" s="47"/>
    </row>
    <row r="347" spans="1:10" x14ac:dyDescent="0.3">
      <c r="A347" s="112" t="s">
        <v>871</v>
      </c>
      <c r="B347" s="112" t="s">
        <v>877</v>
      </c>
      <c r="C347" s="310"/>
      <c r="D347" s="109">
        <v>1</v>
      </c>
      <c r="E347" s="603" t="s">
        <v>308</v>
      </c>
      <c r="F347" s="109" t="s">
        <v>873</v>
      </c>
      <c r="H347" s="47"/>
      <c r="I347" s="47"/>
      <c r="J347" s="47"/>
    </row>
    <row r="348" spans="1:10" x14ac:dyDescent="0.3">
      <c r="A348" s="321" t="s">
        <v>878</v>
      </c>
      <c r="B348" s="322" t="s">
        <v>879</v>
      </c>
      <c r="C348" s="506"/>
      <c r="D348" s="106">
        <v>1</v>
      </c>
      <c r="E348" s="106" t="s">
        <v>873</v>
      </c>
      <c r="F348" s="106" t="s">
        <v>873</v>
      </c>
      <c r="H348" s="47"/>
      <c r="I348" s="47"/>
      <c r="J348" s="47"/>
    </row>
    <row r="349" spans="1:10" x14ac:dyDescent="0.3">
      <c r="A349" s="112" t="s">
        <v>878</v>
      </c>
      <c r="B349" s="112" t="s">
        <v>880</v>
      </c>
      <c r="C349" s="310"/>
      <c r="D349" s="109">
        <v>1</v>
      </c>
      <c r="E349" s="109" t="s">
        <v>308</v>
      </c>
      <c r="F349" s="109" t="s">
        <v>308</v>
      </c>
      <c r="H349" s="47"/>
      <c r="I349" s="47"/>
      <c r="J349" s="47"/>
    </row>
    <row r="350" spans="1:10" x14ac:dyDescent="0.3">
      <c r="A350" s="321" t="s">
        <v>878</v>
      </c>
      <c r="B350" s="322" t="s">
        <v>881</v>
      </c>
      <c r="C350" s="323"/>
      <c r="D350" s="106">
        <v>1</v>
      </c>
      <c r="E350" s="616" t="s">
        <v>308</v>
      </c>
      <c r="F350" s="106" t="s">
        <v>873</v>
      </c>
      <c r="H350" s="47"/>
      <c r="I350" s="47"/>
      <c r="J350" s="47"/>
    </row>
    <row r="351" spans="1:10" x14ac:dyDescent="0.3">
      <c r="A351" s="112" t="s">
        <v>878</v>
      </c>
      <c r="B351" s="112" t="s">
        <v>882</v>
      </c>
      <c r="C351" s="310"/>
      <c r="D351" s="109">
        <v>1</v>
      </c>
      <c r="E351" s="109" t="s">
        <v>873</v>
      </c>
      <c r="F351" s="109" t="s">
        <v>873</v>
      </c>
      <c r="H351" s="47"/>
      <c r="I351" s="47"/>
      <c r="J351" s="47"/>
    </row>
    <row r="352" spans="1:10" x14ac:dyDescent="0.3">
      <c r="A352" s="321" t="s">
        <v>878</v>
      </c>
      <c r="B352" s="322" t="s">
        <v>883</v>
      </c>
      <c r="C352" s="323"/>
      <c r="D352" s="106">
        <v>1</v>
      </c>
      <c r="E352" s="106" t="s">
        <v>873</v>
      </c>
      <c r="F352" s="106" t="s">
        <v>873</v>
      </c>
      <c r="H352" s="47"/>
      <c r="I352" s="47"/>
      <c r="J352" s="47"/>
    </row>
    <row r="353" spans="1:6" x14ac:dyDescent="0.3">
      <c r="A353" s="112" t="s">
        <v>884</v>
      </c>
      <c r="B353" s="112" t="s">
        <v>885</v>
      </c>
      <c r="C353" s="310"/>
      <c r="D353" s="109">
        <v>1</v>
      </c>
      <c r="E353" s="109" t="s">
        <v>873</v>
      </c>
      <c r="F353" s="109" t="s">
        <v>873</v>
      </c>
    </row>
    <row r="354" spans="1:6" x14ac:dyDescent="0.3">
      <c r="A354" s="321" t="s">
        <v>884</v>
      </c>
      <c r="B354" s="322" t="s">
        <v>886</v>
      </c>
      <c r="C354" s="323"/>
      <c r="D354" s="106">
        <v>1</v>
      </c>
      <c r="E354" s="106" t="s">
        <v>873</v>
      </c>
      <c r="F354" s="106" t="s">
        <v>873</v>
      </c>
    </row>
    <row r="355" spans="1:6" x14ac:dyDescent="0.3">
      <c r="A355" s="112" t="s">
        <v>884</v>
      </c>
      <c r="B355" s="112" t="s">
        <v>887</v>
      </c>
      <c r="C355" s="310"/>
      <c r="D355" s="109">
        <v>1</v>
      </c>
      <c r="E355" s="109" t="s">
        <v>873</v>
      </c>
      <c r="F355" s="109" t="s">
        <v>873</v>
      </c>
    </row>
    <row r="356" spans="1:6" x14ac:dyDescent="0.3">
      <c r="A356" s="321" t="s">
        <v>884</v>
      </c>
      <c r="B356" s="322" t="s">
        <v>888</v>
      </c>
      <c r="C356" s="323"/>
      <c r="D356" s="106">
        <v>1</v>
      </c>
      <c r="E356" s="106" t="s">
        <v>873</v>
      </c>
      <c r="F356" s="106" t="s">
        <v>873</v>
      </c>
    </row>
    <row r="357" spans="1:6" x14ac:dyDescent="0.3">
      <c r="A357" s="112" t="s">
        <v>884</v>
      </c>
      <c r="B357" s="112" t="s">
        <v>889</v>
      </c>
      <c r="C357" s="310"/>
      <c r="D357" s="109">
        <v>1</v>
      </c>
      <c r="E357" s="603" t="s">
        <v>308</v>
      </c>
      <c r="F357" s="109" t="s">
        <v>873</v>
      </c>
    </row>
    <row r="358" spans="1:6" x14ac:dyDescent="0.3">
      <c r="A358" s="321" t="s">
        <v>884</v>
      </c>
      <c r="B358" s="322" t="s">
        <v>890</v>
      </c>
      <c r="C358" s="323"/>
      <c r="D358" s="106">
        <v>1</v>
      </c>
      <c r="E358" s="616" t="s">
        <v>308</v>
      </c>
      <c r="F358" s="106" t="s">
        <v>873</v>
      </c>
    </row>
    <row r="359" spans="1:6" x14ac:dyDescent="0.3">
      <c r="A359" s="112" t="s">
        <v>884</v>
      </c>
      <c r="B359" s="112" t="s">
        <v>891</v>
      </c>
      <c r="C359" s="310"/>
      <c r="D359" s="109">
        <v>1</v>
      </c>
      <c r="E359" s="603" t="s">
        <v>308</v>
      </c>
      <c r="F359" s="109" t="s">
        <v>873</v>
      </c>
    </row>
    <row r="360" spans="1:6" x14ac:dyDescent="0.3">
      <c r="A360" s="321" t="s">
        <v>892</v>
      </c>
      <c r="B360" s="322" t="s">
        <v>893</v>
      </c>
      <c r="C360" s="323"/>
      <c r="D360" s="106">
        <v>1</v>
      </c>
      <c r="E360" s="106" t="s">
        <v>308</v>
      </c>
      <c r="F360" s="106" t="s">
        <v>308</v>
      </c>
    </row>
    <row r="361" spans="1:6" x14ac:dyDescent="0.3">
      <c r="A361" s="112" t="s">
        <v>892</v>
      </c>
      <c r="B361" s="112" t="s">
        <v>894</v>
      </c>
      <c r="C361" s="310"/>
      <c r="D361" s="109">
        <v>1</v>
      </c>
      <c r="E361" s="109" t="s">
        <v>873</v>
      </c>
      <c r="F361" s="109" t="s">
        <v>873</v>
      </c>
    </row>
    <row r="362" spans="1:6" x14ac:dyDescent="0.3">
      <c r="A362" s="321" t="s">
        <v>892</v>
      </c>
      <c r="B362" s="322" t="s">
        <v>895</v>
      </c>
      <c r="C362" s="506"/>
      <c r="D362" s="106">
        <v>1</v>
      </c>
      <c r="E362" s="106" t="s">
        <v>873</v>
      </c>
      <c r="F362" s="106" t="s">
        <v>873</v>
      </c>
    </row>
    <row r="363" spans="1:6" x14ac:dyDescent="0.3">
      <c r="A363" s="112" t="s">
        <v>892</v>
      </c>
      <c r="B363" s="112" t="s">
        <v>896</v>
      </c>
      <c r="C363" s="310"/>
      <c r="D363" s="109">
        <v>1</v>
      </c>
      <c r="E363" s="603" t="s">
        <v>308</v>
      </c>
      <c r="F363" s="109" t="s">
        <v>873</v>
      </c>
    </row>
    <row r="364" spans="1:6" x14ac:dyDescent="0.3">
      <c r="A364" s="321" t="s">
        <v>892</v>
      </c>
      <c r="B364" s="322" t="s">
        <v>897</v>
      </c>
      <c r="C364" s="323"/>
      <c r="D364" s="106">
        <v>1</v>
      </c>
      <c r="E364" s="106" t="s">
        <v>308</v>
      </c>
      <c r="F364" s="106" t="s">
        <v>308</v>
      </c>
    </row>
    <row r="365" spans="1:6" x14ac:dyDescent="0.3">
      <c r="A365" s="112" t="s">
        <v>892</v>
      </c>
      <c r="B365" s="112" t="s">
        <v>898</v>
      </c>
      <c r="C365" s="310"/>
      <c r="D365" s="109">
        <v>1</v>
      </c>
      <c r="E365" s="109" t="s">
        <v>308</v>
      </c>
      <c r="F365" s="109" t="s">
        <v>308</v>
      </c>
    </row>
    <row r="366" spans="1:6" x14ac:dyDescent="0.3">
      <c r="A366" s="321" t="s">
        <v>892</v>
      </c>
      <c r="B366" s="322" t="s">
        <v>899</v>
      </c>
      <c r="C366" s="323"/>
      <c r="D366" s="106">
        <v>1</v>
      </c>
      <c r="E366" s="674" t="s">
        <v>308</v>
      </c>
      <c r="F366" s="106" t="s">
        <v>308</v>
      </c>
    </row>
    <row r="367" spans="1:6" x14ac:dyDescent="0.3">
      <c r="A367" s="112" t="s">
        <v>892</v>
      </c>
      <c r="B367" s="112" t="s">
        <v>900</v>
      </c>
      <c r="C367" s="310"/>
      <c r="D367" s="109">
        <v>1</v>
      </c>
      <c r="E367" s="603" t="s">
        <v>308</v>
      </c>
      <c r="F367" s="109" t="s">
        <v>873</v>
      </c>
    </row>
    <row r="368" spans="1:6" x14ac:dyDescent="0.3">
      <c r="A368" s="321" t="s">
        <v>892</v>
      </c>
      <c r="B368" s="322" t="s">
        <v>901</v>
      </c>
      <c r="C368" s="323"/>
      <c r="D368" s="106">
        <v>1</v>
      </c>
      <c r="E368" s="106" t="s">
        <v>308</v>
      </c>
      <c r="F368" s="106" t="s">
        <v>308</v>
      </c>
    </row>
    <row r="369" spans="1:6" x14ac:dyDescent="0.3">
      <c r="A369" s="112" t="s">
        <v>892</v>
      </c>
      <c r="B369" s="112" t="s">
        <v>902</v>
      </c>
      <c r="C369" s="310"/>
      <c r="D369" s="109">
        <v>1</v>
      </c>
      <c r="E369" s="109" t="s">
        <v>308</v>
      </c>
      <c r="F369" s="109" t="s">
        <v>308</v>
      </c>
    </row>
    <row r="370" spans="1:6" x14ac:dyDescent="0.3">
      <c r="A370" s="321" t="s">
        <v>892</v>
      </c>
      <c r="B370" s="322" t="s">
        <v>903</v>
      </c>
      <c r="C370" s="323"/>
      <c r="D370" s="106">
        <v>1</v>
      </c>
      <c r="E370" s="106" t="s">
        <v>308</v>
      </c>
      <c r="F370" s="106" t="s">
        <v>308</v>
      </c>
    </row>
    <row r="371" spans="1:6" x14ac:dyDescent="0.3">
      <c r="A371" s="112" t="s">
        <v>892</v>
      </c>
      <c r="B371" s="112" t="s">
        <v>904</v>
      </c>
      <c r="C371" s="310"/>
      <c r="D371" s="109">
        <v>1</v>
      </c>
      <c r="E371" s="109" t="s">
        <v>308</v>
      </c>
      <c r="F371" s="109" t="s">
        <v>308</v>
      </c>
    </row>
    <row r="372" spans="1:6" x14ac:dyDescent="0.3">
      <c r="A372" s="321" t="s">
        <v>892</v>
      </c>
      <c r="B372" s="322" t="s">
        <v>905</v>
      </c>
      <c r="C372" s="323"/>
      <c r="D372" s="106">
        <v>1</v>
      </c>
      <c r="E372" s="106" t="s">
        <v>308</v>
      </c>
      <c r="F372" s="106" t="s">
        <v>308</v>
      </c>
    </row>
    <row r="373" spans="1:6" x14ac:dyDescent="0.3">
      <c r="A373" s="112" t="s">
        <v>892</v>
      </c>
      <c r="B373" s="112" t="s">
        <v>906</v>
      </c>
      <c r="C373" s="310"/>
      <c r="D373" s="109">
        <v>1</v>
      </c>
      <c r="E373" s="109" t="s">
        <v>308</v>
      </c>
      <c r="F373" s="109" t="s">
        <v>308</v>
      </c>
    </row>
    <row r="374" spans="1:6" x14ac:dyDescent="0.3">
      <c r="A374" s="321" t="s">
        <v>884</v>
      </c>
      <c r="B374" s="322" t="s">
        <v>907</v>
      </c>
      <c r="C374" s="323"/>
      <c r="D374" s="106">
        <v>2</v>
      </c>
      <c r="E374" s="106" t="s">
        <v>308</v>
      </c>
      <c r="F374" s="106" t="s">
        <v>873</v>
      </c>
    </row>
    <row r="375" spans="1:6" x14ac:dyDescent="0.3">
      <c r="A375" s="112" t="s">
        <v>884</v>
      </c>
      <c r="B375" s="112" t="s">
        <v>908</v>
      </c>
      <c r="C375" s="310"/>
      <c r="D375" s="109">
        <v>2</v>
      </c>
      <c r="E375" s="109" t="s">
        <v>308</v>
      </c>
      <c r="F375" s="109" t="s">
        <v>308</v>
      </c>
    </row>
    <row r="376" spans="1:6" x14ac:dyDescent="0.3">
      <c r="A376" s="321" t="s">
        <v>884</v>
      </c>
      <c r="B376" s="322" t="s">
        <v>909</v>
      </c>
      <c r="C376" s="323"/>
      <c r="D376" s="106">
        <v>2</v>
      </c>
      <c r="E376" s="106" t="s">
        <v>308</v>
      </c>
      <c r="F376" s="106" t="s">
        <v>308</v>
      </c>
    </row>
    <row r="377" spans="1:6" x14ac:dyDescent="0.3">
      <c r="A377" s="112" t="s">
        <v>884</v>
      </c>
      <c r="B377" s="112" t="s">
        <v>910</v>
      </c>
      <c r="C377" s="310"/>
      <c r="D377" s="109">
        <v>2</v>
      </c>
      <c r="E377" s="603" t="s">
        <v>308</v>
      </c>
      <c r="F377" s="109" t="s">
        <v>873</v>
      </c>
    </row>
    <row r="378" spans="1:6" x14ac:dyDescent="0.3">
      <c r="A378" s="321" t="s">
        <v>884</v>
      </c>
      <c r="B378" s="322" t="s">
        <v>911</v>
      </c>
      <c r="C378" s="323"/>
      <c r="D378" s="106">
        <v>2</v>
      </c>
      <c r="E378" s="106" t="s">
        <v>308</v>
      </c>
      <c r="F378" s="106" t="s">
        <v>308</v>
      </c>
    </row>
    <row r="379" spans="1:6" x14ac:dyDescent="0.3">
      <c r="A379" s="112" t="s">
        <v>892</v>
      </c>
      <c r="B379" s="112" t="s">
        <v>912</v>
      </c>
      <c r="C379" s="310"/>
      <c r="D379" s="109">
        <v>2</v>
      </c>
      <c r="E379" s="109" t="s">
        <v>873</v>
      </c>
      <c r="F379" s="109" t="s">
        <v>873</v>
      </c>
    </row>
    <row r="380" spans="1:6" x14ac:dyDescent="0.3">
      <c r="A380" s="321" t="s">
        <v>892</v>
      </c>
      <c r="B380" s="322" t="s">
        <v>913</v>
      </c>
      <c r="C380" s="323"/>
      <c r="D380" s="106">
        <v>2</v>
      </c>
      <c r="E380" s="106" t="s">
        <v>873</v>
      </c>
      <c r="F380" s="106" t="s">
        <v>873</v>
      </c>
    </row>
    <row r="381" spans="1:6" x14ac:dyDescent="0.3">
      <c r="A381" s="112" t="s">
        <v>892</v>
      </c>
      <c r="B381" s="112" t="s">
        <v>914</v>
      </c>
      <c r="C381" s="310"/>
      <c r="D381" s="109">
        <v>2</v>
      </c>
      <c r="E381" s="109" t="s">
        <v>308</v>
      </c>
      <c r="F381" s="109" t="s">
        <v>308</v>
      </c>
    </row>
    <row r="382" spans="1:6" x14ac:dyDescent="0.3">
      <c r="A382" s="321" t="s">
        <v>892</v>
      </c>
      <c r="B382" s="322" t="s">
        <v>915</v>
      </c>
      <c r="C382" s="323"/>
      <c r="D382" s="106">
        <v>2</v>
      </c>
      <c r="E382" s="674" t="s">
        <v>308</v>
      </c>
      <c r="F382" s="106" t="s">
        <v>308</v>
      </c>
    </row>
    <row r="383" spans="1:6" x14ac:dyDescent="0.3">
      <c r="A383" s="601" t="s">
        <v>892</v>
      </c>
      <c r="B383" s="602" t="s">
        <v>916</v>
      </c>
      <c r="C383" s="505"/>
      <c r="D383" s="676">
        <v>2</v>
      </c>
      <c r="E383" s="603" t="s">
        <v>308</v>
      </c>
      <c r="F383" s="109" t="s">
        <v>873</v>
      </c>
    </row>
    <row r="384" spans="1:6" x14ac:dyDescent="0.3">
      <c r="A384" s="321" t="s">
        <v>892</v>
      </c>
      <c r="B384" s="322" t="s">
        <v>917</v>
      </c>
      <c r="C384" s="323"/>
      <c r="D384" s="106">
        <v>2</v>
      </c>
      <c r="E384" s="106" t="s">
        <v>308</v>
      </c>
      <c r="F384" s="106" t="s">
        <v>308</v>
      </c>
    </row>
    <row r="385" spans="1:6" x14ac:dyDescent="0.3">
      <c r="A385" s="112" t="s">
        <v>884</v>
      </c>
      <c r="B385" s="112" t="s">
        <v>918</v>
      </c>
      <c r="C385" s="310"/>
      <c r="D385" s="109">
        <v>3</v>
      </c>
      <c r="E385" s="109" t="s">
        <v>873</v>
      </c>
      <c r="F385" s="109" t="s">
        <v>873</v>
      </c>
    </row>
    <row r="386" spans="1:6" x14ac:dyDescent="0.3">
      <c r="A386" s="321" t="s">
        <v>884</v>
      </c>
      <c r="B386" s="322" t="s">
        <v>919</v>
      </c>
      <c r="C386" s="323"/>
      <c r="D386" s="106">
        <v>3</v>
      </c>
      <c r="E386" s="106" t="s">
        <v>308</v>
      </c>
      <c r="F386" s="106" t="s">
        <v>308</v>
      </c>
    </row>
    <row r="387" spans="1:6" x14ac:dyDescent="0.3">
      <c r="A387" s="112" t="s">
        <v>892</v>
      </c>
      <c r="B387" s="112" t="s">
        <v>920</v>
      </c>
      <c r="C387" s="310"/>
      <c r="D387" s="109">
        <v>3</v>
      </c>
      <c r="E387" s="603" t="s">
        <v>308</v>
      </c>
      <c r="F387" s="109" t="s">
        <v>873</v>
      </c>
    </row>
    <row r="388" spans="1:6" x14ac:dyDescent="0.3">
      <c r="A388" s="321" t="s">
        <v>892</v>
      </c>
      <c r="B388" s="321" t="s">
        <v>921</v>
      </c>
      <c r="C388" s="323"/>
      <c r="D388" s="106">
        <v>3</v>
      </c>
      <c r="E388" s="106" t="s">
        <v>308</v>
      </c>
      <c r="F388" s="106" t="s">
        <v>308</v>
      </c>
    </row>
    <row r="389" spans="1:6" x14ac:dyDescent="0.3">
      <c r="A389" s="601" t="s">
        <v>892</v>
      </c>
      <c r="B389" s="602" t="s">
        <v>922</v>
      </c>
      <c r="C389" s="613"/>
      <c r="D389" s="676">
        <v>3</v>
      </c>
      <c r="E389" s="109" t="s">
        <v>873</v>
      </c>
      <c r="F389" s="109" t="s">
        <v>873</v>
      </c>
    </row>
    <row r="390" spans="1:6" ht="21" x14ac:dyDescent="0.3">
      <c r="E390" s="113">
        <f>(COUNTIF(E343:E389,"OK")+COUNTIF(E343:E389,"N/A"))/47</f>
        <v>0.7021276595744681</v>
      </c>
      <c r="F390" s="113">
        <f>(COUNTIF(F343:F389,"OK")+COUNTIF(F343:F389,"N/A"))/47</f>
        <v>0.44680851063829785</v>
      </c>
    </row>
  </sheetData>
  <sheetProtection formatCells="0" formatColumns="0" formatRows="0" insertHyperlinks="0"/>
  <autoFilter ref="A54:AL176" xr:uid="{00000000-0001-0000-0100-000000000000}"/>
  <mergeCells count="1457">
    <mergeCell ref="AU163:AU164"/>
    <mergeCell ref="AV163:AV164"/>
    <mergeCell ref="AU165:AU166"/>
    <mergeCell ref="AV165:AV166"/>
    <mergeCell ref="AU167:AU168"/>
    <mergeCell ref="AV167:AV168"/>
    <mergeCell ref="AU169:AU170"/>
    <mergeCell ref="AV169:AV170"/>
    <mergeCell ref="AU171:AU172"/>
    <mergeCell ref="AV171:AV172"/>
    <mergeCell ref="AU173:AU174"/>
    <mergeCell ref="AV173:AV174"/>
    <mergeCell ref="AU175:AU176"/>
    <mergeCell ref="AV175:AV176"/>
    <mergeCell ref="AU145:AU146"/>
    <mergeCell ref="AV145:AV146"/>
    <mergeCell ref="AU147:AU148"/>
    <mergeCell ref="AV147:AV148"/>
    <mergeCell ref="AU149:AU150"/>
    <mergeCell ref="AV149:AV150"/>
    <mergeCell ref="AU151:AU152"/>
    <mergeCell ref="AV151:AV152"/>
    <mergeCell ref="AU153:AU154"/>
    <mergeCell ref="AV153:AV154"/>
    <mergeCell ref="AU155:AU156"/>
    <mergeCell ref="AV155:AV156"/>
    <mergeCell ref="AU157:AU158"/>
    <mergeCell ref="AV157:AV158"/>
    <mergeCell ref="AU159:AU160"/>
    <mergeCell ref="AV159:AV160"/>
    <mergeCell ref="AU161:AU162"/>
    <mergeCell ref="AV161:AV162"/>
    <mergeCell ref="AU127:AU128"/>
    <mergeCell ref="AV127:AV128"/>
    <mergeCell ref="AU129:AU130"/>
    <mergeCell ref="AV129:AV130"/>
    <mergeCell ref="AU131:AU132"/>
    <mergeCell ref="AV131:AV132"/>
    <mergeCell ref="AU133:AU134"/>
    <mergeCell ref="AV133:AV134"/>
    <mergeCell ref="AU135:AU136"/>
    <mergeCell ref="AV135:AV136"/>
    <mergeCell ref="AU137:AU138"/>
    <mergeCell ref="AV137:AV138"/>
    <mergeCell ref="AU139:AU140"/>
    <mergeCell ref="AV139:AV140"/>
    <mergeCell ref="AU141:AU142"/>
    <mergeCell ref="AV141:AV142"/>
    <mergeCell ref="AU143:AU144"/>
    <mergeCell ref="AV143:AV144"/>
    <mergeCell ref="AU109:AU110"/>
    <mergeCell ref="AV109:AV110"/>
    <mergeCell ref="AU111:AU112"/>
    <mergeCell ref="AV111:AV112"/>
    <mergeCell ref="AU113:AU114"/>
    <mergeCell ref="AV113:AV114"/>
    <mergeCell ref="AU115:AU116"/>
    <mergeCell ref="AV115:AV116"/>
    <mergeCell ref="AU117:AU118"/>
    <mergeCell ref="AV117:AV118"/>
    <mergeCell ref="AU119:AU120"/>
    <mergeCell ref="AV119:AV120"/>
    <mergeCell ref="AU121:AU122"/>
    <mergeCell ref="AV121:AV122"/>
    <mergeCell ref="AU123:AU124"/>
    <mergeCell ref="AV123:AV124"/>
    <mergeCell ref="AU125:AU126"/>
    <mergeCell ref="AV125:AV126"/>
    <mergeCell ref="AU91:AU92"/>
    <mergeCell ref="AV91:AV92"/>
    <mergeCell ref="AU93:AU94"/>
    <mergeCell ref="AV93:AV94"/>
    <mergeCell ref="AU95:AU96"/>
    <mergeCell ref="AV95:AV96"/>
    <mergeCell ref="AU97:AU98"/>
    <mergeCell ref="AV97:AV98"/>
    <mergeCell ref="AU99:AU100"/>
    <mergeCell ref="AV99:AV100"/>
    <mergeCell ref="AU101:AU102"/>
    <mergeCell ref="AV101:AV102"/>
    <mergeCell ref="AU103:AU104"/>
    <mergeCell ref="AV103:AV104"/>
    <mergeCell ref="AU105:AU106"/>
    <mergeCell ref="AV105:AV106"/>
    <mergeCell ref="AU107:AU108"/>
    <mergeCell ref="AV107:AV108"/>
    <mergeCell ref="AU73:AU74"/>
    <mergeCell ref="AV73:AV74"/>
    <mergeCell ref="AU75:AU76"/>
    <mergeCell ref="AV75:AV76"/>
    <mergeCell ref="AU77:AU78"/>
    <mergeCell ref="AV77:AV78"/>
    <mergeCell ref="AU79:AU80"/>
    <mergeCell ref="AV79:AV80"/>
    <mergeCell ref="AU81:AU82"/>
    <mergeCell ref="AV81:AV82"/>
    <mergeCell ref="AU83:AU84"/>
    <mergeCell ref="AV83:AV84"/>
    <mergeCell ref="AU85:AU86"/>
    <mergeCell ref="AV85:AV86"/>
    <mergeCell ref="AU87:AU88"/>
    <mergeCell ref="AV87:AV88"/>
    <mergeCell ref="AU89:AU90"/>
    <mergeCell ref="AV89:AV90"/>
    <mergeCell ref="AU55:AU56"/>
    <mergeCell ref="AV55:AV56"/>
    <mergeCell ref="AU57:AU58"/>
    <mergeCell ref="AV57:AV58"/>
    <mergeCell ref="AU59:AU60"/>
    <mergeCell ref="AV59:AV60"/>
    <mergeCell ref="AU61:AU62"/>
    <mergeCell ref="AV61:AV62"/>
    <mergeCell ref="AU63:AU64"/>
    <mergeCell ref="AV63:AV64"/>
    <mergeCell ref="AU65:AU66"/>
    <mergeCell ref="AV65:AV66"/>
    <mergeCell ref="AU67:AU68"/>
    <mergeCell ref="AV67:AV68"/>
    <mergeCell ref="AU69:AU70"/>
    <mergeCell ref="AV69:AV70"/>
    <mergeCell ref="AU71:AU72"/>
    <mergeCell ref="AV71:AV72"/>
    <mergeCell ref="B169:B170"/>
    <mergeCell ref="B171:B172"/>
    <mergeCell ref="B173:B174"/>
    <mergeCell ref="B175:B176"/>
    <mergeCell ref="B123:B124"/>
    <mergeCell ref="B125:B126"/>
    <mergeCell ref="B127:B128"/>
    <mergeCell ref="B129:B130"/>
    <mergeCell ref="B131:B132"/>
    <mergeCell ref="B133:B134"/>
    <mergeCell ref="B135:B136"/>
    <mergeCell ref="B137:B138"/>
    <mergeCell ref="B139:B140"/>
    <mergeCell ref="B141:B142"/>
    <mergeCell ref="B143:B144"/>
    <mergeCell ref="B145:B146"/>
    <mergeCell ref="B147:B148"/>
    <mergeCell ref="B149:B150"/>
    <mergeCell ref="B151:B152"/>
    <mergeCell ref="B153:B154"/>
    <mergeCell ref="B155:B156"/>
    <mergeCell ref="A6:E6"/>
    <mergeCell ref="L5:M10"/>
    <mergeCell ref="B93:B94"/>
    <mergeCell ref="B95:B96"/>
    <mergeCell ref="B97:B98"/>
    <mergeCell ref="B99:B100"/>
    <mergeCell ref="B101:B102"/>
    <mergeCell ref="B103:B104"/>
    <mergeCell ref="B105:B106"/>
    <mergeCell ref="E103:E104"/>
    <mergeCell ref="P67:P68"/>
    <mergeCell ref="P69:P70"/>
    <mergeCell ref="P71:P72"/>
    <mergeCell ref="P73:P74"/>
    <mergeCell ref="N87:N88"/>
    <mergeCell ref="N75:N76"/>
    <mergeCell ref="P77:P78"/>
    <mergeCell ref="P79:P80"/>
    <mergeCell ref="P85:P86"/>
    <mergeCell ref="P81:P82"/>
    <mergeCell ref="P83:P84"/>
    <mergeCell ref="N83:N84"/>
    <mergeCell ref="N77:N78"/>
    <mergeCell ref="N79:N80"/>
    <mergeCell ref="O75:O76"/>
    <mergeCell ref="M75:M76"/>
    <mergeCell ref="L55:L56"/>
    <mergeCell ref="L57:L58"/>
    <mergeCell ref="L59:L60"/>
    <mergeCell ref="J63:J64"/>
    <mergeCell ref="J69:J70"/>
    <mergeCell ref="J71:J72"/>
    <mergeCell ref="O4:AF4"/>
    <mergeCell ref="W1:AF1"/>
    <mergeCell ref="Y2:AF2"/>
    <mergeCell ref="N89:N90"/>
    <mergeCell ref="M91:M92"/>
    <mergeCell ref="N91:N92"/>
    <mergeCell ref="M93:M94"/>
    <mergeCell ref="N93:N94"/>
    <mergeCell ref="M95:M96"/>
    <mergeCell ref="N95:N96"/>
    <mergeCell ref="O101:O102"/>
    <mergeCell ref="F103:F104"/>
    <mergeCell ref="U14:Y14"/>
    <mergeCell ref="U15:Y15"/>
    <mergeCell ref="U16:Y16"/>
    <mergeCell ref="U17:Y17"/>
    <mergeCell ref="U18:Y18"/>
    <mergeCell ref="O26:P26"/>
    <mergeCell ref="U19:Y19"/>
    <mergeCell ref="U20:Y20"/>
    <mergeCell ref="U21:Y21"/>
    <mergeCell ref="U22:Y22"/>
    <mergeCell ref="U23:Y23"/>
    <mergeCell ref="U24:Y24"/>
    <mergeCell ref="P75:P76"/>
    <mergeCell ref="U25:Y25"/>
    <mergeCell ref="J91:J92"/>
    <mergeCell ref="L101:L102"/>
    <mergeCell ref="M67:M68"/>
    <mergeCell ref="P61:P62"/>
    <mergeCell ref="P63:P64"/>
    <mergeCell ref="P65:P66"/>
    <mergeCell ref="U9:Y9"/>
    <mergeCell ref="U8:Y8"/>
    <mergeCell ref="U10:Y10"/>
    <mergeCell ref="U11:Y11"/>
    <mergeCell ref="U12:Y12"/>
    <mergeCell ref="U13:Y13"/>
    <mergeCell ref="Z53:AC53"/>
    <mergeCell ref="R75:R76"/>
    <mergeCell ref="R107:R108"/>
    <mergeCell ref="N101:N102"/>
    <mergeCell ref="H59:H60"/>
    <mergeCell ref="I59:I60"/>
    <mergeCell ref="K107:K108"/>
    <mergeCell ref="K103:K104"/>
    <mergeCell ref="R101:R102"/>
    <mergeCell ref="O103:O104"/>
    <mergeCell ref="R103:R104"/>
    <mergeCell ref="M101:M102"/>
    <mergeCell ref="O105:O106"/>
    <mergeCell ref="O73:O74"/>
    <mergeCell ref="K55:K56"/>
    <mergeCell ref="K77:K78"/>
    <mergeCell ref="K79:K80"/>
    <mergeCell ref="O79:O80"/>
    <mergeCell ref="M77:M78"/>
    <mergeCell ref="R67:R68"/>
    <mergeCell ref="O59:O60"/>
    <mergeCell ref="O61:O62"/>
    <mergeCell ref="R65:R66"/>
    <mergeCell ref="R59:R60"/>
    <mergeCell ref="R55:R56"/>
    <mergeCell ref="R57:R58"/>
    <mergeCell ref="G107:G108"/>
    <mergeCell ref="H107:H108"/>
    <mergeCell ref="I107:I108"/>
    <mergeCell ref="L107:L108"/>
    <mergeCell ref="G105:G106"/>
    <mergeCell ref="H105:H106"/>
    <mergeCell ref="I105:I106"/>
    <mergeCell ref="L105:L106"/>
    <mergeCell ref="I101:I102"/>
    <mergeCell ref="G101:G102"/>
    <mergeCell ref="G103:G104"/>
    <mergeCell ref="H103:H104"/>
    <mergeCell ref="I103:I104"/>
    <mergeCell ref="L103:L104"/>
    <mergeCell ref="M103:M104"/>
    <mergeCell ref="N103:N104"/>
    <mergeCell ref="J103:J104"/>
    <mergeCell ref="J105:J106"/>
    <mergeCell ref="J107:J108"/>
    <mergeCell ref="H101:H102"/>
    <mergeCell ref="J101:J102"/>
    <mergeCell ref="K101:K102"/>
    <mergeCell ref="K105:K106"/>
    <mergeCell ref="W53:Y53"/>
    <mergeCell ref="R61:R62"/>
    <mergeCell ref="R63:R64"/>
    <mergeCell ref="O55:O56"/>
    <mergeCell ref="O57:O58"/>
    <mergeCell ref="O63:O64"/>
    <mergeCell ref="O65:O66"/>
    <mergeCell ref="O67:O68"/>
    <mergeCell ref="M65:M66"/>
    <mergeCell ref="N65:N66"/>
    <mergeCell ref="M55:M56"/>
    <mergeCell ref="M59:M60"/>
    <mergeCell ref="N59:N60"/>
    <mergeCell ref="M57:M58"/>
    <mergeCell ref="M73:M74"/>
    <mergeCell ref="Q71:Q72"/>
    <mergeCell ref="Q73:Q74"/>
    <mergeCell ref="N71:N72"/>
    <mergeCell ref="N73:N74"/>
    <mergeCell ref="R69:R70"/>
    <mergeCell ref="N67:N68"/>
    <mergeCell ref="N55:N56"/>
    <mergeCell ref="N57:N58"/>
    <mergeCell ref="N63:N64"/>
    <mergeCell ref="M61:M62"/>
    <mergeCell ref="N61:N62"/>
    <mergeCell ref="R73:R74"/>
    <mergeCell ref="Q55:Q56"/>
    <mergeCell ref="Q57:Q58"/>
    <mergeCell ref="Q59:Q60"/>
    <mergeCell ref="Q61:Q62"/>
    <mergeCell ref="Q63:Q64"/>
    <mergeCell ref="P91:P92"/>
    <mergeCell ref="P93:P94"/>
    <mergeCell ref="P95:P96"/>
    <mergeCell ref="P97:P98"/>
    <mergeCell ref="P99:P100"/>
    <mergeCell ref="L93:L94"/>
    <mergeCell ref="O95:O96"/>
    <mergeCell ref="N81:N82"/>
    <mergeCell ref="R77:R78"/>
    <mergeCell ref="R105:R106"/>
    <mergeCell ref="O93:O94"/>
    <mergeCell ref="L95:L96"/>
    <mergeCell ref="L97:L98"/>
    <mergeCell ref="L99:L100"/>
    <mergeCell ref="O91:O92"/>
    <mergeCell ref="L87:L88"/>
    <mergeCell ref="R99:R100"/>
    <mergeCell ref="R85:R86"/>
    <mergeCell ref="R87:R88"/>
    <mergeCell ref="O87:O88"/>
    <mergeCell ref="R89:R90"/>
    <mergeCell ref="R91:R92"/>
    <mergeCell ref="O97:O98"/>
    <mergeCell ref="O99:O100"/>
    <mergeCell ref="R83:R84"/>
    <mergeCell ref="O77:O78"/>
    <mergeCell ref="G99:G100"/>
    <mergeCell ref="I91:I92"/>
    <mergeCell ref="H93:H94"/>
    <mergeCell ref="I93:I94"/>
    <mergeCell ref="L83:L84"/>
    <mergeCell ref="J55:J56"/>
    <mergeCell ref="J57:J58"/>
    <mergeCell ref="J59:J60"/>
    <mergeCell ref="H89:H90"/>
    <mergeCell ref="I89:I90"/>
    <mergeCell ref="H95:H96"/>
    <mergeCell ref="I95:I96"/>
    <mergeCell ref="H75:H76"/>
    <mergeCell ref="M87:M88"/>
    <mergeCell ref="M89:M90"/>
    <mergeCell ref="H61:H62"/>
    <mergeCell ref="I61:I62"/>
    <mergeCell ref="L75:L76"/>
    <mergeCell ref="G63:G64"/>
    <mergeCell ref="J87:J88"/>
    <mergeCell ref="J95:J96"/>
    <mergeCell ref="L91:L92"/>
    <mergeCell ref="I77:I78"/>
    <mergeCell ref="H57:H58"/>
    <mergeCell ref="I57:I58"/>
    <mergeCell ref="K71:K72"/>
    <mergeCell ref="K73:K74"/>
    <mergeCell ref="H77:H78"/>
    <mergeCell ref="G91:G92"/>
    <mergeCell ref="I97:I98"/>
    <mergeCell ref="A77:A78"/>
    <mergeCell ref="J85:J86"/>
    <mergeCell ref="J77:J78"/>
    <mergeCell ref="J79:J80"/>
    <mergeCell ref="H73:H74"/>
    <mergeCell ref="L89:L90"/>
    <mergeCell ref="K57:K58"/>
    <mergeCell ref="K59:K60"/>
    <mergeCell ref="K61:K62"/>
    <mergeCell ref="J67:J68"/>
    <mergeCell ref="I69:I70"/>
    <mergeCell ref="I73:I74"/>
    <mergeCell ref="I55:I56"/>
    <mergeCell ref="H55:H56"/>
    <mergeCell ref="J61:J62"/>
    <mergeCell ref="K67:K68"/>
    <mergeCell ref="K87:K88"/>
    <mergeCell ref="K81:K82"/>
    <mergeCell ref="K83:K84"/>
    <mergeCell ref="K85:K86"/>
    <mergeCell ref="L79:L80"/>
    <mergeCell ref="L61:L62"/>
    <mergeCell ref="L81:L82"/>
    <mergeCell ref="J81:J82"/>
    <mergeCell ref="K75:K76"/>
    <mergeCell ref="J89:J90"/>
    <mergeCell ref="I81:I82"/>
    <mergeCell ref="J75:J76"/>
    <mergeCell ref="B85:B86"/>
    <mergeCell ref="B87:B88"/>
    <mergeCell ref="F55:F56"/>
    <mergeCell ref="G55:G56"/>
    <mergeCell ref="D91:D92"/>
    <mergeCell ref="D65:D66"/>
    <mergeCell ref="F65:F66"/>
    <mergeCell ref="G65:G66"/>
    <mergeCell ref="G79:G80"/>
    <mergeCell ref="D81:D82"/>
    <mergeCell ref="D83:D84"/>
    <mergeCell ref="D87:D88"/>
    <mergeCell ref="G89:G90"/>
    <mergeCell ref="D89:D90"/>
    <mergeCell ref="H91:H92"/>
    <mergeCell ref="D79:D80"/>
    <mergeCell ref="F63:F64"/>
    <mergeCell ref="B57:B58"/>
    <mergeCell ref="B59:B60"/>
    <mergeCell ref="F71:F72"/>
    <mergeCell ref="G75:G76"/>
    <mergeCell ref="B77:B78"/>
    <mergeCell ref="B79:B80"/>
    <mergeCell ref="B81:B82"/>
    <mergeCell ref="B83:B84"/>
    <mergeCell ref="C59:C60"/>
    <mergeCell ref="E59:E60"/>
    <mergeCell ref="F59:F60"/>
    <mergeCell ref="G59:G60"/>
    <mergeCell ref="C77:C78"/>
    <mergeCell ref="E77:E78"/>
    <mergeCell ref="F77:F78"/>
    <mergeCell ref="G77:G78"/>
    <mergeCell ref="F73:F74"/>
    <mergeCell ref="D75:D76"/>
    <mergeCell ref="H81:H82"/>
    <mergeCell ref="F57:F58"/>
    <mergeCell ref="G57:G58"/>
    <mergeCell ref="D57:D58"/>
    <mergeCell ref="D55:D56"/>
    <mergeCell ref="D59:D60"/>
    <mergeCell ref="E55:E56"/>
    <mergeCell ref="I75:I76"/>
    <mergeCell ref="B75:B76"/>
    <mergeCell ref="B89:B90"/>
    <mergeCell ref="E85:E86"/>
    <mergeCell ref="E63:E64"/>
    <mergeCell ref="D71:D72"/>
    <mergeCell ref="A55:A56"/>
    <mergeCell ref="C55:C56"/>
    <mergeCell ref="E67:E68"/>
    <mergeCell ref="G67:G68"/>
    <mergeCell ref="D67:D68"/>
    <mergeCell ref="A65:A66"/>
    <mergeCell ref="C65:C66"/>
    <mergeCell ref="D63:D64"/>
    <mergeCell ref="A61:A62"/>
    <mergeCell ref="C61:C62"/>
    <mergeCell ref="E61:E62"/>
    <mergeCell ref="F61:F62"/>
    <mergeCell ref="G61:G62"/>
    <mergeCell ref="C57:C58"/>
    <mergeCell ref="E57:E58"/>
    <mergeCell ref="B55:B56"/>
    <mergeCell ref="A67:A68"/>
    <mergeCell ref="C67:C68"/>
    <mergeCell ref="B61:B62"/>
    <mergeCell ref="B63:B64"/>
    <mergeCell ref="B65:B66"/>
    <mergeCell ref="B67:B68"/>
    <mergeCell ref="A57:A58"/>
    <mergeCell ref="A59:A60"/>
    <mergeCell ref="A175:A176"/>
    <mergeCell ref="C175:C176"/>
    <mergeCell ref="E175:E176"/>
    <mergeCell ref="H175:H176"/>
    <mergeCell ref="I175:I176"/>
    <mergeCell ref="C89:C90"/>
    <mergeCell ref="E89:E90"/>
    <mergeCell ref="G95:G96"/>
    <mergeCell ref="D95:D96"/>
    <mergeCell ref="A97:A98"/>
    <mergeCell ref="C97:C98"/>
    <mergeCell ref="E97:E98"/>
    <mergeCell ref="F97:F98"/>
    <mergeCell ref="G97:G98"/>
    <mergeCell ref="D97:D98"/>
    <mergeCell ref="A107:A108"/>
    <mergeCell ref="C107:C108"/>
    <mergeCell ref="C93:C94"/>
    <mergeCell ref="E93:E94"/>
    <mergeCell ref="F93:F94"/>
    <mergeCell ref="E105:E106"/>
    <mergeCell ref="B119:B120"/>
    <mergeCell ref="B121:B122"/>
    <mergeCell ref="A89:A90"/>
    <mergeCell ref="D105:D106"/>
    <mergeCell ref="A129:A130"/>
    <mergeCell ref="E137:E138"/>
    <mergeCell ref="F137:F138"/>
    <mergeCell ref="G137:G138"/>
    <mergeCell ref="D137:D138"/>
    <mergeCell ref="A135:A136"/>
    <mergeCell ref="C137:C138"/>
    <mergeCell ref="F143:F144"/>
    <mergeCell ref="G143:G144"/>
    <mergeCell ref="A113:A114"/>
    <mergeCell ref="C113:C114"/>
    <mergeCell ref="A111:A112"/>
    <mergeCell ref="C111:C112"/>
    <mergeCell ref="D111:D112"/>
    <mergeCell ref="F79:F80"/>
    <mergeCell ref="A91:A92"/>
    <mergeCell ref="C91:C92"/>
    <mergeCell ref="A93:A94"/>
    <mergeCell ref="A83:A84"/>
    <mergeCell ref="C83:C84"/>
    <mergeCell ref="E91:E92"/>
    <mergeCell ref="F91:F92"/>
    <mergeCell ref="A105:A106"/>
    <mergeCell ref="B111:B112"/>
    <mergeCell ref="B113:B114"/>
    <mergeCell ref="B115:B116"/>
    <mergeCell ref="B117:B118"/>
    <mergeCell ref="D99:D100"/>
    <mergeCell ref="A103:A104"/>
    <mergeCell ref="C85:C86"/>
    <mergeCell ref="D107:D108"/>
    <mergeCell ref="A101:A102"/>
    <mergeCell ref="C101:C102"/>
    <mergeCell ref="D101:D102"/>
    <mergeCell ref="E107:E108"/>
    <mergeCell ref="F107:F108"/>
    <mergeCell ref="F101:F102"/>
    <mergeCell ref="D93:D94"/>
    <mergeCell ref="A99:A100"/>
    <mergeCell ref="A71:A72"/>
    <mergeCell ref="C71:C72"/>
    <mergeCell ref="D69:D70"/>
    <mergeCell ref="G73:G74"/>
    <mergeCell ref="G71:G72"/>
    <mergeCell ref="H69:H70"/>
    <mergeCell ref="L63:L64"/>
    <mergeCell ref="I67:I68"/>
    <mergeCell ref="L71:L72"/>
    <mergeCell ref="L73:L74"/>
    <mergeCell ref="H71:H72"/>
    <mergeCell ref="K63:K64"/>
    <mergeCell ref="K65:K66"/>
    <mergeCell ref="I65:I66"/>
    <mergeCell ref="C63:C64"/>
    <mergeCell ref="I71:I72"/>
    <mergeCell ref="I63:I64"/>
    <mergeCell ref="J73:J74"/>
    <mergeCell ref="L65:L66"/>
    <mergeCell ref="B69:B70"/>
    <mergeCell ref="B71:B72"/>
    <mergeCell ref="B73:B74"/>
    <mergeCell ref="F67:F68"/>
    <mergeCell ref="C99:C100"/>
    <mergeCell ref="E99:E100"/>
    <mergeCell ref="F99:F100"/>
    <mergeCell ref="A95:A96"/>
    <mergeCell ref="H97:H98"/>
    <mergeCell ref="C133:C134"/>
    <mergeCell ref="D133:D134"/>
    <mergeCell ref="E133:E134"/>
    <mergeCell ref="E129:E130"/>
    <mergeCell ref="A131:A132"/>
    <mergeCell ref="A109:A110"/>
    <mergeCell ref="C109:C110"/>
    <mergeCell ref="D109:D110"/>
    <mergeCell ref="E109:E110"/>
    <mergeCell ref="A115:A116"/>
    <mergeCell ref="C115:C116"/>
    <mergeCell ref="D115:D116"/>
    <mergeCell ref="E115:E116"/>
    <mergeCell ref="A117:A118"/>
    <mergeCell ref="C117:C118"/>
    <mergeCell ref="F109:F110"/>
    <mergeCell ref="C105:C106"/>
    <mergeCell ref="B107:B108"/>
    <mergeCell ref="B109:B110"/>
    <mergeCell ref="F105:F106"/>
    <mergeCell ref="F129:F130"/>
    <mergeCell ref="F115:F116"/>
    <mergeCell ref="F133:F134"/>
    <mergeCell ref="A133:A134"/>
    <mergeCell ref="C119:C120"/>
    <mergeCell ref="A127:A128"/>
    <mergeCell ref="C127:C128"/>
    <mergeCell ref="D127:D128"/>
    <mergeCell ref="A121:A122"/>
    <mergeCell ref="C121:C122"/>
    <mergeCell ref="D121:D122"/>
    <mergeCell ref="E127:E128"/>
    <mergeCell ref="E83:E84"/>
    <mergeCell ref="A69:A70"/>
    <mergeCell ref="C69:C70"/>
    <mergeCell ref="E5:F5"/>
    <mergeCell ref="AM67:AM68"/>
    <mergeCell ref="E71:E72"/>
    <mergeCell ref="E69:E70"/>
    <mergeCell ref="F69:F70"/>
    <mergeCell ref="G69:G70"/>
    <mergeCell ref="K69:K70"/>
    <mergeCell ref="H87:H88"/>
    <mergeCell ref="I87:I88"/>
    <mergeCell ref="A87:A88"/>
    <mergeCell ref="C87:C88"/>
    <mergeCell ref="E87:E88"/>
    <mergeCell ref="F87:F88"/>
    <mergeCell ref="G87:G88"/>
    <mergeCell ref="D85:D86"/>
    <mergeCell ref="G83:G84"/>
    <mergeCell ref="H83:H84"/>
    <mergeCell ref="I83:I84"/>
    <mergeCell ref="I85:I86"/>
    <mergeCell ref="A81:A82"/>
    <mergeCell ref="H79:H80"/>
    <mergeCell ref="I79:I80"/>
    <mergeCell ref="A85:A86"/>
    <mergeCell ref="J65:J66"/>
    <mergeCell ref="C79:C80"/>
    <mergeCell ref="E79:E80"/>
    <mergeCell ref="E73:E74"/>
    <mergeCell ref="I9:I10"/>
    <mergeCell ref="J9:J10"/>
    <mergeCell ref="B91:B92"/>
    <mergeCell ref="C73:C74"/>
    <mergeCell ref="AH53:AK53"/>
    <mergeCell ref="AM77:AM78"/>
    <mergeCell ref="A1:V1"/>
    <mergeCell ref="J5:K5"/>
    <mergeCell ref="J4:K4"/>
    <mergeCell ref="L4:M4"/>
    <mergeCell ref="U6:Y6"/>
    <mergeCell ref="U7:Y7"/>
    <mergeCell ref="A2:X2"/>
    <mergeCell ref="U5:Y5"/>
    <mergeCell ref="A75:A76"/>
    <mergeCell ref="C75:C76"/>
    <mergeCell ref="E75:E76"/>
    <mergeCell ref="F75:F76"/>
    <mergeCell ref="A73:A74"/>
    <mergeCell ref="G81:G82"/>
    <mergeCell ref="D61:D62"/>
    <mergeCell ref="E65:E66"/>
    <mergeCell ref="L67:L68"/>
    <mergeCell ref="L69:L70"/>
    <mergeCell ref="D73:D74"/>
    <mergeCell ref="H65:H66"/>
    <mergeCell ref="H67:H68"/>
    <mergeCell ref="H63:H64"/>
    <mergeCell ref="C81:C82"/>
    <mergeCell ref="E81:E82"/>
    <mergeCell ref="F81:F82"/>
    <mergeCell ref="A79:A80"/>
    <mergeCell ref="A63:A64"/>
    <mergeCell ref="D77:D78"/>
    <mergeCell ref="C143:C144"/>
    <mergeCell ref="D143:D144"/>
    <mergeCell ref="C95:C96"/>
    <mergeCell ref="E95:E96"/>
    <mergeCell ref="F83:F84"/>
    <mergeCell ref="F85:F86"/>
    <mergeCell ref="F95:F96"/>
    <mergeCell ref="L85:L86"/>
    <mergeCell ref="C103:C104"/>
    <mergeCell ref="D103:D104"/>
    <mergeCell ref="E101:E102"/>
    <mergeCell ref="M83:M84"/>
    <mergeCell ref="J83:J84"/>
    <mergeCell ref="H85:H86"/>
    <mergeCell ref="F89:F90"/>
    <mergeCell ref="J93:J94"/>
    <mergeCell ref="K89:K90"/>
    <mergeCell ref="K91:K92"/>
    <mergeCell ref="K93:K94"/>
    <mergeCell ref="J97:J98"/>
    <mergeCell ref="J99:J100"/>
    <mergeCell ref="C131:C132"/>
    <mergeCell ref="G85:G86"/>
    <mergeCell ref="H99:H100"/>
    <mergeCell ref="I99:I100"/>
    <mergeCell ref="G93:G94"/>
    <mergeCell ref="M137:M138"/>
    <mergeCell ref="C129:C130"/>
    <mergeCell ref="D129:D130"/>
    <mergeCell ref="I109:I110"/>
    <mergeCell ref="G131:G132"/>
    <mergeCell ref="H131:H132"/>
    <mergeCell ref="AN69:AN70"/>
    <mergeCell ref="AO69:AO70"/>
    <mergeCell ref="AM89:AM90"/>
    <mergeCell ref="AN89:AN90"/>
    <mergeCell ref="AO89:AO90"/>
    <mergeCell ref="AG45:AH45"/>
    <mergeCell ref="AM53:AO53"/>
    <mergeCell ref="AM55:AM56"/>
    <mergeCell ref="AN55:AN56"/>
    <mergeCell ref="AO55:AO56"/>
    <mergeCell ref="AM57:AM58"/>
    <mergeCell ref="AN57:AN58"/>
    <mergeCell ref="AO57:AO58"/>
    <mergeCell ref="AM59:AM60"/>
    <mergeCell ref="AN59:AN60"/>
    <mergeCell ref="AO59:AO60"/>
    <mergeCell ref="AM61:AM62"/>
    <mergeCell ref="AN61:AN62"/>
    <mergeCell ref="AO85:AO86"/>
    <mergeCell ref="AM87:AM88"/>
    <mergeCell ref="AN87:AN88"/>
    <mergeCell ref="AO87:AO88"/>
    <mergeCell ref="AD53:AG53"/>
    <mergeCell ref="AO73:AO74"/>
    <mergeCell ref="AN75:AN76"/>
    <mergeCell ref="AO75:AO76"/>
    <mergeCell ref="AO63:AO64"/>
    <mergeCell ref="AN63:AN64"/>
    <mergeCell ref="AN65:AN66"/>
    <mergeCell ref="AO61:AO62"/>
    <mergeCell ref="AO65:AO66"/>
    <mergeCell ref="AN67:AN68"/>
    <mergeCell ref="M133:M134"/>
    <mergeCell ref="N133:N134"/>
    <mergeCell ref="R109:R110"/>
    <mergeCell ref="L129:L130"/>
    <mergeCell ref="L77:L78"/>
    <mergeCell ref="AM75:AM76"/>
    <mergeCell ref="AM65:AM66"/>
    <mergeCell ref="AM63:AM64"/>
    <mergeCell ref="Q75:Q76"/>
    <mergeCell ref="Q77:Q78"/>
    <mergeCell ref="AM101:AM102"/>
    <mergeCell ref="R79:R80"/>
    <mergeCell ref="O81:O82"/>
    <mergeCell ref="O69:O70"/>
    <mergeCell ref="O71:O72"/>
    <mergeCell ref="R71:R72"/>
    <mergeCell ref="M69:M70"/>
    <mergeCell ref="N69:N70"/>
    <mergeCell ref="M85:M86"/>
    <mergeCell ref="N85:N86"/>
    <mergeCell ref="L123:L124"/>
    <mergeCell ref="M123:M124"/>
    <mergeCell ref="M71:M72"/>
    <mergeCell ref="M81:M82"/>
    <mergeCell ref="Q65:Q66"/>
    <mergeCell ref="Q67:Q68"/>
    <mergeCell ref="Q69:Q70"/>
    <mergeCell ref="M63:M64"/>
    <mergeCell ref="R81:R82"/>
    <mergeCell ref="O109:O110"/>
    <mergeCell ref="P87:P88"/>
    <mergeCell ref="P89:P90"/>
    <mergeCell ref="K131:K132"/>
    <mergeCell ref="K133:K134"/>
    <mergeCell ref="J129:J130"/>
    <mergeCell ref="J131:J132"/>
    <mergeCell ref="R93:R94"/>
    <mergeCell ref="R95:R96"/>
    <mergeCell ref="R97:R98"/>
    <mergeCell ref="N113:N114"/>
    <mergeCell ref="K113:K114"/>
    <mergeCell ref="M131:M132"/>
    <mergeCell ref="L121:L122"/>
    <mergeCell ref="P101:P102"/>
    <mergeCell ref="P103:P104"/>
    <mergeCell ref="P105:P106"/>
    <mergeCell ref="P107:P108"/>
    <mergeCell ref="P109:P110"/>
    <mergeCell ref="M79:M80"/>
    <mergeCell ref="L131:L132"/>
    <mergeCell ref="R121:R122"/>
    <mergeCell ref="Q79:Q80"/>
    <mergeCell ref="Q81:Q82"/>
    <mergeCell ref="Q83:Q84"/>
    <mergeCell ref="Q85:Q86"/>
    <mergeCell ref="Q87:Q88"/>
    <mergeCell ref="L109:L110"/>
    <mergeCell ref="O107:O108"/>
    <mergeCell ref="M107:M108"/>
    <mergeCell ref="N107:N108"/>
    <mergeCell ref="M99:M100"/>
    <mergeCell ref="K95:K96"/>
    <mergeCell ref="K97:K98"/>
    <mergeCell ref="K99:K100"/>
    <mergeCell ref="G129:G130"/>
    <mergeCell ref="H129:H130"/>
    <mergeCell ref="I129:I130"/>
    <mergeCell ref="N137:N138"/>
    <mergeCell ref="N131:N132"/>
    <mergeCell ref="M135:M136"/>
    <mergeCell ref="N135:N136"/>
    <mergeCell ref="O89:O90"/>
    <mergeCell ref="O83:O84"/>
    <mergeCell ref="N99:N100"/>
    <mergeCell ref="N123:N124"/>
    <mergeCell ref="O123:O124"/>
    <mergeCell ref="M97:M98"/>
    <mergeCell ref="N97:N98"/>
    <mergeCell ref="O85:O86"/>
    <mergeCell ref="M111:M112"/>
    <mergeCell ref="N111:N112"/>
    <mergeCell ref="O111:O112"/>
    <mergeCell ref="M109:M110"/>
    <mergeCell ref="N109:N110"/>
    <mergeCell ref="K109:K110"/>
    <mergeCell ref="H117:H118"/>
    <mergeCell ref="G115:G116"/>
    <mergeCell ref="H115:H116"/>
    <mergeCell ref="L115:L116"/>
    <mergeCell ref="M113:M114"/>
    <mergeCell ref="G109:G110"/>
    <mergeCell ref="H109:H110"/>
    <mergeCell ref="G133:G134"/>
    <mergeCell ref="J109:J110"/>
    <mergeCell ref="H111:H112"/>
    <mergeCell ref="I111:I112"/>
    <mergeCell ref="AN83:AN84"/>
    <mergeCell ref="AO83:AO84"/>
    <mergeCell ref="AM85:AM86"/>
    <mergeCell ref="AN85:AN86"/>
    <mergeCell ref="AM91:AM92"/>
    <mergeCell ref="AN91:AN92"/>
    <mergeCell ref="AO91:AO92"/>
    <mergeCell ref="AO101:AO102"/>
    <mergeCell ref="AM103:AM104"/>
    <mergeCell ref="AN103:AN104"/>
    <mergeCell ref="AO103:AO104"/>
    <mergeCell ref="AM105:AM106"/>
    <mergeCell ref="AN105:AN106"/>
    <mergeCell ref="AO105:AO106"/>
    <mergeCell ref="AM95:AM96"/>
    <mergeCell ref="AO95:AO96"/>
    <mergeCell ref="AM97:AM98"/>
    <mergeCell ref="AN97:AN98"/>
    <mergeCell ref="M177:P177"/>
    <mergeCell ref="M178:P178"/>
    <mergeCell ref="M179:P179"/>
    <mergeCell ref="R175:R176"/>
    <mergeCell ref="M141:M142"/>
    <mergeCell ref="N141:N142"/>
    <mergeCell ref="M143:M144"/>
    <mergeCell ref="N143:N144"/>
    <mergeCell ref="R169:R170"/>
    <mergeCell ref="M147:M148"/>
    <mergeCell ref="N147:N148"/>
    <mergeCell ref="O147:O148"/>
    <mergeCell ref="AM107:AM108"/>
    <mergeCell ref="AO97:AO98"/>
    <mergeCell ref="AM99:AM100"/>
    <mergeCell ref="M169:M170"/>
    <mergeCell ref="AN101:AN102"/>
    <mergeCell ref="M105:M106"/>
    <mergeCell ref="N105:N106"/>
    <mergeCell ref="AO99:AO100"/>
    <mergeCell ref="AM115:AM116"/>
    <mergeCell ref="AN115:AN116"/>
    <mergeCell ref="AM113:AM114"/>
    <mergeCell ref="AN107:AN108"/>
    <mergeCell ref="AM129:AM130"/>
    <mergeCell ref="AN129:AN130"/>
    <mergeCell ref="AM173:AM174"/>
    <mergeCell ref="AM175:AM176"/>
    <mergeCell ref="AO169:AO170"/>
    <mergeCell ref="AM169:AM170"/>
    <mergeCell ref="AO129:AO130"/>
    <mergeCell ref="AM143:AM144"/>
    <mergeCell ref="AO67:AO68"/>
    <mergeCell ref="AM69:AM70"/>
    <mergeCell ref="AM141:AM142"/>
    <mergeCell ref="AO139:AO140"/>
    <mergeCell ref="AN139:AN140"/>
    <mergeCell ref="AM139:AM140"/>
    <mergeCell ref="AO137:AO138"/>
    <mergeCell ref="AN137:AN138"/>
    <mergeCell ref="AM137:AM138"/>
    <mergeCell ref="AN113:AN114"/>
    <mergeCell ref="AO125:AO126"/>
    <mergeCell ref="AN77:AN78"/>
    <mergeCell ref="AO77:AO78"/>
    <mergeCell ref="AM79:AM80"/>
    <mergeCell ref="AN79:AN80"/>
    <mergeCell ref="AO79:AO80"/>
    <mergeCell ref="AM81:AM82"/>
    <mergeCell ref="AN81:AN82"/>
    <mergeCell ref="AO81:AO82"/>
    <mergeCell ref="AM71:AM72"/>
    <mergeCell ref="AN71:AN72"/>
    <mergeCell ref="AO71:AO72"/>
    <mergeCell ref="AM73:AM74"/>
    <mergeCell ref="AN73:AN74"/>
    <mergeCell ref="AM117:AM118"/>
    <mergeCell ref="AM121:AM122"/>
    <mergeCell ref="AO107:AO108"/>
    <mergeCell ref="AM93:AM94"/>
    <mergeCell ref="AN93:AN94"/>
    <mergeCell ref="AN95:AN96"/>
    <mergeCell ref="AO93:AO94"/>
    <mergeCell ref="AM83:AM84"/>
    <mergeCell ref="AN149:AN150"/>
    <mergeCell ref="AO163:AO164"/>
    <mergeCell ref="AN141:AN142"/>
    <mergeCell ref="AM171:AM172"/>
    <mergeCell ref="AO141:AO142"/>
    <mergeCell ref="AO171:AO172"/>
    <mergeCell ref="AO173:AO174"/>
    <mergeCell ref="AO175:AO176"/>
    <mergeCell ref="AN171:AN172"/>
    <mergeCell ref="AN173:AN174"/>
    <mergeCell ref="AN175:AN176"/>
    <mergeCell ref="AO167:AO168"/>
    <mergeCell ref="AM147:AM148"/>
    <mergeCell ref="AN147:AN148"/>
    <mergeCell ref="AM165:AM166"/>
    <mergeCell ref="AN165:AN166"/>
    <mergeCell ref="AO165:AO166"/>
    <mergeCell ref="AO155:AO156"/>
    <mergeCell ref="AO147:AO148"/>
    <mergeCell ref="AO151:AO152"/>
    <mergeCell ref="AO159:AO160"/>
    <mergeCell ref="AO153:AO154"/>
    <mergeCell ref="AO145:AO146"/>
    <mergeCell ref="AN143:AN144"/>
    <mergeCell ref="AO143:AO144"/>
    <mergeCell ref="AN155:AN156"/>
    <mergeCell ref="AM167:AM168"/>
    <mergeCell ref="AN167:AN168"/>
    <mergeCell ref="AO161:AO162"/>
    <mergeCell ref="AN157:AN158"/>
    <mergeCell ref="AN163:AN164"/>
    <mergeCell ref="AO149:AO150"/>
    <mergeCell ref="R135:R136"/>
    <mergeCell ref="AM135:AM136"/>
    <mergeCell ref="AO133:AO134"/>
    <mergeCell ref="AM133:AM134"/>
    <mergeCell ref="AN133:AN134"/>
    <mergeCell ref="R119:R120"/>
    <mergeCell ref="AM119:AM120"/>
    <mergeCell ref="AN119:AN120"/>
    <mergeCell ref="AO119:AO120"/>
    <mergeCell ref="AN99:AN100"/>
    <mergeCell ref="AM111:AM112"/>
    <mergeCell ref="AN111:AN112"/>
    <mergeCell ref="AN117:AN118"/>
    <mergeCell ref="AN121:AN122"/>
    <mergeCell ref="AO121:AO122"/>
    <mergeCell ref="R123:R124"/>
    <mergeCell ref="AM123:AM124"/>
    <mergeCell ref="AN123:AN124"/>
    <mergeCell ref="AO123:AO124"/>
    <mergeCell ref="AO117:AO118"/>
    <mergeCell ref="AM109:AM110"/>
    <mergeCell ref="AN109:AN110"/>
    <mergeCell ref="R111:R112"/>
    <mergeCell ref="AN131:AN132"/>
    <mergeCell ref="AO131:AO132"/>
    <mergeCell ref="AN135:AN136"/>
    <mergeCell ref="AO135:AO136"/>
    <mergeCell ref="AO109:AO110"/>
    <mergeCell ref="AO111:AO112"/>
    <mergeCell ref="AO113:AO114"/>
    <mergeCell ref="AO115:AO116"/>
    <mergeCell ref="AM131:AM132"/>
    <mergeCell ref="O171:O172"/>
    <mergeCell ref="M173:M174"/>
    <mergeCell ref="N173:N174"/>
    <mergeCell ref="O135:O136"/>
    <mergeCell ref="K135:K136"/>
    <mergeCell ref="O131:O132"/>
    <mergeCell ref="I137:I138"/>
    <mergeCell ref="I135:I136"/>
    <mergeCell ref="J145:J146"/>
    <mergeCell ref="R171:R172"/>
    <mergeCell ref="L111:L112"/>
    <mergeCell ref="K129:K130"/>
    <mergeCell ref="AN145:AN146"/>
    <mergeCell ref="I171:I172"/>
    <mergeCell ref="I143:I144"/>
    <mergeCell ref="L143:L144"/>
    <mergeCell ref="L147:L148"/>
    <mergeCell ref="P113:P114"/>
    <mergeCell ref="K151:K152"/>
    <mergeCell ref="L151:L152"/>
    <mergeCell ref="J135:J136"/>
    <mergeCell ref="AN125:AN126"/>
    <mergeCell ref="J133:J134"/>
    <mergeCell ref="I173:I174"/>
    <mergeCell ref="L149:L150"/>
    <mergeCell ref="L135:L136"/>
    <mergeCell ref="R133:R134"/>
    <mergeCell ref="I117:I118"/>
    <mergeCell ref="L117:L118"/>
    <mergeCell ref="O113:O114"/>
    <mergeCell ref="R113:R114"/>
    <mergeCell ref="I115:I116"/>
    <mergeCell ref="D175:D176"/>
    <mergeCell ref="G175:G176"/>
    <mergeCell ref="F175:F176"/>
    <mergeCell ref="K171:K172"/>
    <mergeCell ref="K173:K174"/>
    <mergeCell ref="K175:K176"/>
    <mergeCell ref="O133:O134"/>
    <mergeCell ref="L133:L134"/>
    <mergeCell ref="J111:J112"/>
    <mergeCell ref="I113:I114"/>
    <mergeCell ref="L113:L114"/>
    <mergeCell ref="A171:A172"/>
    <mergeCell ref="D171:D172"/>
    <mergeCell ref="C171:C172"/>
    <mergeCell ref="E171:E172"/>
    <mergeCell ref="H171:H172"/>
    <mergeCell ref="A173:A174"/>
    <mergeCell ref="C173:C174"/>
    <mergeCell ref="E173:E174"/>
    <mergeCell ref="F173:F174"/>
    <mergeCell ref="G173:G174"/>
    <mergeCell ref="D173:D174"/>
    <mergeCell ref="F171:F172"/>
    <mergeCell ref="G171:G172"/>
    <mergeCell ref="C163:C164"/>
    <mergeCell ref="D163:D164"/>
    <mergeCell ref="E163:E164"/>
    <mergeCell ref="F163:F164"/>
    <mergeCell ref="D131:D132"/>
    <mergeCell ref="E131:E132"/>
    <mergeCell ref="F131:F132"/>
    <mergeCell ref="H137:H138"/>
    <mergeCell ref="C135:C136"/>
    <mergeCell ref="D135:D136"/>
    <mergeCell ref="E135:E136"/>
    <mergeCell ref="F135:F136"/>
    <mergeCell ref="G135:G136"/>
    <mergeCell ref="H135:H136"/>
    <mergeCell ref="H143:H144"/>
    <mergeCell ref="E143:E144"/>
    <mergeCell ref="E141:E142"/>
    <mergeCell ref="K143:K144"/>
    <mergeCell ref="K145:K146"/>
    <mergeCell ref="I151:I152"/>
    <mergeCell ref="J151:J152"/>
    <mergeCell ref="G165:G166"/>
    <mergeCell ref="H165:H166"/>
    <mergeCell ref="A167:A168"/>
    <mergeCell ref="C167:C168"/>
    <mergeCell ref="D167:D168"/>
    <mergeCell ref="E167:E168"/>
    <mergeCell ref="E145:E146"/>
    <mergeCell ref="F145:F146"/>
    <mergeCell ref="E147:E148"/>
    <mergeCell ref="H145:H146"/>
    <mergeCell ref="I159:I160"/>
    <mergeCell ref="F161:F162"/>
    <mergeCell ref="G161:G162"/>
    <mergeCell ref="A137:A138"/>
    <mergeCell ref="I145:I146"/>
    <mergeCell ref="F147:F148"/>
    <mergeCell ref="G147:G148"/>
    <mergeCell ref="A143:A144"/>
    <mergeCell ref="G167:G168"/>
    <mergeCell ref="H167:H168"/>
    <mergeCell ref="I167:I168"/>
    <mergeCell ref="J167:J168"/>
    <mergeCell ref="K167:K168"/>
    <mergeCell ref="D157:D158"/>
    <mergeCell ref="E157:E158"/>
    <mergeCell ref="F157:F158"/>
    <mergeCell ref="G157:G158"/>
    <mergeCell ref="H157:H158"/>
    <mergeCell ref="A159:A160"/>
    <mergeCell ref="C159:C160"/>
    <mergeCell ref="D159:D160"/>
    <mergeCell ref="E159:E160"/>
    <mergeCell ref="F159:F160"/>
    <mergeCell ref="A151:A152"/>
    <mergeCell ref="C151:C152"/>
    <mergeCell ref="D151:D152"/>
    <mergeCell ref="H161:H162"/>
    <mergeCell ref="I161:I162"/>
    <mergeCell ref="H151:H152"/>
    <mergeCell ref="G153:G154"/>
    <mergeCell ref="H153:H154"/>
    <mergeCell ref="I153:I154"/>
    <mergeCell ref="A165:A166"/>
    <mergeCell ref="B157:B158"/>
    <mergeCell ref="B159:B160"/>
    <mergeCell ref="B161:B162"/>
    <mergeCell ref="I157:I158"/>
    <mergeCell ref="G159:G160"/>
    <mergeCell ref="H159:H160"/>
    <mergeCell ref="B165:B166"/>
    <mergeCell ref="B167:B168"/>
    <mergeCell ref="H133:H134"/>
    <mergeCell ref="I133:I134"/>
    <mergeCell ref="R131:R132"/>
    <mergeCell ref="E121:E122"/>
    <mergeCell ref="F121:F122"/>
    <mergeCell ref="G121:G122"/>
    <mergeCell ref="H121:H122"/>
    <mergeCell ref="M121:M122"/>
    <mergeCell ref="N121:N122"/>
    <mergeCell ref="M117:M118"/>
    <mergeCell ref="K115:K116"/>
    <mergeCell ref="O115:O116"/>
    <mergeCell ref="R115:R116"/>
    <mergeCell ref="I119:I120"/>
    <mergeCell ref="L119:L120"/>
    <mergeCell ref="N117:N118"/>
    <mergeCell ref="M119:M120"/>
    <mergeCell ref="N119:N120"/>
    <mergeCell ref="I121:I122"/>
    <mergeCell ref="L125:L126"/>
    <mergeCell ref="O125:O126"/>
    <mergeCell ref="J127:J128"/>
    <mergeCell ref="K121:K122"/>
    <mergeCell ref="M129:M130"/>
    <mergeCell ref="O129:O130"/>
    <mergeCell ref="R129:R130"/>
    <mergeCell ref="I131:I132"/>
    <mergeCell ref="O121:O122"/>
    <mergeCell ref="M125:M126"/>
    <mergeCell ref="N125:N126"/>
    <mergeCell ref="H123:H124"/>
    <mergeCell ref="I123:I124"/>
    <mergeCell ref="R117:R118"/>
    <mergeCell ref="O119:O120"/>
    <mergeCell ref="D117:D118"/>
    <mergeCell ref="E117:E118"/>
    <mergeCell ref="F117:F118"/>
    <mergeCell ref="G117:G118"/>
    <mergeCell ref="J117:J118"/>
    <mergeCell ref="J119:J120"/>
    <mergeCell ref="K119:K120"/>
    <mergeCell ref="K117:K118"/>
    <mergeCell ref="Q119:Q120"/>
    <mergeCell ref="M115:M116"/>
    <mergeCell ref="N115:N116"/>
    <mergeCell ref="J113:J114"/>
    <mergeCell ref="J115:J116"/>
    <mergeCell ref="P111:P112"/>
    <mergeCell ref="E111:E112"/>
    <mergeCell ref="F111:F112"/>
    <mergeCell ref="G111:G112"/>
    <mergeCell ref="D119:D120"/>
    <mergeCell ref="E119:E120"/>
    <mergeCell ref="F119:F120"/>
    <mergeCell ref="G119:G120"/>
    <mergeCell ref="H119:H120"/>
    <mergeCell ref="K123:K124"/>
    <mergeCell ref="J121:J122"/>
    <mergeCell ref="Q121:Q122"/>
    <mergeCell ref="D113:D114"/>
    <mergeCell ref="E113:E114"/>
    <mergeCell ref="F113:F114"/>
    <mergeCell ref="G113:G114"/>
    <mergeCell ref="H113:H114"/>
    <mergeCell ref="A119:A120"/>
    <mergeCell ref="A123:A124"/>
    <mergeCell ref="C123:C124"/>
    <mergeCell ref="D123:D124"/>
    <mergeCell ref="E123:E124"/>
    <mergeCell ref="F123:F124"/>
    <mergeCell ref="G123:G124"/>
    <mergeCell ref="K111:K112"/>
    <mergeCell ref="O117:O118"/>
    <mergeCell ref="F127:F128"/>
    <mergeCell ref="G127:G128"/>
    <mergeCell ref="H127:H128"/>
    <mergeCell ref="I127:I128"/>
    <mergeCell ref="L127:L128"/>
    <mergeCell ref="M127:M128"/>
    <mergeCell ref="N127:N128"/>
    <mergeCell ref="O127:O128"/>
    <mergeCell ref="R127:R128"/>
    <mergeCell ref="AM127:AM128"/>
    <mergeCell ref="AN127:AN128"/>
    <mergeCell ref="AO127:AO128"/>
    <mergeCell ref="A125:A126"/>
    <mergeCell ref="C125:C126"/>
    <mergeCell ref="D125:D126"/>
    <mergeCell ref="E125:E126"/>
    <mergeCell ref="F125:F126"/>
    <mergeCell ref="G125:G126"/>
    <mergeCell ref="H125:H126"/>
    <mergeCell ref="I125:I126"/>
    <mergeCell ref="J125:J126"/>
    <mergeCell ref="R125:R126"/>
    <mergeCell ref="AM125:AM126"/>
    <mergeCell ref="K149:K150"/>
    <mergeCell ref="M149:M150"/>
    <mergeCell ref="AM149:AM150"/>
    <mergeCell ref="J169:J170"/>
    <mergeCell ref="R153:R154"/>
    <mergeCell ref="O169:O170"/>
    <mergeCell ref="K165:K166"/>
    <mergeCell ref="M165:M166"/>
    <mergeCell ref="N169:N170"/>
    <mergeCell ref="J161:J162"/>
    <mergeCell ref="J157:J158"/>
    <mergeCell ref="R155:R156"/>
    <mergeCell ref="O165:O166"/>
    <mergeCell ref="L165:L166"/>
    <mergeCell ref="M163:M164"/>
    <mergeCell ref="O157:O158"/>
    <mergeCell ref="K157:K158"/>
    <mergeCell ref="L157:L158"/>
    <mergeCell ref="M157:M158"/>
    <mergeCell ref="N157:N158"/>
    <mergeCell ref="J159:J160"/>
    <mergeCell ref="M159:M160"/>
    <mergeCell ref="N159:N160"/>
    <mergeCell ref="J149:J150"/>
    <mergeCell ref="L159:L160"/>
    <mergeCell ref="R161:R162"/>
    <mergeCell ref="AM161:AM162"/>
    <mergeCell ref="AN169:AN170"/>
    <mergeCell ref="AO157:AO158"/>
    <mergeCell ref="M145:M146"/>
    <mergeCell ref="N145:N146"/>
    <mergeCell ref="M175:M176"/>
    <mergeCell ref="R143:R144"/>
    <mergeCell ref="K127:K128"/>
    <mergeCell ref="K125:K126"/>
    <mergeCell ref="J123:J124"/>
    <mergeCell ref="J139:J140"/>
    <mergeCell ref="K137:K138"/>
    <mergeCell ref="N129:N130"/>
    <mergeCell ref="K147:K148"/>
    <mergeCell ref="K169:K170"/>
    <mergeCell ref="N175:N176"/>
    <mergeCell ref="L173:L174"/>
    <mergeCell ref="L175:L176"/>
    <mergeCell ref="J171:J172"/>
    <mergeCell ref="J173:J174"/>
    <mergeCell ref="J175:J176"/>
    <mergeCell ref="L171:L172"/>
    <mergeCell ref="M171:M172"/>
    <mergeCell ref="N171:N172"/>
    <mergeCell ref="O173:O174"/>
    <mergeCell ref="O175:O176"/>
    <mergeCell ref="L167:L168"/>
    <mergeCell ref="M167:M168"/>
    <mergeCell ref="N167:N168"/>
    <mergeCell ref="R151:R152"/>
    <mergeCell ref="O167:O168"/>
    <mergeCell ref="M151:M152"/>
    <mergeCell ref="R147:R148"/>
    <mergeCell ref="AN161:AN162"/>
    <mergeCell ref="R173:R174"/>
    <mergeCell ref="R145:R146"/>
    <mergeCell ref="O159:O160"/>
    <mergeCell ref="R149:R150"/>
    <mergeCell ref="N165:N166"/>
    <mergeCell ref="N151:N152"/>
    <mergeCell ref="O151:O152"/>
    <mergeCell ref="AM153:AM154"/>
    <mergeCell ref="AN153:AN154"/>
    <mergeCell ref="AM151:AM152"/>
    <mergeCell ref="AN151:AN152"/>
    <mergeCell ref="R159:R160"/>
    <mergeCell ref="AM159:AM160"/>
    <mergeCell ref="AN159:AN160"/>
    <mergeCell ref="AM163:AM164"/>
    <mergeCell ref="AM145:AM146"/>
    <mergeCell ref="R167:R168"/>
    <mergeCell ref="AM155:AM156"/>
    <mergeCell ref="AM157:AM158"/>
    <mergeCell ref="P165:P166"/>
    <mergeCell ref="P167:P168"/>
    <mergeCell ref="R165:R166"/>
    <mergeCell ref="N163:N164"/>
    <mergeCell ref="O163:O164"/>
    <mergeCell ref="R163:R164"/>
    <mergeCell ref="P155:P156"/>
    <mergeCell ref="P169:P170"/>
    <mergeCell ref="N149:N150"/>
    <mergeCell ref="O149:O150"/>
    <mergeCell ref="P173:P174"/>
    <mergeCell ref="Q173:Q174"/>
    <mergeCell ref="H173:H174"/>
    <mergeCell ref="N153:N154"/>
    <mergeCell ref="O153:O154"/>
    <mergeCell ref="A169:A170"/>
    <mergeCell ref="C169:C170"/>
    <mergeCell ref="D169:D170"/>
    <mergeCell ref="E169:E170"/>
    <mergeCell ref="F169:F170"/>
    <mergeCell ref="G169:G170"/>
    <mergeCell ref="H169:H170"/>
    <mergeCell ref="I169:I170"/>
    <mergeCell ref="L169:L170"/>
    <mergeCell ref="A155:A156"/>
    <mergeCell ref="C155:C156"/>
    <mergeCell ref="D155:D156"/>
    <mergeCell ref="E155:E156"/>
    <mergeCell ref="K153:K154"/>
    <mergeCell ref="L153:L154"/>
    <mergeCell ref="K159:K160"/>
    <mergeCell ref="C165:C166"/>
    <mergeCell ref="D165:D166"/>
    <mergeCell ref="E165:E166"/>
    <mergeCell ref="F165:F166"/>
    <mergeCell ref="I165:I166"/>
    <mergeCell ref="J165:J166"/>
    <mergeCell ref="J155:J156"/>
    <mergeCell ref="K155:K156"/>
    <mergeCell ref="L155:L156"/>
    <mergeCell ref="M155:M156"/>
    <mergeCell ref="N155:N156"/>
    <mergeCell ref="O155:O156"/>
    <mergeCell ref="F167:F168"/>
    <mergeCell ref="R139:R140"/>
    <mergeCell ref="O139:O140"/>
    <mergeCell ref="N139:N140"/>
    <mergeCell ref="M139:M140"/>
    <mergeCell ref="L139:L140"/>
    <mergeCell ref="I139:I140"/>
    <mergeCell ref="H139:H140"/>
    <mergeCell ref="G139:G140"/>
    <mergeCell ref="F139:F140"/>
    <mergeCell ref="E139:E140"/>
    <mergeCell ref="D139:D140"/>
    <mergeCell ref="C139:C140"/>
    <mergeCell ref="A139:A140"/>
    <mergeCell ref="R157:R158"/>
    <mergeCell ref="K161:K162"/>
    <mergeCell ref="L161:L162"/>
    <mergeCell ref="M161:M162"/>
    <mergeCell ref="J153:J154"/>
    <mergeCell ref="M153:M154"/>
    <mergeCell ref="P159:P160"/>
    <mergeCell ref="P161:P162"/>
    <mergeCell ref="E149:E150"/>
    <mergeCell ref="A161:A162"/>
    <mergeCell ref="C161:C162"/>
    <mergeCell ref="D161:D162"/>
    <mergeCell ref="E161:E162"/>
    <mergeCell ref="H149:H150"/>
    <mergeCell ref="I149:I150"/>
    <mergeCell ref="F155:F156"/>
    <mergeCell ref="G155:G156"/>
    <mergeCell ref="H155:H156"/>
    <mergeCell ref="I155:I156"/>
    <mergeCell ref="R137:R138"/>
    <mergeCell ref="R141:R142"/>
    <mergeCell ref="K139:K140"/>
    <mergeCell ref="J137:J138"/>
    <mergeCell ref="G141:G142"/>
    <mergeCell ref="H141:H142"/>
    <mergeCell ref="I141:I142"/>
    <mergeCell ref="L141:L142"/>
    <mergeCell ref="J141:J142"/>
    <mergeCell ref="L137:L138"/>
    <mergeCell ref="K141:K142"/>
    <mergeCell ref="A141:A142"/>
    <mergeCell ref="C141:C142"/>
    <mergeCell ref="O141:O142"/>
    <mergeCell ref="D141:D142"/>
    <mergeCell ref="F141:F142"/>
    <mergeCell ref="E151:E152"/>
    <mergeCell ref="F151:F152"/>
    <mergeCell ref="G151:G152"/>
    <mergeCell ref="O143:O144"/>
    <mergeCell ref="O145:O146"/>
    <mergeCell ref="L145:L146"/>
    <mergeCell ref="J143:J144"/>
    <mergeCell ref="G145:G146"/>
    <mergeCell ref="A145:A146"/>
    <mergeCell ref="C145:C146"/>
    <mergeCell ref="D145:D146"/>
    <mergeCell ref="H147:H148"/>
    <mergeCell ref="I147:I148"/>
    <mergeCell ref="J147:J148"/>
    <mergeCell ref="C149:C150"/>
    <mergeCell ref="D149:D150"/>
    <mergeCell ref="E4:F4"/>
    <mergeCell ref="G5:H5"/>
    <mergeCell ref="G4:H4"/>
    <mergeCell ref="P55:P56"/>
    <mergeCell ref="P57:P58"/>
    <mergeCell ref="P59:P60"/>
    <mergeCell ref="H163:H164"/>
    <mergeCell ref="I163:I164"/>
    <mergeCell ref="J163:J164"/>
    <mergeCell ref="K163:K164"/>
    <mergeCell ref="L163:L164"/>
    <mergeCell ref="A163:A164"/>
    <mergeCell ref="A149:A150"/>
    <mergeCell ref="A147:A148"/>
    <mergeCell ref="C147:C148"/>
    <mergeCell ref="D147:D148"/>
    <mergeCell ref="A153:A154"/>
    <mergeCell ref="C153:C154"/>
    <mergeCell ref="D153:D154"/>
    <mergeCell ref="E153:E154"/>
    <mergeCell ref="F153:F154"/>
    <mergeCell ref="A157:A158"/>
    <mergeCell ref="C157:C158"/>
    <mergeCell ref="F149:F150"/>
    <mergeCell ref="G149:G150"/>
    <mergeCell ref="B163:B164"/>
    <mergeCell ref="O137:O138"/>
    <mergeCell ref="P149:P150"/>
    <mergeCell ref="P151:P152"/>
    <mergeCell ref="P153:P154"/>
    <mergeCell ref="N161:N162"/>
    <mergeCell ref="O161:O162"/>
    <mergeCell ref="P175:P176"/>
    <mergeCell ref="P115:P116"/>
    <mergeCell ref="P117:P118"/>
    <mergeCell ref="P119:P120"/>
    <mergeCell ref="P121:P122"/>
    <mergeCell ref="P123:P124"/>
    <mergeCell ref="P125:P126"/>
    <mergeCell ref="P127:P128"/>
    <mergeCell ref="P129:P130"/>
    <mergeCell ref="P131:P132"/>
    <mergeCell ref="P133:P134"/>
    <mergeCell ref="P135:P136"/>
    <mergeCell ref="P137:P138"/>
    <mergeCell ref="P139:P140"/>
    <mergeCell ref="P141:P142"/>
    <mergeCell ref="P143:P144"/>
    <mergeCell ref="P145:P146"/>
    <mergeCell ref="P147:P148"/>
    <mergeCell ref="P163:P164"/>
    <mergeCell ref="P157:P158"/>
    <mergeCell ref="Q175:Q176"/>
    <mergeCell ref="Q123:Q124"/>
    <mergeCell ref="Q125:Q126"/>
    <mergeCell ref="Q127:Q128"/>
    <mergeCell ref="Q129:Q130"/>
    <mergeCell ref="Q131:Q132"/>
    <mergeCell ref="Q133:Q134"/>
    <mergeCell ref="Q135:Q136"/>
    <mergeCell ref="Q137:Q138"/>
    <mergeCell ref="Q139:Q140"/>
    <mergeCell ref="Q141:Q142"/>
    <mergeCell ref="Q143:Q144"/>
    <mergeCell ref="Q145:Q146"/>
    <mergeCell ref="Q147:Q148"/>
    <mergeCell ref="Q149:Q150"/>
    <mergeCell ref="Q151:Q152"/>
    <mergeCell ref="Q153:Q154"/>
    <mergeCell ref="Q155:Q156"/>
    <mergeCell ref="K9:K10"/>
    <mergeCell ref="A15:E16"/>
    <mergeCell ref="I7:I8"/>
    <mergeCell ref="J7:J8"/>
    <mergeCell ref="K7:K8"/>
    <mergeCell ref="I6:K6"/>
    <mergeCell ref="F6:H6"/>
    <mergeCell ref="Q157:Q158"/>
    <mergeCell ref="Q159:Q160"/>
    <mergeCell ref="Q161:Q162"/>
    <mergeCell ref="Q163:Q164"/>
    <mergeCell ref="Q165:Q166"/>
    <mergeCell ref="Q167:Q168"/>
    <mergeCell ref="Q169:Q170"/>
    <mergeCell ref="Q171:Q172"/>
    <mergeCell ref="Q89:Q90"/>
    <mergeCell ref="Q91:Q92"/>
    <mergeCell ref="Q93:Q94"/>
    <mergeCell ref="Q95:Q96"/>
    <mergeCell ref="Q97:Q98"/>
    <mergeCell ref="Q99:Q100"/>
    <mergeCell ref="Q101:Q102"/>
    <mergeCell ref="Q103:Q104"/>
    <mergeCell ref="Q105:Q106"/>
    <mergeCell ref="Q107:Q108"/>
    <mergeCell ref="Q109:Q110"/>
    <mergeCell ref="Q111:Q112"/>
    <mergeCell ref="Q113:Q114"/>
    <mergeCell ref="Q115:Q116"/>
    <mergeCell ref="Q117:Q118"/>
    <mergeCell ref="P171:P172"/>
    <mergeCell ref="G163:G164"/>
  </mergeCells>
  <conditionalFormatting sqref="S6:S25">
    <cfRule type="containsText" dxfId="129" priority="16" operator="containsText" text="Concluído">
      <formula>NOT(ISERROR(SEARCH("Concluído",S6)))</formula>
    </cfRule>
    <cfRule type="containsText" dxfId="128" priority="17" operator="containsText" text="Conforme Planejado">
      <formula>NOT(ISERROR(SEARCH("Conforme Planejado",S6)))</formula>
    </cfRule>
    <cfRule type="containsText" dxfId="127" priority="18" operator="containsText" text="FALTA PLANEJAMENTO">
      <formula>NOT(ISERROR(SEARCH("FALTA PLANEJAMENTO",S6)))</formula>
    </cfRule>
    <cfRule type="containsText" dxfId="126" priority="19" operator="containsText" text="Atraso">
      <formula>NOT(ISERROR(SEARCH("Atraso",S6)))</formula>
    </cfRule>
  </conditionalFormatting>
  <conditionalFormatting sqref="T6:T25">
    <cfRule type="cellIs" dxfId="125" priority="9" operator="lessThan">
      <formula>0</formula>
    </cfRule>
  </conditionalFormatting>
  <conditionalFormatting sqref="AA6:AA25">
    <cfRule type="cellIs" dxfId="124" priority="27" operator="lessThanOrEqual">
      <formula>0.81</formula>
    </cfRule>
  </conditionalFormatting>
  <conditionalFormatting sqref="AD6:AD25">
    <cfRule type="containsText" dxfId="123" priority="11" operator="containsText" text="ADIANTADO">
      <formula>NOT(ISERROR(SEARCH("ADIANTADO",AD6)))</formula>
    </cfRule>
    <cfRule type="containsText" dxfId="122" priority="15" operator="containsText" text="FALTA DE ACOMPANHAMENTO">
      <formula>NOT(ISERROR(SEARCH("FALTA DE ACOMPANHAMENTO",AD6)))</formula>
    </cfRule>
    <cfRule type="containsText" dxfId="121" priority="20" operator="containsText" text="Concluído">
      <formula>NOT(ISERROR(SEARCH("Concluído",AD6)))</formula>
    </cfRule>
    <cfRule type="containsText" dxfId="120" priority="23" operator="containsText" text="Conforme Planejado">
      <formula>NOT(ISERROR(SEARCH("Conforme Planejado",AD6)))</formula>
    </cfRule>
    <cfRule type="containsText" dxfId="119" priority="24" operator="containsText" text="PROJETO NÃO INICIADO">
      <formula>NOT(ISERROR(SEARCH("PROJETO NÃO INICIADO",AD6)))</formula>
    </cfRule>
    <cfRule type="containsText" dxfId="118" priority="25" operator="containsText" text="Atraso">
      <formula>NOT(ISERROR(SEARCH("Atraso",AD6)))</formula>
    </cfRule>
  </conditionalFormatting>
  <conditionalFormatting sqref="AR55:AS176">
    <cfRule type="cellIs" dxfId="117" priority="1" operator="lessThan">
      <formula>0</formula>
    </cfRule>
  </conditionalFormatting>
  <dataValidations disablePrompts="1" count="27">
    <dataValidation type="list" allowBlank="1" showInputMessage="1" showErrorMessage="1" sqref="I47:I48 AC47:AC48 K47:K48 M47:M48 AE47:AE48 Q47:Q48 AA47:AA48 W47:W48 Y47:Y48 S47:S48 U47:U48" xr:uid="{90FDA76B-6A28-4E66-89E4-B51F4D048E4A}">
      <formula1>"Qualidade/dimensional,Rebarbas,Linhas de corte/ajustes,Ajuste de posicionamento,Quebra de faca,Ferramenta Acidentada,Falta de MO,Polimento"</formula1>
    </dataValidation>
    <dataValidation type="list" allowBlank="1" showInputMessage="1" showErrorMessage="1" sqref="I31:I35 AC31:AC35 K31:K35 M31:M35 AE31:AE35 Q31:Q35 AA31:AA35 W31:W35 Y31:Y35 S31:S35 U31:U35" xr:uid="{C7CE2EB3-145F-46E6-95F6-BF55B30310AE}">
      <formula1>"Manutenção, Ferramentaria, Falta de Material, Ajuste de ferramenta, Falta de Ar Comprimido,, Falta de OP, Aguardando Setup, Ajuste Transfer, Falta de energia, Blank c/ defeito, Quebra de qualidade, Troca de Fardo/Bobina"</formula1>
    </dataValidation>
    <dataValidation type="list" allowBlank="1" showInputMessage="1" showErrorMessage="1" sqref="I44 AC44 K44 M44 AE44 Q44 AA44 W44 Y44 S44 U44" xr:uid="{468624FA-7B3B-41B1-8EDC-E63C487D5E17}">
      <formula1>"Lesão dedos,Lesão mãos,Lesão pernas,Lesão pés,Lesão braços,Lesão olhos,Lesão cabeça,Lesão face"</formula1>
    </dataValidation>
    <dataValidation type="list" allowBlank="1" showInputMessage="1" showErrorMessage="1" sqref="I43 K43" xr:uid="{2E9294E5-95A1-4982-A62C-B595970BAEBC}">
      <formula1>"Rebarba,Risco profundo,Trica,Rachadura,Deformação,Falta de material,Peça amassada,Oxidação  -Dimensional  -Falta de operação,Falta de componente,Solda irregular,Rosca obstruída"</formula1>
    </dataValidation>
    <dataValidation type="list" allowBlank="1" showInputMessage="1" showErrorMessage="1" sqref="I40:I41 AC40:AC41 K40:K41 AE40:AE41 M40 Q40:Q41 AA40:AA41 S40 W40:W41 Y40:Y41 U40:U41 AA43" xr:uid="{E075C580-B1A0-4387-8962-06973883630D}">
      <formula1>"Trinca,Rachadura,Deformação,Falta de material,Peça amassada,Oxidação,Dimensional,Falta de operação ,Falta de componente,Solda irregular,Falta de rosca,Risco profundo,Rosca obstruída,Rebarba"</formula1>
    </dataValidation>
    <dataValidation type="list" allowBlank="1" showInputMessage="1" showErrorMessage="1" sqref="AE36:AE37 AC36:AC37 K36:K37 M36:M37 AA36:AA37 Q36:Q37 Y36:Y37 W36:W37 S36:S37 U36:U37" xr:uid="{A893F995-BEE2-40C2-811D-AC923600223B}">
      <formula1>"Quebra mecânica  ,Quebra elétrica,Problema com PLC,Falta de spare parts,Falta de MO,Quebra por mal uso"</formula1>
    </dataValidation>
    <dataValidation type="list" allowBlank="1" showInputMessage="1" showErrorMessage="1" sqref="I30 K30 M30 AE30 Q30 AC30 W30 Y30 AA30 S30 U30" xr:uid="{659C9A92-7518-46D6-ACB1-EE58EF91BED5}">
      <formula1>"Trinca, Rachadura, Deformação, Falta de Material, Peça amassada, Oxidação, Dimensional, Falta de operação, Falta de componente, Solda irregular, Falta de rosca, Risco profundo, Rosca obstruída, Rebarba"</formula1>
    </dataValidation>
    <dataValidation type="list" allowBlank="1" showInputMessage="1" showErrorMessage="1" sqref="I38 K38 M38 AE38 Q38 AC38 AA38 W38 Y38 U38" xr:uid="{C7D1909A-B6B7-437B-A882-07617C522665}">
      <formula1>"Produção, Logística, Qualidade, Engenharia, Corpotativo, Custos, Segurança, Manutenção, Ferramentaria"</formula1>
    </dataValidation>
    <dataValidation type="list" allowBlank="1" showInputMessage="1" showErrorMessage="1" sqref="I39 K39 M39 AE39 Q39 AC39 W39 Y39 AA39 U39" xr:uid="{4FD3A477-6C65-41FD-8666-6D319D14EFBA}">
      <formula1>"Erro invent. anual, Erro ID invent. anual, Apontamento incorreto, Receb. qtd incorreta, Receb. cod. Incorreto, Mat. sem saldo, Entrada fiscal incorreto, Mat. rec. sem ent. de saldo fiscal, Mat. não encont. fisicamente"</formula1>
    </dataValidation>
    <dataValidation type="list" allowBlank="1" showInputMessage="1" showErrorMessage="1" sqref="I42 K42 M42 AE42 AC42 AA42 W42 Y42 S42 U42" xr:uid="{ECE3E148-5328-4DD9-A6A0-22C368F32E55}">
      <formula1>"Refugo, Frete estra, Horas extras, Nota de débitos, Receita líquida"</formula1>
    </dataValidation>
    <dataValidation type="list" allowBlank="1" showInputMessage="1" showErrorMessage="1" sqref="I45 K45 M45 AE45 Q45 AC45 W45 Y45 AA45 S45 U45" xr:uid="{81F96CCD-80E0-48E7-BEB0-B644EC409AEF}">
      <formula1>"Engenharia, Custos"</formula1>
    </dataValidation>
    <dataValidation type="list" allowBlank="1" showInputMessage="1" showErrorMessage="1" sqref="I46 K46 M46 AE46 Q46 AC46 AA46 W46 Y46 U46" xr:uid="{751DB958-04AD-4370-9C34-50E40EAF5E00}">
      <formula1>"Produção, Logística, Qualidade, Engenharia, Corporativo, Custos, Segurança, Manutenção, Ferramentaria"</formula1>
    </dataValidation>
    <dataValidation type="list" allowBlank="1" showInputMessage="1" showErrorMessage="1" sqref="E227:E317" xr:uid="{29E85B1C-D87E-4272-85D7-B13502DC08DE}">
      <formula1>"Sim,Não"</formula1>
    </dataValidation>
    <dataValidation type="list" allowBlank="1" showInputMessage="1" showErrorMessage="1" sqref="I36:I37" xr:uid="{D681F326-D204-4064-B3B6-693EDB7DAB9B}">
      <formula1>"Quebra mecânica  ,Quebra elétrica,Problema com PLC,Falta de spare parts,Falta de MO,Quebra por mal uso, Problema com CLP"</formula1>
    </dataValidation>
    <dataValidation type="list" allowBlank="1" showInputMessage="1" showErrorMessage="1" sqref="M43 AE43 AC43 U43 Y43 W43" xr:uid="{0AE49229-CC69-484F-B092-145F52937887}">
      <formula1>"Rebarba,Risco profundo,Trica,Rachadura,Deformação,Falta de material,Peça amassada,Oxidação  -Dimensional  -Falta de operação,Falta de componente,Solda irregular,Rosca obstruída, Quebra de FIFO"</formula1>
    </dataValidation>
    <dataValidation type="list" allowBlank="1" showInputMessage="1" showErrorMessage="1" sqref="D177:D181 D186:D192 D200 D202 D204:D206" xr:uid="{1ADB668A-F8C1-4527-B6FB-BB57D853F01D}">
      <formula1>"1,2,3"</formula1>
    </dataValidation>
    <dataValidation type="list" allowBlank="1" showInputMessage="1" showErrorMessage="1" sqref="M41" xr:uid="{182A432E-ED06-4E05-BC28-FFDAF2390F2D}">
      <formula1>"Quebra de FIFO, Trinca,Rachadura,Deformação,Falta de material,Peça amassada,Oxidação,Dimensional,Falta de operação ,Falta de componente,Solda irregular,Falta de rosca,Risco profundo,Rosca obstruída,Rebarba"</formula1>
    </dataValidation>
    <dataValidation type="list" allowBlank="1" showInputMessage="1" showErrorMessage="1" sqref="AM55:AM136 AM147:AM168" xr:uid="{57FE36A7-6F81-4EB0-B48B-04B2FADE87BD}">
      <formula1>$AG$47:$AG$51</formula1>
    </dataValidation>
    <dataValidation type="list" allowBlank="1" showInputMessage="1" showErrorMessage="1" sqref="B55:B176" xr:uid="{4998933B-9ABD-486A-8589-6B1C1E3A4192}">
      <formula1>"VA,GGF,MA,Outros"</formula1>
    </dataValidation>
    <dataValidation type="list" allowBlank="1" showInputMessage="1" showErrorMessage="1" sqref="Q43" xr:uid="{BEE45A27-00E5-482C-BD46-5ADEF5DC8D9B}">
      <formula1>"Dimensional, Rebarba,Risco profundo,Trica,Rachadura,Deformação,Falta de material,Peça amassada,Oxidação  -Dimensional  -Falta de operação,Falta de componente,Solda irregular,Rosca obstruída, Quebra de FIFO"</formula1>
    </dataValidation>
    <dataValidation type="list" allowBlank="1" showInputMessage="1" showErrorMessage="1" sqref="E179:F206" xr:uid="{A2B51CFD-8CD8-45EE-9AF9-BEAB8B70EF17}">
      <formula1>"0%,25%,50%,75%,100%"</formula1>
    </dataValidation>
    <dataValidation type="list" allowBlank="1" showInputMessage="1" showErrorMessage="1" sqref="A55:A176" xr:uid="{264AE014-A1C1-49B8-A3DC-BE328DEFCEE1}">
      <formula1>$A$8:$A$13</formula1>
    </dataValidation>
    <dataValidation type="list" allowBlank="1" showInputMessage="1" showErrorMessage="1" sqref="S46" xr:uid="{C26309CE-62BF-4C37-BB38-A9E016900ABE}">
      <formula1>"Não aplicável, Produção, Logística, Qualidade, Engenharia, Corporativo, Custos, Segurança, Manutenção, Ferramentaria"</formula1>
    </dataValidation>
    <dataValidation type="list" allowBlank="1" showInputMessage="1" showErrorMessage="1" sqref="Q42" xr:uid="{538E2358-74E3-4822-8A2C-A07C1142F7F3}">
      <formula1>"Refugo, Frete extra, Horas extras, Nota de débitos, Receita líquida"</formula1>
    </dataValidation>
    <dataValidation type="list" allowBlank="1" showInputMessage="1" showErrorMessage="1" sqref="S43" xr:uid="{3A89DA20-5A05-42EA-8A38-41829ABF2639}">
      <formula1>"Não aplicável, Rebarba,Risco profundo,Trica,Rachadura,Deformação,Falta de material,Peça amassada,Oxidação  -Dimensional  -Falta de operação,Falta de componente,Solda irregular,Rosca obstruída, Quebra de FIFO"</formula1>
    </dataValidation>
    <dataValidation type="list" allowBlank="1" showInputMessage="1" showErrorMessage="1" sqref="S41" xr:uid="{1E9913CF-5840-4A33-A03A-B950D71B6CDB}">
      <formula1>"Não aplicável, Trinca,Rachadura,Deformação,Falta de material,Peça amassada,Oxidação,Dimensional,Falta de operação ,Falta de componente,Solda irregular,Falta de rosca,Risco profundo,Rosca obstruída,Rebarba"</formula1>
    </dataValidation>
    <dataValidation type="list" allowBlank="1" showInputMessage="1" showErrorMessage="1" sqref="S39" xr:uid="{78148E6F-E10B-4945-AE30-A85E27C1717C}">
      <formula1>"Não aplicável, Produção, Logística, Qualidade, Engenharia, Corpotativo, Custos, Segurança, Manutenção, Ferramentaria"</formula1>
    </dataValidation>
  </dataValidations>
  <hyperlinks>
    <hyperlink ref="A59:A60" r:id="rId1" display="Kaizen" xr:uid="{1E68BFCC-1295-4E6C-8798-472046954F04}"/>
    <hyperlink ref="A55:A56" r:id="rId2" display="Kaizen" xr:uid="{53AF5BB3-952B-43C6-A616-1A511FDA410B}"/>
    <hyperlink ref="H188" r:id="rId3" xr:uid="{A0FF9844-2382-42F0-90F1-AD0E7F83E3DA}"/>
    <hyperlink ref="H189" r:id="rId4" xr:uid="{31AB57B0-82C1-4243-9DDE-FAEAC4DFFF3D}"/>
    <hyperlink ref="D77" r:id="rId5" xr:uid="{7D8EE43E-62BD-41BA-9870-1C81273EE126}"/>
    <hyperlink ref="D65" r:id="rId6" xr:uid="{8ACC4E10-59A2-4AA8-8265-2DE38E5CCC7F}"/>
    <hyperlink ref="H180" r:id="rId7" xr:uid="{07D041A6-C999-4C45-994B-946902A6824C}"/>
    <hyperlink ref="H181" r:id="rId8" xr:uid="{1538283D-3B27-46B0-9E9D-0D0B6C239E23}"/>
    <hyperlink ref="H187" r:id="rId9" xr:uid="{67EE0A68-62DC-4A52-A8F6-40E83386A4F7}"/>
    <hyperlink ref="H200" r:id="rId10" display="VW000887Z" xr:uid="{205F1E3A-AEA0-4D29-839A-3868FF25AB01}"/>
    <hyperlink ref="D119" r:id="rId11" xr:uid="{64ED541A-D36E-4325-8426-BE31A609A903}"/>
    <hyperlink ref="D117" r:id="rId12" xr:uid="{EF5B8C39-0A21-48B7-8AA6-A9F163321B5E}"/>
    <hyperlink ref="H192" r:id="rId13" xr:uid="{E4184166-3B8B-4484-9DC1-AB25D26EE7D7}"/>
    <hyperlink ref="H193" r:id="rId14" xr:uid="{3CF61132-C14B-40B8-A21B-6D2DF5C4C500}"/>
    <hyperlink ref="D91" r:id="rId15" xr:uid="{5D7047F6-BA21-41F3-93A4-A34D6B596753}"/>
    <hyperlink ref="D105" r:id="rId16" xr:uid="{28C82278-B806-4B96-89EC-0A2169F7B0B5}"/>
    <hyperlink ref="D79" r:id="rId17" xr:uid="{434127DF-0F99-417C-8353-FFC75748263E}"/>
    <hyperlink ref="D85" r:id="rId18" xr:uid="{27957303-EF49-4DF8-898C-73A07982E109}"/>
    <hyperlink ref="D93" r:id="rId19" xr:uid="{C14B3C43-5225-4707-8ED7-21F294E815BA}"/>
    <hyperlink ref="D97" r:id="rId20" xr:uid="{49156D6F-2CB0-42FE-A9A5-62A03A6D4ABA}"/>
    <hyperlink ref="D101" r:id="rId21" xr:uid="{425ABF33-548E-464D-AF80-29EAAF44C76E}"/>
    <hyperlink ref="D115" r:id="rId22" xr:uid="{9CCA9FC2-ECEF-478C-8899-0182ADCC0404}"/>
    <hyperlink ref="D121" r:id="rId23" xr:uid="{AD3805F5-B159-4ACD-8E61-7CCB0470E718}"/>
    <hyperlink ref="D123" r:id="rId24" xr:uid="{DC304558-0A65-406A-BA66-A23DF4C26464}"/>
    <hyperlink ref="D125" r:id="rId25" xr:uid="{0BB172E2-5E33-4171-B19E-B23DE6931701}"/>
    <hyperlink ref="D127" r:id="rId26" xr:uid="{EB582ED5-2E92-4D82-A314-3B23E90D930D}"/>
    <hyperlink ref="D129" r:id="rId27" xr:uid="{60F84FB4-A10B-47E6-BCB4-B2ADE8059AEA}"/>
    <hyperlink ref="D131" r:id="rId28" xr:uid="{07CD5529-3994-4568-9CF4-692F0310C789}"/>
    <hyperlink ref="D133" r:id="rId29" xr:uid="{0557E9BB-4520-49D1-8F58-F921ABA7306F}"/>
    <hyperlink ref="D135" r:id="rId30" xr:uid="{54CA9384-3F7A-4B4A-9E8D-BA0FBA3EAE04}"/>
    <hyperlink ref="D57" r:id="rId31" xr:uid="{B5566BEA-108E-42A3-B61E-E8FE0F930132}"/>
    <hyperlink ref="D55" r:id="rId32" xr:uid="{E4E59668-62AE-4617-9949-130E41A9B2A6}"/>
    <hyperlink ref="D63" r:id="rId33" xr:uid="{908F2596-5093-4829-922C-757D13F63E5A}"/>
    <hyperlink ref="D67" r:id="rId34" xr:uid="{9B45B0DD-1D26-4A82-8730-F53205812EA6}"/>
    <hyperlink ref="D69" r:id="rId35" xr:uid="{571168C5-A5B8-45D2-A366-D22B1A1ABB23}"/>
    <hyperlink ref="D73" r:id="rId36" xr:uid="{CD637249-D09D-45AD-B1B9-A04228202CBD}"/>
    <hyperlink ref="D81" r:id="rId37" xr:uid="{6C0128A6-5909-4B5F-BC62-16106F5D7996}"/>
    <hyperlink ref="D83" r:id="rId38" xr:uid="{D4102031-43BE-4BA7-B74A-A6A3BCEF3150}"/>
    <hyperlink ref="D87" r:id="rId39" xr:uid="{0E2B14B0-2B34-4DCC-9313-6C4A75584019}"/>
    <hyperlink ref="D89" r:id="rId40" xr:uid="{523F8C50-41C4-478E-B3F6-417152279401}"/>
    <hyperlink ref="D95" r:id="rId41" xr:uid="{79535EE2-F1D7-4E2E-A45A-E360F545430C}"/>
    <hyperlink ref="D99" r:id="rId42" xr:uid="{3A62A4DF-AA4F-4B8D-B666-AC6B528A9F80}"/>
    <hyperlink ref="D103" r:id="rId43" xr:uid="{DAA4ECBF-97CF-4A2D-93A7-31FD370E73AE}"/>
    <hyperlink ref="D107" r:id="rId44" xr:uid="{D1EF1ADE-EFF0-4742-BD1A-26468CB196A9}"/>
    <hyperlink ref="D109" r:id="rId45" xr:uid="{C304F5D3-52D5-4FCA-88D1-86C4C40277EE}"/>
    <hyperlink ref="D111" r:id="rId46" xr:uid="{B0F15815-F355-4C68-806E-75E06686776E}"/>
    <hyperlink ref="D113" r:id="rId47" xr:uid="{9350C42A-235A-4572-97AE-50A4B67C8025}"/>
    <hyperlink ref="D71" r:id="rId48" xr:uid="{4522AE15-CF3D-4517-839F-6241B174E893}"/>
    <hyperlink ref="D145" r:id="rId49" xr:uid="{3C668C24-7BA1-4B09-AADA-6C2F0A46B050}"/>
    <hyperlink ref="D143" r:id="rId50" xr:uid="{BE09B1C0-1FFB-403C-ADB5-6584097A1443}"/>
    <hyperlink ref="D141" r:id="rId51" xr:uid="{E752E6EA-C3EA-46ED-BF93-2309DE22AF33}"/>
    <hyperlink ref="D139" r:id="rId52" xr:uid="{80F0994F-F42F-44A4-97EE-D9ABBFFC4B54}"/>
    <hyperlink ref="D137" r:id="rId53" xr:uid="{AFDEB65D-8AB5-4275-96B5-2BDB8442F610}"/>
    <hyperlink ref="D147" r:id="rId54" xr:uid="{BFDAE7E6-9F1E-4A47-B9AE-56DB388CBD60}"/>
    <hyperlink ref="D149" r:id="rId55" xr:uid="{05B848BC-9E00-45AE-AA41-10F64C13C141}"/>
    <hyperlink ref="D151" r:id="rId56" xr:uid="{D060ABF7-2F1F-45FB-A668-8CF208C70621}"/>
    <hyperlink ref="D153" r:id="rId57" xr:uid="{A7E71160-44CE-4500-829D-643883651649}"/>
    <hyperlink ref="D155" r:id="rId58" xr:uid="{7C4A142A-0E4B-476C-AF2B-EB1AB0644548}"/>
    <hyperlink ref="D157" r:id="rId59" xr:uid="{3A35027D-5C1A-4FB8-B739-773C8091E050}"/>
    <hyperlink ref="D159" r:id="rId60" xr:uid="{BA4B740B-AB0C-466F-B96C-E1BAC9739A77}"/>
    <hyperlink ref="D161" r:id="rId61" xr:uid="{790E8810-9564-40F1-AB3E-4ADE27BEFB28}"/>
    <hyperlink ref="D163" r:id="rId62" xr:uid="{A64B7811-E47E-4821-AC9A-B2540BD469B4}"/>
    <hyperlink ref="D165" r:id="rId63" xr:uid="{978AE611-31FD-4B66-AF0D-3E8E66844345}"/>
    <hyperlink ref="D167" r:id="rId64" xr:uid="{7F84D023-0919-4CA0-B9DB-FAC1FECFCFEF}"/>
    <hyperlink ref="H190" r:id="rId65" xr:uid="{192FD0E4-AE08-43D0-96D8-3421A06267F3}"/>
    <hyperlink ref="H191" r:id="rId66" xr:uid="{22694225-921B-4605-B18C-A4AB61BACCFE}"/>
    <hyperlink ref="D61" r:id="rId67" xr:uid="{A0708AE6-C5F6-4578-9B6D-0267B06B3AB7}"/>
    <hyperlink ref="D59" r:id="rId68" display="\\192.168.0.20\DEPARTAMENTOS\Engenharia\0. Kaizen Diadema\6. 2026\01 Janeiro\03 - GM000463Z_GM000359AA_Robson Luz_Engenharia\3 - Eficiência_Operacional - GM000359AA_GM000463Z_REV01.xlsx" xr:uid="{EAB3B23E-B1FB-4DCC-B8A5-B32A2298A18D}"/>
    <hyperlink ref="H182" r:id="rId69" xr:uid="{8C70F4C2-C13D-439B-9A6C-4E17ECDE9E4B}"/>
    <hyperlink ref="H195" r:id="rId70" xr:uid="{37746CB5-8E22-4C46-AE8B-0B3D9D7AC859}"/>
    <hyperlink ref="H196" r:id="rId71" xr:uid="{77C3A6F6-7F7C-4B42-9E0F-39A2A1190EA5}"/>
    <hyperlink ref="H198" r:id="rId72" xr:uid="{F95B33A5-CD0C-4E43-BF1F-179F2B830AE6}"/>
    <hyperlink ref="D159:D160" r:id="rId73" display="\\192.168.0.20\departamentos\Engenharia\0. Kaizen Diadema\6. 2026\04 Abril\54 - Redução com aluguel de cilindros_Eduardo Fajardo\54 - Redução com aluguel de cilindros_Eduardo Fajardo_REV00.xlsx" xr:uid="{9615C187-A775-46FB-9B0B-103147063344}"/>
    <hyperlink ref="H194" r:id="rId74" xr:uid="{F1ECF3E7-6D90-48CC-8D34-9587489C9532}"/>
  </hyperlinks>
  <pageMargins left="0.75" right="0.75" top="1" bottom="1" header="0.5" footer="0.5"/>
  <pageSetup paperSize="9" orientation="portrait" r:id="rId75"/>
  <drawing r:id="rId76"/>
  <legacyDrawing r:id="rId77"/>
  <mc:AlternateContent xmlns:mc="http://schemas.openxmlformats.org/markup-compatibility/2006">
    <mc:Choice Requires="x14">
      <controls>
        <mc:AlternateContent xmlns:mc="http://schemas.openxmlformats.org/markup-compatibility/2006">
          <mc:Choice Requires="x14">
            <control shapeId="3144" r:id="rId78" name="Check Box 72">
              <controlPr defaultSize="0" autoFill="0" autoLine="0" autoPict="0">
                <anchor moveWithCells="1">
                  <from>
                    <xdr:col>11</xdr:col>
                    <xdr:colOff>0</xdr:colOff>
                    <xdr:row>54</xdr:row>
                    <xdr:rowOff>30480</xdr:rowOff>
                  </from>
                  <to>
                    <xdr:col>11</xdr:col>
                    <xdr:colOff>1866900</xdr:colOff>
                    <xdr:row>54</xdr:row>
                    <xdr:rowOff>297180</xdr:rowOff>
                  </to>
                </anchor>
              </controlPr>
            </control>
          </mc:Choice>
        </mc:AlternateContent>
        <mc:AlternateContent xmlns:mc="http://schemas.openxmlformats.org/markup-compatibility/2006">
          <mc:Choice Requires="x14">
            <control shapeId="3146" r:id="rId79" name="Check Box 74">
              <controlPr defaultSize="0" autoFill="0" autoLine="0" autoPict="0">
                <anchor moveWithCells="1">
                  <from>
                    <xdr:col>11</xdr:col>
                    <xdr:colOff>0</xdr:colOff>
                    <xdr:row>54</xdr:row>
                    <xdr:rowOff>259080</xdr:rowOff>
                  </from>
                  <to>
                    <xdr:col>11</xdr:col>
                    <xdr:colOff>1866900</xdr:colOff>
                    <xdr:row>55</xdr:row>
                    <xdr:rowOff>190500</xdr:rowOff>
                  </to>
                </anchor>
              </controlPr>
            </control>
          </mc:Choice>
        </mc:AlternateContent>
        <mc:AlternateContent xmlns:mc="http://schemas.openxmlformats.org/markup-compatibility/2006">
          <mc:Choice Requires="x14">
            <control shapeId="3147" r:id="rId80" name="Check Box 75">
              <controlPr defaultSize="0" autoFill="0" autoLine="0" autoPict="0">
                <anchor moveWithCells="1">
                  <from>
                    <xdr:col>11</xdr:col>
                    <xdr:colOff>0</xdr:colOff>
                    <xdr:row>55</xdr:row>
                    <xdr:rowOff>106680</xdr:rowOff>
                  </from>
                  <to>
                    <xdr:col>11</xdr:col>
                    <xdr:colOff>1866900</xdr:colOff>
                    <xdr:row>55</xdr:row>
                    <xdr:rowOff>342900</xdr:rowOff>
                  </to>
                </anchor>
              </controlPr>
            </control>
          </mc:Choice>
        </mc:AlternateContent>
        <mc:AlternateContent xmlns:mc="http://schemas.openxmlformats.org/markup-compatibility/2006">
          <mc:Choice Requires="x14">
            <control shapeId="3149" r:id="rId81" name="Check Box 77">
              <controlPr defaultSize="0" autoFill="0" autoLine="0" autoPict="0">
                <anchor moveWithCells="1">
                  <from>
                    <xdr:col>11</xdr:col>
                    <xdr:colOff>0</xdr:colOff>
                    <xdr:row>56</xdr:row>
                    <xdr:rowOff>30480</xdr:rowOff>
                  </from>
                  <to>
                    <xdr:col>11</xdr:col>
                    <xdr:colOff>1866900</xdr:colOff>
                    <xdr:row>56</xdr:row>
                    <xdr:rowOff>266700</xdr:rowOff>
                  </to>
                </anchor>
              </controlPr>
            </control>
          </mc:Choice>
        </mc:AlternateContent>
        <mc:AlternateContent xmlns:mc="http://schemas.openxmlformats.org/markup-compatibility/2006">
          <mc:Choice Requires="x14">
            <control shapeId="3150" r:id="rId82" name="Check Box 78">
              <controlPr defaultSize="0" autoFill="0" autoLine="0" autoPict="0">
                <anchor moveWithCells="1">
                  <from>
                    <xdr:col>11</xdr:col>
                    <xdr:colOff>0</xdr:colOff>
                    <xdr:row>56</xdr:row>
                    <xdr:rowOff>259080</xdr:rowOff>
                  </from>
                  <to>
                    <xdr:col>11</xdr:col>
                    <xdr:colOff>1866900</xdr:colOff>
                    <xdr:row>57</xdr:row>
                    <xdr:rowOff>228600</xdr:rowOff>
                  </to>
                </anchor>
              </controlPr>
            </control>
          </mc:Choice>
        </mc:AlternateContent>
        <mc:AlternateContent xmlns:mc="http://schemas.openxmlformats.org/markup-compatibility/2006">
          <mc:Choice Requires="x14">
            <control shapeId="3151" r:id="rId83" name="Check Box 79">
              <controlPr defaultSize="0" autoFill="0" autoLine="0" autoPict="0">
                <anchor moveWithCells="1">
                  <from>
                    <xdr:col>11</xdr:col>
                    <xdr:colOff>0</xdr:colOff>
                    <xdr:row>57</xdr:row>
                    <xdr:rowOff>106680</xdr:rowOff>
                  </from>
                  <to>
                    <xdr:col>11</xdr:col>
                    <xdr:colOff>1866900</xdr:colOff>
                    <xdr:row>57</xdr:row>
                    <xdr:rowOff>342900</xdr:rowOff>
                  </to>
                </anchor>
              </controlPr>
            </control>
          </mc:Choice>
        </mc:AlternateContent>
        <mc:AlternateContent xmlns:mc="http://schemas.openxmlformats.org/markup-compatibility/2006">
          <mc:Choice Requires="x14">
            <control shapeId="3152" r:id="rId84" name="Check Box 80">
              <controlPr defaultSize="0" autoFill="0" autoLine="0" autoPict="0">
                <anchor moveWithCells="1">
                  <from>
                    <xdr:col>11</xdr:col>
                    <xdr:colOff>0</xdr:colOff>
                    <xdr:row>58</xdr:row>
                    <xdr:rowOff>30480</xdr:rowOff>
                  </from>
                  <to>
                    <xdr:col>11</xdr:col>
                    <xdr:colOff>1866900</xdr:colOff>
                    <xdr:row>58</xdr:row>
                    <xdr:rowOff>266700</xdr:rowOff>
                  </to>
                </anchor>
              </controlPr>
            </control>
          </mc:Choice>
        </mc:AlternateContent>
        <mc:AlternateContent xmlns:mc="http://schemas.openxmlformats.org/markup-compatibility/2006">
          <mc:Choice Requires="x14">
            <control shapeId="3153" r:id="rId85" name="Check Box 81">
              <controlPr defaultSize="0" autoFill="0" autoLine="0" autoPict="0">
                <anchor moveWithCells="1">
                  <from>
                    <xdr:col>11</xdr:col>
                    <xdr:colOff>0</xdr:colOff>
                    <xdr:row>58</xdr:row>
                    <xdr:rowOff>259080</xdr:rowOff>
                  </from>
                  <to>
                    <xdr:col>11</xdr:col>
                    <xdr:colOff>1866900</xdr:colOff>
                    <xdr:row>59</xdr:row>
                    <xdr:rowOff>190500</xdr:rowOff>
                  </to>
                </anchor>
              </controlPr>
            </control>
          </mc:Choice>
        </mc:AlternateContent>
        <mc:AlternateContent xmlns:mc="http://schemas.openxmlformats.org/markup-compatibility/2006">
          <mc:Choice Requires="x14">
            <control shapeId="3154" r:id="rId86" name="Check Box 82">
              <controlPr defaultSize="0" autoFill="0" autoLine="0" autoPict="0">
                <anchor moveWithCells="1">
                  <from>
                    <xdr:col>11</xdr:col>
                    <xdr:colOff>0</xdr:colOff>
                    <xdr:row>59</xdr:row>
                    <xdr:rowOff>106680</xdr:rowOff>
                  </from>
                  <to>
                    <xdr:col>11</xdr:col>
                    <xdr:colOff>1866900</xdr:colOff>
                    <xdr:row>59</xdr:row>
                    <xdr:rowOff>342900</xdr:rowOff>
                  </to>
                </anchor>
              </controlPr>
            </control>
          </mc:Choice>
        </mc:AlternateContent>
        <mc:AlternateContent xmlns:mc="http://schemas.openxmlformats.org/markup-compatibility/2006">
          <mc:Choice Requires="x14">
            <control shapeId="3156" r:id="rId87" name="Check Box 84">
              <controlPr defaultSize="0" autoFill="0" autoLine="0" autoPict="0">
                <anchor moveWithCells="1">
                  <from>
                    <xdr:col>11</xdr:col>
                    <xdr:colOff>0</xdr:colOff>
                    <xdr:row>60</xdr:row>
                    <xdr:rowOff>259080</xdr:rowOff>
                  </from>
                  <to>
                    <xdr:col>11</xdr:col>
                    <xdr:colOff>1866900</xdr:colOff>
                    <xdr:row>61</xdr:row>
                    <xdr:rowOff>190500</xdr:rowOff>
                  </to>
                </anchor>
              </controlPr>
            </control>
          </mc:Choice>
        </mc:AlternateContent>
        <mc:AlternateContent xmlns:mc="http://schemas.openxmlformats.org/markup-compatibility/2006">
          <mc:Choice Requires="x14">
            <control shapeId="3157" r:id="rId88" name="Check Box 85">
              <controlPr defaultSize="0" autoFill="0" autoLine="0" autoPict="0">
                <anchor moveWithCells="1">
                  <from>
                    <xdr:col>11</xdr:col>
                    <xdr:colOff>0</xdr:colOff>
                    <xdr:row>61</xdr:row>
                    <xdr:rowOff>106680</xdr:rowOff>
                  </from>
                  <to>
                    <xdr:col>11</xdr:col>
                    <xdr:colOff>1866900</xdr:colOff>
                    <xdr:row>61</xdr:row>
                    <xdr:rowOff>342900</xdr:rowOff>
                  </to>
                </anchor>
              </controlPr>
            </control>
          </mc:Choice>
        </mc:AlternateContent>
        <mc:AlternateContent xmlns:mc="http://schemas.openxmlformats.org/markup-compatibility/2006">
          <mc:Choice Requires="x14">
            <control shapeId="3159" r:id="rId89" name="Check Box 87">
              <controlPr defaultSize="0" autoFill="0" autoLine="0" autoPict="0">
                <anchor moveWithCells="1">
                  <from>
                    <xdr:col>11</xdr:col>
                    <xdr:colOff>0</xdr:colOff>
                    <xdr:row>62</xdr:row>
                    <xdr:rowOff>259080</xdr:rowOff>
                  </from>
                  <to>
                    <xdr:col>11</xdr:col>
                    <xdr:colOff>1866900</xdr:colOff>
                    <xdr:row>63</xdr:row>
                    <xdr:rowOff>190500</xdr:rowOff>
                  </to>
                </anchor>
              </controlPr>
            </control>
          </mc:Choice>
        </mc:AlternateContent>
        <mc:AlternateContent xmlns:mc="http://schemas.openxmlformats.org/markup-compatibility/2006">
          <mc:Choice Requires="x14">
            <control shapeId="3160" r:id="rId90" name="Check Box 88">
              <controlPr defaultSize="0" autoFill="0" autoLine="0" autoPict="0">
                <anchor moveWithCells="1">
                  <from>
                    <xdr:col>11</xdr:col>
                    <xdr:colOff>0</xdr:colOff>
                    <xdr:row>63</xdr:row>
                    <xdr:rowOff>106680</xdr:rowOff>
                  </from>
                  <to>
                    <xdr:col>11</xdr:col>
                    <xdr:colOff>1866900</xdr:colOff>
                    <xdr:row>63</xdr:row>
                    <xdr:rowOff>342900</xdr:rowOff>
                  </to>
                </anchor>
              </controlPr>
            </control>
          </mc:Choice>
        </mc:AlternateContent>
        <mc:AlternateContent xmlns:mc="http://schemas.openxmlformats.org/markup-compatibility/2006">
          <mc:Choice Requires="x14">
            <control shapeId="3162" r:id="rId91" name="Check Box 90">
              <controlPr defaultSize="0" autoFill="0" autoLine="0" autoPict="0">
                <anchor moveWithCells="1">
                  <from>
                    <xdr:col>11</xdr:col>
                    <xdr:colOff>0</xdr:colOff>
                    <xdr:row>64</xdr:row>
                    <xdr:rowOff>259080</xdr:rowOff>
                  </from>
                  <to>
                    <xdr:col>11</xdr:col>
                    <xdr:colOff>1866900</xdr:colOff>
                    <xdr:row>65</xdr:row>
                    <xdr:rowOff>190500</xdr:rowOff>
                  </to>
                </anchor>
              </controlPr>
            </control>
          </mc:Choice>
        </mc:AlternateContent>
        <mc:AlternateContent xmlns:mc="http://schemas.openxmlformats.org/markup-compatibility/2006">
          <mc:Choice Requires="x14">
            <control shapeId="3163" r:id="rId92" name="Check Box 91">
              <controlPr defaultSize="0" autoFill="0" autoLine="0" autoPict="0">
                <anchor moveWithCells="1">
                  <from>
                    <xdr:col>11</xdr:col>
                    <xdr:colOff>0</xdr:colOff>
                    <xdr:row>65</xdr:row>
                    <xdr:rowOff>106680</xdr:rowOff>
                  </from>
                  <to>
                    <xdr:col>11</xdr:col>
                    <xdr:colOff>1866900</xdr:colOff>
                    <xdr:row>65</xdr:row>
                    <xdr:rowOff>342900</xdr:rowOff>
                  </to>
                </anchor>
              </controlPr>
            </control>
          </mc:Choice>
        </mc:AlternateContent>
        <mc:AlternateContent xmlns:mc="http://schemas.openxmlformats.org/markup-compatibility/2006">
          <mc:Choice Requires="x14">
            <control shapeId="3165" r:id="rId93" name="Check Box 93">
              <controlPr defaultSize="0" autoFill="0" autoLine="0" autoPict="0">
                <anchor moveWithCells="1">
                  <from>
                    <xdr:col>11</xdr:col>
                    <xdr:colOff>0</xdr:colOff>
                    <xdr:row>66</xdr:row>
                    <xdr:rowOff>259080</xdr:rowOff>
                  </from>
                  <to>
                    <xdr:col>11</xdr:col>
                    <xdr:colOff>1866900</xdr:colOff>
                    <xdr:row>67</xdr:row>
                    <xdr:rowOff>190500</xdr:rowOff>
                  </to>
                </anchor>
              </controlPr>
            </control>
          </mc:Choice>
        </mc:AlternateContent>
        <mc:AlternateContent xmlns:mc="http://schemas.openxmlformats.org/markup-compatibility/2006">
          <mc:Choice Requires="x14">
            <control shapeId="3166" r:id="rId94" name="Check Box 94">
              <controlPr defaultSize="0" autoFill="0" autoLine="0" autoPict="0">
                <anchor moveWithCells="1">
                  <from>
                    <xdr:col>11</xdr:col>
                    <xdr:colOff>0</xdr:colOff>
                    <xdr:row>67</xdr:row>
                    <xdr:rowOff>106680</xdr:rowOff>
                  </from>
                  <to>
                    <xdr:col>11</xdr:col>
                    <xdr:colOff>1866900</xdr:colOff>
                    <xdr:row>67</xdr:row>
                    <xdr:rowOff>342900</xdr:rowOff>
                  </to>
                </anchor>
              </controlPr>
            </control>
          </mc:Choice>
        </mc:AlternateContent>
        <mc:AlternateContent xmlns:mc="http://schemas.openxmlformats.org/markup-compatibility/2006">
          <mc:Choice Requires="x14">
            <control shapeId="3168" r:id="rId95" name="Check Box 96">
              <controlPr defaultSize="0" autoFill="0" autoLine="0" autoPict="0">
                <anchor moveWithCells="1">
                  <from>
                    <xdr:col>11</xdr:col>
                    <xdr:colOff>0</xdr:colOff>
                    <xdr:row>68</xdr:row>
                    <xdr:rowOff>259080</xdr:rowOff>
                  </from>
                  <to>
                    <xdr:col>11</xdr:col>
                    <xdr:colOff>1866900</xdr:colOff>
                    <xdr:row>69</xdr:row>
                    <xdr:rowOff>182880</xdr:rowOff>
                  </to>
                </anchor>
              </controlPr>
            </control>
          </mc:Choice>
        </mc:AlternateContent>
        <mc:AlternateContent xmlns:mc="http://schemas.openxmlformats.org/markup-compatibility/2006">
          <mc:Choice Requires="x14">
            <control shapeId="3169" r:id="rId96" name="Check Box 97">
              <controlPr defaultSize="0" autoFill="0" autoLine="0" autoPict="0">
                <anchor moveWithCells="1">
                  <from>
                    <xdr:col>11</xdr:col>
                    <xdr:colOff>0</xdr:colOff>
                    <xdr:row>69</xdr:row>
                    <xdr:rowOff>106680</xdr:rowOff>
                  </from>
                  <to>
                    <xdr:col>11</xdr:col>
                    <xdr:colOff>1866900</xdr:colOff>
                    <xdr:row>69</xdr:row>
                    <xdr:rowOff>342900</xdr:rowOff>
                  </to>
                </anchor>
              </controlPr>
            </control>
          </mc:Choice>
        </mc:AlternateContent>
        <mc:AlternateContent xmlns:mc="http://schemas.openxmlformats.org/markup-compatibility/2006">
          <mc:Choice Requires="x14">
            <control shapeId="3171" r:id="rId97" name="Check Box 99">
              <controlPr defaultSize="0" autoFill="0" autoLine="0" autoPict="0">
                <anchor moveWithCells="1">
                  <from>
                    <xdr:col>11</xdr:col>
                    <xdr:colOff>0</xdr:colOff>
                    <xdr:row>70</xdr:row>
                    <xdr:rowOff>259080</xdr:rowOff>
                  </from>
                  <to>
                    <xdr:col>11</xdr:col>
                    <xdr:colOff>1866900</xdr:colOff>
                    <xdr:row>71</xdr:row>
                    <xdr:rowOff>190500</xdr:rowOff>
                  </to>
                </anchor>
              </controlPr>
            </control>
          </mc:Choice>
        </mc:AlternateContent>
        <mc:AlternateContent xmlns:mc="http://schemas.openxmlformats.org/markup-compatibility/2006">
          <mc:Choice Requires="x14">
            <control shapeId="3172" r:id="rId98" name="Check Box 100">
              <controlPr defaultSize="0" autoFill="0" autoLine="0" autoPict="0">
                <anchor moveWithCells="1">
                  <from>
                    <xdr:col>11</xdr:col>
                    <xdr:colOff>0</xdr:colOff>
                    <xdr:row>71</xdr:row>
                    <xdr:rowOff>106680</xdr:rowOff>
                  </from>
                  <to>
                    <xdr:col>11</xdr:col>
                    <xdr:colOff>1866900</xdr:colOff>
                    <xdr:row>71</xdr:row>
                    <xdr:rowOff>342900</xdr:rowOff>
                  </to>
                </anchor>
              </controlPr>
            </control>
          </mc:Choice>
        </mc:AlternateContent>
        <mc:AlternateContent xmlns:mc="http://schemas.openxmlformats.org/markup-compatibility/2006">
          <mc:Choice Requires="x14">
            <control shapeId="3174" r:id="rId99" name="Check Box 102">
              <controlPr defaultSize="0" autoFill="0" autoLine="0" autoPict="0">
                <anchor moveWithCells="1">
                  <from>
                    <xdr:col>11</xdr:col>
                    <xdr:colOff>0</xdr:colOff>
                    <xdr:row>72</xdr:row>
                    <xdr:rowOff>259080</xdr:rowOff>
                  </from>
                  <to>
                    <xdr:col>11</xdr:col>
                    <xdr:colOff>1866900</xdr:colOff>
                    <xdr:row>73</xdr:row>
                    <xdr:rowOff>190500</xdr:rowOff>
                  </to>
                </anchor>
              </controlPr>
            </control>
          </mc:Choice>
        </mc:AlternateContent>
        <mc:AlternateContent xmlns:mc="http://schemas.openxmlformats.org/markup-compatibility/2006">
          <mc:Choice Requires="x14">
            <control shapeId="3175" r:id="rId100" name="Check Box 103">
              <controlPr defaultSize="0" autoFill="0" autoLine="0" autoPict="0">
                <anchor moveWithCells="1">
                  <from>
                    <xdr:col>11</xdr:col>
                    <xdr:colOff>0</xdr:colOff>
                    <xdr:row>73</xdr:row>
                    <xdr:rowOff>106680</xdr:rowOff>
                  </from>
                  <to>
                    <xdr:col>11</xdr:col>
                    <xdr:colOff>1866900</xdr:colOff>
                    <xdr:row>73</xdr:row>
                    <xdr:rowOff>342900</xdr:rowOff>
                  </to>
                </anchor>
              </controlPr>
            </control>
          </mc:Choice>
        </mc:AlternateContent>
        <mc:AlternateContent xmlns:mc="http://schemas.openxmlformats.org/markup-compatibility/2006">
          <mc:Choice Requires="x14">
            <control shapeId="3177" r:id="rId101" name="Check Box 105">
              <controlPr defaultSize="0" autoFill="0" autoLine="0" autoPict="0">
                <anchor moveWithCells="1">
                  <from>
                    <xdr:col>11</xdr:col>
                    <xdr:colOff>0</xdr:colOff>
                    <xdr:row>74</xdr:row>
                    <xdr:rowOff>259080</xdr:rowOff>
                  </from>
                  <to>
                    <xdr:col>11</xdr:col>
                    <xdr:colOff>1866900</xdr:colOff>
                    <xdr:row>75</xdr:row>
                    <xdr:rowOff>190500</xdr:rowOff>
                  </to>
                </anchor>
              </controlPr>
            </control>
          </mc:Choice>
        </mc:AlternateContent>
        <mc:AlternateContent xmlns:mc="http://schemas.openxmlformats.org/markup-compatibility/2006">
          <mc:Choice Requires="x14">
            <control shapeId="3178" r:id="rId102" name="Check Box 106">
              <controlPr defaultSize="0" autoFill="0" autoLine="0" autoPict="0">
                <anchor moveWithCells="1">
                  <from>
                    <xdr:col>11</xdr:col>
                    <xdr:colOff>0</xdr:colOff>
                    <xdr:row>75</xdr:row>
                    <xdr:rowOff>106680</xdr:rowOff>
                  </from>
                  <to>
                    <xdr:col>11</xdr:col>
                    <xdr:colOff>1866900</xdr:colOff>
                    <xdr:row>75</xdr:row>
                    <xdr:rowOff>342900</xdr:rowOff>
                  </to>
                </anchor>
              </controlPr>
            </control>
          </mc:Choice>
        </mc:AlternateContent>
        <mc:AlternateContent xmlns:mc="http://schemas.openxmlformats.org/markup-compatibility/2006">
          <mc:Choice Requires="x14">
            <control shapeId="3180" r:id="rId103" name="Check Box 108">
              <controlPr defaultSize="0" autoFill="0" autoLine="0" autoPict="0">
                <anchor moveWithCells="1">
                  <from>
                    <xdr:col>11</xdr:col>
                    <xdr:colOff>0</xdr:colOff>
                    <xdr:row>76</xdr:row>
                    <xdr:rowOff>259080</xdr:rowOff>
                  </from>
                  <to>
                    <xdr:col>11</xdr:col>
                    <xdr:colOff>1866900</xdr:colOff>
                    <xdr:row>77</xdr:row>
                    <xdr:rowOff>228600</xdr:rowOff>
                  </to>
                </anchor>
              </controlPr>
            </control>
          </mc:Choice>
        </mc:AlternateContent>
        <mc:AlternateContent xmlns:mc="http://schemas.openxmlformats.org/markup-compatibility/2006">
          <mc:Choice Requires="x14">
            <control shapeId="3181" r:id="rId104" name="Check Box 109">
              <controlPr defaultSize="0" autoFill="0" autoLine="0" autoPict="0">
                <anchor moveWithCells="1">
                  <from>
                    <xdr:col>11</xdr:col>
                    <xdr:colOff>0</xdr:colOff>
                    <xdr:row>77</xdr:row>
                    <xdr:rowOff>106680</xdr:rowOff>
                  </from>
                  <to>
                    <xdr:col>11</xdr:col>
                    <xdr:colOff>1866900</xdr:colOff>
                    <xdr:row>77</xdr:row>
                    <xdr:rowOff>342900</xdr:rowOff>
                  </to>
                </anchor>
              </controlPr>
            </control>
          </mc:Choice>
        </mc:AlternateContent>
        <mc:AlternateContent xmlns:mc="http://schemas.openxmlformats.org/markup-compatibility/2006">
          <mc:Choice Requires="x14">
            <control shapeId="3182" r:id="rId105" name="Check Box 110">
              <controlPr defaultSize="0" autoFill="0" autoLine="0" autoPict="0">
                <anchor moveWithCells="1">
                  <from>
                    <xdr:col>11</xdr:col>
                    <xdr:colOff>0</xdr:colOff>
                    <xdr:row>78</xdr:row>
                    <xdr:rowOff>30480</xdr:rowOff>
                  </from>
                  <to>
                    <xdr:col>11</xdr:col>
                    <xdr:colOff>1866900</xdr:colOff>
                    <xdr:row>78</xdr:row>
                    <xdr:rowOff>274320</xdr:rowOff>
                  </to>
                </anchor>
              </controlPr>
            </control>
          </mc:Choice>
        </mc:AlternateContent>
        <mc:AlternateContent xmlns:mc="http://schemas.openxmlformats.org/markup-compatibility/2006">
          <mc:Choice Requires="x14">
            <control shapeId="3183" r:id="rId106" name="Check Box 111">
              <controlPr defaultSize="0" autoFill="0" autoLine="0" autoPict="0">
                <anchor moveWithCells="1">
                  <from>
                    <xdr:col>11</xdr:col>
                    <xdr:colOff>0</xdr:colOff>
                    <xdr:row>78</xdr:row>
                    <xdr:rowOff>259080</xdr:rowOff>
                  </from>
                  <to>
                    <xdr:col>11</xdr:col>
                    <xdr:colOff>1866900</xdr:colOff>
                    <xdr:row>79</xdr:row>
                    <xdr:rowOff>190500</xdr:rowOff>
                  </to>
                </anchor>
              </controlPr>
            </control>
          </mc:Choice>
        </mc:AlternateContent>
        <mc:AlternateContent xmlns:mc="http://schemas.openxmlformats.org/markup-compatibility/2006">
          <mc:Choice Requires="x14">
            <control shapeId="3184" r:id="rId107" name="Check Box 112">
              <controlPr defaultSize="0" autoFill="0" autoLine="0" autoPict="0">
                <anchor moveWithCells="1">
                  <from>
                    <xdr:col>11</xdr:col>
                    <xdr:colOff>0</xdr:colOff>
                    <xdr:row>79</xdr:row>
                    <xdr:rowOff>106680</xdr:rowOff>
                  </from>
                  <to>
                    <xdr:col>11</xdr:col>
                    <xdr:colOff>1866900</xdr:colOff>
                    <xdr:row>79</xdr:row>
                    <xdr:rowOff>342900</xdr:rowOff>
                  </to>
                </anchor>
              </controlPr>
            </control>
          </mc:Choice>
        </mc:AlternateContent>
        <mc:AlternateContent xmlns:mc="http://schemas.openxmlformats.org/markup-compatibility/2006">
          <mc:Choice Requires="x14">
            <control shapeId="3186" r:id="rId108" name="Check Box 114">
              <controlPr defaultSize="0" autoFill="0" autoLine="0" autoPict="0">
                <anchor moveWithCells="1">
                  <from>
                    <xdr:col>11</xdr:col>
                    <xdr:colOff>0</xdr:colOff>
                    <xdr:row>80</xdr:row>
                    <xdr:rowOff>259080</xdr:rowOff>
                  </from>
                  <to>
                    <xdr:col>11</xdr:col>
                    <xdr:colOff>1866900</xdr:colOff>
                    <xdr:row>81</xdr:row>
                    <xdr:rowOff>182880</xdr:rowOff>
                  </to>
                </anchor>
              </controlPr>
            </control>
          </mc:Choice>
        </mc:AlternateContent>
        <mc:AlternateContent xmlns:mc="http://schemas.openxmlformats.org/markup-compatibility/2006">
          <mc:Choice Requires="x14">
            <control shapeId="3187" r:id="rId109" name="Check Box 115">
              <controlPr defaultSize="0" autoFill="0" autoLine="0" autoPict="0">
                <anchor moveWithCells="1">
                  <from>
                    <xdr:col>11</xdr:col>
                    <xdr:colOff>0</xdr:colOff>
                    <xdr:row>81</xdr:row>
                    <xdr:rowOff>106680</xdr:rowOff>
                  </from>
                  <to>
                    <xdr:col>11</xdr:col>
                    <xdr:colOff>1866900</xdr:colOff>
                    <xdr:row>81</xdr:row>
                    <xdr:rowOff>342900</xdr:rowOff>
                  </to>
                </anchor>
              </controlPr>
            </control>
          </mc:Choice>
        </mc:AlternateContent>
        <mc:AlternateContent xmlns:mc="http://schemas.openxmlformats.org/markup-compatibility/2006">
          <mc:Choice Requires="x14">
            <control shapeId="3189" r:id="rId110" name="Check Box 117">
              <controlPr defaultSize="0" autoFill="0" autoLine="0" autoPict="0">
                <anchor moveWithCells="1">
                  <from>
                    <xdr:col>11</xdr:col>
                    <xdr:colOff>0</xdr:colOff>
                    <xdr:row>82</xdr:row>
                    <xdr:rowOff>259080</xdr:rowOff>
                  </from>
                  <to>
                    <xdr:col>11</xdr:col>
                    <xdr:colOff>1866900</xdr:colOff>
                    <xdr:row>83</xdr:row>
                    <xdr:rowOff>228600</xdr:rowOff>
                  </to>
                </anchor>
              </controlPr>
            </control>
          </mc:Choice>
        </mc:AlternateContent>
        <mc:AlternateContent xmlns:mc="http://schemas.openxmlformats.org/markup-compatibility/2006">
          <mc:Choice Requires="x14">
            <control shapeId="3190" r:id="rId111" name="Check Box 118">
              <controlPr defaultSize="0" autoFill="0" autoLine="0" autoPict="0">
                <anchor moveWithCells="1">
                  <from>
                    <xdr:col>11</xdr:col>
                    <xdr:colOff>0</xdr:colOff>
                    <xdr:row>83</xdr:row>
                    <xdr:rowOff>106680</xdr:rowOff>
                  </from>
                  <to>
                    <xdr:col>11</xdr:col>
                    <xdr:colOff>1866900</xdr:colOff>
                    <xdr:row>83</xdr:row>
                    <xdr:rowOff>342900</xdr:rowOff>
                  </to>
                </anchor>
              </controlPr>
            </control>
          </mc:Choice>
        </mc:AlternateContent>
        <mc:AlternateContent xmlns:mc="http://schemas.openxmlformats.org/markup-compatibility/2006">
          <mc:Choice Requires="x14">
            <control shapeId="3192" r:id="rId112" name="Check Box 120">
              <controlPr defaultSize="0" autoFill="0" autoLine="0" autoPict="0">
                <anchor moveWithCells="1">
                  <from>
                    <xdr:col>11</xdr:col>
                    <xdr:colOff>0</xdr:colOff>
                    <xdr:row>84</xdr:row>
                    <xdr:rowOff>259080</xdr:rowOff>
                  </from>
                  <to>
                    <xdr:col>11</xdr:col>
                    <xdr:colOff>1866900</xdr:colOff>
                    <xdr:row>85</xdr:row>
                    <xdr:rowOff>182880</xdr:rowOff>
                  </to>
                </anchor>
              </controlPr>
            </control>
          </mc:Choice>
        </mc:AlternateContent>
        <mc:AlternateContent xmlns:mc="http://schemas.openxmlformats.org/markup-compatibility/2006">
          <mc:Choice Requires="x14">
            <control shapeId="3193" r:id="rId113" name="Check Box 121">
              <controlPr defaultSize="0" autoFill="0" autoLine="0" autoPict="0">
                <anchor moveWithCells="1">
                  <from>
                    <xdr:col>11</xdr:col>
                    <xdr:colOff>0</xdr:colOff>
                    <xdr:row>85</xdr:row>
                    <xdr:rowOff>106680</xdr:rowOff>
                  </from>
                  <to>
                    <xdr:col>11</xdr:col>
                    <xdr:colOff>1866900</xdr:colOff>
                    <xdr:row>85</xdr:row>
                    <xdr:rowOff>342900</xdr:rowOff>
                  </to>
                </anchor>
              </controlPr>
            </control>
          </mc:Choice>
        </mc:AlternateContent>
        <mc:AlternateContent xmlns:mc="http://schemas.openxmlformats.org/markup-compatibility/2006">
          <mc:Choice Requires="x14">
            <control shapeId="3196" r:id="rId114" name="Check Box 124">
              <controlPr defaultSize="0" autoFill="0" autoLine="0" autoPict="0">
                <anchor moveWithCells="1">
                  <from>
                    <xdr:col>11</xdr:col>
                    <xdr:colOff>0</xdr:colOff>
                    <xdr:row>86</xdr:row>
                    <xdr:rowOff>259080</xdr:rowOff>
                  </from>
                  <to>
                    <xdr:col>11</xdr:col>
                    <xdr:colOff>1866900</xdr:colOff>
                    <xdr:row>87</xdr:row>
                    <xdr:rowOff>182880</xdr:rowOff>
                  </to>
                </anchor>
              </controlPr>
            </control>
          </mc:Choice>
        </mc:AlternateContent>
        <mc:AlternateContent xmlns:mc="http://schemas.openxmlformats.org/markup-compatibility/2006">
          <mc:Choice Requires="x14">
            <control shapeId="3197" r:id="rId115" name="Check Box 125">
              <controlPr defaultSize="0" autoFill="0" autoLine="0" autoPict="0">
                <anchor moveWithCells="1">
                  <from>
                    <xdr:col>11</xdr:col>
                    <xdr:colOff>0</xdr:colOff>
                    <xdr:row>87</xdr:row>
                    <xdr:rowOff>106680</xdr:rowOff>
                  </from>
                  <to>
                    <xdr:col>11</xdr:col>
                    <xdr:colOff>1866900</xdr:colOff>
                    <xdr:row>87</xdr:row>
                    <xdr:rowOff>342900</xdr:rowOff>
                  </to>
                </anchor>
              </controlPr>
            </control>
          </mc:Choice>
        </mc:AlternateContent>
        <mc:AlternateContent xmlns:mc="http://schemas.openxmlformats.org/markup-compatibility/2006">
          <mc:Choice Requires="x14">
            <control shapeId="3202" r:id="rId116" name="Check Box 130">
              <controlPr defaultSize="0" autoFill="0" autoLine="0" autoPict="0">
                <anchor moveWithCells="1">
                  <from>
                    <xdr:col>11</xdr:col>
                    <xdr:colOff>0</xdr:colOff>
                    <xdr:row>90</xdr:row>
                    <xdr:rowOff>259080</xdr:rowOff>
                  </from>
                  <to>
                    <xdr:col>11</xdr:col>
                    <xdr:colOff>1866900</xdr:colOff>
                    <xdr:row>91</xdr:row>
                    <xdr:rowOff>190500</xdr:rowOff>
                  </to>
                </anchor>
              </controlPr>
            </control>
          </mc:Choice>
        </mc:AlternateContent>
        <mc:AlternateContent xmlns:mc="http://schemas.openxmlformats.org/markup-compatibility/2006">
          <mc:Choice Requires="x14">
            <control shapeId="3203" r:id="rId117" name="Check Box 131">
              <controlPr defaultSize="0" autoFill="0" autoLine="0" autoPict="0">
                <anchor moveWithCells="1">
                  <from>
                    <xdr:col>11</xdr:col>
                    <xdr:colOff>0</xdr:colOff>
                    <xdr:row>91</xdr:row>
                    <xdr:rowOff>106680</xdr:rowOff>
                  </from>
                  <to>
                    <xdr:col>11</xdr:col>
                    <xdr:colOff>1866900</xdr:colOff>
                    <xdr:row>91</xdr:row>
                    <xdr:rowOff>342900</xdr:rowOff>
                  </to>
                </anchor>
              </controlPr>
            </control>
          </mc:Choice>
        </mc:AlternateContent>
        <mc:AlternateContent xmlns:mc="http://schemas.openxmlformats.org/markup-compatibility/2006">
          <mc:Choice Requires="x14">
            <control shapeId="3208" r:id="rId118" name="Check Box 136">
              <controlPr defaultSize="0" autoFill="0" autoLine="0" autoPict="0">
                <anchor moveWithCells="1">
                  <from>
                    <xdr:col>11</xdr:col>
                    <xdr:colOff>0</xdr:colOff>
                    <xdr:row>94</xdr:row>
                    <xdr:rowOff>259080</xdr:rowOff>
                  </from>
                  <to>
                    <xdr:col>11</xdr:col>
                    <xdr:colOff>1866900</xdr:colOff>
                    <xdr:row>95</xdr:row>
                    <xdr:rowOff>182880</xdr:rowOff>
                  </to>
                </anchor>
              </controlPr>
            </control>
          </mc:Choice>
        </mc:AlternateContent>
        <mc:AlternateContent xmlns:mc="http://schemas.openxmlformats.org/markup-compatibility/2006">
          <mc:Choice Requires="x14">
            <control shapeId="3209" r:id="rId119" name="Check Box 137">
              <controlPr defaultSize="0" autoFill="0" autoLine="0" autoPict="0">
                <anchor moveWithCells="1">
                  <from>
                    <xdr:col>11</xdr:col>
                    <xdr:colOff>0</xdr:colOff>
                    <xdr:row>95</xdr:row>
                    <xdr:rowOff>106680</xdr:rowOff>
                  </from>
                  <to>
                    <xdr:col>11</xdr:col>
                    <xdr:colOff>1866900</xdr:colOff>
                    <xdr:row>95</xdr:row>
                    <xdr:rowOff>342900</xdr:rowOff>
                  </to>
                </anchor>
              </controlPr>
            </control>
          </mc:Choice>
        </mc:AlternateContent>
        <mc:AlternateContent xmlns:mc="http://schemas.openxmlformats.org/markup-compatibility/2006">
          <mc:Choice Requires="x14">
            <control shapeId="3211" r:id="rId120" name="Check Box 139">
              <controlPr defaultSize="0" autoFill="0" autoLine="0" autoPict="0">
                <anchor moveWithCells="1">
                  <from>
                    <xdr:col>11</xdr:col>
                    <xdr:colOff>0</xdr:colOff>
                    <xdr:row>96</xdr:row>
                    <xdr:rowOff>259080</xdr:rowOff>
                  </from>
                  <to>
                    <xdr:col>11</xdr:col>
                    <xdr:colOff>1866900</xdr:colOff>
                    <xdr:row>97</xdr:row>
                    <xdr:rowOff>182880</xdr:rowOff>
                  </to>
                </anchor>
              </controlPr>
            </control>
          </mc:Choice>
        </mc:AlternateContent>
        <mc:AlternateContent xmlns:mc="http://schemas.openxmlformats.org/markup-compatibility/2006">
          <mc:Choice Requires="x14">
            <control shapeId="3212" r:id="rId121" name="Check Box 140">
              <controlPr defaultSize="0" autoFill="0" autoLine="0" autoPict="0">
                <anchor moveWithCells="1">
                  <from>
                    <xdr:col>11</xdr:col>
                    <xdr:colOff>0</xdr:colOff>
                    <xdr:row>97</xdr:row>
                    <xdr:rowOff>106680</xdr:rowOff>
                  </from>
                  <to>
                    <xdr:col>11</xdr:col>
                    <xdr:colOff>1866900</xdr:colOff>
                    <xdr:row>97</xdr:row>
                    <xdr:rowOff>342900</xdr:rowOff>
                  </to>
                </anchor>
              </controlPr>
            </control>
          </mc:Choice>
        </mc:AlternateContent>
        <mc:AlternateContent xmlns:mc="http://schemas.openxmlformats.org/markup-compatibility/2006">
          <mc:Choice Requires="x14">
            <control shapeId="3214" r:id="rId122" name="Check Box 142">
              <controlPr defaultSize="0" autoFill="0" autoLine="0" autoPict="0">
                <anchor moveWithCells="1">
                  <from>
                    <xdr:col>11</xdr:col>
                    <xdr:colOff>0</xdr:colOff>
                    <xdr:row>98</xdr:row>
                    <xdr:rowOff>259080</xdr:rowOff>
                  </from>
                  <to>
                    <xdr:col>11</xdr:col>
                    <xdr:colOff>1866900</xdr:colOff>
                    <xdr:row>99</xdr:row>
                    <xdr:rowOff>182880</xdr:rowOff>
                  </to>
                </anchor>
              </controlPr>
            </control>
          </mc:Choice>
        </mc:AlternateContent>
        <mc:AlternateContent xmlns:mc="http://schemas.openxmlformats.org/markup-compatibility/2006">
          <mc:Choice Requires="x14">
            <control shapeId="3215" r:id="rId123" name="Check Box 143">
              <controlPr defaultSize="0" autoFill="0" autoLine="0" autoPict="0">
                <anchor moveWithCells="1">
                  <from>
                    <xdr:col>11</xdr:col>
                    <xdr:colOff>0</xdr:colOff>
                    <xdr:row>99</xdr:row>
                    <xdr:rowOff>106680</xdr:rowOff>
                  </from>
                  <to>
                    <xdr:col>11</xdr:col>
                    <xdr:colOff>1866900</xdr:colOff>
                    <xdr:row>99</xdr:row>
                    <xdr:rowOff>342900</xdr:rowOff>
                  </to>
                </anchor>
              </controlPr>
            </control>
          </mc:Choice>
        </mc:AlternateContent>
        <mc:AlternateContent xmlns:mc="http://schemas.openxmlformats.org/markup-compatibility/2006">
          <mc:Choice Requires="x14">
            <control shapeId="3232" r:id="rId124" name="Check Box 160">
              <controlPr defaultSize="0" autoFill="0" autoLine="0" autoPict="0">
                <anchor moveWithCells="1">
                  <from>
                    <xdr:col>11</xdr:col>
                    <xdr:colOff>0</xdr:colOff>
                    <xdr:row>60</xdr:row>
                    <xdr:rowOff>30480</xdr:rowOff>
                  </from>
                  <to>
                    <xdr:col>11</xdr:col>
                    <xdr:colOff>1866900</xdr:colOff>
                    <xdr:row>60</xdr:row>
                    <xdr:rowOff>266700</xdr:rowOff>
                  </to>
                </anchor>
              </controlPr>
            </control>
          </mc:Choice>
        </mc:AlternateContent>
        <mc:AlternateContent xmlns:mc="http://schemas.openxmlformats.org/markup-compatibility/2006">
          <mc:Choice Requires="x14">
            <control shapeId="3234" r:id="rId125" name="Check Box 162">
              <controlPr defaultSize="0" autoFill="0" autoLine="0" autoPict="0">
                <anchor moveWithCells="1">
                  <from>
                    <xdr:col>11</xdr:col>
                    <xdr:colOff>0</xdr:colOff>
                    <xdr:row>62</xdr:row>
                    <xdr:rowOff>30480</xdr:rowOff>
                  </from>
                  <to>
                    <xdr:col>11</xdr:col>
                    <xdr:colOff>1866900</xdr:colOff>
                    <xdr:row>62</xdr:row>
                    <xdr:rowOff>274320</xdr:rowOff>
                  </to>
                </anchor>
              </controlPr>
            </control>
          </mc:Choice>
        </mc:AlternateContent>
        <mc:AlternateContent xmlns:mc="http://schemas.openxmlformats.org/markup-compatibility/2006">
          <mc:Choice Requires="x14">
            <control shapeId="3236" r:id="rId126" name="Check Box 164">
              <controlPr defaultSize="0" autoFill="0" autoLine="0" autoPict="0">
                <anchor moveWithCells="1">
                  <from>
                    <xdr:col>11</xdr:col>
                    <xdr:colOff>0</xdr:colOff>
                    <xdr:row>64</xdr:row>
                    <xdr:rowOff>30480</xdr:rowOff>
                  </from>
                  <to>
                    <xdr:col>11</xdr:col>
                    <xdr:colOff>1866900</xdr:colOff>
                    <xdr:row>64</xdr:row>
                    <xdr:rowOff>274320</xdr:rowOff>
                  </to>
                </anchor>
              </controlPr>
            </control>
          </mc:Choice>
        </mc:AlternateContent>
        <mc:AlternateContent xmlns:mc="http://schemas.openxmlformats.org/markup-compatibility/2006">
          <mc:Choice Requires="x14">
            <control shapeId="3238" r:id="rId127" name="Check Box 166">
              <controlPr defaultSize="0" autoFill="0" autoLine="0" autoPict="0">
                <anchor moveWithCells="1">
                  <from>
                    <xdr:col>11</xdr:col>
                    <xdr:colOff>0</xdr:colOff>
                    <xdr:row>66</xdr:row>
                    <xdr:rowOff>30480</xdr:rowOff>
                  </from>
                  <to>
                    <xdr:col>11</xdr:col>
                    <xdr:colOff>1866900</xdr:colOff>
                    <xdr:row>66</xdr:row>
                    <xdr:rowOff>266700</xdr:rowOff>
                  </to>
                </anchor>
              </controlPr>
            </control>
          </mc:Choice>
        </mc:AlternateContent>
        <mc:AlternateContent xmlns:mc="http://schemas.openxmlformats.org/markup-compatibility/2006">
          <mc:Choice Requires="x14">
            <control shapeId="3239" r:id="rId128" name="Check Box 167">
              <controlPr defaultSize="0" autoFill="0" autoLine="0" autoPict="0">
                <anchor moveWithCells="1">
                  <from>
                    <xdr:col>11</xdr:col>
                    <xdr:colOff>0</xdr:colOff>
                    <xdr:row>68</xdr:row>
                    <xdr:rowOff>30480</xdr:rowOff>
                  </from>
                  <to>
                    <xdr:col>11</xdr:col>
                    <xdr:colOff>1866900</xdr:colOff>
                    <xdr:row>68</xdr:row>
                    <xdr:rowOff>274320</xdr:rowOff>
                  </to>
                </anchor>
              </controlPr>
            </control>
          </mc:Choice>
        </mc:AlternateContent>
        <mc:AlternateContent xmlns:mc="http://schemas.openxmlformats.org/markup-compatibility/2006">
          <mc:Choice Requires="x14">
            <control shapeId="3241" r:id="rId129" name="Check Box 169">
              <controlPr defaultSize="0" autoFill="0" autoLine="0" autoPict="0">
                <anchor moveWithCells="1">
                  <from>
                    <xdr:col>11</xdr:col>
                    <xdr:colOff>0</xdr:colOff>
                    <xdr:row>70</xdr:row>
                    <xdr:rowOff>30480</xdr:rowOff>
                  </from>
                  <to>
                    <xdr:col>11</xdr:col>
                    <xdr:colOff>1866900</xdr:colOff>
                    <xdr:row>70</xdr:row>
                    <xdr:rowOff>266700</xdr:rowOff>
                  </to>
                </anchor>
              </controlPr>
            </control>
          </mc:Choice>
        </mc:AlternateContent>
        <mc:AlternateContent xmlns:mc="http://schemas.openxmlformats.org/markup-compatibility/2006">
          <mc:Choice Requires="x14">
            <control shapeId="3243" r:id="rId130" name="Check Box 171">
              <controlPr defaultSize="0" autoFill="0" autoLine="0" autoPict="0">
                <anchor moveWithCells="1">
                  <from>
                    <xdr:col>11</xdr:col>
                    <xdr:colOff>0</xdr:colOff>
                    <xdr:row>72</xdr:row>
                    <xdr:rowOff>30480</xdr:rowOff>
                  </from>
                  <to>
                    <xdr:col>11</xdr:col>
                    <xdr:colOff>1866900</xdr:colOff>
                    <xdr:row>72</xdr:row>
                    <xdr:rowOff>266700</xdr:rowOff>
                  </to>
                </anchor>
              </controlPr>
            </control>
          </mc:Choice>
        </mc:AlternateContent>
        <mc:AlternateContent xmlns:mc="http://schemas.openxmlformats.org/markup-compatibility/2006">
          <mc:Choice Requires="x14">
            <control shapeId="3245" r:id="rId131" name="Check Box 173">
              <controlPr defaultSize="0" autoFill="0" autoLine="0" autoPict="0">
                <anchor moveWithCells="1">
                  <from>
                    <xdr:col>11</xdr:col>
                    <xdr:colOff>0</xdr:colOff>
                    <xdr:row>74</xdr:row>
                    <xdr:rowOff>30480</xdr:rowOff>
                  </from>
                  <to>
                    <xdr:col>11</xdr:col>
                    <xdr:colOff>1866900</xdr:colOff>
                    <xdr:row>74</xdr:row>
                    <xdr:rowOff>266700</xdr:rowOff>
                  </to>
                </anchor>
              </controlPr>
            </control>
          </mc:Choice>
        </mc:AlternateContent>
        <mc:AlternateContent xmlns:mc="http://schemas.openxmlformats.org/markup-compatibility/2006">
          <mc:Choice Requires="x14">
            <control shapeId="3246" r:id="rId132" name="Check Box 174">
              <controlPr defaultSize="0" autoFill="0" autoLine="0" autoPict="0">
                <anchor moveWithCells="1">
                  <from>
                    <xdr:col>11</xdr:col>
                    <xdr:colOff>0</xdr:colOff>
                    <xdr:row>76</xdr:row>
                    <xdr:rowOff>30480</xdr:rowOff>
                  </from>
                  <to>
                    <xdr:col>11</xdr:col>
                    <xdr:colOff>1866900</xdr:colOff>
                    <xdr:row>76</xdr:row>
                    <xdr:rowOff>274320</xdr:rowOff>
                  </to>
                </anchor>
              </controlPr>
            </control>
          </mc:Choice>
        </mc:AlternateContent>
        <mc:AlternateContent xmlns:mc="http://schemas.openxmlformats.org/markup-compatibility/2006">
          <mc:Choice Requires="x14">
            <control shapeId="3247" r:id="rId133" name="Check Box 175">
              <controlPr defaultSize="0" autoFill="0" autoLine="0" autoPict="0">
                <anchor moveWithCells="1">
                  <from>
                    <xdr:col>11</xdr:col>
                    <xdr:colOff>0</xdr:colOff>
                    <xdr:row>80</xdr:row>
                    <xdr:rowOff>30480</xdr:rowOff>
                  </from>
                  <to>
                    <xdr:col>11</xdr:col>
                    <xdr:colOff>1866900</xdr:colOff>
                    <xdr:row>80</xdr:row>
                    <xdr:rowOff>274320</xdr:rowOff>
                  </to>
                </anchor>
              </controlPr>
            </control>
          </mc:Choice>
        </mc:AlternateContent>
        <mc:AlternateContent xmlns:mc="http://schemas.openxmlformats.org/markup-compatibility/2006">
          <mc:Choice Requires="x14">
            <control shapeId="3248" r:id="rId134" name="Check Box 176">
              <controlPr defaultSize="0" autoFill="0" autoLine="0" autoPict="0">
                <anchor moveWithCells="1">
                  <from>
                    <xdr:col>11</xdr:col>
                    <xdr:colOff>0</xdr:colOff>
                    <xdr:row>82</xdr:row>
                    <xdr:rowOff>30480</xdr:rowOff>
                  </from>
                  <to>
                    <xdr:col>11</xdr:col>
                    <xdr:colOff>1866900</xdr:colOff>
                    <xdr:row>82</xdr:row>
                    <xdr:rowOff>274320</xdr:rowOff>
                  </to>
                </anchor>
              </controlPr>
            </control>
          </mc:Choice>
        </mc:AlternateContent>
        <mc:AlternateContent xmlns:mc="http://schemas.openxmlformats.org/markup-compatibility/2006">
          <mc:Choice Requires="x14">
            <control shapeId="3249" r:id="rId135" name="Check Box 177">
              <controlPr defaultSize="0" autoFill="0" autoLine="0" autoPict="0">
                <anchor moveWithCells="1">
                  <from>
                    <xdr:col>11</xdr:col>
                    <xdr:colOff>0</xdr:colOff>
                    <xdr:row>84</xdr:row>
                    <xdr:rowOff>30480</xdr:rowOff>
                  </from>
                  <to>
                    <xdr:col>11</xdr:col>
                    <xdr:colOff>1866900</xdr:colOff>
                    <xdr:row>84</xdr:row>
                    <xdr:rowOff>274320</xdr:rowOff>
                  </to>
                </anchor>
              </controlPr>
            </control>
          </mc:Choice>
        </mc:AlternateContent>
        <mc:AlternateContent xmlns:mc="http://schemas.openxmlformats.org/markup-compatibility/2006">
          <mc:Choice Requires="x14">
            <control shapeId="3250" r:id="rId136" name="Check Box 178">
              <controlPr defaultSize="0" autoFill="0" autoLine="0" autoPict="0">
                <anchor moveWithCells="1">
                  <from>
                    <xdr:col>11</xdr:col>
                    <xdr:colOff>0</xdr:colOff>
                    <xdr:row>86</xdr:row>
                    <xdr:rowOff>30480</xdr:rowOff>
                  </from>
                  <to>
                    <xdr:col>11</xdr:col>
                    <xdr:colOff>1866900</xdr:colOff>
                    <xdr:row>86</xdr:row>
                    <xdr:rowOff>274320</xdr:rowOff>
                  </to>
                </anchor>
              </controlPr>
            </control>
          </mc:Choice>
        </mc:AlternateContent>
        <mc:AlternateContent xmlns:mc="http://schemas.openxmlformats.org/markup-compatibility/2006">
          <mc:Choice Requires="x14">
            <control shapeId="3251" r:id="rId137" name="Check Box 179">
              <controlPr defaultSize="0" autoFill="0" autoLine="0" autoPict="0">
                <anchor moveWithCells="1">
                  <from>
                    <xdr:col>11</xdr:col>
                    <xdr:colOff>30480</xdr:colOff>
                    <xdr:row>88</xdr:row>
                    <xdr:rowOff>228600</xdr:rowOff>
                  </from>
                  <to>
                    <xdr:col>11</xdr:col>
                    <xdr:colOff>1866900</xdr:colOff>
                    <xdr:row>89</xdr:row>
                    <xdr:rowOff>182880</xdr:rowOff>
                  </to>
                </anchor>
              </controlPr>
            </control>
          </mc:Choice>
        </mc:AlternateContent>
        <mc:AlternateContent xmlns:mc="http://schemas.openxmlformats.org/markup-compatibility/2006">
          <mc:Choice Requires="x14">
            <control shapeId="3252" r:id="rId138" name="Check Box 180">
              <controlPr defaultSize="0" autoFill="0" autoLine="0" autoPict="0">
                <anchor moveWithCells="1">
                  <from>
                    <xdr:col>11</xdr:col>
                    <xdr:colOff>0</xdr:colOff>
                    <xdr:row>90</xdr:row>
                    <xdr:rowOff>30480</xdr:rowOff>
                  </from>
                  <to>
                    <xdr:col>11</xdr:col>
                    <xdr:colOff>1866900</xdr:colOff>
                    <xdr:row>90</xdr:row>
                    <xdr:rowOff>266700</xdr:rowOff>
                  </to>
                </anchor>
              </controlPr>
            </control>
          </mc:Choice>
        </mc:AlternateContent>
        <mc:AlternateContent xmlns:mc="http://schemas.openxmlformats.org/markup-compatibility/2006">
          <mc:Choice Requires="x14">
            <control shapeId="3254" r:id="rId139" name="Check Box 182">
              <controlPr defaultSize="0" autoFill="0" autoLine="0" autoPict="0">
                <anchor moveWithCells="1">
                  <from>
                    <xdr:col>11</xdr:col>
                    <xdr:colOff>0</xdr:colOff>
                    <xdr:row>94</xdr:row>
                    <xdr:rowOff>30480</xdr:rowOff>
                  </from>
                  <to>
                    <xdr:col>11</xdr:col>
                    <xdr:colOff>1866900</xdr:colOff>
                    <xdr:row>94</xdr:row>
                    <xdr:rowOff>274320</xdr:rowOff>
                  </to>
                </anchor>
              </controlPr>
            </control>
          </mc:Choice>
        </mc:AlternateContent>
        <mc:AlternateContent xmlns:mc="http://schemas.openxmlformats.org/markup-compatibility/2006">
          <mc:Choice Requires="x14">
            <control shapeId="3255" r:id="rId140" name="Check Box 183">
              <controlPr defaultSize="0" autoFill="0" autoLine="0" autoPict="0">
                <anchor moveWithCells="1">
                  <from>
                    <xdr:col>11</xdr:col>
                    <xdr:colOff>0</xdr:colOff>
                    <xdr:row>96</xdr:row>
                    <xdr:rowOff>30480</xdr:rowOff>
                  </from>
                  <to>
                    <xdr:col>11</xdr:col>
                    <xdr:colOff>1866900</xdr:colOff>
                    <xdr:row>96</xdr:row>
                    <xdr:rowOff>266700</xdr:rowOff>
                  </to>
                </anchor>
              </controlPr>
            </control>
          </mc:Choice>
        </mc:AlternateContent>
        <mc:AlternateContent xmlns:mc="http://schemas.openxmlformats.org/markup-compatibility/2006">
          <mc:Choice Requires="x14">
            <control shapeId="3256" r:id="rId141" name="Check Box 184">
              <controlPr defaultSize="0" autoFill="0" autoLine="0" autoPict="0">
                <anchor moveWithCells="1">
                  <from>
                    <xdr:col>11</xdr:col>
                    <xdr:colOff>0</xdr:colOff>
                    <xdr:row>98</xdr:row>
                    <xdr:rowOff>30480</xdr:rowOff>
                  </from>
                  <to>
                    <xdr:col>11</xdr:col>
                    <xdr:colOff>1866900</xdr:colOff>
                    <xdr:row>98</xdr:row>
                    <xdr:rowOff>274320</xdr:rowOff>
                  </to>
                </anchor>
              </controlPr>
            </control>
          </mc:Choice>
        </mc:AlternateContent>
        <mc:AlternateContent xmlns:mc="http://schemas.openxmlformats.org/markup-compatibility/2006">
          <mc:Choice Requires="x14">
            <control shapeId="3261" r:id="rId142" name="Check Box 189">
              <controlPr defaultSize="0" autoFill="0" autoLine="0" autoPict="0">
                <anchor moveWithCells="1">
                  <from>
                    <xdr:col>11</xdr:col>
                    <xdr:colOff>0</xdr:colOff>
                    <xdr:row>104</xdr:row>
                    <xdr:rowOff>259080</xdr:rowOff>
                  </from>
                  <to>
                    <xdr:col>11</xdr:col>
                    <xdr:colOff>1866900</xdr:colOff>
                    <xdr:row>105</xdr:row>
                    <xdr:rowOff>228600</xdr:rowOff>
                  </to>
                </anchor>
              </controlPr>
            </control>
          </mc:Choice>
        </mc:AlternateContent>
        <mc:AlternateContent xmlns:mc="http://schemas.openxmlformats.org/markup-compatibility/2006">
          <mc:Choice Requires="x14">
            <control shapeId="3262" r:id="rId143" name="Check Box 190">
              <controlPr defaultSize="0" autoFill="0" autoLine="0" autoPict="0">
                <anchor moveWithCells="1">
                  <from>
                    <xdr:col>11</xdr:col>
                    <xdr:colOff>0</xdr:colOff>
                    <xdr:row>105</xdr:row>
                    <xdr:rowOff>106680</xdr:rowOff>
                  </from>
                  <to>
                    <xdr:col>11</xdr:col>
                    <xdr:colOff>1866900</xdr:colOff>
                    <xdr:row>105</xdr:row>
                    <xdr:rowOff>342900</xdr:rowOff>
                  </to>
                </anchor>
              </controlPr>
            </control>
          </mc:Choice>
        </mc:AlternateContent>
        <mc:AlternateContent xmlns:mc="http://schemas.openxmlformats.org/markup-compatibility/2006">
          <mc:Choice Requires="x14">
            <control shapeId="3263" r:id="rId144" name="Check Box 191">
              <controlPr defaultSize="0" autoFill="0" autoLine="0" autoPict="0">
                <anchor moveWithCells="1">
                  <from>
                    <xdr:col>11</xdr:col>
                    <xdr:colOff>0</xdr:colOff>
                    <xdr:row>106</xdr:row>
                    <xdr:rowOff>259080</xdr:rowOff>
                  </from>
                  <to>
                    <xdr:col>11</xdr:col>
                    <xdr:colOff>1866900</xdr:colOff>
                    <xdr:row>107</xdr:row>
                    <xdr:rowOff>228600</xdr:rowOff>
                  </to>
                </anchor>
              </controlPr>
            </control>
          </mc:Choice>
        </mc:AlternateContent>
        <mc:AlternateContent xmlns:mc="http://schemas.openxmlformats.org/markup-compatibility/2006">
          <mc:Choice Requires="x14">
            <control shapeId="3264" r:id="rId145" name="Check Box 192">
              <controlPr defaultSize="0" autoFill="0" autoLine="0" autoPict="0">
                <anchor moveWithCells="1">
                  <from>
                    <xdr:col>11</xdr:col>
                    <xdr:colOff>0</xdr:colOff>
                    <xdr:row>107</xdr:row>
                    <xdr:rowOff>106680</xdr:rowOff>
                  </from>
                  <to>
                    <xdr:col>11</xdr:col>
                    <xdr:colOff>1866900</xdr:colOff>
                    <xdr:row>107</xdr:row>
                    <xdr:rowOff>342900</xdr:rowOff>
                  </to>
                </anchor>
              </controlPr>
            </control>
          </mc:Choice>
        </mc:AlternateContent>
        <mc:AlternateContent xmlns:mc="http://schemas.openxmlformats.org/markup-compatibility/2006">
          <mc:Choice Requires="x14">
            <control shapeId="3265" r:id="rId146" name="Check Box 193">
              <controlPr defaultSize="0" autoFill="0" autoLine="0" autoPict="0">
                <anchor moveWithCells="1">
                  <from>
                    <xdr:col>11</xdr:col>
                    <xdr:colOff>0</xdr:colOff>
                    <xdr:row>104</xdr:row>
                    <xdr:rowOff>30480</xdr:rowOff>
                  </from>
                  <to>
                    <xdr:col>11</xdr:col>
                    <xdr:colOff>1866900</xdr:colOff>
                    <xdr:row>104</xdr:row>
                    <xdr:rowOff>274320</xdr:rowOff>
                  </to>
                </anchor>
              </controlPr>
            </control>
          </mc:Choice>
        </mc:AlternateContent>
        <mc:AlternateContent xmlns:mc="http://schemas.openxmlformats.org/markup-compatibility/2006">
          <mc:Choice Requires="x14">
            <control shapeId="3266" r:id="rId147" name="Check Box 194">
              <controlPr defaultSize="0" autoFill="0" autoLine="0" autoPict="0">
                <anchor moveWithCells="1">
                  <from>
                    <xdr:col>11</xdr:col>
                    <xdr:colOff>0</xdr:colOff>
                    <xdr:row>106</xdr:row>
                    <xdr:rowOff>30480</xdr:rowOff>
                  </from>
                  <to>
                    <xdr:col>11</xdr:col>
                    <xdr:colOff>1866900</xdr:colOff>
                    <xdr:row>106</xdr:row>
                    <xdr:rowOff>274320</xdr:rowOff>
                  </to>
                </anchor>
              </controlPr>
            </control>
          </mc:Choice>
        </mc:AlternateContent>
        <mc:AlternateContent xmlns:mc="http://schemas.openxmlformats.org/markup-compatibility/2006">
          <mc:Choice Requires="x14">
            <control shapeId="3267" r:id="rId148" name="Check Box 195">
              <controlPr defaultSize="0" autoFill="0" autoLine="0" autoPict="0">
                <anchor moveWithCells="1">
                  <from>
                    <xdr:col>11</xdr:col>
                    <xdr:colOff>0</xdr:colOff>
                    <xdr:row>100</xdr:row>
                    <xdr:rowOff>259080</xdr:rowOff>
                  </from>
                  <to>
                    <xdr:col>11</xdr:col>
                    <xdr:colOff>1866900</xdr:colOff>
                    <xdr:row>101</xdr:row>
                    <xdr:rowOff>182880</xdr:rowOff>
                  </to>
                </anchor>
              </controlPr>
            </control>
          </mc:Choice>
        </mc:AlternateContent>
        <mc:AlternateContent xmlns:mc="http://schemas.openxmlformats.org/markup-compatibility/2006">
          <mc:Choice Requires="x14">
            <control shapeId="3268" r:id="rId149" name="Check Box 196">
              <controlPr defaultSize="0" autoFill="0" autoLine="0" autoPict="0">
                <anchor moveWithCells="1">
                  <from>
                    <xdr:col>11</xdr:col>
                    <xdr:colOff>0</xdr:colOff>
                    <xdr:row>101</xdr:row>
                    <xdr:rowOff>106680</xdr:rowOff>
                  </from>
                  <to>
                    <xdr:col>11</xdr:col>
                    <xdr:colOff>1866900</xdr:colOff>
                    <xdr:row>101</xdr:row>
                    <xdr:rowOff>342900</xdr:rowOff>
                  </to>
                </anchor>
              </controlPr>
            </control>
          </mc:Choice>
        </mc:AlternateContent>
        <mc:AlternateContent xmlns:mc="http://schemas.openxmlformats.org/markup-compatibility/2006">
          <mc:Choice Requires="x14">
            <control shapeId="3269" r:id="rId150" name="Check Box 197">
              <controlPr defaultSize="0" autoFill="0" autoLine="0" autoPict="0">
                <anchor moveWithCells="1">
                  <from>
                    <xdr:col>11</xdr:col>
                    <xdr:colOff>0</xdr:colOff>
                    <xdr:row>102</xdr:row>
                    <xdr:rowOff>259080</xdr:rowOff>
                  </from>
                  <to>
                    <xdr:col>11</xdr:col>
                    <xdr:colOff>1866900</xdr:colOff>
                    <xdr:row>103</xdr:row>
                    <xdr:rowOff>182880</xdr:rowOff>
                  </to>
                </anchor>
              </controlPr>
            </control>
          </mc:Choice>
        </mc:AlternateContent>
        <mc:AlternateContent xmlns:mc="http://schemas.openxmlformats.org/markup-compatibility/2006">
          <mc:Choice Requires="x14">
            <control shapeId="3270" r:id="rId151" name="Check Box 198">
              <controlPr defaultSize="0" autoFill="0" autoLine="0" autoPict="0">
                <anchor moveWithCells="1">
                  <from>
                    <xdr:col>11</xdr:col>
                    <xdr:colOff>0</xdr:colOff>
                    <xdr:row>103</xdr:row>
                    <xdr:rowOff>106680</xdr:rowOff>
                  </from>
                  <to>
                    <xdr:col>11</xdr:col>
                    <xdr:colOff>1866900</xdr:colOff>
                    <xdr:row>103</xdr:row>
                    <xdr:rowOff>342900</xdr:rowOff>
                  </to>
                </anchor>
              </controlPr>
            </control>
          </mc:Choice>
        </mc:AlternateContent>
        <mc:AlternateContent xmlns:mc="http://schemas.openxmlformats.org/markup-compatibility/2006">
          <mc:Choice Requires="x14">
            <control shapeId="3271" r:id="rId152" name="Check Box 199">
              <controlPr defaultSize="0" autoFill="0" autoLine="0" autoPict="0">
                <anchor moveWithCells="1">
                  <from>
                    <xdr:col>11</xdr:col>
                    <xdr:colOff>0</xdr:colOff>
                    <xdr:row>100</xdr:row>
                    <xdr:rowOff>30480</xdr:rowOff>
                  </from>
                  <to>
                    <xdr:col>11</xdr:col>
                    <xdr:colOff>1866900</xdr:colOff>
                    <xdr:row>100</xdr:row>
                    <xdr:rowOff>274320</xdr:rowOff>
                  </to>
                </anchor>
              </controlPr>
            </control>
          </mc:Choice>
        </mc:AlternateContent>
        <mc:AlternateContent xmlns:mc="http://schemas.openxmlformats.org/markup-compatibility/2006">
          <mc:Choice Requires="x14">
            <control shapeId="3272" r:id="rId153" name="Check Box 200">
              <controlPr defaultSize="0" autoFill="0" autoLine="0" autoPict="0">
                <anchor moveWithCells="1">
                  <from>
                    <xdr:col>11</xdr:col>
                    <xdr:colOff>0</xdr:colOff>
                    <xdr:row>102</xdr:row>
                    <xdr:rowOff>30480</xdr:rowOff>
                  </from>
                  <to>
                    <xdr:col>11</xdr:col>
                    <xdr:colOff>1866900</xdr:colOff>
                    <xdr:row>102</xdr:row>
                    <xdr:rowOff>274320</xdr:rowOff>
                  </to>
                </anchor>
              </controlPr>
            </control>
          </mc:Choice>
        </mc:AlternateContent>
        <mc:AlternateContent xmlns:mc="http://schemas.openxmlformats.org/markup-compatibility/2006">
          <mc:Choice Requires="x14">
            <control shapeId="3281" r:id="rId154" name="Check Box 209">
              <controlPr defaultSize="0" autoFill="0" autoLine="0" autoPict="0">
                <anchor moveWithCells="1">
                  <from>
                    <xdr:col>11</xdr:col>
                    <xdr:colOff>0</xdr:colOff>
                    <xdr:row>128</xdr:row>
                    <xdr:rowOff>266700</xdr:rowOff>
                  </from>
                  <to>
                    <xdr:col>11</xdr:col>
                    <xdr:colOff>1866900</xdr:colOff>
                    <xdr:row>129</xdr:row>
                    <xdr:rowOff>190500</xdr:rowOff>
                  </to>
                </anchor>
              </controlPr>
            </control>
          </mc:Choice>
        </mc:AlternateContent>
        <mc:AlternateContent xmlns:mc="http://schemas.openxmlformats.org/markup-compatibility/2006">
          <mc:Choice Requires="x14">
            <control shapeId="3282" r:id="rId155" name="Check Box 210">
              <controlPr defaultSize="0" autoFill="0" autoLine="0" autoPict="0">
                <anchor moveWithCells="1">
                  <from>
                    <xdr:col>11</xdr:col>
                    <xdr:colOff>0</xdr:colOff>
                    <xdr:row>129</xdr:row>
                    <xdr:rowOff>144780</xdr:rowOff>
                  </from>
                  <to>
                    <xdr:col>11</xdr:col>
                    <xdr:colOff>1866900</xdr:colOff>
                    <xdr:row>130</xdr:row>
                    <xdr:rowOff>30480</xdr:rowOff>
                  </to>
                </anchor>
              </controlPr>
            </control>
          </mc:Choice>
        </mc:AlternateContent>
        <mc:AlternateContent xmlns:mc="http://schemas.openxmlformats.org/markup-compatibility/2006">
          <mc:Choice Requires="x14">
            <control shapeId="3283" r:id="rId156" name="Check Box 211">
              <controlPr defaultSize="0" autoFill="0" autoLine="0" autoPict="0">
                <anchor moveWithCells="1">
                  <from>
                    <xdr:col>11</xdr:col>
                    <xdr:colOff>0</xdr:colOff>
                    <xdr:row>128</xdr:row>
                    <xdr:rowOff>30480</xdr:rowOff>
                  </from>
                  <to>
                    <xdr:col>11</xdr:col>
                    <xdr:colOff>1866900</xdr:colOff>
                    <xdr:row>129</xdr:row>
                    <xdr:rowOff>0</xdr:rowOff>
                  </to>
                </anchor>
              </controlPr>
            </control>
          </mc:Choice>
        </mc:AlternateContent>
        <mc:AlternateContent xmlns:mc="http://schemas.openxmlformats.org/markup-compatibility/2006">
          <mc:Choice Requires="x14">
            <control shapeId="3284" r:id="rId157" name="Check Box 212">
              <controlPr defaultSize="0" autoFill="0" autoLine="0" autoPict="0">
                <anchor moveWithCells="1">
                  <from>
                    <xdr:col>11</xdr:col>
                    <xdr:colOff>0</xdr:colOff>
                    <xdr:row>130</xdr:row>
                    <xdr:rowOff>266700</xdr:rowOff>
                  </from>
                  <to>
                    <xdr:col>11</xdr:col>
                    <xdr:colOff>1866900</xdr:colOff>
                    <xdr:row>131</xdr:row>
                    <xdr:rowOff>190500</xdr:rowOff>
                  </to>
                </anchor>
              </controlPr>
            </control>
          </mc:Choice>
        </mc:AlternateContent>
        <mc:AlternateContent xmlns:mc="http://schemas.openxmlformats.org/markup-compatibility/2006">
          <mc:Choice Requires="x14">
            <control shapeId="3285" r:id="rId158" name="Check Box 213">
              <controlPr defaultSize="0" autoFill="0" autoLine="0" autoPict="0">
                <anchor moveWithCells="1">
                  <from>
                    <xdr:col>11</xdr:col>
                    <xdr:colOff>0</xdr:colOff>
                    <xdr:row>131</xdr:row>
                    <xdr:rowOff>144780</xdr:rowOff>
                  </from>
                  <to>
                    <xdr:col>11</xdr:col>
                    <xdr:colOff>1866900</xdr:colOff>
                    <xdr:row>132</xdr:row>
                    <xdr:rowOff>30480</xdr:rowOff>
                  </to>
                </anchor>
              </controlPr>
            </control>
          </mc:Choice>
        </mc:AlternateContent>
        <mc:AlternateContent xmlns:mc="http://schemas.openxmlformats.org/markup-compatibility/2006">
          <mc:Choice Requires="x14">
            <control shapeId="3286" r:id="rId159" name="Check Box 214">
              <controlPr defaultSize="0" autoFill="0" autoLine="0" autoPict="0">
                <anchor moveWithCells="1">
                  <from>
                    <xdr:col>11</xdr:col>
                    <xdr:colOff>0</xdr:colOff>
                    <xdr:row>130</xdr:row>
                    <xdr:rowOff>30480</xdr:rowOff>
                  </from>
                  <to>
                    <xdr:col>11</xdr:col>
                    <xdr:colOff>1866900</xdr:colOff>
                    <xdr:row>131</xdr:row>
                    <xdr:rowOff>0</xdr:rowOff>
                  </to>
                </anchor>
              </controlPr>
            </control>
          </mc:Choice>
        </mc:AlternateContent>
        <mc:AlternateContent xmlns:mc="http://schemas.openxmlformats.org/markup-compatibility/2006">
          <mc:Choice Requires="x14">
            <control shapeId="3311" r:id="rId160" name="Check Box 239">
              <controlPr defaultSize="0" autoFill="0" autoLine="0" autoPict="0">
                <anchor moveWithCells="1">
                  <from>
                    <xdr:col>11</xdr:col>
                    <xdr:colOff>0</xdr:colOff>
                    <xdr:row>108</xdr:row>
                    <xdr:rowOff>266700</xdr:rowOff>
                  </from>
                  <to>
                    <xdr:col>11</xdr:col>
                    <xdr:colOff>1866900</xdr:colOff>
                    <xdr:row>109</xdr:row>
                    <xdr:rowOff>198120</xdr:rowOff>
                  </to>
                </anchor>
              </controlPr>
            </control>
          </mc:Choice>
        </mc:AlternateContent>
        <mc:AlternateContent xmlns:mc="http://schemas.openxmlformats.org/markup-compatibility/2006">
          <mc:Choice Requires="x14">
            <control shapeId="3312" r:id="rId161" name="Check Box 240">
              <controlPr defaultSize="0" autoFill="0" autoLine="0" autoPict="0">
                <anchor moveWithCells="1">
                  <from>
                    <xdr:col>11</xdr:col>
                    <xdr:colOff>0</xdr:colOff>
                    <xdr:row>109</xdr:row>
                    <xdr:rowOff>144780</xdr:rowOff>
                  </from>
                  <to>
                    <xdr:col>11</xdr:col>
                    <xdr:colOff>1866900</xdr:colOff>
                    <xdr:row>110</xdr:row>
                    <xdr:rowOff>30480</xdr:rowOff>
                  </to>
                </anchor>
              </controlPr>
            </control>
          </mc:Choice>
        </mc:AlternateContent>
        <mc:AlternateContent xmlns:mc="http://schemas.openxmlformats.org/markup-compatibility/2006">
          <mc:Choice Requires="x14">
            <control shapeId="3313" r:id="rId162" name="Check Box 241">
              <controlPr defaultSize="0" autoFill="0" autoLine="0" autoPict="0">
                <anchor moveWithCells="1">
                  <from>
                    <xdr:col>11</xdr:col>
                    <xdr:colOff>0</xdr:colOff>
                    <xdr:row>108</xdr:row>
                    <xdr:rowOff>30480</xdr:rowOff>
                  </from>
                  <to>
                    <xdr:col>11</xdr:col>
                    <xdr:colOff>1866900</xdr:colOff>
                    <xdr:row>108</xdr:row>
                    <xdr:rowOff>297180</xdr:rowOff>
                  </to>
                </anchor>
              </controlPr>
            </control>
          </mc:Choice>
        </mc:AlternateContent>
        <mc:AlternateContent xmlns:mc="http://schemas.openxmlformats.org/markup-compatibility/2006">
          <mc:Choice Requires="x14">
            <control shapeId="3314" r:id="rId163" name="Check Box 242">
              <controlPr defaultSize="0" autoFill="0" autoLine="0" autoPict="0">
                <anchor moveWithCells="1">
                  <from>
                    <xdr:col>11</xdr:col>
                    <xdr:colOff>0</xdr:colOff>
                    <xdr:row>110</xdr:row>
                    <xdr:rowOff>266700</xdr:rowOff>
                  </from>
                  <to>
                    <xdr:col>11</xdr:col>
                    <xdr:colOff>1866900</xdr:colOff>
                    <xdr:row>111</xdr:row>
                    <xdr:rowOff>190500</xdr:rowOff>
                  </to>
                </anchor>
              </controlPr>
            </control>
          </mc:Choice>
        </mc:AlternateContent>
        <mc:AlternateContent xmlns:mc="http://schemas.openxmlformats.org/markup-compatibility/2006">
          <mc:Choice Requires="x14">
            <control shapeId="3315" r:id="rId164" name="Check Box 243">
              <controlPr defaultSize="0" autoFill="0" autoLine="0" autoPict="0">
                <anchor moveWithCells="1">
                  <from>
                    <xdr:col>11</xdr:col>
                    <xdr:colOff>0</xdr:colOff>
                    <xdr:row>111</xdr:row>
                    <xdr:rowOff>144780</xdr:rowOff>
                  </from>
                  <to>
                    <xdr:col>11</xdr:col>
                    <xdr:colOff>1866900</xdr:colOff>
                    <xdr:row>112</xdr:row>
                    <xdr:rowOff>30480</xdr:rowOff>
                  </to>
                </anchor>
              </controlPr>
            </control>
          </mc:Choice>
        </mc:AlternateContent>
        <mc:AlternateContent xmlns:mc="http://schemas.openxmlformats.org/markup-compatibility/2006">
          <mc:Choice Requires="x14">
            <control shapeId="3316" r:id="rId165" name="Check Box 244">
              <controlPr defaultSize="0" autoFill="0" autoLine="0" autoPict="0">
                <anchor moveWithCells="1">
                  <from>
                    <xdr:col>11</xdr:col>
                    <xdr:colOff>0</xdr:colOff>
                    <xdr:row>110</xdr:row>
                    <xdr:rowOff>30480</xdr:rowOff>
                  </from>
                  <to>
                    <xdr:col>11</xdr:col>
                    <xdr:colOff>1866900</xdr:colOff>
                    <xdr:row>111</xdr:row>
                    <xdr:rowOff>0</xdr:rowOff>
                  </to>
                </anchor>
              </controlPr>
            </control>
          </mc:Choice>
        </mc:AlternateContent>
        <mc:AlternateContent xmlns:mc="http://schemas.openxmlformats.org/markup-compatibility/2006">
          <mc:Choice Requires="x14">
            <control shapeId="3317" r:id="rId166" name="Check Box 245">
              <controlPr defaultSize="0" autoFill="0" autoLine="0" autoPict="0">
                <anchor moveWithCells="1">
                  <from>
                    <xdr:col>11</xdr:col>
                    <xdr:colOff>0</xdr:colOff>
                    <xdr:row>112</xdr:row>
                    <xdr:rowOff>266700</xdr:rowOff>
                  </from>
                  <to>
                    <xdr:col>11</xdr:col>
                    <xdr:colOff>1866900</xdr:colOff>
                    <xdr:row>113</xdr:row>
                    <xdr:rowOff>182880</xdr:rowOff>
                  </to>
                </anchor>
              </controlPr>
            </control>
          </mc:Choice>
        </mc:AlternateContent>
        <mc:AlternateContent xmlns:mc="http://schemas.openxmlformats.org/markup-compatibility/2006">
          <mc:Choice Requires="x14">
            <control shapeId="3318" r:id="rId167" name="Check Box 246">
              <controlPr defaultSize="0" autoFill="0" autoLine="0" autoPict="0">
                <anchor moveWithCells="1">
                  <from>
                    <xdr:col>11</xdr:col>
                    <xdr:colOff>0</xdr:colOff>
                    <xdr:row>113</xdr:row>
                    <xdr:rowOff>144780</xdr:rowOff>
                  </from>
                  <to>
                    <xdr:col>11</xdr:col>
                    <xdr:colOff>1866900</xdr:colOff>
                    <xdr:row>114</xdr:row>
                    <xdr:rowOff>30480</xdr:rowOff>
                  </to>
                </anchor>
              </controlPr>
            </control>
          </mc:Choice>
        </mc:AlternateContent>
        <mc:AlternateContent xmlns:mc="http://schemas.openxmlformats.org/markup-compatibility/2006">
          <mc:Choice Requires="x14">
            <control shapeId="3319" r:id="rId168" name="Check Box 247">
              <controlPr defaultSize="0" autoFill="0" autoLine="0" autoPict="0">
                <anchor moveWithCells="1">
                  <from>
                    <xdr:col>11</xdr:col>
                    <xdr:colOff>0</xdr:colOff>
                    <xdr:row>112</xdr:row>
                    <xdr:rowOff>30480</xdr:rowOff>
                  </from>
                  <to>
                    <xdr:col>11</xdr:col>
                    <xdr:colOff>1866900</xdr:colOff>
                    <xdr:row>112</xdr:row>
                    <xdr:rowOff>297180</xdr:rowOff>
                  </to>
                </anchor>
              </controlPr>
            </control>
          </mc:Choice>
        </mc:AlternateContent>
        <mc:AlternateContent xmlns:mc="http://schemas.openxmlformats.org/markup-compatibility/2006">
          <mc:Choice Requires="x14">
            <control shapeId="3320" r:id="rId169" name="Check Box 248">
              <controlPr defaultSize="0" autoFill="0" autoLine="0" autoPict="0">
                <anchor moveWithCells="1">
                  <from>
                    <xdr:col>11</xdr:col>
                    <xdr:colOff>0</xdr:colOff>
                    <xdr:row>114</xdr:row>
                    <xdr:rowOff>266700</xdr:rowOff>
                  </from>
                  <to>
                    <xdr:col>11</xdr:col>
                    <xdr:colOff>1866900</xdr:colOff>
                    <xdr:row>115</xdr:row>
                    <xdr:rowOff>68580</xdr:rowOff>
                  </to>
                </anchor>
              </controlPr>
            </control>
          </mc:Choice>
        </mc:AlternateContent>
        <mc:AlternateContent xmlns:mc="http://schemas.openxmlformats.org/markup-compatibility/2006">
          <mc:Choice Requires="x14">
            <control shapeId="3321" r:id="rId170" name="Check Box 249">
              <controlPr defaultSize="0" autoFill="0" autoLine="0" autoPict="0">
                <anchor moveWithCells="1">
                  <from>
                    <xdr:col>11</xdr:col>
                    <xdr:colOff>0</xdr:colOff>
                    <xdr:row>115</xdr:row>
                    <xdr:rowOff>106680</xdr:rowOff>
                  </from>
                  <to>
                    <xdr:col>11</xdr:col>
                    <xdr:colOff>1866900</xdr:colOff>
                    <xdr:row>115</xdr:row>
                    <xdr:rowOff>342900</xdr:rowOff>
                  </to>
                </anchor>
              </controlPr>
            </control>
          </mc:Choice>
        </mc:AlternateContent>
        <mc:AlternateContent xmlns:mc="http://schemas.openxmlformats.org/markup-compatibility/2006">
          <mc:Choice Requires="x14">
            <control shapeId="3322" r:id="rId171" name="Check Box 250">
              <controlPr defaultSize="0" autoFill="0" autoLine="0" autoPict="0">
                <anchor moveWithCells="1">
                  <from>
                    <xdr:col>11</xdr:col>
                    <xdr:colOff>0</xdr:colOff>
                    <xdr:row>114</xdr:row>
                    <xdr:rowOff>30480</xdr:rowOff>
                  </from>
                  <to>
                    <xdr:col>11</xdr:col>
                    <xdr:colOff>1866900</xdr:colOff>
                    <xdr:row>114</xdr:row>
                    <xdr:rowOff>373380</xdr:rowOff>
                  </to>
                </anchor>
              </controlPr>
            </control>
          </mc:Choice>
        </mc:AlternateContent>
        <mc:AlternateContent xmlns:mc="http://schemas.openxmlformats.org/markup-compatibility/2006">
          <mc:Choice Requires="x14">
            <control shapeId="3323" r:id="rId172" name="Check Box 251">
              <controlPr defaultSize="0" autoFill="0" autoLine="0" autoPict="0">
                <anchor moveWithCells="1">
                  <from>
                    <xdr:col>11</xdr:col>
                    <xdr:colOff>0</xdr:colOff>
                    <xdr:row>116</xdr:row>
                    <xdr:rowOff>266700</xdr:rowOff>
                  </from>
                  <to>
                    <xdr:col>11</xdr:col>
                    <xdr:colOff>1866900</xdr:colOff>
                    <xdr:row>117</xdr:row>
                    <xdr:rowOff>190500</xdr:rowOff>
                  </to>
                </anchor>
              </controlPr>
            </control>
          </mc:Choice>
        </mc:AlternateContent>
        <mc:AlternateContent xmlns:mc="http://schemas.openxmlformats.org/markup-compatibility/2006">
          <mc:Choice Requires="x14">
            <control shapeId="3324" r:id="rId173" name="Check Box 252">
              <controlPr defaultSize="0" autoFill="0" autoLine="0" autoPict="0">
                <anchor moveWithCells="1">
                  <from>
                    <xdr:col>11</xdr:col>
                    <xdr:colOff>0</xdr:colOff>
                    <xdr:row>117</xdr:row>
                    <xdr:rowOff>144780</xdr:rowOff>
                  </from>
                  <to>
                    <xdr:col>11</xdr:col>
                    <xdr:colOff>1866900</xdr:colOff>
                    <xdr:row>118</xdr:row>
                    <xdr:rowOff>30480</xdr:rowOff>
                  </to>
                </anchor>
              </controlPr>
            </control>
          </mc:Choice>
        </mc:AlternateContent>
        <mc:AlternateContent xmlns:mc="http://schemas.openxmlformats.org/markup-compatibility/2006">
          <mc:Choice Requires="x14">
            <control shapeId="3325" r:id="rId174" name="Check Box 253">
              <controlPr defaultSize="0" autoFill="0" autoLine="0" autoPict="0">
                <anchor moveWithCells="1">
                  <from>
                    <xdr:col>11</xdr:col>
                    <xdr:colOff>0</xdr:colOff>
                    <xdr:row>116</xdr:row>
                    <xdr:rowOff>30480</xdr:rowOff>
                  </from>
                  <to>
                    <xdr:col>11</xdr:col>
                    <xdr:colOff>1866900</xdr:colOff>
                    <xdr:row>117</xdr:row>
                    <xdr:rowOff>0</xdr:rowOff>
                  </to>
                </anchor>
              </controlPr>
            </control>
          </mc:Choice>
        </mc:AlternateContent>
        <mc:AlternateContent xmlns:mc="http://schemas.openxmlformats.org/markup-compatibility/2006">
          <mc:Choice Requires="x14">
            <control shapeId="3326" r:id="rId175" name="Check Box 254">
              <controlPr defaultSize="0" autoFill="0" autoLine="0" autoPict="0">
                <anchor moveWithCells="1">
                  <from>
                    <xdr:col>11</xdr:col>
                    <xdr:colOff>0</xdr:colOff>
                    <xdr:row>118</xdr:row>
                    <xdr:rowOff>266700</xdr:rowOff>
                  </from>
                  <to>
                    <xdr:col>11</xdr:col>
                    <xdr:colOff>1866900</xdr:colOff>
                    <xdr:row>119</xdr:row>
                    <xdr:rowOff>190500</xdr:rowOff>
                  </to>
                </anchor>
              </controlPr>
            </control>
          </mc:Choice>
        </mc:AlternateContent>
        <mc:AlternateContent xmlns:mc="http://schemas.openxmlformats.org/markup-compatibility/2006">
          <mc:Choice Requires="x14">
            <control shapeId="3327" r:id="rId176" name="Check Box 255">
              <controlPr defaultSize="0" autoFill="0" autoLine="0" autoPict="0">
                <anchor moveWithCells="1">
                  <from>
                    <xdr:col>11</xdr:col>
                    <xdr:colOff>0</xdr:colOff>
                    <xdr:row>119</xdr:row>
                    <xdr:rowOff>144780</xdr:rowOff>
                  </from>
                  <to>
                    <xdr:col>11</xdr:col>
                    <xdr:colOff>1866900</xdr:colOff>
                    <xdr:row>120</xdr:row>
                    <xdr:rowOff>30480</xdr:rowOff>
                  </to>
                </anchor>
              </controlPr>
            </control>
          </mc:Choice>
        </mc:AlternateContent>
        <mc:AlternateContent xmlns:mc="http://schemas.openxmlformats.org/markup-compatibility/2006">
          <mc:Choice Requires="x14">
            <control shapeId="3328" r:id="rId177" name="Check Box 256">
              <controlPr defaultSize="0" autoFill="0" autoLine="0" autoPict="0">
                <anchor moveWithCells="1">
                  <from>
                    <xdr:col>11</xdr:col>
                    <xdr:colOff>0</xdr:colOff>
                    <xdr:row>118</xdr:row>
                    <xdr:rowOff>30480</xdr:rowOff>
                  </from>
                  <to>
                    <xdr:col>11</xdr:col>
                    <xdr:colOff>1866900</xdr:colOff>
                    <xdr:row>119</xdr:row>
                    <xdr:rowOff>0</xdr:rowOff>
                  </to>
                </anchor>
              </controlPr>
            </control>
          </mc:Choice>
        </mc:AlternateContent>
        <mc:AlternateContent xmlns:mc="http://schemas.openxmlformats.org/markup-compatibility/2006">
          <mc:Choice Requires="x14">
            <control shapeId="3329" r:id="rId178" name="Check Box 257">
              <controlPr defaultSize="0" autoFill="0" autoLine="0" autoPict="0">
                <anchor moveWithCells="1">
                  <from>
                    <xdr:col>11</xdr:col>
                    <xdr:colOff>0</xdr:colOff>
                    <xdr:row>120</xdr:row>
                    <xdr:rowOff>266700</xdr:rowOff>
                  </from>
                  <to>
                    <xdr:col>11</xdr:col>
                    <xdr:colOff>1866900</xdr:colOff>
                    <xdr:row>121</xdr:row>
                    <xdr:rowOff>190500</xdr:rowOff>
                  </to>
                </anchor>
              </controlPr>
            </control>
          </mc:Choice>
        </mc:AlternateContent>
        <mc:AlternateContent xmlns:mc="http://schemas.openxmlformats.org/markup-compatibility/2006">
          <mc:Choice Requires="x14">
            <control shapeId="3330" r:id="rId179" name="Check Box 258">
              <controlPr defaultSize="0" autoFill="0" autoLine="0" autoPict="0">
                <anchor moveWithCells="1">
                  <from>
                    <xdr:col>11</xdr:col>
                    <xdr:colOff>0</xdr:colOff>
                    <xdr:row>121</xdr:row>
                    <xdr:rowOff>144780</xdr:rowOff>
                  </from>
                  <to>
                    <xdr:col>11</xdr:col>
                    <xdr:colOff>1866900</xdr:colOff>
                    <xdr:row>122</xdr:row>
                    <xdr:rowOff>30480</xdr:rowOff>
                  </to>
                </anchor>
              </controlPr>
            </control>
          </mc:Choice>
        </mc:AlternateContent>
        <mc:AlternateContent xmlns:mc="http://schemas.openxmlformats.org/markup-compatibility/2006">
          <mc:Choice Requires="x14">
            <control shapeId="3331" r:id="rId180" name="Check Box 259">
              <controlPr defaultSize="0" autoFill="0" autoLine="0" autoPict="0">
                <anchor moveWithCells="1">
                  <from>
                    <xdr:col>11</xdr:col>
                    <xdr:colOff>0</xdr:colOff>
                    <xdr:row>120</xdr:row>
                    <xdr:rowOff>30480</xdr:rowOff>
                  </from>
                  <to>
                    <xdr:col>11</xdr:col>
                    <xdr:colOff>1866900</xdr:colOff>
                    <xdr:row>121</xdr:row>
                    <xdr:rowOff>0</xdr:rowOff>
                  </to>
                </anchor>
              </controlPr>
            </control>
          </mc:Choice>
        </mc:AlternateContent>
        <mc:AlternateContent xmlns:mc="http://schemas.openxmlformats.org/markup-compatibility/2006">
          <mc:Choice Requires="x14">
            <control shapeId="3332" r:id="rId181" name="Check Box 260">
              <controlPr defaultSize="0" autoFill="0" autoLine="0" autoPict="0">
                <anchor moveWithCells="1">
                  <from>
                    <xdr:col>11</xdr:col>
                    <xdr:colOff>0</xdr:colOff>
                    <xdr:row>122</xdr:row>
                    <xdr:rowOff>266700</xdr:rowOff>
                  </from>
                  <to>
                    <xdr:col>11</xdr:col>
                    <xdr:colOff>1866900</xdr:colOff>
                    <xdr:row>123</xdr:row>
                    <xdr:rowOff>190500</xdr:rowOff>
                  </to>
                </anchor>
              </controlPr>
            </control>
          </mc:Choice>
        </mc:AlternateContent>
        <mc:AlternateContent xmlns:mc="http://schemas.openxmlformats.org/markup-compatibility/2006">
          <mc:Choice Requires="x14">
            <control shapeId="3333" r:id="rId182" name="Check Box 261">
              <controlPr defaultSize="0" autoFill="0" autoLine="0" autoPict="0">
                <anchor moveWithCells="1">
                  <from>
                    <xdr:col>11</xdr:col>
                    <xdr:colOff>0</xdr:colOff>
                    <xdr:row>123</xdr:row>
                    <xdr:rowOff>144780</xdr:rowOff>
                  </from>
                  <to>
                    <xdr:col>11</xdr:col>
                    <xdr:colOff>1866900</xdr:colOff>
                    <xdr:row>124</xdr:row>
                    <xdr:rowOff>30480</xdr:rowOff>
                  </to>
                </anchor>
              </controlPr>
            </control>
          </mc:Choice>
        </mc:AlternateContent>
        <mc:AlternateContent xmlns:mc="http://schemas.openxmlformats.org/markup-compatibility/2006">
          <mc:Choice Requires="x14">
            <control shapeId="3334" r:id="rId183" name="Check Box 262">
              <controlPr defaultSize="0" autoFill="0" autoLine="0" autoPict="0">
                <anchor moveWithCells="1">
                  <from>
                    <xdr:col>11</xdr:col>
                    <xdr:colOff>0</xdr:colOff>
                    <xdr:row>122</xdr:row>
                    <xdr:rowOff>30480</xdr:rowOff>
                  </from>
                  <to>
                    <xdr:col>11</xdr:col>
                    <xdr:colOff>1866900</xdr:colOff>
                    <xdr:row>123</xdr:row>
                    <xdr:rowOff>0</xdr:rowOff>
                  </to>
                </anchor>
              </controlPr>
            </control>
          </mc:Choice>
        </mc:AlternateContent>
        <mc:AlternateContent xmlns:mc="http://schemas.openxmlformats.org/markup-compatibility/2006">
          <mc:Choice Requires="x14">
            <control shapeId="3335" r:id="rId184" name="Check Box 263">
              <controlPr defaultSize="0" autoFill="0" autoLine="0" autoPict="0">
                <anchor moveWithCells="1">
                  <from>
                    <xdr:col>11</xdr:col>
                    <xdr:colOff>0</xdr:colOff>
                    <xdr:row>124</xdr:row>
                    <xdr:rowOff>266700</xdr:rowOff>
                  </from>
                  <to>
                    <xdr:col>11</xdr:col>
                    <xdr:colOff>1866900</xdr:colOff>
                    <xdr:row>125</xdr:row>
                    <xdr:rowOff>190500</xdr:rowOff>
                  </to>
                </anchor>
              </controlPr>
            </control>
          </mc:Choice>
        </mc:AlternateContent>
        <mc:AlternateContent xmlns:mc="http://schemas.openxmlformats.org/markup-compatibility/2006">
          <mc:Choice Requires="x14">
            <control shapeId="3336" r:id="rId185" name="Check Box 264">
              <controlPr defaultSize="0" autoFill="0" autoLine="0" autoPict="0">
                <anchor moveWithCells="1">
                  <from>
                    <xdr:col>11</xdr:col>
                    <xdr:colOff>0</xdr:colOff>
                    <xdr:row>125</xdr:row>
                    <xdr:rowOff>144780</xdr:rowOff>
                  </from>
                  <to>
                    <xdr:col>11</xdr:col>
                    <xdr:colOff>1866900</xdr:colOff>
                    <xdr:row>126</xdr:row>
                    <xdr:rowOff>30480</xdr:rowOff>
                  </to>
                </anchor>
              </controlPr>
            </control>
          </mc:Choice>
        </mc:AlternateContent>
        <mc:AlternateContent xmlns:mc="http://schemas.openxmlformats.org/markup-compatibility/2006">
          <mc:Choice Requires="x14">
            <control shapeId="3337" r:id="rId186" name="Check Box 265">
              <controlPr defaultSize="0" autoFill="0" autoLine="0" autoPict="0">
                <anchor moveWithCells="1">
                  <from>
                    <xdr:col>11</xdr:col>
                    <xdr:colOff>0</xdr:colOff>
                    <xdr:row>124</xdr:row>
                    <xdr:rowOff>30480</xdr:rowOff>
                  </from>
                  <to>
                    <xdr:col>11</xdr:col>
                    <xdr:colOff>1866900</xdr:colOff>
                    <xdr:row>125</xdr:row>
                    <xdr:rowOff>0</xdr:rowOff>
                  </to>
                </anchor>
              </controlPr>
            </control>
          </mc:Choice>
        </mc:AlternateContent>
        <mc:AlternateContent xmlns:mc="http://schemas.openxmlformats.org/markup-compatibility/2006">
          <mc:Choice Requires="x14">
            <control shapeId="3338" r:id="rId187" name="Check Box 266">
              <controlPr defaultSize="0" autoFill="0" autoLine="0" autoPict="0">
                <anchor moveWithCells="1">
                  <from>
                    <xdr:col>11</xdr:col>
                    <xdr:colOff>0</xdr:colOff>
                    <xdr:row>126</xdr:row>
                    <xdr:rowOff>266700</xdr:rowOff>
                  </from>
                  <to>
                    <xdr:col>11</xdr:col>
                    <xdr:colOff>1866900</xdr:colOff>
                    <xdr:row>127</xdr:row>
                    <xdr:rowOff>190500</xdr:rowOff>
                  </to>
                </anchor>
              </controlPr>
            </control>
          </mc:Choice>
        </mc:AlternateContent>
        <mc:AlternateContent xmlns:mc="http://schemas.openxmlformats.org/markup-compatibility/2006">
          <mc:Choice Requires="x14">
            <control shapeId="3339" r:id="rId188" name="Check Box 267">
              <controlPr defaultSize="0" autoFill="0" autoLine="0" autoPict="0">
                <anchor moveWithCells="1">
                  <from>
                    <xdr:col>11</xdr:col>
                    <xdr:colOff>0</xdr:colOff>
                    <xdr:row>127</xdr:row>
                    <xdr:rowOff>144780</xdr:rowOff>
                  </from>
                  <to>
                    <xdr:col>11</xdr:col>
                    <xdr:colOff>1866900</xdr:colOff>
                    <xdr:row>128</xdr:row>
                    <xdr:rowOff>30480</xdr:rowOff>
                  </to>
                </anchor>
              </controlPr>
            </control>
          </mc:Choice>
        </mc:AlternateContent>
        <mc:AlternateContent xmlns:mc="http://schemas.openxmlformats.org/markup-compatibility/2006">
          <mc:Choice Requires="x14">
            <control shapeId="3340" r:id="rId189" name="Check Box 268">
              <controlPr defaultSize="0" autoFill="0" autoLine="0" autoPict="0">
                <anchor moveWithCells="1">
                  <from>
                    <xdr:col>11</xdr:col>
                    <xdr:colOff>0</xdr:colOff>
                    <xdr:row>126</xdr:row>
                    <xdr:rowOff>30480</xdr:rowOff>
                  </from>
                  <to>
                    <xdr:col>11</xdr:col>
                    <xdr:colOff>1866900</xdr:colOff>
                    <xdr:row>127</xdr:row>
                    <xdr:rowOff>0</xdr:rowOff>
                  </to>
                </anchor>
              </controlPr>
            </control>
          </mc:Choice>
        </mc:AlternateContent>
        <mc:AlternateContent xmlns:mc="http://schemas.openxmlformats.org/markup-compatibility/2006">
          <mc:Choice Requires="x14">
            <control shapeId="3350" r:id="rId190" name="Check Box 278">
              <controlPr defaultSize="0" autoFill="0" autoLine="0" autoPict="0">
                <anchor moveWithCells="1">
                  <from>
                    <xdr:col>11</xdr:col>
                    <xdr:colOff>0</xdr:colOff>
                    <xdr:row>134</xdr:row>
                    <xdr:rowOff>266700</xdr:rowOff>
                  </from>
                  <to>
                    <xdr:col>11</xdr:col>
                    <xdr:colOff>1866900</xdr:colOff>
                    <xdr:row>135</xdr:row>
                    <xdr:rowOff>190500</xdr:rowOff>
                  </to>
                </anchor>
              </controlPr>
            </control>
          </mc:Choice>
        </mc:AlternateContent>
        <mc:AlternateContent xmlns:mc="http://schemas.openxmlformats.org/markup-compatibility/2006">
          <mc:Choice Requires="x14">
            <control shapeId="3351" r:id="rId191" name="Check Box 279">
              <controlPr defaultSize="0" autoFill="0" autoLine="0" autoPict="0">
                <anchor moveWithCells="1">
                  <from>
                    <xdr:col>11</xdr:col>
                    <xdr:colOff>0</xdr:colOff>
                    <xdr:row>135</xdr:row>
                    <xdr:rowOff>144780</xdr:rowOff>
                  </from>
                  <to>
                    <xdr:col>11</xdr:col>
                    <xdr:colOff>1866900</xdr:colOff>
                    <xdr:row>136</xdr:row>
                    <xdr:rowOff>30480</xdr:rowOff>
                  </to>
                </anchor>
              </controlPr>
            </control>
          </mc:Choice>
        </mc:AlternateContent>
        <mc:AlternateContent xmlns:mc="http://schemas.openxmlformats.org/markup-compatibility/2006">
          <mc:Choice Requires="x14">
            <control shapeId="3352" r:id="rId192" name="Check Box 280">
              <controlPr defaultSize="0" autoFill="0" autoLine="0" autoPict="0">
                <anchor moveWithCells="1">
                  <from>
                    <xdr:col>11</xdr:col>
                    <xdr:colOff>0</xdr:colOff>
                    <xdr:row>134</xdr:row>
                    <xdr:rowOff>30480</xdr:rowOff>
                  </from>
                  <to>
                    <xdr:col>11</xdr:col>
                    <xdr:colOff>1866900</xdr:colOff>
                    <xdr:row>135</xdr:row>
                    <xdr:rowOff>0</xdr:rowOff>
                  </to>
                </anchor>
              </controlPr>
            </control>
          </mc:Choice>
        </mc:AlternateContent>
        <mc:AlternateContent xmlns:mc="http://schemas.openxmlformats.org/markup-compatibility/2006">
          <mc:Choice Requires="x14">
            <control shapeId="3392" r:id="rId193" name="Check Box 320">
              <controlPr defaultSize="0" autoFill="0" autoLine="0" autoPict="0">
                <anchor moveWithCells="1">
                  <from>
                    <xdr:col>11</xdr:col>
                    <xdr:colOff>0</xdr:colOff>
                    <xdr:row>132</xdr:row>
                    <xdr:rowOff>266700</xdr:rowOff>
                  </from>
                  <to>
                    <xdr:col>11</xdr:col>
                    <xdr:colOff>1866900</xdr:colOff>
                    <xdr:row>133</xdr:row>
                    <xdr:rowOff>190500</xdr:rowOff>
                  </to>
                </anchor>
              </controlPr>
            </control>
          </mc:Choice>
        </mc:AlternateContent>
        <mc:AlternateContent xmlns:mc="http://schemas.openxmlformats.org/markup-compatibility/2006">
          <mc:Choice Requires="x14">
            <control shapeId="3393" r:id="rId194" name="Check Box 321">
              <controlPr defaultSize="0" autoFill="0" autoLine="0" autoPict="0">
                <anchor moveWithCells="1">
                  <from>
                    <xdr:col>11</xdr:col>
                    <xdr:colOff>0</xdr:colOff>
                    <xdr:row>133</xdr:row>
                    <xdr:rowOff>144780</xdr:rowOff>
                  </from>
                  <to>
                    <xdr:col>11</xdr:col>
                    <xdr:colOff>1866900</xdr:colOff>
                    <xdr:row>134</xdr:row>
                    <xdr:rowOff>30480</xdr:rowOff>
                  </to>
                </anchor>
              </controlPr>
            </control>
          </mc:Choice>
        </mc:AlternateContent>
        <mc:AlternateContent xmlns:mc="http://schemas.openxmlformats.org/markup-compatibility/2006">
          <mc:Choice Requires="x14">
            <control shapeId="3394" r:id="rId195" name="Check Box 322">
              <controlPr defaultSize="0" autoFill="0" autoLine="0" autoPict="0">
                <anchor moveWithCells="1">
                  <from>
                    <xdr:col>11</xdr:col>
                    <xdr:colOff>0</xdr:colOff>
                    <xdr:row>132</xdr:row>
                    <xdr:rowOff>30480</xdr:rowOff>
                  </from>
                  <to>
                    <xdr:col>11</xdr:col>
                    <xdr:colOff>1866900</xdr:colOff>
                    <xdr:row>133</xdr:row>
                    <xdr:rowOff>0</xdr:rowOff>
                  </to>
                </anchor>
              </controlPr>
            </control>
          </mc:Choice>
        </mc:AlternateContent>
        <mc:AlternateContent xmlns:mc="http://schemas.openxmlformats.org/markup-compatibility/2006">
          <mc:Choice Requires="x14">
            <control shapeId="3205" r:id="rId196" name="Check Box 133">
              <controlPr defaultSize="0" autoFill="0" autoLine="0" autoPict="0">
                <anchor moveWithCells="1">
                  <from>
                    <xdr:col>11</xdr:col>
                    <xdr:colOff>0</xdr:colOff>
                    <xdr:row>92</xdr:row>
                    <xdr:rowOff>259080</xdr:rowOff>
                  </from>
                  <to>
                    <xdr:col>11</xdr:col>
                    <xdr:colOff>1866900</xdr:colOff>
                    <xdr:row>93</xdr:row>
                    <xdr:rowOff>190500</xdr:rowOff>
                  </to>
                </anchor>
              </controlPr>
            </control>
          </mc:Choice>
        </mc:AlternateContent>
        <mc:AlternateContent xmlns:mc="http://schemas.openxmlformats.org/markup-compatibility/2006">
          <mc:Choice Requires="x14">
            <control shapeId="3206" r:id="rId197" name="Check Box 134">
              <controlPr defaultSize="0" autoFill="0" autoLine="0" autoPict="0">
                <anchor moveWithCells="1">
                  <from>
                    <xdr:col>11</xdr:col>
                    <xdr:colOff>0</xdr:colOff>
                    <xdr:row>93</xdr:row>
                    <xdr:rowOff>106680</xdr:rowOff>
                  </from>
                  <to>
                    <xdr:col>11</xdr:col>
                    <xdr:colOff>1866900</xdr:colOff>
                    <xdr:row>93</xdr:row>
                    <xdr:rowOff>342900</xdr:rowOff>
                  </to>
                </anchor>
              </controlPr>
            </control>
          </mc:Choice>
        </mc:AlternateContent>
        <mc:AlternateContent xmlns:mc="http://schemas.openxmlformats.org/markup-compatibility/2006">
          <mc:Choice Requires="x14">
            <control shapeId="3253" r:id="rId198" name="Check Box 181">
              <controlPr defaultSize="0" autoFill="0" autoLine="0" autoPict="0">
                <anchor moveWithCells="1">
                  <from>
                    <xdr:col>11</xdr:col>
                    <xdr:colOff>0</xdr:colOff>
                    <xdr:row>92</xdr:row>
                    <xdr:rowOff>30480</xdr:rowOff>
                  </from>
                  <to>
                    <xdr:col>11</xdr:col>
                    <xdr:colOff>1866900</xdr:colOff>
                    <xdr:row>92</xdr:row>
                    <xdr:rowOff>266700</xdr:rowOff>
                  </to>
                </anchor>
              </controlPr>
            </control>
          </mc:Choice>
        </mc:AlternateContent>
        <mc:AlternateContent xmlns:mc="http://schemas.openxmlformats.org/markup-compatibility/2006">
          <mc:Choice Requires="x14">
            <control shapeId="3416" r:id="rId199" name="Check Box 344">
              <controlPr defaultSize="0" autoFill="0" autoLine="0" autoPict="0">
                <anchor moveWithCells="1">
                  <from>
                    <xdr:col>11</xdr:col>
                    <xdr:colOff>0</xdr:colOff>
                    <xdr:row>142</xdr:row>
                    <xdr:rowOff>266700</xdr:rowOff>
                  </from>
                  <to>
                    <xdr:col>11</xdr:col>
                    <xdr:colOff>1866900</xdr:colOff>
                    <xdr:row>143</xdr:row>
                    <xdr:rowOff>190500</xdr:rowOff>
                  </to>
                </anchor>
              </controlPr>
            </control>
          </mc:Choice>
        </mc:AlternateContent>
        <mc:AlternateContent xmlns:mc="http://schemas.openxmlformats.org/markup-compatibility/2006">
          <mc:Choice Requires="x14">
            <control shapeId="3417" r:id="rId200" name="Check Box 345">
              <controlPr defaultSize="0" autoFill="0" autoLine="0" autoPict="0">
                <anchor moveWithCells="1">
                  <from>
                    <xdr:col>11</xdr:col>
                    <xdr:colOff>0</xdr:colOff>
                    <xdr:row>143</xdr:row>
                    <xdr:rowOff>144780</xdr:rowOff>
                  </from>
                  <to>
                    <xdr:col>11</xdr:col>
                    <xdr:colOff>1866900</xdr:colOff>
                    <xdr:row>144</xdr:row>
                    <xdr:rowOff>30480</xdr:rowOff>
                  </to>
                </anchor>
              </controlPr>
            </control>
          </mc:Choice>
        </mc:AlternateContent>
        <mc:AlternateContent xmlns:mc="http://schemas.openxmlformats.org/markup-compatibility/2006">
          <mc:Choice Requires="x14">
            <control shapeId="3418" r:id="rId201" name="Check Box 346">
              <controlPr defaultSize="0" autoFill="0" autoLine="0" autoPict="0">
                <anchor moveWithCells="1">
                  <from>
                    <xdr:col>11</xdr:col>
                    <xdr:colOff>0</xdr:colOff>
                    <xdr:row>142</xdr:row>
                    <xdr:rowOff>30480</xdr:rowOff>
                  </from>
                  <to>
                    <xdr:col>11</xdr:col>
                    <xdr:colOff>1866900</xdr:colOff>
                    <xdr:row>143</xdr:row>
                    <xdr:rowOff>0</xdr:rowOff>
                  </to>
                </anchor>
              </controlPr>
            </control>
          </mc:Choice>
        </mc:AlternateContent>
        <mc:AlternateContent xmlns:mc="http://schemas.openxmlformats.org/markup-compatibility/2006">
          <mc:Choice Requires="x14">
            <control shapeId="3419" r:id="rId202" name="Check Box 347">
              <controlPr defaultSize="0" autoFill="0" autoLine="0" autoPict="0">
                <anchor moveWithCells="1">
                  <from>
                    <xdr:col>11</xdr:col>
                    <xdr:colOff>0</xdr:colOff>
                    <xdr:row>140</xdr:row>
                    <xdr:rowOff>266700</xdr:rowOff>
                  </from>
                  <to>
                    <xdr:col>11</xdr:col>
                    <xdr:colOff>1866900</xdr:colOff>
                    <xdr:row>141</xdr:row>
                    <xdr:rowOff>182880</xdr:rowOff>
                  </to>
                </anchor>
              </controlPr>
            </control>
          </mc:Choice>
        </mc:AlternateContent>
        <mc:AlternateContent xmlns:mc="http://schemas.openxmlformats.org/markup-compatibility/2006">
          <mc:Choice Requires="x14">
            <control shapeId="3420" r:id="rId203" name="Check Box 348">
              <controlPr defaultSize="0" autoFill="0" autoLine="0" autoPict="0">
                <anchor moveWithCells="1">
                  <from>
                    <xdr:col>11</xdr:col>
                    <xdr:colOff>0</xdr:colOff>
                    <xdr:row>141</xdr:row>
                    <xdr:rowOff>144780</xdr:rowOff>
                  </from>
                  <to>
                    <xdr:col>11</xdr:col>
                    <xdr:colOff>1866900</xdr:colOff>
                    <xdr:row>142</xdr:row>
                    <xdr:rowOff>30480</xdr:rowOff>
                  </to>
                </anchor>
              </controlPr>
            </control>
          </mc:Choice>
        </mc:AlternateContent>
        <mc:AlternateContent xmlns:mc="http://schemas.openxmlformats.org/markup-compatibility/2006">
          <mc:Choice Requires="x14">
            <control shapeId="3421" r:id="rId204" name="Check Box 349">
              <controlPr defaultSize="0" autoFill="0" autoLine="0" autoPict="0">
                <anchor moveWithCells="1">
                  <from>
                    <xdr:col>11</xdr:col>
                    <xdr:colOff>0</xdr:colOff>
                    <xdr:row>140</xdr:row>
                    <xdr:rowOff>30480</xdr:rowOff>
                  </from>
                  <to>
                    <xdr:col>11</xdr:col>
                    <xdr:colOff>1866900</xdr:colOff>
                    <xdr:row>140</xdr:row>
                    <xdr:rowOff>297180</xdr:rowOff>
                  </to>
                </anchor>
              </controlPr>
            </control>
          </mc:Choice>
        </mc:AlternateContent>
        <mc:AlternateContent xmlns:mc="http://schemas.openxmlformats.org/markup-compatibility/2006">
          <mc:Choice Requires="x14">
            <control shapeId="3427" r:id="rId205" name="Check Box 355">
              <controlPr defaultSize="0" autoFill="0" autoLine="0" autoPict="0">
                <anchor moveWithCells="1">
                  <from>
                    <xdr:col>11</xdr:col>
                    <xdr:colOff>0</xdr:colOff>
                    <xdr:row>160</xdr:row>
                    <xdr:rowOff>266700</xdr:rowOff>
                  </from>
                  <to>
                    <xdr:col>11</xdr:col>
                    <xdr:colOff>1866900</xdr:colOff>
                    <xdr:row>161</xdr:row>
                    <xdr:rowOff>182880</xdr:rowOff>
                  </to>
                </anchor>
              </controlPr>
            </control>
          </mc:Choice>
        </mc:AlternateContent>
        <mc:AlternateContent xmlns:mc="http://schemas.openxmlformats.org/markup-compatibility/2006">
          <mc:Choice Requires="x14">
            <control shapeId="3428" r:id="rId206" name="Check Box 356">
              <controlPr defaultSize="0" autoFill="0" autoLine="0" autoPict="0">
                <anchor moveWithCells="1">
                  <from>
                    <xdr:col>11</xdr:col>
                    <xdr:colOff>0</xdr:colOff>
                    <xdr:row>161</xdr:row>
                    <xdr:rowOff>144780</xdr:rowOff>
                  </from>
                  <to>
                    <xdr:col>11</xdr:col>
                    <xdr:colOff>1866900</xdr:colOff>
                    <xdr:row>162</xdr:row>
                    <xdr:rowOff>30480</xdr:rowOff>
                  </to>
                </anchor>
              </controlPr>
            </control>
          </mc:Choice>
        </mc:AlternateContent>
        <mc:AlternateContent xmlns:mc="http://schemas.openxmlformats.org/markup-compatibility/2006">
          <mc:Choice Requires="x14">
            <control shapeId="3429" r:id="rId207" name="Check Box 357">
              <controlPr defaultSize="0" autoFill="0" autoLine="0" autoPict="0">
                <anchor moveWithCells="1">
                  <from>
                    <xdr:col>11</xdr:col>
                    <xdr:colOff>0</xdr:colOff>
                    <xdr:row>160</xdr:row>
                    <xdr:rowOff>30480</xdr:rowOff>
                  </from>
                  <to>
                    <xdr:col>11</xdr:col>
                    <xdr:colOff>1866900</xdr:colOff>
                    <xdr:row>160</xdr:row>
                    <xdr:rowOff>297180</xdr:rowOff>
                  </to>
                </anchor>
              </controlPr>
            </control>
          </mc:Choice>
        </mc:AlternateContent>
        <mc:AlternateContent xmlns:mc="http://schemas.openxmlformats.org/markup-compatibility/2006">
          <mc:Choice Requires="x14">
            <control shapeId="3430" r:id="rId208" name="Check Box 358">
              <controlPr defaultSize="0" autoFill="0" autoLine="0" autoPict="0">
                <anchor moveWithCells="1">
                  <from>
                    <xdr:col>11</xdr:col>
                    <xdr:colOff>0</xdr:colOff>
                    <xdr:row>162</xdr:row>
                    <xdr:rowOff>266700</xdr:rowOff>
                  </from>
                  <to>
                    <xdr:col>11</xdr:col>
                    <xdr:colOff>1866900</xdr:colOff>
                    <xdr:row>163</xdr:row>
                    <xdr:rowOff>182880</xdr:rowOff>
                  </to>
                </anchor>
              </controlPr>
            </control>
          </mc:Choice>
        </mc:AlternateContent>
        <mc:AlternateContent xmlns:mc="http://schemas.openxmlformats.org/markup-compatibility/2006">
          <mc:Choice Requires="x14">
            <control shapeId="3431" r:id="rId209" name="Check Box 359">
              <controlPr defaultSize="0" autoFill="0" autoLine="0" autoPict="0">
                <anchor moveWithCells="1">
                  <from>
                    <xdr:col>11</xdr:col>
                    <xdr:colOff>0</xdr:colOff>
                    <xdr:row>163</xdr:row>
                    <xdr:rowOff>144780</xdr:rowOff>
                  </from>
                  <to>
                    <xdr:col>11</xdr:col>
                    <xdr:colOff>1866900</xdr:colOff>
                    <xdr:row>164</xdr:row>
                    <xdr:rowOff>7620</xdr:rowOff>
                  </to>
                </anchor>
              </controlPr>
            </control>
          </mc:Choice>
        </mc:AlternateContent>
        <mc:AlternateContent xmlns:mc="http://schemas.openxmlformats.org/markup-compatibility/2006">
          <mc:Choice Requires="x14">
            <control shapeId="3432" r:id="rId210" name="Check Box 360">
              <controlPr defaultSize="0" autoFill="0" autoLine="0" autoPict="0">
                <anchor moveWithCells="1">
                  <from>
                    <xdr:col>11</xdr:col>
                    <xdr:colOff>0</xdr:colOff>
                    <xdr:row>162</xdr:row>
                    <xdr:rowOff>30480</xdr:rowOff>
                  </from>
                  <to>
                    <xdr:col>11</xdr:col>
                    <xdr:colOff>1866900</xdr:colOff>
                    <xdr:row>162</xdr:row>
                    <xdr:rowOff>297180</xdr:rowOff>
                  </to>
                </anchor>
              </controlPr>
            </control>
          </mc:Choice>
        </mc:AlternateContent>
        <mc:AlternateContent xmlns:mc="http://schemas.openxmlformats.org/markup-compatibility/2006">
          <mc:Choice Requires="x14">
            <control shapeId="3433" r:id="rId211" name="Check Box 361">
              <controlPr defaultSize="0" autoFill="0" autoLine="0" autoPict="0">
                <anchor moveWithCells="1">
                  <from>
                    <xdr:col>11</xdr:col>
                    <xdr:colOff>0</xdr:colOff>
                    <xdr:row>146</xdr:row>
                    <xdr:rowOff>266700</xdr:rowOff>
                  </from>
                  <to>
                    <xdr:col>11</xdr:col>
                    <xdr:colOff>1760220</xdr:colOff>
                    <xdr:row>147</xdr:row>
                    <xdr:rowOff>83820</xdr:rowOff>
                  </to>
                </anchor>
              </controlPr>
            </control>
          </mc:Choice>
        </mc:AlternateContent>
        <mc:AlternateContent xmlns:mc="http://schemas.openxmlformats.org/markup-compatibility/2006">
          <mc:Choice Requires="x14">
            <control shapeId="3434" r:id="rId212" name="Check Box 362">
              <controlPr defaultSize="0" autoFill="0" autoLine="0" autoPict="0">
                <anchor moveWithCells="1">
                  <from>
                    <xdr:col>11</xdr:col>
                    <xdr:colOff>0</xdr:colOff>
                    <xdr:row>147</xdr:row>
                    <xdr:rowOff>106680</xdr:rowOff>
                  </from>
                  <to>
                    <xdr:col>11</xdr:col>
                    <xdr:colOff>1760220</xdr:colOff>
                    <xdr:row>147</xdr:row>
                    <xdr:rowOff>342900</xdr:rowOff>
                  </to>
                </anchor>
              </controlPr>
            </control>
          </mc:Choice>
        </mc:AlternateContent>
        <mc:AlternateContent xmlns:mc="http://schemas.openxmlformats.org/markup-compatibility/2006">
          <mc:Choice Requires="x14">
            <control shapeId="3435" r:id="rId213" name="Check Box 363">
              <controlPr defaultSize="0" autoFill="0" autoLine="0" autoPict="0">
                <anchor moveWithCells="1">
                  <from>
                    <xdr:col>11</xdr:col>
                    <xdr:colOff>0</xdr:colOff>
                    <xdr:row>146</xdr:row>
                    <xdr:rowOff>30480</xdr:rowOff>
                  </from>
                  <to>
                    <xdr:col>11</xdr:col>
                    <xdr:colOff>1760220</xdr:colOff>
                    <xdr:row>146</xdr:row>
                    <xdr:rowOff>297180</xdr:rowOff>
                  </to>
                </anchor>
              </controlPr>
            </control>
          </mc:Choice>
        </mc:AlternateContent>
        <mc:AlternateContent xmlns:mc="http://schemas.openxmlformats.org/markup-compatibility/2006">
          <mc:Choice Requires="x14">
            <control shapeId="3436" r:id="rId214" name="Check Box 364">
              <controlPr defaultSize="0" autoFill="0" autoLine="0" autoPict="0">
                <anchor moveWithCells="1">
                  <from>
                    <xdr:col>11</xdr:col>
                    <xdr:colOff>0</xdr:colOff>
                    <xdr:row>148</xdr:row>
                    <xdr:rowOff>266700</xdr:rowOff>
                  </from>
                  <to>
                    <xdr:col>11</xdr:col>
                    <xdr:colOff>1760220</xdr:colOff>
                    <xdr:row>149</xdr:row>
                    <xdr:rowOff>182880</xdr:rowOff>
                  </to>
                </anchor>
              </controlPr>
            </control>
          </mc:Choice>
        </mc:AlternateContent>
        <mc:AlternateContent xmlns:mc="http://schemas.openxmlformats.org/markup-compatibility/2006">
          <mc:Choice Requires="x14">
            <control shapeId="3437" r:id="rId215" name="Check Box 365">
              <controlPr defaultSize="0" autoFill="0" autoLine="0" autoPict="0">
                <anchor moveWithCells="1">
                  <from>
                    <xdr:col>11</xdr:col>
                    <xdr:colOff>0</xdr:colOff>
                    <xdr:row>149</xdr:row>
                    <xdr:rowOff>144780</xdr:rowOff>
                  </from>
                  <to>
                    <xdr:col>11</xdr:col>
                    <xdr:colOff>1760220</xdr:colOff>
                    <xdr:row>150</xdr:row>
                    <xdr:rowOff>30480</xdr:rowOff>
                  </to>
                </anchor>
              </controlPr>
            </control>
          </mc:Choice>
        </mc:AlternateContent>
        <mc:AlternateContent xmlns:mc="http://schemas.openxmlformats.org/markup-compatibility/2006">
          <mc:Choice Requires="x14">
            <control shapeId="3438" r:id="rId216" name="Check Box 366">
              <controlPr defaultSize="0" autoFill="0" autoLine="0" autoPict="0">
                <anchor moveWithCells="1">
                  <from>
                    <xdr:col>11</xdr:col>
                    <xdr:colOff>0</xdr:colOff>
                    <xdr:row>148</xdr:row>
                    <xdr:rowOff>30480</xdr:rowOff>
                  </from>
                  <to>
                    <xdr:col>11</xdr:col>
                    <xdr:colOff>1760220</xdr:colOff>
                    <xdr:row>148</xdr:row>
                    <xdr:rowOff>297180</xdr:rowOff>
                  </to>
                </anchor>
              </controlPr>
            </control>
          </mc:Choice>
        </mc:AlternateContent>
        <mc:AlternateContent xmlns:mc="http://schemas.openxmlformats.org/markup-compatibility/2006">
          <mc:Choice Requires="x14">
            <control shapeId="3439" r:id="rId217" name="Check Box 367">
              <controlPr defaultSize="0" autoFill="0" autoLine="0" autoPict="0">
                <anchor moveWithCells="1">
                  <from>
                    <xdr:col>11</xdr:col>
                    <xdr:colOff>0</xdr:colOff>
                    <xdr:row>150</xdr:row>
                    <xdr:rowOff>266700</xdr:rowOff>
                  </from>
                  <to>
                    <xdr:col>11</xdr:col>
                    <xdr:colOff>1760220</xdr:colOff>
                    <xdr:row>151</xdr:row>
                    <xdr:rowOff>182880</xdr:rowOff>
                  </to>
                </anchor>
              </controlPr>
            </control>
          </mc:Choice>
        </mc:AlternateContent>
        <mc:AlternateContent xmlns:mc="http://schemas.openxmlformats.org/markup-compatibility/2006">
          <mc:Choice Requires="x14">
            <control shapeId="3440" r:id="rId218" name="Check Box 368">
              <controlPr defaultSize="0" autoFill="0" autoLine="0" autoPict="0">
                <anchor moveWithCells="1">
                  <from>
                    <xdr:col>11</xdr:col>
                    <xdr:colOff>0</xdr:colOff>
                    <xdr:row>151</xdr:row>
                    <xdr:rowOff>144780</xdr:rowOff>
                  </from>
                  <to>
                    <xdr:col>11</xdr:col>
                    <xdr:colOff>1760220</xdr:colOff>
                    <xdr:row>152</xdr:row>
                    <xdr:rowOff>30480</xdr:rowOff>
                  </to>
                </anchor>
              </controlPr>
            </control>
          </mc:Choice>
        </mc:AlternateContent>
        <mc:AlternateContent xmlns:mc="http://schemas.openxmlformats.org/markup-compatibility/2006">
          <mc:Choice Requires="x14">
            <control shapeId="3441" r:id="rId219" name="Check Box 369">
              <controlPr defaultSize="0" autoFill="0" autoLine="0" autoPict="0">
                <anchor moveWithCells="1">
                  <from>
                    <xdr:col>11</xdr:col>
                    <xdr:colOff>0</xdr:colOff>
                    <xdr:row>150</xdr:row>
                    <xdr:rowOff>30480</xdr:rowOff>
                  </from>
                  <to>
                    <xdr:col>11</xdr:col>
                    <xdr:colOff>1760220</xdr:colOff>
                    <xdr:row>150</xdr:row>
                    <xdr:rowOff>297180</xdr:rowOff>
                  </to>
                </anchor>
              </controlPr>
            </control>
          </mc:Choice>
        </mc:AlternateContent>
        <mc:AlternateContent xmlns:mc="http://schemas.openxmlformats.org/markup-compatibility/2006">
          <mc:Choice Requires="x14">
            <control shapeId="3442" r:id="rId220" name="Check Box 370">
              <controlPr defaultSize="0" autoFill="0" autoLine="0" autoPict="0">
                <anchor moveWithCells="1">
                  <from>
                    <xdr:col>11</xdr:col>
                    <xdr:colOff>0</xdr:colOff>
                    <xdr:row>152</xdr:row>
                    <xdr:rowOff>266700</xdr:rowOff>
                  </from>
                  <to>
                    <xdr:col>11</xdr:col>
                    <xdr:colOff>1760220</xdr:colOff>
                    <xdr:row>153</xdr:row>
                    <xdr:rowOff>182880</xdr:rowOff>
                  </to>
                </anchor>
              </controlPr>
            </control>
          </mc:Choice>
        </mc:AlternateContent>
        <mc:AlternateContent xmlns:mc="http://schemas.openxmlformats.org/markup-compatibility/2006">
          <mc:Choice Requires="x14">
            <control shapeId="3443" r:id="rId221" name="Check Box 371">
              <controlPr defaultSize="0" autoFill="0" autoLine="0" autoPict="0">
                <anchor moveWithCells="1">
                  <from>
                    <xdr:col>11</xdr:col>
                    <xdr:colOff>0</xdr:colOff>
                    <xdr:row>153</xdr:row>
                    <xdr:rowOff>144780</xdr:rowOff>
                  </from>
                  <to>
                    <xdr:col>11</xdr:col>
                    <xdr:colOff>1760220</xdr:colOff>
                    <xdr:row>154</xdr:row>
                    <xdr:rowOff>30480</xdr:rowOff>
                  </to>
                </anchor>
              </controlPr>
            </control>
          </mc:Choice>
        </mc:AlternateContent>
        <mc:AlternateContent xmlns:mc="http://schemas.openxmlformats.org/markup-compatibility/2006">
          <mc:Choice Requires="x14">
            <control shapeId="3444" r:id="rId222" name="Check Box 372">
              <controlPr defaultSize="0" autoFill="0" autoLine="0" autoPict="0">
                <anchor moveWithCells="1">
                  <from>
                    <xdr:col>11</xdr:col>
                    <xdr:colOff>0</xdr:colOff>
                    <xdr:row>152</xdr:row>
                    <xdr:rowOff>30480</xdr:rowOff>
                  </from>
                  <to>
                    <xdr:col>11</xdr:col>
                    <xdr:colOff>1760220</xdr:colOff>
                    <xdr:row>152</xdr:row>
                    <xdr:rowOff>297180</xdr:rowOff>
                  </to>
                </anchor>
              </controlPr>
            </control>
          </mc:Choice>
        </mc:AlternateContent>
        <mc:AlternateContent xmlns:mc="http://schemas.openxmlformats.org/markup-compatibility/2006">
          <mc:Choice Requires="x14">
            <control shapeId="3445" r:id="rId223" name="Check Box 373">
              <controlPr defaultSize="0" autoFill="0" autoLine="0" autoPict="0">
                <anchor moveWithCells="1">
                  <from>
                    <xdr:col>11</xdr:col>
                    <xdr:colOff>0</xdr:colOff>
                    <xdr:row>154</xdr:row>
                    <xdr:rowOff>266700</xdr:rowOff>
                  </from>
                  <to>
                    <xdr:col>11</xdr:col>
                    <xdr:colOff>1760220</xdr:colOff>
                    <xdr:row>155</xdr:row>
                    <xdr:rowOff>190500</xdr:rowOff>
                  </to>
                </anchor>
              </controlPr>
            </control>
          </mc:Choice>
        </mc:AlternateContent>
        <mc:AlternateContent xmlns:mc="http://schemas.openxmlformats.org/markup-compatibility/2006">
          <mc:Choice Requires="x14">
            <control shapeId="3446" r:id="rId224" name="Check Box 374">
              <controlPr defaultSize="0" autoFill="0" autoLine="0" autoPict="0">
                <anchor moveWithCells="1">
                  <from>
                    <xdr:col>11</xdr:col>
                    <xdr:colOff>0</xdr:colOff>
                    <xdr:row>155</xdr:row>
                    <xdr:rowOff>144780</xdr:rowOff>
                  </from>
                  <to>
                    <xdr:col>11</xdr:col>
                    <xdr:colOff>1760220</xdr:colOff>
                    <xdr:row>156</xdr:row>
                    <xdr:rowOff>30480</xdr:rowOff>
                  </to>
                </anchor>
              </controlPr>
            </control>
          </mc:Choice>
        </mc:AlternateContent>
        <mc:AlternateContent xmlns:mc="http://schemas.openxmlformats.org/markup-compatibility/2006">
          <mc:Choice Requires="x14">
            <control shapeId="3447" r:id="rId225" name="Check Box 375">
              <controlPr defaultSize="0" autoFill="0" autoLine="0" autoPict="0">
                <anchor moveWithCells="1">
                  <from>
                    <xdr:col>11</xdr:col>
                    <xdr:colOff>0</xdr:colOff>
                    <xdr:row>154</xdr:row>
                    <xdr:rowOff>30480</xdr:rowOff>
                  </from>
                  <to>
                    <xdr:col>11</xdr:col>
                    <xdr:colOff>1760220</xdr:colOff>
                    <xdr:row>154</xdr:row>
                    <xdr:rowOff>297180</xdr:rowOff>
                  </to>
                </anchor>
              </controlPr>
            </control>
          </mc:Choice>
        </mc:AlternateContent>
        <mc:AlternateContent xmlns:mc="http://schemas.openxmlformats.org/markup-compatibility/2006">
          <mc:Choice Requires="x14">
            <control shapeId="3448" r:id="rId226" name="Check Box 376">
              <controlPr defaultSize="0" autoFill="0" autoLine="0" autoPict="0">
                <anchor moveWithCells="1">
                  <from>
                    <xdr:col>11</xdr:col>
                    <xdr:colOff>0</xdr:colOff>
                    <xdr:row>156</xdr:row>
                    <xdr:rowOff>266700</xdr:rowOff>
                  </from>
                  <to>
                    <xdr:col>11</xdr:col>
                    <xdr:colOff>1760220</xdr:colOff>
                    <xdr:row>157</xdr:row>
                    <xdr:rowOff>190500</xdr:rowOff>
                  </to>
                </anchor>
              </controlPr>
            </control>
          </mc:Choice>
        </mc:AlternateContent>
        <mc:AlternateContent xmlns:mc="http://schemas.openxmlformats.org/markup-compatibility/2006">
          <mc:Choice Requires="x14">
            <control shapeId="3449" r:id="rId227" name="Check Box 377">
              <controlPr defaultSize="0" autoFill="0" autoLine="0" autoPict="0">
                <anchor moveWithCells="1">
                  <from>
                    <xdr:col>11</xdr:col>
                    <xdr:colOff>0</xdr:colOff>
                    <xdr:row>157</xdr:row>
                    <xdr:rowOff>144780</xdr:rowOff>
                  </from>
                  <to>
                    <xdr:col>11</xdr:col>
                    <xdr:colOff>1760220</xdr:colOff>
                    <xdr:row>158</xdr:row>
                    <xdr:rowOff>30480</xdr:rowOff>
                  </to>
                </anchor>
              </controlPr>
            </control>
          </mc:Choice>
        </mc:AlternateContent>
        <mc:AlternateContent xmlns:mc="http://schemas.openxmlformats.org/markup-compatibility/2006">
          <mc:Choice Requires="x14">
            <control shapeId="3450" r:id="rId228" name="Check Box 378">
              <controlPr defaultSize="0" autoFill="0" autoLine="0" autoPict="0">
                <anchor moveWithCells="1">
                  <from>
                    <xdr:col>11</xdr:col>
                    <xdr:colOff>0</xdr:colOff>
                    <xdr:row>156</xdr:row>
                    <xdr:rowOff>30480</xdr:rowOff>
                  </from>
                  <to>
                    <xdr:col>11</xdr:col>
                    <xdr:colOff>1760220</xdr:colOff>
                    <xdr:row>157</xdr:row>
                    <xdr:rowOff>0</xdr:rowOff>
                  </to>
                </anchor>
              </controlPr>
            </control>
          </mc:Choice>
        </mc:AlternateContent>
        <mc:AlternateContent xmlns:mc="http://schemas.openxmlformats.org/markup-compatibility/2006">
          <mc:Choice Requires="x14">
            <control shapeId="3451" r:id="rId229" name="Check Box 379">
              <controlPr defaultSize="0" autoFill="0" autoLine="0" autoPict="0">
                <anchor moveWithCells="1">
                  <from>
                    <xdr:col>11</xdr:col>
                    <xdr:colOff>0</xdr:colOff>
                    <xdr:row>158</xdr:row>
                    <xdr:rowOff>266700</xdr:rowOff>
                  </from>
                  <to>
                    <xdr:col>11</xdr:col>
                    <xdr:colOff>1760220</xdr:colOff>
                    <xdr:row>159</xdr:row>
                    <xdr:rowOff>220980</xdr:rowOff>
                  </to>
                </anchor>
              </controlPr>
            </control>
          </mc:Choice>
        </mc:AlternateContent>
        <mc:AlternateContent xmlns:mc="http://schemas.openxmlformats.org/markup-compatibility/2006">
          <mc:Choice Requires="x14">
            <control shapeId="3452" r:id="rId230" name="Check Box 380">
              <controlPr defaultSize="0" autoFill="0" autoLine="0" autoPict="0">
                <anchor moveWithCells="1">
                  <from>
                    <xdr:col>11</xdr:col>
                    <xdr:colOff>0</xdr:colOff>
                    <xdr:row>159</xdr:row>
                    <xdr:rowOff>144780</xdr:rowOff>
                  </from>
                  <to>
                    <xdr:col>11</xdr:col>
                    <xdr:colOff>1760220</xdr:colOff>
                    <xdr:row>160</xdr:row>
                    <xdr:rowOff>30480</xdr:rowOff>
                  </to>
                </anchor>
              </controlPr>
            </control>
          </mc:Choice>
        </mc:AlternateContent>
        <mc:AlternateContent xmlns:mc="http://schemas.openxmlformats.org/markup-compatibility/2006">
          <mc:Choice Requires="x14">
            <control shapeId="3453" r:id="rId231" name="Check Box 381">
              <controlPr defaultSize="0" autoFill="0" autoLine="0" autoPict="0">
                <anchor moveWithCells="1">
                  <from>
                    <xdr:col>11</xdr:col>
                    <xdr:colOff>0</xdr:colOff>
                    <xdr:row>158</xdr:row>
                    <xdr:rowOff>30480</xdr:rowOff>
                  </from>
                  <to>
                    <xdr:col>11</xdr:col>
                    <xdr:colOff>1760220</xdr:colOff>
                    <xdr:row>158</xdr:row>
                    <xdr:rowOff>297180</xdr:rowOff>
                  </to>
                </anchor>
              </controlPr>
            </control>
          </mc:Choice>
        </mc:AlternateContent>
        <mc:AlternateContent xmlns:mc="http://schemas.openxmlformats.org/markup-compatibility/2006">
          <mc:Choice Requires="x14">
            <control shapeId="3454" r:id="rId232" name="Check Box 382">
              <controlPr defaultSize="0" autoFill="0" autoLine="0" autoPict="0">
                <anchor moveWithCells="1">
                  <from>
                    <xdr:col>11</xdr:col>
                    <xdr:colOff>0</xdr:colOff>
                    <xdr:row>166</xdr:row>
                    <xdr:rowOff>266700</xdr:rowOff>
                  </from>
                  <to>
                    <xdr:col>11</xdr:col>
                    <xdr:colOff>1866900</xdr:colOff>
                    <xdr:row>167</xdr:row>
                    <xdr:rowOff>220980</xdr:rowOff>
                  </to>
                </anchor>
              </controlPr>
            </control>
          </mc:Choice>
        </mc:AlternateContent>
        <mc:AlternateContent xmlns:mc="http://schemas.openxmlformats.org/markup-compatibility/2006">
          <mc:Choice Requires="x14">
            <control shapeId="3455" r:id="rId233" name="Check Box 383">
              <controlPr defaultSize="0" autoFill="0" autoLine="0" autoPict="0">
                <anchor moveWithCells="1">
                  <from>
                    <xdr:col>11</xdr:col>
                    <xdr:colOff>0</xdr:colOff>
                    <xdr:row>167</xdr:row>
                    <xdr:rowOff>144780</xdr:rowOff>
                  </from>
                  <to>
                    <xdr:col>11</xdr:col>
                    <xdr:colOff>1866900</xdr:colOff>
                    <xdr:row>168</xdr:row>
                    <xdr:rowOff>7620</xdr:rowOff>
                  </to>
                </anchor>
              </controlPr>
            </control>
          </mc:Choice>
        </mc:AlternateContent>
        <mc:AlternateContent xmlns:mc="http://schemas.openxmlformats.org/markup-compatibility/2006">
          <mc:Choice Requires="x14">
            <control shapeId="3456" r:id="rId234" name="Check Box 384">
              <controlPr defaultSize="0" autoFill="0" autoLine="0" autoPict="0">
                <anchor moveWithCells="1">
                  <from>
                    <xdr:col>11</xdr:col>
                    <xdr:colOff>0</xdr:colOff>
                    <xdr:row>166</xdr:row>
                    <xdr:rowOff>30480</xdr:rowOff>
                  </from>
                  <to>
                    <xdr:col>11</xdr:col>
                    <xdr:colOff>1866900</xdr:colOff>
                    <xdr:row>166</xdr:row>
                    <xdr:rowOff>342900</xdr:rowOff>
                  </to>
                </anchor>
              </controlPr>
            </control>
          </mc:Choice>
        </mc:AlternateContent>
        <mc:AlternateContent xmlns:mc="http://schemas.openxmlformats.org/markup-compatibility/2006">
          <mc:Choice Requires="x14">
            <control shapeId="3457" r:id="rId235" name="Check Box 385">
              <controlPr defaultSize="0" autoFill="0" autoLine="0" autoPict="0">
                <anchor moveWithCells="1">
                  <from>
                    <xdr:col>11</xdr:col>
                    <xdr:colOff>0</xdr:colOff>
                    <xdr:row>164</xdr:row>
                    <xdr:rowOff>266700</xdr:rowOff>
                  </from>
                  <to>
                    <xdr:col>11</xdr:col>
                    <xdr:colOff>1866900</xdr:colOff>
                    <xdr:row>165</xdr:row>
                    <xdr:rowOff>190500</xdr:rowOff>
                  </to>
                </anchor>
              </controlPr>
            </control>
          </mc:Choice>
        </mc:AlternateContent>
        <mc:AlternateContent xmlns:mc="http://schemas.openxmlformats.org/markup-compatibility/2006">
          <mc:Choice Requires="x14">
            <control shapeId="3458" r:id="rId236" name="Check Box 386">
              <controlPr defaultSize="0" autoFill="0" autoLine="0" autoPict="0">
                <anchor moveWithCells="1">
                  <from>
                    <xdr:col>11</xdr:col>
                    <xdr:colOff>0</xdr:colOff>
                    <xdr:row>165</xdr:row>
                    <xdr:rowOff>144780</xdr:rowOff>
                  </from>
                  <to>
                    <xdr:col>11</xdr:col>
                    <xdr:colOff>1866900</xdr:colOff>
                    <xdr:row>166</xdr:row>
                    <xdr:rowOff>7620</xdr:rowOff>
                  </to>
                </anchor>
              </controlPr>
            </control>
          </mc:Choice>
        </mc:AlternateContent>
        <mc:AlternateContent xmlns:mc="http://schemas.openxmlformats.org/markup-compatibility/2006">
          <mc:Choice Requires="x14">
            <control shapeId="3459" r:id="rId237" name="Check Box 387">
              <controlPr defaultSize="0" autoFill="0" autoLine="0" autoPict="0">
                <anchor moveWithCells="1">
                  <from>
                    <xdr:col>11</xdr:col>
                    <xdr:colOff>0</xdr:colOff>
                    <xdr:row>164</xdr:row>
                    <xdr:rowOff>30480</xdr:rowOff>
                  </from>
                  <to>
                    <xdr:col>11</xdr:col>
                    <xdr:colOff>1866900</xdr:colOff>
                    <xdr:row>164</xdr:row>
                    <xdr:rowOff>297180</xdr:rowOff>
                  </to>
                </anchor>
              </controlPr>
            </control>
          </mc:Choice>
        </mc:AlternateContent>
        <mc:AlternateContent xmlns:mc="http://schemas.openxmlformats.org/markup-compatibility/2006">
          <mc:Choice Requires="x14">
            <control shapeId="3465" r:id="rId238" name="Check Box 393">
              <controlPr defaultSize="0" autoFill="0" autoLine="0" autoPict="0">
                <anchor moveWithCells="1">
                  <from>
                    <xdr:col>11</xdr:col>
                    <xdr:colOff>0</xdr:colOff>
                    <xdr:row>168</xdr:row>
                    <xdr:rowOff>266700</xdr:rowOff>
                  </from>
                  <to>
                    <xdr:col>11</xdr:col>
                    <xdr:colOff>1866900</xdr:colOff>
                    <xdr:row>169</xdr:row>
                    <xdr:rowOff>220980</xdr:rowOff>
                  </to>
                </anchor>
              </controlPr>
            </control>
          </mc:Choice>
        </mc:AlternateContent>
        <mc:AlternateContent xmlns:mc="http://schemas.openxmlformats.org/markup-compatibility/2006">
          <mc:Choice Requires="x14">
            <control shapeId="3466" r:id="rId239" name="Check Box 394">
              <controlPr defaultSize="0" autoFill="0" autoLine="0" autoPict="0">
                <anchor moveWithCells="1">
                  <from>
                    <xdr:col>11</xdr:col>
                    <xdr:colOff>0</xdr:colOff>
                    <xdr:row>169</xdr:row>
                    <xdr:rowOff>144780</xdr:rowOff>
                  </from>
                  <to>
                    <xdr:col>11</xdr:col>
                    <xdr:colOff>1866900</xdr:colOff>
                    <xdr:row>170</xdr:row>
                    <xdr:rowOff>7620</xdr:rowOff>
                  </to>
                </anchor>
              </controlPr>
            </control>
          </mc:Choice>
        </mc:AlternateContent>
        <mc:AlternateContent xmlns:mc="http://schemas.openxmlformats.org/markup-compatibility/2006">
          <mc:Choice Requires="x14">
            <control shapeId="3467" r:id="rId240" name="Check Box 395">
              <controlPr defaultSize="0" autoFill="0" autoLine="0" autoPict="0">
                <anchor moveWithCells="1">
                  <from>
                    <xdr:col>11</xdr:col>
                    <xdr:colOff>0</xdr:colOff>
                    <xdr:row>168</xdr:row>
                    <xdr:rowOff>30480</xdr:rowOff>
                  </from>
                  <to>
                    <xdr:col>11</xdr:col>
                    <xdr:colOff>1866900</xdr:colOff>
                    <xdr:row>168</xdr:row>
                    <xdr:rowOff>297180</xdr:rowOff>
                  </to>
                </anchor>
              </controlPr>
            </control>
          </mc:Choice>
        </mc:AlternateContent>
        <mc:AlternateContent xmlns:mc="http://schemas.openxmlformats.org/markup-compatibility/2006">
          <mc:Choice Requires="x14">
            <control shapeId="3468" r:id="rId241" name="Check Box 396">
              <controlPr defaultSize="0" autoFill="0" autoLine="0" autoPict="0">
                <anchor moveWithCells="1">
                  <from>
                    <xdr:col>11</xdr:col>
                    <xdr:colOff>0</xdr:colOff>
                    <xdr:row>170</xdr:row>
                    <xdr:rowOff>266700</xdr:rowOff>
                  </from>
                  <to>
                    <xdr:col>11</xdr:col>
                    <xdr:colOff>1866900</xdr:colOff>
                    <xdr:row>171</xdr:row>
                    <xdr:rowOff>220980</xdr:rowOff>
                  </to>
                </anchor>
              </controlPr>
            </control>
          </mc:Choice>
        </mc:AlternateContent>
        <mc:AlternateContent xmlns:mc="http://schemas.openxmlformats.org/markup-compatibility/2006">
          <mc:Choice Requires="x14">
            <control shapeId="3469" r:id="rId242" name="Check Box 397">
              <controlPr defaultSize="0" autoFill="0" autoLine="0" autoPict="0">
                <anchor moveWithCells="1">
                  <from>
                    <xdr:col>11</xdr:col>
                    <xdr:colOff>0</xdr:colOff>
                    <xdr:row>171</xdr:row>
                    <xdr:rowOff>144780</xdr:rowOff>
                  </from>
                  <to>
                    <xdr:col>11</xdr:col>
                    <xdr:colOff>1866900</xdr:colOff>
                    <xdr:row>172</xdr:row>
                    <xdr:rowOff>7620</xdr:rowOff>
                  </to>
                </anchor>
              </controlPr>
            </control>
          </mc:Choice>
        </mc:AlternateContent>
        <mc:AlternateContent xmlns:mc="http://schemas.openxmlformats.org/markup-compatibility/2006">
          <mc:Choice Requires="x14">
            <control shapeId="3470" r:id="rId243" name="Check Box 398">
              <controlPr defaultSize="0" autoFill="0" autoLine="0" autoPict="0">
                <anchor moveWithCells="1">
                  <from>
                    <xdr:col>11</xdr:col>
                    <xdr:colOff>0</xdr:colOff>
                    <xdr:row>170</xdr:row>
                    <xdr:rowOff>30480</xdr:rowOff>
                  </from>
                  <to>
                    <xdr:col>11</xdr:col>
                    <xdr:colOff>1866900</xdr:colOff>
                    <xdr:row>170</xdr:row>
                    <xdr:rowOff>297180</xdr:rowOff>
                  </to>
                </anchor>
              </controlPr>
            </control>
          </mc:Choice>
        </mc:AlternateContent>
        <mc:AlternateContent xmlns:mc="http://schemas.openxmlformats.org/markup-compatibility/2006">
          <mc:Choice Requires="x14">
            <control shapeId="3471" r:id="rId244" name="Check Box 399">
              <controlPr defaultSize="0" autoFill="0" autoLine="0" autoPict="0">
                <anchor moveWithCells="1">
                  <from>
                    <xdr:col>11</xdr:col>
                    <xdr:colOff>0</xdr:colOff>
                    <xdr:row>172</xdr:row>
                    <xdr:rowOff>266700</xdr:rowOff>
                  </from>
                  <to>
                    <xdr:col>11</xdr:col>
                    <xdr:colOff>1866900</xdr:colOff>
                    <xdr:row>173</xdr:row>
                    <xdr:rowOff>220980</xdr:rowOff>
                  </to>
                </anchor>
              </controlPr>
            </control>
          </mc:Choice>
        </mc:AlternateContent>
        <mc:AlternateContent xmlns:mc="http://schemas.openxmlformats.org/markup-compatibility/2006">
          <mc:Choice Requires="x14">
            <control shapeId="3472" r:id="rId245" name="Check Box 400">
              <controlPr defaultSize="0" autoFill="0" autoLine="0" autoPict="0">
                <anchor moveWithCells="1">
                  <from>
                    <xdr:col>11</xdr:col>
                    <xdr:colOff>0</xdr:colOff>
                    <xdr:row>173</xdr:row>
                    <xdr:rowOff>144780</xdr:rowOff>
                  </from>
                  <to>
                    <xdr:col>11</xdr:col>
                    <xdr:colOff>1866900</xdr:colOff>
                    <xdr:row>174</xdr:row>
                    <xdr:rowOff>7620</xdr:rowOff>
                  </to>
                </anchor>
              </controlPr>
            </control>
          </mc:Choice>
        </mc:AlternateContent>
        <mc:AlternateContent xmlns:mc="http://schemas.openxmlformats.org/markup-compatibility/2006">
          <mc:Choice Requires="x14">
            <control shapeId="3473" r:id="rId246" name="Check Box 401">
              <controlPr defaultSize="0" autoFill="0" autoLine="0" autoPict="0">
                <anchor moveWithCells="1">
                  <from>
                    <xdr:col>11</xdr:col>
                    <xdr:colOff>0</xdr:colOff>
                    <xdr:row>172</xdr:row>
                    <xdr:rowOff>30480</xdr:rowOff>
                  </from>
                  <to>
                    <xdr:col>11</xdr:col>
                    <xdr:colOff>1866900</xdr:colOff>
                    <xdr:row>172</xdr:row>
                    <xdr:rowOff>297180</xdr:rowOff>
                  </to>
                </anchor>
              </controlPr>
            </control>
          </mc:Choice>
        </mc:AlternateContent>
        <mc:AlternateContent xmlns:mc="http://schemas.openxmlformats.org/markup-compatibility/2006">
          <mc:Choice Requires="x14">
            <control shapeId="3474" r:id="rId247" name="Check Box 402">
              <controlPr defaultSize="0" autoFill="0" autoLine="0" autoPict="0">
                <anchor moveWithCells="1">
                  <from>
                    <xdr:col>11</xdr:col>
                    <xdr:colOff>0</xdr:colOff>
                    <xdr:row>174</xdr:row>
                    <xdr:rowOff>266700</xdr:rowOff>
                  </from>
                  <to>
                    <xdr:col>11</xdr:col>
                    <xdr:colOff>1866900</xdr:colOff>
                    <xdr:row>175</xdr:row>
                    <xdr:rowOff>220980</xdr:rowOff>
                  </to>
                </anchor>
              </controlPr>
            </control>
          </mc:Choice>
        </mc:AlternateContent>
        <mc:AlternateContent xmlns:mc="http://schemas.openxmlformats.org/markup-compatibility/2006">
          <mc:Choice Requires="x14">
            <control shapeId="3475" r:id="rId248" name="Check Box 403">
              <controlPr defaultSize="0" autoFill="0" autoLine="0" autoPict="0">
                <anchor moveWithCells="1">
                  <from>
                    <xdr:col>11</xdr:col>
                    <xdr:colOff>0</xdr:colOff>
                    <xdr:row>175</xdr:row>
                    <xdr:rowOff>144780</xdr:rowOff>
                  </from>
                  <to>
                    <xdr:col>11</xdr:col>
                    <xdr:colOff>1866900</xdr:colOff>
                    <xdr:row>176</xdr:row>
                    <xdr:rowOff>7620</xdr:rowOff>
                  </to>
                </anchor>
              </controlPr>
            </control>
          </mc:Choice>
        </mc:AlternateContent>
        <mc:AlternateContent xmlns:mc="http://schemas.openxmlformats.org/markup-compatibility/2006">
          <mc:Choice Requires="x14">
            <control shapeId="3476" r:id="rId249" name="Check Box 404">
              <controlPr defaultSize="0" autoFill="0" autoLine="0" autoPict="0">
                <anchor moveWithCells="1">
                  <from>
                    <xdr:col>11</xdr:col>
                    <xdr:colOff>0</xdr:colOff>
                    <xdr:row>174</xdr:row>
                    <xdr:rowOff>30480</xdr:rowOff>
                  </from>
                  <to>
                    <xdr:col>11</xdr:col>
                    <xdr:colOff>1866900</xdr:colOff>
                    <xdr:row>174</xdr:row>
                    <xdr:rowOff>297180</xdr:rowOff>
                  </to>
                </anchor>
              </controlPr>
            </control>
          </mc:Choice>
        </mc:AlternateContent>
        <mc:AlternateContent xmlns:mc="http://schemas.openxmlformats.org/markup-compatibility/2006">
          <mc:Choice Requires="x14">
            <control shapeId="3506" r:id="rId250" name="Check Box 434">
              <controlPr defaultSize="0" autoFill="0" autoLine="0" autoPict="0">
                <anchor moveWithCells="1">
                  <from>
                    <xdr:col>11</xdr:col>
                    <xdr:colOff>0</xdr:colOff>
                    <xdr:row>136</xdr:row>
                    <xdr:rowOff>266700</xdr:rowOff>
                  </from>
                  <to>
                    <xdr:col>11</xdr:col>
                    <xdr:colOff>1866900</xdr:colOff>
                    <xdr:row>137</xdr:row>
                    <xdr:rowOff>190500</xdr:rowOff>
                  </to>
                </anchor>
              </controlPr>
            </control>
          </mc:Choice>
        </mc:AlternateContent>
        <mc:AlternateContent xmlns:mc="http://schemas.openxmlformats.org/markup-compatibility/2006">
          <mc:Choice Requires="x14">
            <control shapeId="3507" r:id="rId251" name="Check Box 435">
              <controlPr defaultSize="0" autoFill="0" autoLine="0" autoPict="0">
                <anchor moveWithCells="1">
                  <from>
                    <xdr:col>11</xdr:col>
                    <xdr:colOff>0</xdr:colOff>
                    <xdr:row>137</xdr:row>
                    <xdr:rowOff>144780</xdr:rowOff>
                  </from>
                  <to>
                    <xdr:col>11</xdr:col>
                    <xdr:colOff>1866900</xdr:colOff>
                    <xdr:row>138</xdr:row>
                    <xdr:rowOff>30480</xdr:rowOff>
                  </to>
                </anchor>
              </controlPr>
            </control>
          </mc:Choice>
        </mc:AlternateContent>
        <mc:AlternateContent xmlns:mc="http://schemas.openxmlformats.org/markup-compatibility/2006">
          <mc:Choice Requires="x14">
            <control shapeId="3508" r:id="rId252" name="Check Box 436">
              <controlPr defaultSize="0" autoFill="0" autoLine="0" autoPict="0">
                <anchor moveWithCells="1">
                  <from>
                    <xdr:col>11</xdr:col>
                    <xdr:colOff>0</xdr:colOff>
                    <xdr:row>136</xdr:row>
                    <xdr:rowOff>30480</xdr:rowOff>
                  </from>
                  <to>
                    <xdr:col>11</xdr:col>
                    <xdr:colOff>1866900</xdr:colOff>
                    <xdr:row>136</xdr:row>
                    <xdr:rowOff>297180</xdr:rowOff>
                  </to>
                </anchor>
              </controlPr>
            </control>
          </mc:Choice>
        </mc:AlternateContent>
        <mc:AlternateContent xmlns:mc="http://schemas.openxmlformats.org/markup-compatibility/2006">
          <mc:Choice Requires="x14">
            <control shapeId="3531" r:id="rId253" name="Check Box 459">
              <controlPr defaultSize="0" autoFill="0" autoLine="0" autoPict="0">
                <anchor moveWithCells="1">
                  <from>
                    <xdr:col>11</xdr:col>
                    <xdr:colOff>0</xdr:colOff>
                    <xdr:row>138</xdr:row>
                    <xdr:rowOff>266700</xdr:rowOff>
                  </from>
                  <to>
                    <xdr:col>11</xdr:col>
                    <xdr:colOff>1866900</xdr:colOff>
                    <xdr:row>139</xdr:row>
                    <xdr:rowOff>190500</xdr:rowOff>
                  </to>
                </anchor>
              </controlPr>
            </control>
          </mc:Choice>
        </mc:AlternateContent>
        <mc:AlternateContent xmlns:mc="http://schemas.openxmlformats.org/markup-compatibility/2006">
          <mc:Choice Requires="x14">
            <control shapeId="3532" r:id="rId254" name="Check Box 460">
              <controlPr defaultSize="0" autoFill="0" autoLine="0" autoPict="0">
                <anchor moveWithCells="1">
                  <from>
                    <xdr:col>11</xdr:col>
                    <xdr:colOff>0</xdr:colOff>
                    <xdr:row>139</xdr:row>
                    <xdr:rowOff>144780</xdr:rowOff>
                  </from>
                  <to>
                    <xdr:col>11</xdr:col>
                    <xdr:colOff>1866900</xdr:colOff>
                    <xdr:row>140</xdr:row>
                    <xdr:rowOff>30480</xdr:rowOff>
                  </to>
                </anchor>
              </controlPr>
            </control>
          </mc:Choice>
        </mc:AlternateContent>
        <mc:AlternateContent xmlns:mc="http://schemas.openxmlformats.org/markup-compatibility/2006">
          <mc:Choice Requires="x14">
            <control shapeId="3533" r:id="rId255" name="Check Box 461">
              <controlPr defaultSize="0" autoFill="0" autoLine="0" autoPict="0">
                <anchor moveWithCells="1">
                  <from>
                    <xdr:col>11</xdr:col>
                    <xdr:colOff>0</xdr:colOff>
                    <xdr:row>138</xdr:row>
                    <xdr:rowOff>30480</xdr:rowOff>
                  </from>
                  <to>
                    <xdr:col>11</xdr:col>
                    <xdr:colOff>1866900</xdr:colOff>
                    <xdr:row>138</xdr:row>
                    <xdr:rowOff>297180</xdr:rowOff>
                  </to>
                </anchor>
              </controlPr>
            </control>
          </mc:Choice>
        </mc:AlternateContent>
        <mc:AlternateContent xmlns:mc="http://schemas.openxmlformats.org/markup-compatibility/2006">
          <mc:Choice Requires="x14">
            <control shapeId="3423" r:id="rId256" name="Check Box 351">
              <controlPr defaultSize="0" autoFill="0" autoLine="0" autoPict="0">
                <anchor moveWithCells="1">
                  <from>
                    <xdr:col>11</xdr:col>
                    <xdr:colOff>0</xdr:colOff>
                    <xdr:row>144</xdr:row>
                    <xdr:rowOff>266700</xdr:rowOff>
                  </from>
                  <to>
                    <xdr:col>11</xdr:col>
                    <xdr:colOff>1866900</xdr:colOff>
                    <xdr:row>145</xdr:row>
                    <xdr:rowOff>198120</xdr:rowOff>
                  </to>
                </anchor>
              </controlPr>
            </control>
          </mc:Choice>
        </mc:AlternateContent>
        <mc:AlternateContent xmlns:mc="http://schemas.openxmlformats.org/markup-compatibility/2006">
          <mc:Choice Requires="x14">
            <control shapeId="3424" r:id="rId257" name="Check Box 352">
              <controlPr defaultSize="0" autoFill="0" autoLine="0" autoPict="0">
                <anchor moveWithCells="1">
                  <from>
                    <xdr:col>11</xdr:col>
                    <xdr:colOff>0</xdr:colOff>
                    <xdr:row>145</xdr:row>
                    <xdr:rowOff>144780</xdr:rowOff>
                  </from>
                  <to>
                    <xdr:col>11</xdr:col>
                    <xdr:colOff>1866900</xdr:colOff>
                    <xdr:row>146</xdr:row>
                    <xdr:rowOff>30480</xdr:rowOff>
                  </to>
                </anchor>
              </controlPr>
            </control>
          </mc:Choice>
        </mc:AlternateContent>
        <mc:AlternateContent xmlns:mc="http://schemas.openxmlformats.org/markup-compatibility/2006">
          <mc:Choice Requires="x14">
            <control shapeId="3425" r:id="rId258" name="Check Box 353">
              <controlPr defaultSize="0" autoFill="0" autoLine="0" autoPict="0">
                <anchor moveWithCells="1">
                  <from>
                    <xdr:col>11</xdr:col>
                    <xdr:colOff>0</xdr:colOff>
                    <xdr:row>144</xdr:row>
                    <xdr:rowOff>30480</xdr:rowOff>
                  </from>
                  <to>
                    <xdr:col>11</xdr:col>
                    <xdr:colOff>1866900</xdr:colOff>
                    <xdr:row>144</xdr:row>
                    <xdr:rowOff>297180</xdr:rowOff>
                  </to>
                </anchor>
              </controlPr>
            </control>
          </mc:Choice>
        </mc:AlternateContent>
      </controls>
    </mc:Choice>
  </mc:AlternateContent>
  <tableParts count="1">
    <tablePart r:id="rId259"/>
  </tableParts>
  <extLst>
    <ext xmlns:x14="http://schemas.microsoft.com/office/spreadsheetml/2009/9/main" uri="{78C0D931-6437-407d-A8EE-F0AAD7539E65}">
      <x14:conditionalFormattings>
        <x14:conditionalFormatting xmlns:xm="http://schemas.microsoft.com/office/excel/2006/main">
          <x14:cfRule type="iconSet" priority="26" id="{86421FFC-5EC7-44F0-AD3D-91DBC0E7FF7D}">
            <x14:iconSet iconSet="3Stars">
              <x14:cfvo type="percent">
                <xm:f>0</xm:f>
              </x14:cfvo>
              <x14:cfvo type="percent">
                <xm:f>33</xm:f>
              </x14:cfvo>
              <x14:cfvo type="percent">
                <xm:f>67</xm:f>
              </x14:cfvo>
            </x14:iconSet>
          </x14:cfRule>
          <xm:sqref>O6:P6</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A6BC52A5-1F9A-410E-8042-E5ABF275AEE9}">
          <x14:formula1>
            <xm:f>Parâmetros!$A$28:$A$29</xm:f>
          </x14:formula1>
          <xm:sqref>I177:K179 J137:J138 J143:K146 M147:M168 M55:M136 K137:K140 K169:K176</xm:sqref>
        </x14:dataValidation>
        <x14:dataValidation type="list" allowBlank="1" showInputMessage="1" showErrorMessage="1" xr:uid="{B3657941-ED2F-493A-8EA8-935017D35FE2}">
          <x14:formula1>
            <xm:f>Parâmetros!$A$31:$A$33</xm:f>
          </x14:formula1>
          <xm:sqref>O69:O138 O147:O168 O143:O144 O61 O63 O65 O67 O59 O55 O57</xm:sqref>
        </x14:dataValidation>
        <x14:dataValidation type="list" allowBlank="1" showInputMessage="1" showErrorMessage="1" xr:uid="{C05E2E0C-7CE7-40A6-BE4B-FCA2976C7FAF}">
          <x14:formula1>
            <xm:f>Parâmetros!$A$36:$A$38</xm:f>
          </x14:formula1>
          <xm:sqref>Y49:Y51 AA49:AA51 Q51 Q29 S49 U49 S51 W51 AE49 Y29 AE51 I51 I49 AC49:AC51 I29 W29 AA29 K51 K49 AC29 W49 Q49 M51 M49 K29 AE29 O51 O49 M29 U51 S29 U29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7C6E6-FA33-4918-9D46-4C713F7C7FAD}">
  <dimension ref="A1:AU418"/>
  <sheetViews>
    <sheetView topLeftCell="F132" zoomScale="85" zoomScaleNormal="85" workbookViewId="0">
      <selection activeCell="M159" sqref="M159"/>
    </sheetView>
  </sheetViews>
  <sheetFormatPr defaultColWidth="8.5546875" defaultRowHeight="13.8" x14ac:dyDescent="0.3"/>
  <cols>
    <col min="1" max="1" width="47.5546875" style="1041" customWidth="1"/>
    <col min="2" max="2" width="46.44140625" style="1179" customWidth="1"/>
    <col min="3" max="3" width="37.5546875" style="1041" customWidth="1"/>
    <col min="4" max="4" width="32.5546875" style="1180" customWidth="1"/>
    <col min="5" max="5" width="27.44140625" style="1041" customWidth="1"/>
    <col min="6" max="7" width="17.5546875" style="1041" customWidth="1"/>
    <col min="8" max="8" width="27.5546875" style="1041" customWidth="1"/>
    <col min="9" max="9" width="35.44140625" style="1041" customWidth="1"/>
    <col min="10" max="11" width="18.5546875" style="1041" customWidth="1"/>
    <col min="12" max="12" width="30.44140625" style="1041" customWidth="1"/>
    <col min="13" max="13" width="20.44140625" style="1041" customWidth="1"/>
    <col min="14" max="14" width="26.44140625" style="1041" bestFit="1" customWidth="1"/>
    <col min="15" max="15" width="23.5546875" style="1041" customWidth="1"/>
    <col min="16" max="16" width="29.44140625" style="1041" customWidth="1"/>
    <col min="17" max="17" width="23.5546875" style="1041" customWidth="1"/>
    <col min="18" max="18" width="22.44140625" style="1041" bestFit="1" customWidth="1"/>
    <col min="19" max="19" width="24.109375" style="1041" customWidth="1"/>
    <col min="20" max="20" width="21.44140625" style="1041" customWidth="1"/>
    <col min="21" max="21" width="28.5546875" style="1041" customWidth="1"/>
    <col min="22" max="22" width="19.5546875" style="1041" customWidth="1"/>
    <col min="23" max="23" width="20.44140625" style="1041" customWidth="1"/>
    <col min="24" max="24" width="19.5546875" style="1041" customWidth="1"/>
    <col min="25" max="25" width="18.5546875" style="1041" customWidth="1"/>
    <col min="26" max="27" width="20.44140625" style="1041" customWidth="1"/>
    <col min="28" max="29" width="19.5546875" style="1041" bestFit="1" customWidth="1"/>
    <col min="30" max="30" width="20.77734375" style="1041" customWidth="1"/>
    <col min="31" max="31" width="20.5546875" style="1041" customWidth="1"/>
    <col min="32" max="32" width="18.44140625" style="1041" bestFit="1" customWidth="1"/>
    <col min="33" max="33" width="17.44140625" style="1041" bestFit="1" customWidth="1"/>
    <col min="34" max="34" width="22.44140625" style="1041" bestFit="1" customWidth="1"/>
    <col min="35" max="35" width="15.44140625" style="1041" bestFit="1" customWidth="1"/>
    <col min="36" max="36" width="24.44140625" style="1041" bestFit="1" customWidth="1"/>
    <col min="37" max="37" width="20.44140625" style="1041" bestFit="1" customWidth="1"/>
    <col min="38" max="38" width="17.44140625" style="1041" bestFit="1" customWidth="1"/>
    <col min="39" max="39" width="19" style="1041" bestFit="1" customWidth="1"/>
    <col min="40" max="40" width="8.5546875" style="1041"/>
    <col min="41" max="41" width="18.5546875" style="1041" bestFit="1" customWidth="1"/>
    <col min="42" max="42" width="20.5546875" style="1041" bestFit="1" customWidth="1"/>
    <col min="43" max="43" width="8.5546875" style="1041"/>
    <col min="44" max="44" width="23" style="1041" customWidth="1"/>
    <col min="45" max="45" width="32.5546875" style="1041" bestFit="1" customWidth="1"/>
    <col min="46" max="47" width="27.44140625" style="1041" customWidth="1"/>
    <col min="48" max="16384" width="8.5546875" style="1041"/>
  </cols>
  <sheetData>
    <row r="1" spans="1:41" ht="50.1" customHeight="1" x14ac:dyDescent="0.3">
      <c r="A1" s="1957" t="s">
        <v>923</v>
      </c>
      <c r="B1" s="1957"/>
      <c r="C1" s="1957"/>
      <c r="D1" s="1957"/>
      <c r="E1" s="1957"/>
      <c r="F1" s="1957"/>
      <c r="G1" s="1957"/>
      <c r="H1" s="1957"/>
      <c r="I1" s="1957"/>
      <c r="J1" s="1957"/>
      <c r="K1" s="1957"/>
      <c r="L1" s="1957"/>
      <c r="M1" s="1957"/>
      <c r="N1" s="1957"/>
      <c r="O1" s="1957"/>
      <c r="P1" s="1957"/>
      <c r="Q1" s="1957"/>
      <c r="R1" s="1957"/>
      <c r="S1" s="1957"/>
      <c r="T1" s="1957"/>
      <c r="U1" s="1957"/>
      <c r="V1" s="1957"/>
      <c r="W1" s="1957"/>
      <c r="X1" s="1957"/>
      <c r="Y1" s="1957"/>
      <c r="Z1" s="1957"/>
      <c r="AA1" s="1957"/>
      <c r="AB1" s="1957"/>
      <c r="AC1" s="1957"/>
      <c r="AD1" s="1957"/>
      <c r="AE1" s="1957"/>
      <c r="AF1" s="1957"/>
      <c r="AG1" s="1040"/>
      <c r="AH1" s="1040"/>
      <c r="AI1" s="1040"/>
      <c r="AJ1" s="1040"/>
      <c r="AK1" s="1040"/>
      <c r="AL1" s="1040"/>
    </row>
    <row r="2" spans="1:41" ht="25.35" customHeight="1" x14ac:dyDescent="0.3">
      <c r="A2" s="1956" t="s">
        <v>46</v>
      </c>
      <c r="B2" s="1956"/>
      <c r="C2" s="1956"/>
      <c r="D2" s="1956"/>
      <c r="E2" s="1956"/>
      <c r="F2" s="1956"/>
      <c r="G2" s="1956"/>
      <c r="H2" s="1956"/>
      <c r="I2" s="1956"/>
      <c r="J2" s="1956"/>
      <c r="K2" s="1956"/>
      <c r="L2" s="1956"/>
      <c r="M2" s="1956"/>
      <c r="N2" s="1956"/>
      <c r="O2" s="1956"/>
      <c r="P2" s="1956"/>
      <c r="Q2" s="1956"/>
      <c r="R2" s="1956"/>
      <c r="S2" s="1956"/>
      <c r="T2" s="1956"/>
      <c r="U2" s="1956"/>
      <c r="V2" s="1956"/>
      <c r="W2" s="1956"/>
      <c r="X2" s="1956"/>
      <c r="Y2" s="1956"/>
      <c r="Z2" s="1956"/>
      <c r="AA2" s="1956"/>
      <c r="AB2" s="1956"/>
      <c r="AC2" s="1956"/>
      <c r="AD2" s="1956"/>
      <c r="AE2" s="1956"/>
      <c r="AF2" s="1956"/>
      <c r="AG2" s="1040"/>
      <c r="AH2" s="1040"/>
      <c r="AI2" s="1040"/>
      <c r="AJ2" s="1040"/>
      <c r="AK2" s="1040"/>
      <c r="AL2" s="1040"/>
    </row>
    <row r="3" spans="1:41" ht="22.5" customHeight="1" x14ac:dyDescent="0.3">
      <c r="A3" s="1040"/>
      <c r="B3" s="1042"/>
      <c r="C3" s="1043"/>
      <c r="D3" s="1044"/>
      <c r="E3" s="1040"/>
      <c r="F3" s="1040"/>
      <c r="G3" s="1040"/>
      <c r="H3" s="1040"/>
      <c r="I3" s="1040"/>
      <c r="J3" s="1040"/>
      <c r="K3" s="1040"/>
      <c r="L3" s="1040"/>
      <c r="M3" s="1040"/>
      <c r="N3" s="1040"/>
      <c r="O3" s="1040"/>
      <c r="P3" s="1040"/>
      <c r="Q3" s="1040"/>
      <c r="R3" s="1040"/>
      <c r="S3" s="1040"/>
      <c r="T3" s="1040"/>
      <c r="U3" s="1040"/>
      <c r="V3" s="1040"/>
      <c r="W3" s="1040"/>
      <c r="X3" s="1040"/>
      <c r="Y3" s="1040"/>
      <c r="Z3" s="1040"/>
      <c r="AA3" s="1040"/>
      <c r="AB3" s="1040"/>
      <c r="AC3" s="1040"/>
      <c r="AD3" s="1040"/>
      <c r="AE3" s="1040"/>
      <c r="AF3" s="1040"/>
      <c r="AG3" s="1040"/>
      <c r="AH3" s="1040"/>
      <c r="AI3" s="1040"/>
      <c r="AJ3" s="1040"/>
      <c r="AK3" s="1040"/>
      <c r="AL3" s="1040"/>
    </row>
    <row r="4" spans="1:41" ht="22.35" customHeight="1" x14ac:dyDescent="0.3">
      <c r="A4" s="1025" t="s">
        <v>94</v>
      </c>
      <c r="B4" s="1026" t="s">
        <v>48</v>
      </c>
      <c r="C4" s="1027" t="s">
        <v>49</v>
      </c>
      <c r="D4" s="1028" t="s">
        <v>50</v>
      </c>
      <c r="E4" s="2091" t="s">
        <v>51</v>
      </c>
      <c r="F4" s="2092"/>
      <c r="G4" s="2070" t="s">
        <v>102</v>
      </c>
      <c r="H4" s="2071"/>
      <c r="I4" s="1045" t="s">
        <v>53</v>
      </c>
      <c r="J4" s="2060" t="s">
        <v>54</v>
      </c>
      <c r="K4" s="2061"/>
      <c r="L4" s="1029" t="s">
        <v>55</v>
      </c>
      <c r="M4" s="1040"/>
      <c r="N4" s="1040"/>
      <c r="O4" s="1958" t="s">
        <v>129</v>
      </c>
      <c r="P4" s="1959"/>
      <c r="Q4" s="1959"/>
      <c r="R4" s="1959"/>
      <c r="S4" s="1959"/>
      <c r="T4" s="1959"/>
      <c r="U4" s="1959"/>
      <c r="V4" s="1959"/>
      <c r="W4" s="1959"/>
      <c r="X4" s="1959"/>
      <c r="Y4" s="1959"/>
      <c r="Z4" s="1959"/>
      <c r="AA4" s="1959"/>
      <c r="AB4" s="1959"/>
      <c r="AC4" s="1959"/>
      <c r="AD4" s="1959"/>
      <c r="AE4" s="1959"/>
      <c r="AF4" s="1959"/>
      <c r="AG4" s="1040"/>
      <c r="AH4" s="1040"/>
      <c r="AI4" s="1040"/>
      <c r="AJ4" s="1040"/>
      <c r="AK4" s="1040"/>
      <c r="AL4" s="1040"/>
    </row>
    <row r="5" spans="1:41" ht="45" customHeight="1" x14ac:dyDescent="0.3">
      <c r="A5" s="1046">
        <f>Parâmetros!E8</f>
        <v>5356000</v>
      </c>
      <c r="B5" s="1047">
        <f>SUM(I55:I144)</f>
        <v>5582548.0165650407</v>
      </c>
      <c r="C5" s="1048">
        <f>AU53</f>
        <v>7824805.1119999988</v>
      </c>
      <c r="D5" s="1049">
        <f>AT53-AT55</f>
        <v>3031400.0934826476</v>
      </c>
      <c r="E5" s="2093">
        <f>SUM(N55:N144)</f>
        <v>2945612.6026666672</v>
      </c>
      <c r="F5" s="2093"/>
      <c r="G5" s="2072">
        <f>SUM(E9,E11:E14)</f>
        <v>463507.44888796966</v>
      </c>
      <c r="H5" s="2073"/>
      <c r="I5" s="1050">
        <f>E8+E10</f>
        <v>1009000.000089</v>
      </c>
      <c r="J5" s="2062">
        <f>G5/A5</f>
        <v>8.6539852294243769E-2</v>
      </c>
      <c r="K5" s="2063"/>
      <c r="L5" s="2055">
        <f>SUM(G8:G10)</f>
        <v>37</v>
      </c>
      <c r="M5" s="1040"/>
      <c r="N5" s="1051"/>
      <c r="O5" s="1052" t="s">
        <v>132</v>
      </c>
      <c r="P5" s="1052" t="s">
        <v>77</v>
      </c>
      <c r="Q5" s="1052" t="s">
        <v>924</v>
      </c>
      <c r="R5" s="1053" t="s">
        <v>134</v>
      </c>
      <c r="S5" s="1053" t="s">
        <v>135</v>
      </c>
      <c r="T5" s="1054" t="s">
        <v>136</v>
      </c>
      <c r="U5" s="2050" t="s">
        <v>137</v>
      </c>
      <c r="V5" s="2051"/>
      <c r="W5" s="2051"/>
      <c r="X5" s="2051"/>
      <c r="Y5" s="2052"/>
      <c r="Z5" s="1052" t="s">
        <v>138</v>
      </c>
      <c r="AA5" s="1052" t="s">
        <v>139</v>
      </c>
      <c r="AB5" s="1052" t="s">
        <v>140</v>
      </c>
      <c r="AC5" s="1052" t="s">
        <v>141</v>
      </c>
      <c r="AD5" s="1052" t="s">
        <v>142</v>
      </c>
      <c r="AE5" s="1053" t="s">
        <v>143</v>
      </c>
      <c r="AG5" s="1040"/>
      <c r="AH5" s="1040"/>
      <c r="AI5" s="1040"/>
      <c r="AJ5" s="1040"/>
      <c r="AK5" s="1040"/>
      <c r="AL5" s="1040"/>
      <c r="AM5" s="1040"/>
      <c r="AN5" s="1040"/>
    </row>
    <row r="6" spans="1:41" ht="20.100000000000001" customHeight="1" x14ac:dyDescent="0.3">
      <c r="A6" s="1055" t="s">
        <v>145</v>
      </c>
      <c r="B6" s="1055"/>
      <c r="C6" s="1055"/>
      <c r="D6" s="1055"/>
      <c r="E6" s="1055"/>
      <c r="F6" s="1056" t="s">
        <v>64</v>
      </c>
      <c r="G6" s="1056"/>
      <c r="H6" s="1056"/>
      <c r="I6" s="1057" t="s">
        <v>65</v>
      </c>
      <c r="J6" s="1058"/>
      <c r="K6" s="1058"/>
      <c r="L6" s="2056"/>
      <c r="M6" s="1040"/>
      <c r="N6" s="1040"/>
      <c r="O6" s="1059" cm="1">
        <f t="array" ref="O6:O25">_xlfn.SEQUENCE(20)</f>
        <v>1</v>
      </c>
      <c r="P6" s="1060" t="str">
        <f t="shared" ref="P6:P24" si="0">_xlfn.XLOOKUP(U6,$C$55:$C$144,$A$55:$A$144)</f>
        <v>BSW</v>
      </c>
      <c r="Q6" s="1061">
        <f>MAX(I55:I144)</f>
        <v>1063359</v>
      </c>
      <c r="R6" s="1062">
        <f t="shared" ref="R6:R25" si="1">_xlfn.XLOOKUP(Q6,$I$55:$I$144,$N$55:$N$144)</f>
        <v>1145830.24</v>
      </c>
      <c r="S6" s="499">
        <f>_xlfn.XLOOKUP(U6,$C$55:$C$176,$J$55:$J$176)</f>
        <v>46296</v>
      </c>
      <c r="T6" s="508" cm="1">
        <f t="array" aca="1" ref="T6" ca="1">SUMPRODUCT(($C$55:$C$175=U6)*(U$54:$AI$54&lt;=TODAY())*(ISNUMBER(U$56:$AI$176)),U$56:$AI$176)</f>
        <v>0</v>
      </c>
      <c r="U6" s="2043" t="str">
        <f t="shared" ref="U6:U25" si="2">IFERROR(HYPERLINK(INDEX($D$55:$D$144,MATCH(Q6,$I$55:$I$144,0)),INDEX($C$55:$C$144,MATCH(Q6,$I$55:$I$144,0))
   ),
   ""
)</f>
        <v>06 - Redução consumo MTP aplicando tolerância mínima</v>
      </c>
      <c r="V6" s="2044"/>
      <c r="W6" s="2044"/>
      <c r="X6" s="2044"/>
      <c r="Y6" s="2045"/>
      <c r="Z6" s="1067">
        <f t="shared" ref="Z6:Z25" si="3">Q6/$D$5</f>
        <v>0.35078147628423134</v>
      </c>
      <c r="AA6" s="1068">
        <f>Pareto!E70</f>
        <v>0.19047914981558689</v>
      </c>
      <c r="AB6" s="1068" cm="1">
        <f t="array" ref="AB6">IFERROR(INDEX($T$55:$T$144,MATCH(1,($AP$55:$AP$144=U6)*($S$55:$S$144="Previsto"), 0) ), "")</f>
        <v>0.32939189189189189</v>
      </c>
      <c r="AC6" s="1068">
        <v>0.28999999999999998</v>
      </c>
      <c r="AD6" s="373" t="str">
        <f t="shared" ref="AD6:AD13" si="4">IF(OR(AB6="",AC6=""),"",IF(AC6=100%,"CONCLUÍDO",IF(AC6=0,IF(AB6=0,"PROJETO NÃO INICIADO","FALTA DE ACOMPANHAMENTO"),IF(AC6&gt;AB6,"ADIANTADO",IF(AC6=AB6,"CONFORME PLANEJADO","ATRASO")))))</f>
        <v>ATRASO</v>
      </c>
      <c r="AE6" s="1068" cm="1">
        <f t="array" ref="AE6:AE24">_xlfn.XLOOKUP($U$6:$U$24,$C$55:$C$144,$R$55:$R$144)</f>
        <v>0.1</v>
      </c>
      <c r="AG6" s="1040"/>
      <c r="AH6" s="1040"/>
      <c r="AI6" s="1040"/>
      <c r="AJ6" s="1040"/>
      <c r="AK6" s="1040"/>
      <c r="AL6" s="1040"/>
      <c r="AM6" s="1040"/>
      <c r="AN6" s="1040"/>
    </row>
    <row r="7" spans="1:41" ht="20.100000000000001" customHeight="1" x14ac:dyDescent="0.3">
      <c r="A7" s="1025" t="s">
        <v>67</v>
      </c>
      <c r="B7" s="1030" t="s">
        <v>68</v>
      </c>
      <c r="C7" s="1025" t="s">
        <v>69</v>
      </c>
      <c r="D7" s="1031" t="s">
        <v>70</v>
      </c>
      <c r="E7" s="1032" t="s">
        <v>71</v>
      </c>
      <c r="F7" s="1033" t="s">
        <v>72</v>
      </c>
      <c r="G7" s="1033" t="s">
        <v>68</v>
      </c>
      <c r="H7" s="1033" t="s">
        <v>73</v>
      </c>
      <c r="I7" s="2068" t="s">
        <v>74</v>
      </c>
      <c r="J7" s="2076" t="s">
        <v>75</v>
      </c>
      <c r="K7" s="2078" t="s">
        <v>147</v>
      </c>
      <c r="L7" s="2056"/>
      <c r="M7" s="1040"/>
      <c r="N7" s="1040"/>
      <c r="O7" s="1069">
        <v>2</v>
      </c>
      <c r="P7" s="1070" t="str">
        <f t="shared" si="0"/>
        <v>Redução de custo</v>
      </c>
      <c r="Q7" s="1071">
        <f t="shared" ref="Q7:Q25" si="5">IFERROR(LARGE($I$55:$I$144,O7)," ")</f>
        <v>560000</v>
      </c>
      <c r="R7" s="1072">
        <f t="shared" si="1"/>
        <v>0</v>
      </c>
      <c r="S7" s="500">
        <f t="shared" ref="S7:S25" si="6">_xlfn.XLOOKUP(U7,$C$55:$C$176,$J$55:$J$176)</f>
        <v>46388</v>
      </c>
      <c r="T7" s="509" cm="1">
        <f t="array" aca="1" ref="T7" ca="1">SUMPRODUCT(($C$55:$C$175=U7)*(U$54:$AI$54&lt;=TODAY())*(ISNUMBER(U$56:$AI$176)),U$56:$AI$176)</f>
        <v>0</v>
      </c>
      <c r="U7" s="1073" t="str">
        <f t="shared" si="2"/>
        <v>01 - Desenvolver célula de solda para soldar porcas</v>
      </c>
      <c r="V7" s="1074"/>
      <c r="W7" s="1074"/>
      <c r="X7" s="1074"/>
      <c r="Y7" s="1075"/>
      <c r="Z7" s="1076">
        <f t="shared" si="3"/>
        <v>0.1847331209113475</v>
      </c>
      <c r="AA7" s="1077">
        <f>Pareto!E71</f>
        <v>0.29079176662395423</v>
      </c>
      <c r="AB7" s="1077" cm="1">
        <f t="array" ref="AB7">IFERROR(INDEX($T$55:$T$144,MATCH(1,($AP$55:$AP$144=U7)*($S$55:$S$144="Previsto"), 0) ), "")</f>
        <v>0.79032258064516125</v>
      </c>
      <c r="AC7" s="1077" cm="1">
        <f t="array" ref="AC7">IFERROR( INDEX($T$55:$T$144,MATCH(1,($AP$55:$AP$144=U7)*($S$55:$S$144="Real"),0)),"")</f>
        <v>0.79</v>
      </c>
      <c r="AD7" s="374" t="str">
        <f t="shared" si="4"/>
        <v>ATRASO</v>
      </c>
      <c r="AE7" s="1077">
        <v>0.8</v>
      </c>
      <c r="AH7" s="1040"/>
      <c r="AI7" s="1040"/>
      <c r="AJ7" s="1040"/>
      <c r="AK7" s="1040"/>
      <c r="AL7" s="1040"/>
      <c r="AM7" s="1040"/>
      <c r="AN7" s="1040"/>
      <c r="AO7" s="1040"/>
    </row>
    <row r="8" spans="1:41" ht="20.100000000000001" customHeight="1" x14ac:dyDescent="0.3">
      <c r="A8" s="1078" t="s">
        <v>57</v>
      </c>
      <c r="B8" s="1079">
        <f t="shared" ref="B8:B14" si="7">COUNTIF($A$55:$A$144,A8)</f>
        <v>0</v>
      </c>
      <c r="C8" s="1080">
        <f t="shared" ref="C8:C14" si="8">SUMIF($A$55:$A$144,A8,$I$55:$I$144)</f>
        <v>0</v>
      </c>
      <c r="D8" s="1080">
        <f t="shared" ref="D8:D14" si="9">SUMIF($A$55:$A$144,A8,$N$55:$N$144)</f>
        <v>0</v>
      </c>
      <c r="E8" s="1081">
        <f>SUMIFS($AK$55:$AK$144,$S$55:$S$144,"Previsto",$AS$55:$AS$144,A8)</f>
        <v>0</v>
      </c>
      <c r="F8" s="1082" t="s">
        <v>81</v>
      </c>
      <c r="G8" s="1083">
        <f>COUNTIF($O$55:$O$144,F8)</f>
        <v>10</v>
      </c>
      <c r="H8" s="1084">
        <f>SUMIF($O$55:$O$144,F8,$I$55:$I$144)</f>
        <v>1395112.003089</v>
      </c>
      <c r="I8" s="2069"/>
      <c r="J8" s="2077"/>
      <c r="K8" s="2079"/>
      <c r="L8" s="2056"/>
      <c r="M8" s="1040"/>
      <c r="N8" s="1040"/>
      <c r="O8" s="1059">
        <v>3</v>
      </c>
      <c r="P8" s="1060" t="str">
        <f t="shared" si="0"/>
        <v>BSW</v>
      </c>
      <c r="Q8" s="1061">
        <f t="shared" si="5"/>
        <v>513721</v>
      </c>
      <c r="R8" s="1062">
        <f t="shared" si="1"/>
        <v>0</v>
      </c>
      <c r="S8" s="499">
        <f t="shared" si="6"/>
        <v>46266</v>
      </c>
      <c r="T8" s="508" cm="1">
        <f t="array" aca="1" ref="T8" ca="1">SUMPRODUCT(($C$55:$C$175=U8)*(U$54:$AI$54&lt;=TODAY())*(ISNUMBER(U$56:$AI$176)),U$56:$AI$176)</f>
        <v>0</v>
      </c>
      <c r="U8" s="1064" t="str">
        <f t="shared" si="2"/>
        <v>03 - Redução de consumo de MP dos blanks com a técnica de corte Wave</v>
      </c>
      <c r="V8" s="1065"/>
      <c r="W8" s="1065"/>
      <c r="X8" s="1065"/>
      <c r="Y8" s="1066"/>
      <c r="Z8" s="1067">
        <f t="shared" si="3"/>
        <v>0.1694665778708899</v>
      </c>
      <c r="AA8" s="1068">
        <f>Pareto!E72</f>
        <v>0.38281444130147435</v>
      </c>
      <c r="AB8" s="1068" cm="1">
        <f t="array" ref="AB8">IFERROR(INDEX($T$55:$T$144,MATCH(1,($AP$55:$AP$144=U8)*($S$55:$S$144="Previsto"), 0) ), "")</f>
        <v>0.87668986678317529</v>
      </c>
      <c r="AC8" s="1068" cm="1">
        <f t="array" ref="AC8">IFERROR( INDEX($T$55:$T$144,MATCH(1,($AP$55:$AP$144=U8)*($S$55:$S$144="Real"),0)),"")</f>
        <v>0.78586513189403762</v>
      </c>
      <c r="AD8" s="373" t="str">
        <f t="shared" si="4"/>
        <v>ATRASO</v>
      </c>
      <c r="AE8" s="1068">
        <v>0.9</v>
      </c>
      <c r="AH8" s="1040"/>
      <c r="AI8" s="1040"/>
      <c r="AJ8" s="1040"/>
      <c r="AK8" s="1040"/>
      <c r="AL8" s="1040"/>
      <c r="AM8" s="1040"/>
      <c r="AN8" s="1040"/>
      <c r="AO8" s="1040"/>
    </row>
    <row r="9" spans="1:41" ht="20.100000000000001" customHeight="1" x14ac:dyDescent="0.3">
      <c r="A9" s="1078" t="s">
        <v>59</v>
      </c>
      <c r="B9" s="1079">
        <f t="shared" si="7"/>
        <v>8</v>
      </c>
      <c r="C9" s="1080">
        <f t="shared" si="8"/>
        <v>336459.01236371999</v>
      </c>
      <c r="D9" s="1080">
        <f t="shared" si="9"/>
        <v>89081.02</v>
      </c>
      <c r="E9" s="1081">
        <f>SUMIFS($AK$55:$AK$144,$S$55:$S$144,"Real",$AS$55:$AS$144,A9)</f>
        <v>0</v>
      </c>
      <c r="F9" s="1085" t="s">
        <v>83</v>
      </c>
      <c r="G9" s="1086">
        <f>COUNTIF($O$55:$O$144,F9)</f>
        <v>23</v>
      </c>
      <c r="H9" s="1087">
        <f>SUMIF($O$55:$O$144,F9,$I$55:$I$144)</f>
        <v>4184436.0057020201</v>
      </c>
      <c r="I9" s="2074">
        <f>E175</f>
        <v>0.91666666666666663</v>
      </c>
      <c r="J9" s="2080">
        <f>F175</f>
        <v>0.91666666666666663</v>
      </c>
      <c r="K9" s="2082">
        <f>L170</f>
        <v>0.43333332900000004</v>
      </c>
      <c r="L9" s="2056"/>
      <c r="M9" s="1040"/>
      <c r="N9" s="1040"/>
      <c r="O9" s="1069">
        <v>4</v>
      </c>
      <c r="P9" s="1070" t="str">
        <f t="shared" si="0"/>
        <v>BSW</v>
      </c>
      <c r="Q9" s="1071">
        <f t="shared" si="5"/>
        <v>435138</v>
      </c>
      <c r="R9" s="1072">
        <f t="shared" si="1"/>
        <v>442663.07</v>
      </c>
      <c r="S9" s="500">
        <f t="shared" si="6"/>
        <v>46233</v>
      </c>
      <c r="T9" s="509" cm="1">
        <f t="array" aca="1" ref="T9" ca="1">SUMPRODUCT(($C$55:$C$175=U9)*(U$54:$AI$54&lt;=TODAY())*(ISNUMBER(U$56:$AI$176)),U$56:$AI$176)</f>
        <v>0</v>
      </c>
      <c r="U9" s="1073" t="str">
        <f t="shared" si="2"/>
        <v>27 - Redução consumo MTP aplicando tolerância mínima curva B</v>
      </c>
      <c r="V9" s="1074"/>
      <c r="W9" s="1074"/>
      <c r="X9" s="1074"/>
      <c r="Y9" s="1075"/>
      <c r="Z9" s="1076">
        <f t="shared" si="3"/>
        <v>0.143543572798432</v>
      </c>
      <c r="AA9" s="1077">
        <f>Pareto!E73</f>
        <v>0.46076056889568745</v>
      </c>
      <c r="AB9" s="1077" cm="1">
        <f t="array" ref="AB9">IFERROR(INDEX($T$55:$T$144,MATCH(1,($AP$55:$AP$144=U9)*($S$55:$S$144="Previsto"), 0) ), "")</f>
        <v>0.2</v>
      </c>
      <c r="AC9" s="1077" cm="1">
        <f t="array" ref="AC9">IFERROR( INDEX($T$55:$T$144,MATCH(1,($AP$55:$AP$144=U9)*($S$55:$S$144="Real"),0)),"")</f>
        <v>0</v>
      </c>
      <c r="AD9" s="374" t="str">
        <f t="shared" si="4"/>
        <v>FALTA DE ACOMPANHAMENTO</v>
      </c>
      <c r="AE9" s="1077">
        <v>0</v>
      </c>
      <c r="AH9" s="1040"/>
      <c r="AI9" s="1040"/>
      <c r="AJ9" s="1040"/>
      <c r="AK9" s="1040"/>
      <c r="AL9" s="1040"/>
      <c r="AM9" s="1040"/>
      <c r="AN9" s="1040"/>
      <c r="AO9" s="1040"/>
    </row>
    <row r="10" spans="1:41" ht="20.100000000000001" customHeight="1" x14ac:dyDescent="0.3">
      <c r="A10" s="1078" t="s">
        <v>61</v>
      </c>
      <c r="B10" s="1079">
        <f t="shared" si="7"/>
        <v>4</v>
      </c>
      <c r="C10" s="1080">
        <f t="shared" si="8"/>
        <v>1009000.000089</v>
      </c>
      <c r="D10" s="1080">
        <f t="shared" si="9"/>
        <v>0</v>
      </c>
      <c r="E10" s="1081">
        <f>SUMIFS($AK$55:$AK$144,$S$55:$S$144,"Previsto",$AS$55:$AS$144,A10)</f>
        <v>1009000.000089</v>
      </c>
      <c r="F10" s="1088" t="s">
        <v>85</v>
      </c>
      <c r="G10" s="1089">
        <f>COUNTIF($O$55:$O$144,F10)</f>
        <v>4</v>
      </c>
      <c r="H10" s="1090">
        <f>SUMIF($O$55:$O$144,F10,$I$55:$I$144)</f>
        <v>3000.0077740199999</v>
      </c>
      <c r="I10" s="2075"/>
      <c r="J10" s="2081"/>
      <c r="K10" s="2083"/>
      <c r="L10" s="2057"/>
      <c r="M10" s="1040"/>
      <c r="N10" s="1040"/>
      <c r="O10" s="1059">
        <v>5</v>
      </c>
      <c r="P10" s="1060" t="str">
        <f t="shared" si="0"/>
        <v>Redução de custo</v>
      </c>
      <c r="Q10" s="1061">
        <f t="shared" si="5"/>
        <v>390000.00300000003</v>
      </c>
      <c r="R10" s="1062">
        <f t="shared" si="1"/>
        <v>390000</v>
      </c>
      <c r="S10" s="499">
        <f t="shared" si="6"/>
        <v>46023</v>
      </c>
      <c r="T10" s="508" cm="1">
        <f t="array" aca="1" ref="T10" ca="1">SUMPRODUCT(($C$55:$C$175=U10)*(U$54:$AI$54&lt;=TODAY())*(ISNUMBER(U$56:$AI$176)),U$56:$AI$176)</f>
        <v>390000</v>
      </c>
      <c r="U10" s="1064" t="str">
        <f t="shared" si="2"/>
        <v>36 - Venda Robos</v>
      </c>
      <c r="V10" s="1065"/>
      <c r="W10" s="1065"/>
      <c r="X10" s="1065"/>
      <c r="Y10" s="1066"/>
      <c r="Z10" s="1067">
        <f t="shared" si="3"/>
        <v>0.12865342448147302</v>
      </c>
      <c r="AA10" s="1068">
        <f>Pareto!E74</f>
        <v>0.53062114185318943</v>
      </c>
      <c r="AB10" s="1068" cm="1">
        <f t="array" ref="AB10">IFERROR(INDEX($T$55:$T$144,MATCH(1,($AP$55:$AP$144=U10)*($S$55:$S$144="Previsto"), 0) ), "")</f>
        <v>1</v>
      </c>
      <c r="AC10" s="1068" cm="1">
        <f t="array" ref="AC10">IFERROR( INDEX($T$55:$T$144,MATCH(1,($AP$55:$AP$144=U10)*($S$55:$S$144="Real"),0)),"")</f>
        <v>1</v>
      </c>
      <c r="AD10" s="373" t="str">
        <f t="shared" si="4"/>
        <v>CONCLUÍDO</v>
      </c>
      <c r="AE10" s="1068">
        <v>0</v>
      </c>
      <c r="AH10" s="1040"/>
      <c r="AI10" s="1040"/>
      <c r="AJ10" s="1040"/>
      <c r="AK10" s="1040"/>
      <c r="AL10" s="1040"/>
      <c r="AM10" s="1040"/>
      <c r="AN10" s="1040"/>
      <c r="AO10" s="1040"/>
    </row>
    <row r="11" spans="1:41" ht="20.100000000000001" customHeight="1" x14ac:dyDescent="0.45">
      <c r="A11" s="1091" t="s">
        <v>925</v>
      </c>
      <c r="B11" s="1079">
        <f t="shared" si="7"/>
        <v>1</v>
      </c>
      <c r="C11" s="1080">
        <f t="shared" si="8"/>
        <v>40000.00088</v>
      </c>
      <c r="D11" s="1080">
        <f t="shared" si="9"/>
        <v>0</v>
      </c>
      <c r="E11" s="1081">
        <f>SUMIFS($AK$55:$AK$144,$S$55:$S$144,"Real",$AS$55:$AS$144,A11)</f>
        <v>0</v>
      </c>
      <c r="F11" s="1040"/>
      <c r="G11" s="1040"/>
      <c r="N11" s="1040"/>
      <c r="O11" s="1069">
        <v>6</v>
      </c>
      <c r="P11" s="1070" t="str">
        <f t="shared" si="0"/>
        <v>Kaizen - Custo Evitado</v>
      </c>
      <c r="Q11" s="1071">
        <f t="shared" si="5"/>
        <v>359000</v>
      </c>
      <c r="R11" s="1072">
        <f t="shared" si="1"/>
        <v>0</v>
      </c>
      <c r="S11" s="500">
        <f t="shared" si="6"/>
        <v>46082</v>
      </c>
      <c r="T11" s="1317" cm="1">
        <f t="array" aca="1" ref="T11" ca="1">SUMPRODUCT(($C$55:$C$175=U11)*(U$54:$AI$54&lt;=TODAY())*(ISNUMBER(U$56:$AI$176)),U$56:$AI$176)</f>
        <v>0</v>
      </c>
      <c r="U11" s="1073" t="str">
        <f t="shared" si="2"/>
        <v>26 - Redução de gastos com HE</v>
      </c>
      <c r="V11" s="1074"/>
      <c r="W11" s="1074"/>
      <c r="X11" s="1074"/>
      <c r="Y11" s="1075"/>
      <c r="Z11" s="1076">
        <f t="shared" si="3"/>
        <v>0.11842712572709597</v>
      </c>
      <c r="AA11" s="1077">
        <f>Pareto!E75</f>
        <v>0.59492869441426777</v>
      </c>
      <c r="AB11" s="1077" cm="1">
        <f t="array" aca="1" ref="AB11" ca="1">IFERROR(INDEX($T$55:$T$144,MATCH(1,($AP$55:$AP$144=U11)*($S$55:$S$144="Previsto"), 0) ), "")</f>
        <v>1</v>
      </c>
      <c r="AC11" s="1077" cm="1">
        <f t="array" ref="AC11">IFERROR( INDEX($T$55:$T$144,MATCH(1,($AP$55:$AP$144=U11)*($S$55:$S$144="Real"),0)),"")</f>
        <v>1</v>
      </c>
      <c r="AD11" s="374" t="str">
        <f t="shared" ca="1" si="4"/>
        <v>CONCLUÍDO</v>
      </c>
      <c r="AE11" s="1077">
        <v>1</v>
      </c>
      <c r="AH11" s="1040"/>
      <c r="AI11" s="1040"/>
      <c r="AJ11" s="1040"/>
      <c r="AK11" s="1040"/>
      <c r="AL11" s="1040"/>
      <c r="AM11" s="1040"/>
      <c r="AN11" s="1040"/>
      <c r="AO11" s="1040"/>
    </row>
    <row r="12" spans="1:41" ht="20.100000000000001" customHeight="1" x14ac:dyDescent="0.3">
      <c r="A12" s="1091" t="s">
        <v>89</v>
      </c>
      <c r="B12" s="1079">
        <f>COUNTIF($A$55:$A$144,A12)</f>
        <v>9</v>
      </c>
      <c r="C12" s="1080">
        <f t="shared" si="8"/>
        <v>1324889.0032323201</v>
      </c>
      <c r="D12" s="1080">
        <f t="shared" si="9"/>
        <v>775553.55099999998</v>
      </c>
      <c r="E12" s="1081">
        <f>SUMIFS($AK$55:$AK$144,$S$55:$S$144,"Real",$AS$55:$AS$144,A12)</f>
        <v>459396.51172534726</v>
      </c>
      <c r="F12" s="1040"/>
      <c r="G12" s="1040"/>
      <c r="H12" s="1040"/>
      <c r="I12" s="1040"/>
      <c r="J12" s="1040"/>
      <c r="K12" s="1040"/>
      <c r="L12" s="1040"/>
      <c r="M12" s="1040"/>
      <c r="N12" s="1040"/>
      <c r="O12" s="1059">
        <v>7</v>
      </c>
      <c r="P12" s="1060" t="str">
        <f t="shared" si="0"/>
        <v>BSW</v>
      </c>
      <c r="Q12" s="1061">
        <f t="shared" si="5"/>
        <v>308498</v>
      </c>
      <c r="R12" s="1062">
        <f t="shared" si="1"/>
        <v>209476.06</v>
      </c>
      <c r="S12" s="499">
        <f t="shared" si="6"/>
        <v>46233</v>
      </c>
      <c r="T12" s="508" cm="1">
        <f t="array" aca="1" ref="T12" ca="1">SUMPRODUCT(($C$55:$C$175=U12)*(U$54:$AI$54&lt;=TODAY())*(ISNUMBER(U$56:$AI$176)),U$56:$AI$176)</f>
        <v>0</v>
      </c>
      <c r="U12" s="1064" t="str">
        <f t="shared" si="2"/>
        <v>28 -  Redução consumo MTP aplicando tolerância mínima curva C</v>
      </c>
      <c r="V12" s="1065"/>
      <c r="W12" s="1065"/>
      <c r="X12" s="1065"/>
      <c r="Y12" s="1066"/>
      <c r="Z12" s="1067">
        <f t="shared" si="3"/>
        <v>0.10176749702662299</v>
      </c>
      <c r="AA12" s="1068">
        <f>Pareto!E76</f>
        <v>0.65018984023596005</v>
      </c>
      <c r="AB12" s="1068" cm="1">
        <f t="array" ref="AB12">IFERROR(INDEX($T$55:$T$144,MATCH(1,($AP$55:$AP$144=U12)*($S$55:$S$144="Previsto"), 0) ), "")</f>
        <v>0.2</v>
      </c>
      <c r="AC12" s="1068" cm="1">
        <f t="array" ref="AC12">IFERROR( INDEX($T$55:$T$144,MATCH(1,($AP$55:$AP$144=U12)*($S$55:$S$144="Real"),0)),"")</f>
        <v>0.21052631578947367</v>
      </c>
      <c r="AD12" s="373" t="str">
        <f t="shared" si="4"/>
        <v>ADIANTADO</v>
      </c>
      <c r="AE12" s="1068">
        <v>0</v>
      </c>
      <c r="AH12" s="1040"/>
      <c r="AI12" s="1040"/>
      <c r="AJ12" s="1040"/>
      <c r="AK12" s="1040"/>
      <c r="AL12" s="1040"/>
      <c r="AM12" s="1040"/>
      <c r="AN12" s="1040"/>
      <c r="AO12" s="1040"/>
    </row>
    <row r="13" spans="1:41" ht="20.100000000000001" customHeight="1" x14ac:dyDescent="0.3">
      <c r="A13" s="1091" t="s">
        <v>90</v>
      </c>
      <c r="B13" s="1079">
        <f t="shared" si="7"/>
        <v>0</v>
      </c>
      <c r="C13" s="1080">
        <f t="shared" si="8"/>
        <v>0</v>
      </c>
      <c r="D13" s="1080">
        <f t="shared" si="9"/>
        <v>0</v>
      </c>
      <c r="E13" s="1081">
        <f>SUMIFS($AK$55:$AK$144,$S$55:$S$144,"Real",$AS$55:$AS$144,A13)</f>
        <v>0</v>
      </c>
      <c r="G13" s="1040"/>
      <c r="H13" s="1040"/>
      <c r="I13" s="1040"/>
      <c r="J13" s="1040"/>
      <c r="K13" s="1040"/>
      <c r="L13" s="1034"/>
      <c r="M13" s="1092"/>
      <c r="N13" s="1092"/>
      <c r="O13" s="1069">
        <v>8</v>
      </c>
      <c r="P13" s="1070" t="str">
        <f t="shared" si="0"/>
        <v>Redução de custo</v>
      </c>
      <c r="Q13" s="1071">
        <f t="shared" si="5"/>
        <v>306000</v>
      </c>
      <c r="R13" s="1072">
        <f t="shared" si="1"/>
        <v>306000</v>
      </c>
      <c r="S13" s="500">
        <f t="shared" si="6"/>
        <v>46143</v>
      </c>
      <c r="T13" s="509" cm="1">
        <f t="array" aca="1" ref="T13" ca="1">SUMPRODUCT(($C$55:$C$175=U13)*(U$54:$AI$54&lt;=TODAY())*(ISNUMBER(U$56:$AI$176)),U$56:$AI$176)</f>
        <v>0</v>
      </c>
      <c r="U13" s="1073" t="str">
        <f t="shared" si="2"/>
        <v>30 - Redução de Refugo</v>
      </c>
      <c r="V13" s="1074"/>
      <c r="W13" s="1074"/>
      <c r="X13" s="1074"/>
      <c r="Y13" s="1075"/>
      <c r="Z13" s="1076">
        <f t="shared" si="3"/>
        <v>0.10094345535512916</v>
      </c>
      <c r="AA13" s="1077">
        <f>Pareto!E77</f>
        <v>0.70500352013481793</v>
      </c>
      <c r="AB13" s="1077" cm="1">
        <f t="array" ref="AB13">IFERROR(INDEX($T$55:$T$144,MATCH(1,($AP$55:$AP$144=U13)*($S$55:$S$144="Previsto"), 0) ), "")</f>
        <v>0.8</v>
      </c>
      <c r="AC13" s="1077" cm="1">
        <f t="array" ref="AC13">IFERROR( INDEX($T$55:$T$144,MATCH(1,($AP$55:$AP$144=U13)*($S$55:$S$144="Real"),0)),"")</f>
        <v>0.8</v>
      </c>
      <c r="AD13" s="374" t="str">
        <f t="shared" si="4"/>
        <v>CONFORME PLANEJADO</v>
      </c>
      <c r="AE13" s="1077">
        <v>0</v>
      </c>
      <c r="AH13" s="1040"/>
      <c r="AI13" s="1040"/>
      <c r="AJ13" s="1040"/>
      <c r="AK13" s="1040"/>
      <c r="AL13" s="1040"/>
      <c r="AM13" s="1040"/>
      <c r="AN13" s="1040"/>
      <c r="AO13" s="1040"/>
    </row>
    <row r="14" spans="1:41" ht="20.100000000000001" customHeight="1" x14ac:dyDescent="0.3">
      <c r="A14" s="1091" t="s">
        <v>91</v>
      </c>
      <c r="B14" s="1079">
        <f t="shared" si="7"/>
        <v>15</v>
      </c>
      <c r="C14" s="1080">
        <f t="shared" si="8"/>
        <v>2872200</v>
      </c>
      <c r="D14" s="1080">
        <f t="shared" si="9"/>
        <v>2080978.031666667</v>
      </c>
      <c r="E14" s="1081">
        <f>SUMIFS($AK$55:$AK$144,$S$55:$S$144,"Real",$AS$55:$AS$144,A14)</f>
        <v>4110.9371626224101</v>
      </c>
      <c r="F14" s="1040"/>
      <c r="G14" s="1040"/>
      <c r="H14" s="1040" t="s">
        <v>926</v>
      </c>
      <c r="I14" s="1040"/>
      <c r="J14" s="1040"/>
      <c r="K14" s="1040"/>
      <c r="L14" s="1040"/>
      <c r="M14" s="1040"/>
      <c r="N14" s="1040"/>
      <c r="O14" s="1059">
        <v>9</v>
      </c>
      <c r="P14" s="1060" t="str">
        <f t="shared" si="0"/>
        <v>Kaizen - Ganho Recorrente</v>
      </c>
      <c r="Q14" s="1061">
        <f t="shared" si="5"/>
        <v>301000</v>
      </c>
      <c r="R14" s="1062">
        <f t="shared" si="1"/>
        <v>89081.02</v>
      </c>
      <c r="S14" s="499">
        <f t="shared" si="6"/>
        <v>46235</v>
      </c>
      <c r="T14" s="508" cm="1">
        <f t="array" aca="1" ref="T14" ca="1">SUMPRODUCT(($C$55:$C$175=U14)*(U$54:$AI$54&lt;=TODAY())*(ISNUMBER(U$56:$AI$176)),U$56:$AI$176)</f>
        <v>0</v>
      </c>
      <c r="U14" s="2043" t="str">
        <f t="shared" si="2"/>
        <v>32 - Empilhadeiras Elétricas</v>
      </c>
      <c r="V14" s="2044"/>
      <c r="W14" s="2044"/>
      <c r="X14" s="2044"/>
      <c r="Y14" s="2045"/>
      <c r="Z14" s="1067">
        <f t="shared" si="3"/>
        <v>9.929405248984928E-2</v>
      </c>
      <c r="AA14" s="1068">
        <f>Pareto!E78</f>
        <v>0.75892155166931541</v>
      </c>
      <c r="AB14" s="1068" cm="1">
        <f t="array" aca="1" ref="AB14" ca="1">IFERROR(INDEX($T$55:$T$144,MATCH(1,($AP$55:$AP$144=U14)*($S$55:$S$144="Previsto"), 0) ), "")</f>
        <v>0</v>
      </c>
      <c r="AC14" s="1068" cm="1">
        <f t="array" ref="AC14">IFERROR( INDEX($T$55:$T$144,MATCH(1,($AP$55:$AP$144=U14)*($S$55:$S$144="Real"),0)),"")</f>
        <v>0</v>
      </c>
      <c r="AD14" s="373" t="str">
        <f t="shared" ref="AD14:AD25" ca="1" si="10">IF(OR(AB14="",AC14=""),"",IF(AC14=100%,"CONCLUÍDO",IF(AC14=0,IF(AB14=0,"PROJETO NÃO INICIADO","FALTA DE ACOMPANHAMENTO"),IF(AC14&gt;AB14,"ADIANTADO",IF(AC14=AB14,"CONFORME PLANEJADO","ATRASO")))))</f>
        <v>PROJETO NÃO INICIADO</v>
      </c>
      <c r="AE14" s="1068">
        <v>0</v>
      </c>
      <c r="AG14" s="1040"/>
      <c r="AH14" s="1040"/>
      <c r="AI14" s="1040"/>
      <c r="AJ14" s="1040"/>
      <c r="AK14" s="1040"/>
      <c r="AL14" s="1040"/>
      <c r="AM14" s="1040"/>
      <c r="AN14" s="1040"/>
    </row>
    <row r="15" spans="1:41" ht="20.100000000000001" customHeight="1" x14ac:dyDescent="0.3">
      <c r="A15" s="1093" t="s">
        <v>29</v>
      </c>
      <c r="B15" s="1094">
        <f>SUM(B8:B14)</f>
        <v>37</v>
      </c>
      <c r="C15" s="1095">
        <f>SUM(C8:C14)</f>
        <v>5582548.0165650398</v>
      </c>
      <c r="D15" s="1095">
        <f>SUM(D8:D14)</f>
        <v>2945612.6026666667</v>
      </c>
      <c r="E15" s="1095">
        <f>SUM(E8:E14)</f>
        <v>1472507.4489769696</v>
      </c>
      <c r="F15" s="1040" t="s">
        <v>95</v>
      </c>
      <c r="G15" s="1096">
        <f>SUMIF($B$55:$B$192,F15,$N$55:$N$192)</f>
        <v>1854110.4016666668</v>
      </c>
      <c r="H15" s="1040"/>
      <c r="I15" s="1040"/>
      <c r="J15" s="1040"/>
      <c r="K15" s="1040"/>
      <c r="L15" s="1040"/>
      <c r="M15" s="1040"/>
      <c r="N15" s="1040"/>
      <c r="O15" s="1069">
        <v>10</v>
      </c>
      <c r="P15" s="1070" t="str">
        <f t="shared" si="0"/>
        <v>Kaizen - Custo Evitado</v>
      </c>
      <c r="Q15" s="1071">
        <f t="shared" si="5"/>
        <v>300000.00008899998</v>
      </c>
      <c r="R15" s="1072">
        <f t="shared" si="1"/>
        <v>0</v>
      </c>
      <c r="S15" s="500">
        <f t="shared" si="6"/>
        <v>46054</v>
      </c>
      <c r="T15" s="509" cm="1">
        <f t="array" aca="1" ref="T15" ca="1">SUMPRODUCT(($C$55:$C$175=U15)*(U$54:$AI$54&lt;=TODAY())*(ISNUMBER(U$56:$AI$176)),U$56:$AI$176)</f>
        <v>0</v>
      </c>
      <c r="U15" s="2046" t="str">
        <f t="shared" si="2"/>
        <v>21 - Redução de MOD CSR61014</v>
      </c>
      <c r="V15" s="2047"/>
      <c r="W15" s="2047"/>
      <c r="X15" s="2047"/>
      <c r="Y15" s="2048"/>
      <c r="Z15" s="1076">
        <f t="shared" si="3"/>
        <v>9.896417194615266E-2</v>
      </c>
      <c r="AA15" s="1077">
        <f>Pareto!E79</f>
        <v>0.81266045354688332</v>
      </c>
      <c r="AB15" s="1077" cm="1">
        <f t="array" ref="AB15">IFERROR(INDEX($T$55:$T$144,MATCH(1,($AP$55:$AP$144=U15)*($S$55:$S$144="Previsto"), 0) ), "")</f>
        <v>1</v>
      </c>
      <c r="AC15" s="1077" cm="1">
        <f t="array" ref="AC15">IFERROR( INDEX($T$55:$T$144,MATCH(1,($AP$55:$AP$144=U15)*($S$55:$S$144="Real"),0)),"")</f>
        <v>1</v>
      </c>
      <c r="AD15" s="374" t="str">
        <f t="shared" si="10"/>
        <v>CONCLUÍDO</v>
      </c>
      <c r="AE15" s="1077">
        <v>1</v>
      </c>
      <c r="AG15" s="1040"/>
      <c r="AH15" s="1040"/>
      <c r="AI15" s="1040"/>
      <c r="AJ15" s="1040"/>
      <c r="AK15" s="1040"/>
      <c r="AL15" s="1040"/>
      <c r="AM15" s="1040"/>
      <c r="AN15" s="1040"/>
    </row>
    <row r="16" spans="1:41" ht="20.100000000000001" customHeight="1" x14ac:dyDescent="0.3">
      <c r="A16" s="1040"/>
      <c r="B16" s="1042"/>
      <c r="C16" s="1040"/>
      <c r="D16" s="1044"/>
      <c r="E16" s="1040"/>
      <c r="F16" s="1040" t="s">
        <v>97</v>
      </c>
      <c r="G16" s="1096">
        <f>SUMIF($B$55:$B$192,F16,$N$55:$N$192)</f>
        <v>612421.18099999998</v>
      </c>
      <c r="H16" s="1040"/>
      <c r="I16" s="1040"/>
      <c r="J16" s="1040"/>
      <c r="K16" s="1040"/>
      <c r="L16" s="1040"/>
      <c r="M16" s="1040"/>
      <c r="N16" s="1040"/>
      <c r="O16" s="1059">
        <v>11</v>
      </c>
      <c r="P16" s="1060" t="str">
        <f t="shared" si="0"/>
        <v>Kaizen - Custo Evitado</v>
      </c>
      <c r="Q16" s="1061">
        <f t="shared" si="5"/>
        <v>300000</v>
      </c>
      <c r="R16" s="1062">
        <f t="shared" si="1"/>
        <v>0</v>
      </c>
      <c r="S16" s="499">
        <f t="shared" si="6"/>
        <v>46054</v>
      </c>
      <c r="T16" s="508" cm="1">
        <f t="array" aca="1" ref="T16" ca="1">SUMPRODUCT(($C$55:$C$175=U16)*(U$54:$AI$54&lt;=TODAY())*(ISNUMBER(U$56:$AI$176)),U$56:$AI$176)</f>
        <v>0</v>
      </c>
      <c r="U16" s="2043" t="str">
        <f t="shared" si="2"/>
        <v>22 - Redução de MOD CSR61015</v>
      </c>
      <c r="V16" s="2044"/>
      <c r="W16" s="2044"/>
      <c r="X16" s="2044"/>
      <c r="Y16" s="2045"/>
      <c r="Z16" s="1067">
        <f t="shared" si="3"/>
        <v>9.8964171916793298E-2</v>
      </c>
      <c r="AA16" s="1068">
        <f>Pareto!E80</f>
        <v>0.86639935540850865</v>
      </c>
      <c r="AB16" s="1068" cm="1">
        <f t="array" ref="AB16">IFERROR(INDEX($T$55:$T$144,MATCH(1,($AP$55:$AP$144=U16)*($S$55:$S$144="Previsto"), 0) ), "")</f>
        <v>1</v>
      </c>
      <c r="AC16" s="1068" cm="1">
        <f t="array" ref="AC16">IFERROR( INDEX($T$55:$T$144,MATCH(1,($AP$55:$AP$144=U16)*($S$55:$S$144="Real"),0)),"")</f>
        <v>1</v>
      </c>
      <c r="AD16" s="373" t="str">
        <f t="shared" ref="AD16" si="11">IF(OR(AB16="",AC16=""),"",IF(AC16=100%,"CONCLUÍDO",IF(AC16=0,IF(AB16=0,"PROJETO NÃO INICIADO","FALTA DE ACOMPANHAMENTO"),IF(AC16&gt;AB16,"ADIANTADO",IF(AC16=AB16,"CONFORME PLANEJADO","ATRASO")))))</f>
        <v>CONCLUÍDO</v>
      </c>
      <c r="AE16" s="1068">
        <v>1</v>
      </c>
      <c r="AG16" s="1040"/>
      <c r="AH16" s="1040"/>
      <c r="AI16" s="1040"/>
      <c r="AJ16" s="1040"/>
      <c r="AK16" s="1040"/>
      <c r="AL16" s="1040"/>
      <c r="AM16" s="1040"/>
      <c r="AN16" s="1040"/>
    </row>
    <row r="17" spans="1:40" ht="20.100000000000001" customHeight="1" x14ac:dyDescent="0.3">
      <c r="A17" s="1040"/>
      <c r="B17" s="1042"/>
      <c r="C17" s="1040"/>
      <c r="D17" s="1044"/>
      <c r="E17" s="1040"/>
      <c r="F17" s="1040" t="s">
        <v>99</v>
      </c>
      <c r="G17" s="1096">
        <f>SUMIF($B$55:$B$192,F17,$N$55:$N$192)</f>
        <v>89081.02</v>
      </c>
      <c r="H17" s="1040"/>
      <c r="I17" s="1040"/>
      <c r="J17" s="1040"/>
      <c r="K17" s="1040"/>
      <c r="L17" s="1040"/>
      <c r="M17" s="1040"/>
      <c r="N17" s="1040"/>
      <c r="O17" s="1069">
        <v>12</v>
      </c>
      <c r="P17" s="1070" t="str">
        <f t="shared" si="0"/>
        <v>BSW</v>
      </c>
      <c r="Q17" s="1071">
        <f t="shared" si="5"/>
        <v>102967</v>
      </c>
      <c r="R17" s="1072">
        <f t="shared" si="1"/>
        <v>0</v>
      </c>
      <c r="S17" s="500">
        <f t="shared" si="6"/>
        <v>46357</v>
      </c>
      <c r="T17" s="509" cm="1">
        <f t="array" aca="1" ref="T17" ca="1">SUMPRODUCT(($C$55:$C$175=U17)*(U$54:$AI$54&lt;=TODAY())*(ISNUMBER(U$56:$AI$176)),U$56:$AI$176)</f>
        <v>0</v>
      </c>
      <c r="U17" s="2046" t="str">
        <f t="shared" si="2"/>
        <v>19 - Redução da largura da bobina mãe do Curvão</v>
      </c>
      <c r="V17" s="2047"/>
      <c r="W17" s="2047"/>
      <c r="X17" s="2047"/>
      <c r="Y17" s="2048"/>
      <c r="Z17" s="1076">
        <f t="shared" si="3"/>
        <v>3.3966812965854853E-2</v>
      </c>
      <c r="AA17" s="1077">
        <f>Pareto!E81</f>
        <v>0.88484380043512856</v>
      </c>
      <c r="AB17" s="1077" cm="1">
        <f t="array" ref="AB17">IFERROR(INDEX($T$55:$T$144,MATCH(1,($AP$55:$AP$144=U17)*($S$55:$S$144="Previsto"), 0) ), "")</f>
        <v>0</v>
      </c>
      <c r="AC17" s="1077">
        <v>0.9</v>
      </c>
      <c r="AD17" s="374" t="str">
        <f t="shared" si="10"/>
        <v>ADIANTADO</v>
      </c>
      <c r="AE17" s="1077">
        <v>0.5</v>
      </c>
      <c r="AG17" s="1040"/>
      <c r="AH17" s="1040"/>
      <c r="AI17" s="1040"/>
      <c r="AJ17" s="1040"/>
      <c r="AK17" s="1040"/>
      <c r="AL17" s="1040"/>
      <c r="AM17" s="1040"/>
      <c r="AN17" s="1040"/>
    </row>
    <row r="18" spans="1:40" ht="20.100000000000001" customHeight="1" x14ac:dyDescent="0.3">
      <c r="A18" s="1040"/>
      <c r="B18" s="1042"/>
      <c r="C18" s="1040"/>
      <c r="D18" s="1044"/>
      <c r="E18" s="1040"/>
      <c r="F18" s="1040" t="s">
        <v>101</v>
      </c>
      <c r="G18" s="1096">
        <f>SUMIF($B$55:$B$192,F18,$N$55:$N$192)</f>
        <v>390000</v>
      </c>
      <c r="H18" s="1040"/>
      <c r="I18" s="1040"/>
      <c r="J18" s="1040"/>
      <c r="K18" s="1040"/>
      <c r="L18" s="1040"/>
      <c r="M18" s="1040"/>
      <c r="N18" s="1040"/>
      <c r="O18" s="1059">
        <v>13</v>
      </c>
      <c r="P18" s="1060" t="str">
        <f t="shared" si="0"/>
        <v>BSW</v>
      </c>
      <c r="Q18" s="1061">
        <f t="shared" si="5"/>
        <v>91444</v>
      </c>
      <c r="R18" s="1062">
        <f t="shared" si="1"/>
        <v>0</v>
      </c>
      <c r="S18" s="499">
        <f t="shared" si="6"/>
        <v>46235</v>
      </c>
      <c r="T18" s="508" cm="1">
        <f t="array" aca="1" ref="T18" ca="1">SUMPRODUCT(($C$55:$C$175=U18)*(U$54:$AI$54&lt;=TODAY())*(ISNUMBER(U$56:$AI$176)),U$56:$AI$176)</f>
        <v>0</v>
      </c>
      <c r="U18" s="2043" t="str">
        <f t="shared" si="2"/>
        <v xml:space="preserve">05 - Aplicar borda aparadas nas bobinas </v>
      </c>
      <c r="V18" s="2044"/>
      <c r="W18" s="2044"/>
      <c r="X18" s="2044"/>
      <c r="Y18" s="2045"/>
      <c r="Z18" s="1067">
        <f t="shared" si="3"/>
        <v>3.016559912253082E-2</v>
      </c>
      <c r="AA18" s="1068">
        <f>Pareto!E82</f>
        <v>0.90122413424124348</v>
      </c>
      <c r="AB18" s="1068" cm="1">
        <f t="array" ref="AB18">IFERROR(INDEX($T$55:$T$144,MATCH(1,($AP$55:$AP$144=U18)*($S$55:$S$144="Previsto"), 0) ), "")</f>
        <v>0.41666666666666669</v>
      </c>
      <c r="AC18" s="1068" cm="1">
        <f t="array" ref="AC18">IFERROR( INDEX($T$55:$T$144,MATCH(1,($AP$55:$AP$144=U18)*($S$55:$S$144="Real"),0)),"")</f>
        <v>0.33333333333333331</v>
      </c>
      <c r="AD18" s="373" t="str">
        <f t="shared" si="10"/>
        <v>ATRASO</v>
      </c>
      <c r="AE18" s="1068">
        <v>0.8</v>
      </c>
      <c r="AG18" s="1040"/>
      <c r="AH18" s="1040"/>
      <c r="AI18" s="1040"/>
      <c r="AJ18" s="1040"/>
      <c r="AK18" s="1040"/>
      <c r="AL18" s="1040"/>
      <c r="AM18" s="1040"/>
      <c r="AN18" s="1040"/>
    </row>
    <row r="19" spans="1:40" ht="20.100000000000001" customHeight="1" x14ac:dyDescent="0.3">
      <c r="A19" s="1040"/>
      <c r="B19" s="1042"/>
      <c r="C19" s="1040"/>
      <c r="D19" s="1044"/>
      <c r="E19" s="1040"/>
      <c r="F19" s="1040"/>
      <c r="G19" s="1040"/>
      <c r="H19" s="1040"/>
      <c r="I19" s="1040"/>
      <c r="J19" s="1040"/>
      <c r="K19" s="1040"/>
      <c r="L19" s="1040"/>
      <c r="M19" s="1040"/>
      <c r="N19" s="1040"/>
      <c r="O19" s="1069">
        <v>14</v>
      </c>
      <c r="P19" s="1070" t="str">
        <f t="shared" si="0"/>
        <v>BSW</v>
      </c>
      <c r="Q19" s="1071">
        <f t="shared" si="5"/>
        <v>90850</v>
      </c>
      <c r="R19" s="1072">
        <f t="shared" si="1"/>
        <v>165883.51999999999</v>
      </c>
      <c r="S19" s="500">
        <f t="shared" si="6"/>
        <v>46235</v>
      </c>
      <c r="T19" s="509" cm="1">
        <f t="array" aca="1" ref="T19" ca="1">SUMPRODUCT(($C$55:$C$175=U19)*(U$54:$AI$54&lt;=TODAY())*(ISNUMBER(U$56:$AI$176)),U$56:$AI$176)</f>
        <v>0</v>
      </c>
      <c r="U19" s="2046" t="str">
        <f t="shared" si="2"/>
        <v>24 - Redução de consumo de MTP China 1 porca (-10 mm)</v>
      </c>
      <c r="V19" s="2047"/>
      <c r="W19" s="2047"/>
      <c r="X19" s="2047"/>
      <c r="Y19" s="2048"/>
      <c r="Z19" s="1076">
        <f t="shared" si="3"/>
        <v>2.9969650062135568E-2</v>
      </c>
      <c r="AA19" s="1077">
        <f>Pareto!E83</f>
        <v>0.9174980650216723</v>
      </c>
      <c r="AB19" s="1077">
        <v>0.4</v>
      </c>
      <c r="AC19" s="1077">
        <v>0.4</v>
      </c>
      <c r="AD19" s="374" t="s">
        <v>927</v>
      </c>
      <c r="AE19" s="1077">
        <v>0</v>
      </c>
      <c r="AG19" s="1040"/>
      <c r="AH19" s="1040"/>
      <c r="AI19" s="1040"/>
      <c r="AJ19" s="1040"/>
      <c r="AK19" s="1040"/>
      <c r="AL19" s="1040"/>
      <c r="AM19" s="1040"/>
      <c r="AN19" s="1040"/>
    </row>
    <row r="20" spans="1:40" ht="20.100000000000001" customHeight="1" x14ac:dyDescent="0.3">
      <c r="A20" s="1040"/>
      <c r="B20" s="1042"/>
      <c r="C20" s="1040"/>
      <c r="D20" s="1044"/>
      <c r="E20" s="1040"/>
      <c r="F20" s="1040"/>
      <c r="G20" s="1040"/>
      <c r="H20" s="1040"/>
      <c r="I20" s="1040"/>
      <c r="J20" s="1040"/>
      <c r="K20" s="1040"/>
      <c r="L20" s="1040"/>
      <c r="M20" s="1040"/>
      <c r="N20" s="1040"/>
      <c r="O20" s="1059">
        <v>15</v>
      </c>
      <c r="P20" s="1060" t="str">
        <f t="shared" si="0"/>
        <v>BSW</v>
      </c>
      <c r="Q20" s="1061">
        <f t="shared" si="5"/>
        <v>75733</v>
      </c>
      <c r="R20" s="1062">
        <f t="shared" si="1"/>
        <v>0</v>
      </c>
      <c r="S20" s="499">
        <f t="shared" si="6"/>
        <v>46357</v>
      </c>
      <c r="T20" s="508" cm="1">
        <f t="array" aca="1" ref="T20" ca="1">SUMPRODUCT(($C$55:$C$175=U20)*(U$54:$AI$54&lt;=TODAY())*(ISNUMBER(U$56:$AI$176)),U$56:$AI$176)</f>
        <v>0</v>
      </c>
      <c r="U20" s="2043" t="str">
        <f t="shared" si="2"/>
        <v>04 - Redução da largura dos slitters</v>
      </c>
      <c r="V20" s="2044"/>
      <c r="W20" s="2044"/>
      <c r="X20" s="2044"/>
      <c r="Y20" s="2045"/>
      <c r="Z20" s="1067">
        <f t="shared" si="3"/>
        <v>2.4982845439248356E-2</v>
      </c>
      <c r="AA20" s="1068">
        <f>Pareto!E84</f>
        <v>0.93106409253729383</v>
      </c>
      <c r="AB20" s="1068" cm="1">
        <f t="array" ref="AB20">IFERROR(INDEX($T$55:$T$144,MATCH(1,($AP$55:$AP$144=U20)*($S$55:$S$144="Previsto"), 0) ), "")</f>
        <v>0.4</v>
      </c>
      <c r="AC20" s="1068" cm="1">
        <f t="array" ref="AC20">IFERROR( INDEX($T$55:$T$144,MATCH(1,($AP$55:$AP$144=U20)*($S$55:$S$144="Real"),0)),"")</f>
        <v>0.4</v>
      </c>
      <c r="AD20" s="373" t="str">
        <f t="shared" si="10"/>
        <v>CONFORME PLANEJADO</v>
      </c>
      <c r="AE20" s="1068">
        <v>0.5</v>
      </c>
      <c r="AG20" s="1040"/>
      <c r="AH20" s="1040"/>
      <c r="AI20" s="1040"/>
      <c r="AJ20" s="1040"/>
      <c r="AK20" s="1040"/>
      <c r="AL20" s="1040"/>
      <c r="AM20" s="1040"/>
      <c r="AN20" s="1040"/>
    </row>
    <row r="21" spans="1:40" ht="20.100000000000001" customHeight="1" x14ac:dyDescent="0.3">
      <c r="A21" s="1040"/>
      <c r="B21" s="1042"/>
      <c r="C21" s="1040"/>
      <c r="D21" s="1044"/>
      <c r="E21" s="1040"/>
      <c r="F21" s="1040"/>
      <c r="G21" s="1040"/>
      <c r="H21" s="1040"/>
      <c r="I21" s="1040"/>
      <c r="J21" s="1040"/>
      <c r="K21" s="1040"/>
      <c r="L21" s="1040"/>
      <c r="M21" s="1040"/>
      <c r="N21" s="1040"/>
      <c r="O21" s="1069">
        <v>16</v>
      </c>
      <c r="P21" s="1070" t="str">
        <f t="shared" si="0"/>
        <v>BSW</v>
      </c>
      <c r="Q21" s="1071">
        <f t="shared" si="5"/>
        <v>74000</v>
      </c>
      <c r="R21" s="1072">
        <f t="shared" si="1"/>
        <v>0</v>
      </c>
      <c r="S21" s="500">
        <f t="shared" si="6"/>
        <v>46266</v>
      </c>
      <c r="T21" s="509" cm="1">
        <f t="array" aca="1" ref="T21" ca="1">SUMPRODUCT(($C$55:$C$175=U21)*(U$54:$AI$54&lt;=TODAY())*(ISNUMBER(U$56:$AI$176)),U$56:$AI$176)</f>
        <v>0</v>
      </c>
      <c r="U21" s="2046" t="str">
        <f t="shared" si="2"/>
        <v>40 - Redução de disperdicio bobina.</v>
      </c>
      <c r="V21" s="2047"/>
      <c r="W21" s="2047"/>
      <c r="X21" s="2047"/>
      <c r="Y21" s="2048"/>
      <c r="Z21" s="1076">
        <f t="shared" si="3"/>
        <v>2.4411162406142346E-2</v>
      </c>
      <c r="AA21" s="1077">
        <f>Pareto!E85</f>
        <v>0.94431968832982804</v>
      </c>
      <c r="AB21" s="1077" cm="1">
        <f t="array" ref="AB21">IFERROR(INDEX($T$55:$T$144,MATCH(1,($AP$55:$AP$144=U21)*($S$55:$S$144="Previsto"), 0) ), "")</f>
        <v>0</v>
      </c>
      <c r="AC21" s="1077" cm="1">
        <f t="array" ref="AC21">IFERROR( INDEX($T$55:$T$144,MATCH(1,($AP$55:$AP$144=U21)*($S$55:$S$144="Real"),0)),"")</f>
        <v>0</v>
      </c>
      <c r="AD21" s="374" t="str">
        <f t="shared" si="10"/>
        <v>PROJETO NÃO INICIADO</v>
      </c>
      <c r="AE21" s="1077">
        <v>0</v>
      </c>
      <c r="AG21" s="1040"/>
      <c r="AH21" s="1040"/>
      <c r="AI21" s="1040"/>
      <c r="AJ21" s="1040"/>
      <c r="AK21" s="1040"/>
      <c r="AL21" s="1040"/>
      <c r="AM21" s="1040"/>
      <c r="AN21" s="1040"/>
    </row>
    <row r="22" spans="1:40" ht="20.100000000000001" customHeight="1" x14ac:dyDescent="0.3">
      <c r="A22" s="1040"/>
      <c r="B22" s="1042"/>
      <c r="C22" s="1040"/>
      <c r="D22" s="1044"/>
      <c r="E22" s="1040"/>
      <c r="F22" s="1040"/>
      <c r="G22" s="1040"/>
      <c r="H22" s="1040"/>
      <c r="I22" s="1040"/>
      <c r="J22" s="1040"/>
      <c r="K22" s="1040"/>
      <c r="L22" s="1040"/>
      <c r="M22" s="1040"/>
      <c r="N22" s="1040"/>
      <c r="O22" s="1059">
        <v>17</v>
      </c>
      <c r="P22" s="1060" t="str">
        <f t="shared" si="0"/>
        <v>Kaizen - Custo Evitado</v>
      </c>
      <c r="Q22" s="1061">
        <f t="shared" si="5"/>
        <v>50000</v>
      </c>
      <c r="R22" s="1062">
        <f t="shared" si="1"/>
        <v>0</v>
      </c>
      <c r="S22" s="499">
        <f t="shared" si="6"/>
        <v>46264</v>
      </c>
      <c r="T22" s="508" cm="1">
        <f t="array" aca="1" ref="T22" ca="1">SUMPRODUCT(($C$55:$C$175=U22)*(U$54:$AI$54&lt;=TODAY())*(ISNUMBER(U$56:$AI$176)),U$56:$AI$176)</f>
        <v>0</v>
      </c>
      <c r="U22" s="2043" t="str">
        <f t="shared" si="2"/>
        <v>34 - Iluminação em LED</v>
      </c>
      <c r="V22" s="2044"/>
      <c r="W22" s="2044"/>
      <c r="X22" s="2044"/>
      <c r="Y22" s="2045"/>
      <c r="Z22" s="1067">
        <f t="shared" si="3"/>
        <v>1.6494028652798882E-2</v>
      </c>
      <c r="AA22" s="1068">
        <f>Pareto!E86</f>
        <v>0.95327617197343228</v>
      </c>
      <c r="AB22" s="1068" t="str" cm="1">
        <f t="array" ref="AB22">IFERROR(INDEX($T$55:$T$144,MATCH(1,($AP$55:$AP$144=U22)*($S$55:$S$144="Previsto"), 0) ), "")</f>
        <v/>
      </c>
      <c r="AC22" s="1068" t="str" cm="1">
        <f t="array" ref="AC22">IFERROR( INDEX($T$55:$T$144,MATCH(1,($AP$55:$AP$144=U22)*($S$55:$S$144="Real"),0)),"")</f>
        <v/>
      </c>
      <c r="AD22" s="373" t="str">
        <f t="shared" si="10"/>
        <v/>
      </c>
      <c r="AE22" s="1068">
        <v>0</v>
      </c>
      <c r="AG22" s="1040"/>
      <c r="AH22" s="1040"/>
      <c r="AI22" s="1040"/>
      <c r="AJ22" s="1040"/>
      <c r="AK22" s="1040"/>
      <c r="AL22" s="1040"/>
      <c r="AM22" s="1040"/>
      <c r="AN22" s="1040"/>
    </row>
    <row r="23" spans="1:40" ht="20.100000000000001" customHeight="1" x14ac:dyDescent="0.3">
      <c r="A23" s="1040"/>
      <c r="B23" s="1042"/>
      <c r="C23" s="1040"/>
      <c r="D23" s="1044"/>
      <c r="E23" s="1040"/>
      <c r="F23" s="1040"/>
      <c r="G23" s="1040"/>
      <c r="H23" s="1040"/>
      <c r="I23" s="1040"/>
      <c r="J23" s="1040"/>
      <c r="K23" s="1040"/>
      <c r="L23" s="1040"/>
      <c r="M23" s="1040"/>
      <c r="N23" s="1040"/>
      <c r="O23" s="1069">
        <v>18</v>
      </c>
      <c r="P23" s="1070" t="str">
        <f t="shared" si="0"/>
        <v>BSW</v>
      </c>
      <c r="Q23" s="1071">
        <f t="shared" si="5"/>
        <v>47086</v>
      </c>
      <c r="R23" s="1072">
        <f t="shared" si="1"/>
        <v>60984.11</v>
      </c>
      <c r="S23" s="500">
        <f t="shared" si="6"/>
        <v>46235</v>
      </c>
      <c r="T23" s="509" cm="1">
        <f t="array" aca="1" ref="T23" ca="1">SUMPRODUCT(($C$55:$C$175=U23)*(U$54:$AI$54&lt;=TODAY())*(ISNUMBER(U$56:$AI$176)),U$56:$AI$176)</f>
        <v>0</v>
      </c>
      <c r="U23" s="2046" t="str">
        <f t="shared" si="2"/>
        <v>25 - Redução de consumo de MTP China 2 porca (-10 mm)</v>
      </c>
      <c r="V23" s="2047"/>
      <c r="W23" s="2047"/>
      <c r="X23" s="2047"/>
      <c r="Y23" s="2048"/>
      <c r="Z23" s="1076">
        <f t="shared" si="3"/>
        <v>1.5532756662913764E-2</v>
      </c>
      <c r="AA23" s="1077">
        <f>Pareto!E87</f>
        <v>0.96171067175028724</v>
      </c>
      <c r="AB23" s="1077" t="str" cm="1">
        <f t="array" ref="AB23">IFERROR(INDEX($T$55:$T$144,MATCH(1,($AP$55:$AP$144=U23)*($S$55:$S$144="Previsto"), 0) ), "")</f>
        <v/>
      </c>
      <c r="AC23" s="1077" t="str" cm="1">
        <f t="array" ref="AC23">IFERROR( INDEX($T$55:$T$144,MATCH(1,($AP$55:$AP$144=U23)*($S$55:$S$144="Real"),0)),"")</f>
        <v/>
      </c>
      <c r="AD23" s="374" t="str">
        <f t="shared" si="10"/>
        <v/>
      </c>
      <c r="AE23" s="1077">
        <v>0</v>
      </c>
      <c r="AG23" s="1040"/>
      <c r="AH23" s="1040"/>
      <c r="AI23" s="1040"/>
      <c r="AJ23" s="1040"/>
      <c r="AK23" s="1040"/>
      <c r="AL23" s="1040"/>
      <c r="AM23" s="1040"/>
      <c r="AN23" s="1040"/>
    </row>
    <row r="24" spans="1:40" ht="20.100000000000001" customHeight="1" x14ac:dyDescent="0.3">
      <c r="A24" s="1040"/>
      <c r="B24" s="1042"/>
      <c r="C24" s="1040"/>
      <c r="D24" s="1044"/>
      <c r="E24" s="1040"/>
      <c r="F24" s="1040"/>
      <c r="G24" s="1040"/>
      <c r="H24" s="1040"/>
      <c r="I24" s="1040"/>
      <c r="J24" s="1040"/>
      <c r="K24" s="1040"/>
      <c r="L24" s="1040"/>
      <c r="M24" s="1040"/>
      <c r="N24" s="1040"/>
      <c r="O24" s="1059">
        <v>19</v>
      </c>
      <c r="P24" s="1060" t="str">
        <f t="shared" si="0"/>
        <v>Redução de custo</v>
      </c>
      <c r="Q24" s="1061">
        <f t="shared" si="5"/>
        <v>44856</v>
      </c>
      <c r="R24" s="1062">
        <f t="shared" si="1"/>
        <v>62440</v>
      </c>
      <c r="S24" s="499">
        <f t="shared" si="6"/>
        <v>46174</v>
      </c>
      <c r="T24" s="508" cm="1">
        <f t="array" aca="1" ref="T24" ca="1">SUMPRODUCT(($C$55:$C$175=U24)*(U$54:$AI$54&lt;=TODAY())*(ISNUMBER(U$56:$AI$176)),U$56:$AI$176)</f>
        <v>62700</v>
      </c>
      <c r="U24" s="2043" t="str">
        <f t="shared" si="2"/>
        <v xml:space="preserve">38 - Venda de sucata </v>
      </c>
      <c r="V24" s="2044"/>
      <c r="W24" s="2044"/>
      <c r="X24" s="2044"/>
      <c r="Y24" s="2045"/>
      <c r="Z24" s="1067">
        <f t="shared" si="3"/>
        <v>1.4797122984998934E-2</v>
      </c>
      <c r="AA24" s="1068">
        <f>Pareto!E88</f>
        <v>0.96974571235663742</v>
      </c>
      <c r="AB24" s="1068" cm="1">
        <f t="array" ref="AB24">IFERROR(INDEX($T$55:$T$144,MATCH(1,($AP$55:$AP$144=U24)*($S$55:$S$144="Previsto"), 0) ), "")</f>
        <v>0</v>
      </c>
      <c r="AC24" s="1068" cm="1">
        <f t="array" ref="AC24">IFERROR( INDEX($T$55:$T$144,MATCH(1,($AP$55:$AP$144=U24)*($S$55:$S$144="Real"),0)),"")</f>
        <v>0</v>
      </c>
      <c r="AD24" s="373" t="str">
        <f t="shared" si="10"/>
        <v>PROJETO NÃO INICIADO</v>
      </c>
      <c r="AE24" s="1068">
        <v>0</v>
      </c>
      <c r="AG24" s="1040"/>
      <c r="AH24" s="1040"/>
      <c r="AI24" s="1040"/>
      <c r="AJ24" s="1040"/>
      <c r="AK24" s="1040"/>
      <c r="AL24" s="1040"/>
      <c r="AM24" s="1040"/>
      <c r="AN24" s="1040"/>
    </row>
    <row r="25" spans="1:40" ht="20.100000000000001" customHeight="1" x14ac:dyDescent="0.3">
      <c r="A25" s="1040"/>
      <c r="B25" s="1042"/>
      <c r="C25" s="1040"/>
      <c r="D25" s="1044"/>
      <c r="E25" s="1040"/>
      <c r="F25" s="1040"/>
      <c r="G25" s="1040"/>
      <c r="H25" s="1040"/>
      <c r="I25" s="1040"/>
      <c r="J25" s="1040"/>
      <c r="K25" s="1040"/>
      <c r="L25" s="1040"/>
      <c r="M25" s="1040"/>
      <c r="N25" s="1040"/>
      <c r="O25" s="1069">
        <v>20</v>
      </c>
      <c r="P25" s="1070" t="str">
        <f>_xlfn.XLOOKUP(U24,$C$55:$C$144,$A$55:$A$144)</f>
        <v>Redução de custo</v>
      </c>
      <c r="Q25" s="1071">
        <f t="shared" si="5"/>
        <v>40000.00088</v>
      </c>
      <c r="R25" s="1072">
        <f t="shared" si="1"/>
        <v>0</v>
      </c>
      <c r="S25" s="500">
        <f t="shared" si="6"/>
        <v>46235</v>
      </c>
      <c r="T25" s="509" cm="1">
        <f t="array" aca="1" ref="T25" ca="1">SUMPRODUCT(($C$55:$C$175=U25)*(U$54:$AI$54&lt;=TODAY())*(ISNUMBER(U$56:$AI$176)),U$56:$AI$176)</f>
        <v>0</v>
      </c>
      <c r="U25" s="2046" t="str">
        <f t="shared" si="2"/>
        <v>39 - Venda de sucata de cobre</v>
      </c>
      <c r="V25" s="2047"/>
      <c r="W25" s="2047"/>
      <c r="X25" s="2047"/>
      <c r="Y25" s="2048"/>
      <c r="Z25" s="1076">
        <f t="shared" si="3"/>
        <v>1.319522321253401E-2</v>
      </c>
      <c r="AA25" s="1077">
        <f>Pareto!E89</f>
        <v>0.97691089942915488</v>
      </c>
      <c r="AB25" s="1077" cm="1">
        <f t="array" ref="AB25">IFERROR(INDEX($T$55:$T$144,MATCH(1,($AP$55:$AP$144=U24)*($S$55:$S$144="Previsto"), 0) ), "")</f>
        <v>0</v>
      </c>
      <c r="AC25" s="1077" cm="1">
        <f t="array" ref="AC25">IFERROR( INDEX($T$55:$T$144,MATCH(1,($AP$55:$AP$144=U24)*($S$55:$S$144="Real"),0)),"")</f>
        <v>0</v>
      </c>
      <c r="AD25" s="374" t="str">
        <f t="shared" si="10"/>
        <v>PROJETO NÃO INICIADO</v>
      </c>
      <c r="AE25" s="1077"/>
      <c r="AG25" s="1040"/>
      <c r="AH25" s="1040"/>
      <c r="AI25" s="1040"/>
      <c r="AJ25" s="1040"/>
      <c r="AK25" s="1040"/>
      <c r="AL25" s="1040"/>
      <c r="AM25" s="1040"/>
      <c r="AN25" s="1040"/>
    </row>
    <row r="26" spans="1:40" ht="20.100000000000001" customHeight="1" x14ac:dyDescent="0.3">
      <c r="A26" s="1040"/>
      <c r="B26" s="1042"/>
      <c r="C26" s="1040"/>
      <c r="D26" s="1044"/>
      <c r="E26" s="1040"/>
      <c r="F26" s="1040"/>
      <c r="G26" s="1040"/>
      <c r="H26" s="1040"/>
      <c r="I26" s="1040"/>
      <c r="J26" s="1040"/>
      <c r="K26" s="1040"/>
      <c r="L26" s="1040"/>
      <c r="M26" s="1040"/>
      <c r="N26" s="1040"/>
      <c r="O26" s="2053" t="s">
        <v>149</v>
      </c>
      <c r="P26" s="2054"/>
      <c r="Q26" s="1097">
        <f>SUM(Q6:Q25)</f>
        <v>5453652.0039690007</v>
      </c>
      <c r="R26" s="1097">
        <f>SUM(R6:R25)</f>
        <v>2872358.02</v>
      </c>
      <c r="S26" s="1040"/>
      <c r="T26" s="1040"/>
      <c r="U26" s="1040"/>
      <c r="V26" s="1040"/>
      <c r="W26" s="1040"/>
      <c r="X26" s="1040"/>
      <c r="Y26" s="1040"/>
      <c r="Z26" s="1040"/>
      <c r="AA26" s="1040"/>
      <c r="AB26" s="1040"/>
      <c r="AC26" s="1040"/>
      <c r="AD26" s="1040"/>
      <c r="AE26" s="1040"/>
      <c r="AF26" s="1040"/>
      <c r="AG26" s="1040"/>
      <c r="AH26" s="1040"/>
      <c r="AI26" s="1040"/>
      <c r="AJ26" s="1040"/>
      <c r="AK26" s="1040"/>
      <c r="AL26" s="1040"/>
    </row>
    <row r="27" spans="1:40" x14ac:dyDescent="0.3">
      <c r="A27" s="1098" t="s">
        <v>150</v>
      </c>
      <c r="B27" s="1099"/>
      <c r="C27" s="1098"/>
      <c r="D27" s="1100"/>
      <c r="E27" s="1098"/>
      <c r="F27" s="1098"/>
      <c r="G27" s="1098"/>
      <c r="H27" s="1098"/>
      <c r="I27" s="1098"/>
      <c r="J27" s="1098"/>
      <c r="K27" s="1098"/>
      <c r="L27" s="1098"/>
      <c r="M27" s="1098"/>
      <c r="N27" s="1098"/>
      <c r="O27" s="1098"/>
      <c r="P27" s="1098"/>
      <c r="Q27" s="1098"/>
      <c r="R27" s="1098"/>
      <c r="S27" s="1098"/>
      <c r="T27" s="1098"/>
      <c r="U27" s="1098"/>
      <c r="V27" s="1098"/>
      <c r="W27" s="1098"/>
      <c r="X27" s="1098"/>
      <c r="Y27" s="1098"/>
      <c r="Z27" s="1098"/>
      <c r="AA27" s="1098"/>
      <c r="AB27" s="1098"/>
      <c r="AC27" s="1098"/>
      <c r="AD27" s="1098"/>
      <c r="AE27" s="1098"/>
      <c r="AF27" s="1040"/>
      <c r="AG27" s="1040"/>
      <c r="AH27" s="1040"/>
      <c r="AI27" s="1040"/>
      <c r="AJ27" s="1040"/>
      <c r="AK27" s="1040"/>
      <c r="AL27" s="1040"/>
    </row>
    <row r="28" spans="1:40" x14ac:dyDescent="0.3">
      <c r="A28" s="1101" t="s">
        <v>151</v>
      </c>
      <c r="B28" s="1102" t="s">
        <v>31</v>
      </c>
      <c r="C28" s="1103" t="s">
        <v>152</v>
      </c>
      <c r="D28" s="1103" t="s">
        <v>153</v>
      </c>
      <c r="E28" s="1104" t="s">
        <v>154</v>
      </c>
      <c r="F28" s="1103" t="s">
        <v>155</v>
      </c>
      <c r="G28" s="1105" t="s">
        <v>156</v>
      </c>
      <c r="H28" s="1106" t="s">
        <v>157</v>
      </c>
      <c r="I28" s="1107" t="s">
        <v>158</v>
      </c>
      <c r="J28" s="1103" t="s">
        <v>159</v>
      </c>
      <c r="K28" s="1107" t="s">
        <v>160</v>
      </c>
      <c r="L28" s="1103" t="s">
        <v>161</v>
      </c>
      <c r="M28" s="1107" t="s">
        <v>162</v>
      </c>
      <c r="N28" s="1103" t="s">
        <v>163</v>
      </c>
      <c r="O28" s="1107" t="s">
        <v>164</v>
      </c>
      <c r="P28" s="1103" t="s">
        <v>165</v>
      </c>
      <c r="Q28" s="1107" t="s">
        <v>166</v>
      </c>
      <c r="R28" s="1103" t="s">
        <v>167</v>
      </c>
      <c r="S28" s="1107" t="s">
        <v>168</v>
      </c>
      <c r="T28" s="1103" t="s">
        <v>169</v>
      </c>
      <c r="U28" s="1107" t="s">
        <v>170</v>
      </c>
      <c r="V28" s="1103" t="s">
        <v>171</v>
      </c>
      <c r="W28" s="1107" t="s">
        <v>172</v>
      </c>
      <c r="X28" s="1103" t="s">
        <v>173</v>
      </c>
      <c r="Y28" s="1107" t="s">
        <v>174</v>
      </c>
      <c r="Z28" s="1103" t="s">
        <v>175</v>
      </c>
      <c r="AA28" s="1107" t="s">
        <v>176</v>
      </c>
      <c r="AB28" s="1103" t="s">
        <v>177</v>
      </c>
      <c r="AC28" s="1107" t="s">
        <v>178</v>
      </c>
      <c r="AD28" s="1103" t="s">
        <v>179</v>
      </c>
      <c r="AE28" s="1108" t="s">
        <v>180</v>
      </c>
      <c r="AF28" s="1040"/>
      <c r="AG28" s="1040"/>
      <c r="AH28" s="1040"/>
      <c r="AI28" s="1040"/>
      <c r="AJ28" s="1040"/>
      <c r="AK28" s="1040"/>
      <c r="AL28" s="1040"/>
    </row>
    <row r="29" spans="1:40" x14ac:dyDescent="0.3">
      <c r="A29" s="1109" t="s">
        <v>181</v>
      </c>
      <c r="B29" s="1110" t="s">
        <v>182</v>
      </c>
      <c r="C29" s="1110" t="s">
        <v>183</v>
      </c>
      <c r="D29" s="1111" t="s">
        <v>184</v>
      </c>
      <c r="E29" s="1112" t="s">
        <v>928</v>
      </c>
      <c r="F29" s="1113">
        <v>0.36599999999999999</v>
      </c>
      <c r="G29" s="1114">
        <v>0.36699999999999999</v>
      </c>
      <c r="H29" s="1115">
        <v>0.372</v>
      </c>
      <c r="I29" s="1116" t="s">
        <v>186</v>
      </c>
      <c r="J29" s="1117">
        <v>0.32700000000000001</v>
      </c>
      <c r="K29" s="1116" t="s">
        <v>186</v>
      </c>
      <c r="L29" s="1114">
        <v>0.35799999999999998</v>
      </c>
      <c r="M29" s="1116" t="s">
        <v>186</v>
      </c>
      <c r="N29" s="1114">
        <v>0.38</v>
      </c>
      <c r="O29" s="1116" t="s">
        <v>186</v>
      </c>
      <c r="P29" s="1114">
        <v>0.41099999999999998</v>
      </c>
      <c r="Q29" s="1116" t="s">
        <v>186</v>
      </c>
      <c r="R29" s="1114">
        <v>0.372</v>
      </c>
      <c r="S29" s="1116" t="s">
        <v>186</v>
      </c>
      <c r="T29" s="1114">
        <v>0.36799999999999999</v>
      </c>
      <c r="U29" s="1111"/>
      <c r="V29" s="1315"/>
      <c r="W29" s="1111"/>
      <c r="X29" s="1315"/>
      <c r="Y29" s="1118"/>
      <c r="Z29" s="1316" t="str">
        <f>[14]Indicadores!$AS$11</f>
        <v/>
      </c>
      <c r="AA29" s="1118"/>
      <c r="AB29" s="1316" t="str">
        <f>[14]Indicadores!$AT$11</f>
        <v/>
      </c>
      <c r="AC29" s="1118"/>
      <c r="AD29" s="1316">
        <f>[14]Indicadores!$AU$139</f>
        <v>0</v>
      </c>
      <c r="AE29" s="1119"/>
      <c r="AF29" s="1040"/>
      <c r="AG29" s="1040"/>
      <c r="AH29" s="1040"/>
      <c r="AI29" s="1040"/>
      <c r="AJ29" s="1040"/>
      <c r="AK29" s="1040"/>
      <c r="AL29" s="1040"/>
    </row>
    <row r="30" spans="1:40" x14ac:dyDescent="0.3">
      <c r="A30" s="1109" t="s">
        <v>181</v>
      </c>
      <c r="B30" s="1110" t="s">
        <v>187</v>
      </c>
      <c r="C30" s="1110" t="s">
        <v>183</v>
      </c>
      <c r="D30" s="1110" t="s">
        <v>192</v>
      </c>
      <c r="E30" s="1120" t="s">
        <v>929</v>
      </c>
      <c r="F30" s="1121">
        <v>3.7000000000000002E-3</v>
      </c>
      <c r="G30" s="1122">
        <v>2E-3</v>
      </c>
      <c r="H30" s="1121">
        <v>2.8E-3</v>
      </c>
      <c r="I30" s="1123" t="s">
        <v>930</v>
      </c>
      <c r="J30" s="1124">
        <v>23595.82</v>
      </c>
      <c r="K30" s="1123" t="s">
        <v>930</v>
      </c>
      <c r="L30" s="1124">
        <v>66468.61</v>
      </c>
      <c r="M30" s="1123" t="s">
        <v>930</v>
      </c>
      <c r="N30" s="1124">
        <v>42764.61</v>
      </c>
      <c r="O30" s="1123" t="s">
        <v>930</v>
      </c>
      <c r="P30" s="1124">
        <v>42189.13</v>
      </c>
      <c r="Q30" s="1123" t="s">
        <v>930</v>
      </c>
      <c r="R30" s="1124">
        <v>41643.07</v>
      </c>
      <c r="S30" s="1123" t="s">
        <v>930</v>
      </c>
      <c r="T30" s="1321">
        <f>[14]Indicadores!$AP$46</f>
        <v>0</v>
      </c>
      <c r="U30" s="1110"/>
      <c r="V30" s="1310"/>
      <c r="W30" s="1110"/>
      <c r="X30" s="1310"/>
      <c r="Y30" s="1110"/>
      <c r="Z30" s="1310" t="str">
        <f>[14]Indicadores!$AS$11</f>
        <v/>
      </c>
      <c r="AA30" s="1110"/>
      <c r="AB30" s="1310" t="str">
        <f>[14]Indicadores!$AT$11</f>
        <v/>
      </c>
      <c r="AC30" s="1110"/>
      <c r="AD30" s="1310">
        <f>[14]Indicadores!$AU$139</f>
        <v>0</v>
      </c>
      <c r="AE30" s="1125"/>
      <c r="AF30" s="1040"/>
      <c r="AG30" s="1040"/>
      <c r="AH30" s="1040"/>
      <c r="AI30" s="1040"/>
      <c r="AJ30" s="1040"/>
      <c r="AK30" s="1040"/>
      <c r="AL30" s="1040"/>
    </row>
    <row r="31" spans="1:40" x14ac:dyDescent="0.3">
      <c r="A31" s="1109" t="s">
        <v>190</v>
      </c>
      <c r="B31" s="1110" t="s">
        <v>931</v>
      </c>
      <c r="C31" s="1110" t="s">
        <v>183</v>
      </c>
      <c r="D31" s="1110" t="s">
        <v>192</v>
      </c>
      <c r="E31" s="1120" t="s">
        <v>928</v>
      </c>
      <c r="F31" s="1122">
        <v>0.53700000000000003</v>
      </c>
      <c r="G31" s="1122" t="s">
        <v>932</v>
      </c>
      <c r="H31" s="1126">
        <v>0.41799999999999998</v>
      </c>
      <c r="I31" s="1123" t="s">
        <v>933</v>
      </c>
      <c r="J31" s="1127">
        <v>0.72399999999999998</v>
      </c>
      <c r="K31" s="1123" t="s">
        <v>933</v>
      </c>
      <c r="L31" s="1122">
        <v>0.54100000000000004</v>
      </c>
      <c r="M31" s="1123" t="s">
        <v>933</v>
      </c>
      <c r="N31" s="1122">
        <v>0.58199999999999996</v>
      </c>
      <c r="O31" s="1123" t="s">
        <v>933</v>
      </c>
      <c r="P31" s="1122">
        <v>0.63100000000000001</v>
      </c>
      <c r="Q31" s="1123" t="s">
        <v>933</v>
      </c>
      <c r="R31" s="1122">
        <v>0.64370000000000005</v>
      </c>
      <c r="S31" s="1123" t="s">
        <v>933</v>
      </c>
      <c r="T31" s="1322">
        <v>0</v>
      </c>
      <c r="U31" s="1110"/>
      <c r="V31" s="1310"/>
      <c r="W31" s="1110"/>
      <c r="X31" s="1310"/>
      <c r="Y31" s="1128"/>
      <c r="Z31" s="1313">
        <f>[14]Indicadores!$AS$139</f>
        <v>0</v>
      </c>
      <c r="AA31" s="1128"/>
      <c r="AB31" s="1313">
        <f>[14]Indicadores!$AT$139</f>
        <v>0</v>
      </c>
      <c r="AC31" s="1128"/>
      <c r="AD31" s="1313">
        <f>[14]Indicadores!$AU$139</f>
        <v>0</v>
      </c>
      <c r="AE31" s="1129"/>
      <c r="AF31" s="1040"/>
      <c r="AG31" s="1040"/>
      <c r="AH31" s="1040"/>
      <c r="AI31" s="1040"/>
      <c r="AJ31" s="1040"/>
      <c r="AK31" s="1040"/>
      <c r="AL31" s="1040"/>
    </row>
    <row r="32" spans="1:40" x14ac:dyDescent="0.3">
      <c r="A32" s="1109" t="s">
        <v>190</v>
      </c>
      <c r="B32" s="1110" t="s">
        <v>934</v>
      </c>
      <c r="C32" s="1110" t="s">
        <v>183</v>
      </c>
      <c r="D32" s="1110" t="s">
        <v>192</v>
      </c>
      <c r="E32" s="1120" t="s">
        <v>928</v>
      </c>
      <c r="F32" s="1122">
        <v>0.74080000000000001</v>
      </c>
      <c r="G32" s="1122">
        <v>0.77</v>
      </c>
      <c r="H32" s="1122">
        <v>0.71199999999999997</v>
      </c>
      <c r="I32" s="1123" t="s">
        <v>935</v>
      </c>
      <c r="J32" s="1130">
        <v>76.900000000000006</v>
      </c>
      <c r="K32" s="1123" t="s">
        <v>935</v>
      </c>
      <c r="L32" s="1122">
        <v>0.77</v>
      </c>
      <c r="M32" s="1123" t="s">
        <v>935</v>
      </c>
      <c r="N32" s="1122">
        <v>0.74</v>
      </c>
      <c r="O32" s="1123" t="s">
        <v>935</v>
      </c>
      <c r="P32" s="1122" t="s">
        <v>936</v>
      </c>
      <c r="Q32" s="1123" t="s">
        <v>935</v>
      </c>
      <c r="R32" s="1122">
        <v>0.64370000000000005</v>
      </c>
      <c r="S32" s="1123" t="s">
        <v>935</v>
      </c>
      <c r="T32" s="1322">
        <v>0</v>
      </c>
      <c r="U32" s="1110"/>
      <c r="V32" s="1310"/>
      <c r="W32" s="1110"/>
      <c r="X32" s="1310"/>
      <c r="Y32" s="1110"/>
      <c r="Z32" s="1310" t="str">
        <f>[14]Indicadores!$AS$11</f>
        <v/>
      </c>
      <c r="AA32" s="1110"/>
      <c r="AB32" s="1310" t="str">
        <f>[14]Indicadores!$AT$11</f>
        <v/>
      </c>
      <c r="AC32" s="1110"/>
      <c r="AD32" s="1310">
        <f>[14]Indicadores!$AU$139</f>
        <v>0</v>
      </c>
      <c r="AE32" s="1125"/>
      <c r="AF32" s="1040"/>
      <c r="AG32" s="1040"/>
      <c r="AH32" s="1040"/>
      <c r="AI32" s="1040"/>
      <c r="AJ32" s="1040"/>
      <c r="AK32" s="1040"/>
      <c r="AL32" s="1040"/>
    </row>
    <row r="33" spans="1:38" x14ac:dyDescent="0.3">
      <c r="A33" s="1109" t="s">
        <v>190</v>
      </c>
      <c r="B33" s="1110" t="s">
        <v>937</v>
      </c>
      <c r="C33" s="1110" t="s">
        <v>183</v>
      </c>
      <c r="D33" s="1110" t="s">
        <v>192</v>
      </c>
      <c r="E33" s="1120" t="s">
        <v>928</v>
      </c>
      <c r="F33" s="1122">
        <v>0.88070000000000004</v>
      </c>
      <c r="G33" s="1122">
        <v>0.86599999999999999</v>
      </c>
      <c r="H33" s="1126">
        <v>0.82369999999999999</v>
      </c>
      <c r="I33" s="1123" t="s">
        <v>935</v>
      </c>
      <c r="J33" s="1127">
        <v>0.84770000000000001</v>
      </c>
      <c r="K33" s="1123" t="s">
        <v>935</v>
      </c>
      <c r="L33" s="1122">
        <v>0.84770000000000001</v>
      </c>
      <c r="M33" s="1123" t="s">
        <v>935</v>
      </c>
      <c r="N33" s="1122">
        <v>0.75329999999999997</v>
      </c>
      <c r="O33" s="1123" t="s">
        <v>935</v>
      </c>
      <c r="P33" s="1122">
        <v>0.89539999999999997</v>
      </c>
      <c r="Q33" s="1123" t="s">
        <v>935</v>
      </c>
      <c r="R33" s="1122">
        <v>0.83</v>
      </c>
      <c r="S33" s="1123" t="s">
        <v>935</v>
      </c>
      <c r="T33" s="1322">
        <v>0</v>
      </c>
      <c r="U33" s="1110"/>
      <c r="V33" s="1310"/>
      <c r="W33" s="1110"/>
      <c r="X33" s="1310"/>
      <c r="Y33" s="1110"/>
      <c r="Z33" s="1310" t="str">
        <f>[14]Indicadores!$AS$11</f>
        <v/>
      </c>
      <c r="AA33" s="1110"/>
      <c r="AB33" s="1310" t="str">
        <f>[14]Indicadores!$AT$11</f>
        <v/>
      </c>
      <c r="AC33" s="1110"/>
      <c r="AD33" s="1310">
        <f>[14]Indicadores!$AU$139</f>
        <v>0</v>
      </c>
      <c r="AE33" s="1125"/>
      <c r="AF33" s="1040"/>
      <c r="AG33" s="1040"/>
      <c r="AH33" s="1040"/>
      <c r="AI33" s="1040"/>
      <c r="AJ33" s="1040"/>
      <c r="AK33" s="1040"/>
      <c r="AL33" s="1040"/>
    </row>
    <row r="34" spans="1:38" x14ac:dyDescent="0.3">
      <c r="A34" s="1109" t="s">
        <v>190</v>
      </c>
      <c r="B34" s="1110" t="s">
        <v>217</v>
      </c>
      <c r="C34" s="1110" t="s">
        <v>183</v>
      </c>
      <c r="D34" s="1110" t="s">
        <v>192</v>
      </c>
      <c r="E34" s="1120" t="s">
        <v>928</v>
      </c>
      <c r="F34" s="1122" t="s">
        <v>309</v>
      </c>
      <c r="G34" s="1122" t="s">
        <v>309</v>
      </c>
      <c r="H34" s="1123" t="s">
        <v>309</v>
      </c>
      <c r="I34" s="1123" t="s">
        <v>309</v>
      </c>
      <c r="J34" s="1131" t="s">
        <v>309</v>
      </c>
      <c r="K34" s="1123" t="s">
        <v>309</v>
      </c>
      <c r="L34" s="1123" t="s">
        <v>309</v>
      </c>
      <c r="M34" s="1123" t="s">
        <v>309</v>
      </c>
      <c r="N34" s="1123" t="s">
        <v>309</v>
      </c>
      <c r="O34" s="1123" t="s">
        <v>309</v>
      </c>
      <c r="P34" s="1123" t="s">
        <v>309</v>
      </c>
      <c r="Q34" s="1123" t="s">
        <v>309</v>
      </c>
      <c r="R34" s="1123" t="s">
        <v>309</v>
      </c>
      <c r="S34" s="1123" t="s">
        <v>309</v>
      </c>
      <c r="T34" s="1123" t="s">
        <v>309</v>
      </c>
      <c r="U34" s="1110"/>
      <c r="V34" s="1310"/>
      <c r="W34" s="1110"/>
      <c r="X34" s="1310"/>
      <c r="Y34" s="1110"/>
      <c r="Z34" s="1310" t="str">
        <f>[14]Indicadores!$AS$11</f>
        <v/>
      </c>
      <c r="AA34" s="1110"/>
      <c r="AB34" s="1310" t="str">
        <f>[14]Indicadores!$AT$11</f>
        <v/>
      </c>
      <c r="AC34" s="1110"/>
      <c r="AD34" s="1310">
        <f>[14]Indicadores!$AU$139</f>
        <v>0</v>
      </c>
      <c r="AE34" s="1125"/>
      <c r="AF34" s="1040"/>
      <c r="AG34" s="1040"/>
      <c r="AH34" s="1040"/>
      <c r="AI34" s="1040"/>
      <c r="AJ34" s="1040"/>
      <c r="AK34" s="1040"/>
      <c r="AL34" s="1040"/>
    </row>
    <row r="35" spans="1:38" x14ac:dyDescent="0.3">
      <c r="A35" s="1109" t="s">
        <v>190</v>
      </c>
      <c r="B35" s="1110" t="s">
        <v>938</v>
      </c>
      <c r="C35" s="1110" t="s">
        <v>183</v>
      </c>
      <c r="D35" s="1110" t="s">
        <v>192</v>
      </c>
      <c r="E35" s="1120" t="s">
        <v>928</v>
      </c>
      <c r="F35" s="1122">
        <v>0.63790000000000002</v>
      </c>
      <c r="G35" s="1132">
        <v>86.6</v>
      </c>
      <c r="H35" s="1126">
        <v>0.83189999999999997</v>
      </c>
      <c r="I35" s="1123" t="s">
        <v>933</v>
      </c>
      <c r="J35" s="1127">
        <v>0.85399999999999998</v>
      </c>
      <c r="K35" s="1123" t="s">
        <v>933</v>
      </c>
      <c r="L35" s="1122">
        <v>0.80430000000000001</v>
      </c>
      <c r="M35" s="1123" t="s">
        <v>933</v>
      </c>
      <c r="N35" s="1122">
        <v>0.78469999999999995</v>
      </c>
      <c r="O35" s="1123" t="s">
        <v>933</v>
      </c>
      <c r="P35" s="1122">
        <v>0.70469999999999999</v>
      </c>
      <c r="Q35" s="1123" t="s">
        <v>933</v>
      </c>
      <c r="R35" s="1122" t="s">
        <v>939</v>
      </c>
      <c r="S35" s="1123" t="s">
        <v>933</v>
      </c>
      <c r="T35" s="1320">
        <v>0</v>
      </c>
      <c r="U35" s="1110"/>
      <c r="V35" s="1310"/>
      <c r="W35" s="1110"/>
      <c r="X35" s="1310"/>
      <c r="Y35" s="1128"/>
      <c r="Z35" s="1313" t="str">
        <f>[14]Indicadores!$AS$11</f>
        <v/>
      </c>
      <c r="AA35" s="1128"/>
      <c r="AB35" s="1313" t="str">
        <f>[14]Indicadores!$AT$11</f>
        <v/>
      </c>
      <c r="AC35" s="1128"/>
      <c r="AD35" s="1313">
        <f>[14]Indicadores!$AU$139</f>
        <v>0</v>
      </c>
      <c r="AE35" s="1129"/>
      <c r="AF35" s="1040"/>
      <c r="AG35" s="1040"/>
      <c r="AH35" s="1040"/>
      <c r="AI35" s="1040"/>
      <c r="AJ35" s="1040"/>
      <c r="AK35" s="1040"/>
      <c r="AL35" s="1040"/>
    </row>
    <row r="36" spans="1:38" x14ac:dyDescent="0.3">
      <c r="A36" s="1109" t="s">
        <v>190</v>
      </c>
      <c r="B36" s="1110" t="s">
        <v>201</v>
      </c>
      <c r="C36" s="1110" t="s">
        <v>202</v>
      </c>
      <c r="D36" s="1110" t="s">
        <v>192</v>
      </c>
      <c r="E36" s="1120" t="s">
        <v>928</v>
      </c>
      <c r="F36" s="1133">
        <v>8.499305555555555</v>
      </c>
      <c r="G36" s="1133">
        <v>8.3333333333333339</v>
      </c>
      <c r="H36" s="1134">
        <v>6.0243055555555554</v>
      </c>
      <c r="I36" s="1123" t="s">
        <v>940</v>
      </c>
      <c r="J36" s="1135">
        <v>6.3715277777777777</v>
      </c>
      <c r="K36" s="1123" t="s">
        <v>309</v>
      </c>
      <c r="L36" s="1134">
        <v>10.325694444444444</v>
      </c>
      <c r="M36" s="1123" t="s">
        <v>309</v>
      </c>
      <c r="N36" s="1134">
        <v>11.924305555555556</v>
      </c>
      <c r="O36" s="1123" t="s">
        <v>309</v>
      </c>
      <c r="P36" s="1134">
        <v>10.704166666666667</v>
      </c>
      <c r="Q36" s="1123" t="s">
        <v>309</v>
      </c>
      <c r="R36" s="1134">
        <v>12.78888888888889</v>
      </c>
      <c r="S36" s="1123" t="s">
        <v>309</v>
      </c>
      <c r="T36" s="1134">
        <v>10.458333333333334</v>
      </c>
      <c r="U36" s="1110"/>
      <c r="V36" s="1310"/>
      <c r="W36" s="1110"/>
      <c r="X36" s="1310"/>
      <c r="Y36" s="1110"/>
      <c r="Z36" s="1310" t="str">
        <f>[14]Indicadores!$AS$11</f>
        <v/>
      </c>
      <c r="AA36" s="1110"/>
      <c r="AB36" s="1310" t="str">
        <f>[14]Indicadores!$AT$11</f>
        <v/>
      </c>
      <c r="AC36" s="1110"/>
      <c r="AD36" s="1310">
        <f>[14]Indicadores!$AU$139</f>
        <v>0</v>
      </c>
      <c r="AE36" s="1125"/>
      <c r="AF36" s="1040"/>
      <c r="AG36" s="1040"/>
      <c r="AH36" s="1040"/>
      <c r="AI36" s="1040"/>
      <c r="AJ36" s="1040"/>
      <c r="AK36" s="1040"/>
      <c r="AL36" s="1040"/>
    </row>
    <row r="37" spans="1:38" x14ac:dyDescent="0.3">
      <c r="A37" s="1109" t="s">
        <v>190</v>
      </c>
      <c r="B37" s="1110" t="s">
        <v>206</v>
      </c>
      <c r="C37" s="1110" t="s">
        <v>202</v>
      </c>
      <c r="D37" s="1110" t="s">
        <v>192</v>
      </c>
      <c r="E37" s="1120" t="s">
        <v>929</v>
      </c>
      <c r="F37" s="1136">
        <v>2.0833333333333332E-2</v>
      </c>
      <c r="G37" s="1136">
        <v>3.4722222222222224E-2</v>
      </c>
      <c r="H37" s="1137">
        <v>2.0833333333333332E-2</v>
      </c>
      <c r="I37" s="1123" t="s">
        <v>309</v>
      </c>
      <c r="J37" s="1138">
        <v>2.013888888888889E-2</v>
      </c>
      <c r="K37" s="1123" t="s">
        <v>309</v>
      </c>
      <c r="L37" s="1134">
        <v>1.7361111111111112E-2</v>
      </c>
      <c r="M37" s="1123" t="s">
        <v>309</v>
      </c>
      <c r="N37" s="1134">
        <v>1.8055555555555554E-2</v>
      </c>
      <c r="O37" s="1123" t="s">
        <v>309</v>
      </c>
      <c r="P37" s="1134">
        <v>2.2222222222222223E-2</v>
      </c>
      <c r="Q37" s="1123" t="s">
        <v>309</v>
      </c>
      <c r="R37" s="1134">
        <v>2.4305555555555556E-2</v>
      </c>
      <c r="S37" s="1123" t="s">
        <v>309</v>
      </c>
      <c r="T37" s="1134">
        <v>1.8055555555555554E-2</v>
      </c>
      <c r="U37" s="1110"/>
      <c r="V37" s="1310"/>
      <c r="W37" s="1110"/>
      <c r="X37" s="1310"/>
      <c r="Y37" s="1128"/>
      <c r="Z37" s="1313" t="str">
        <f>[14]Indicadores!$AS$11</f>
        <v/>
      </c>
      <c r="AA37" s="1128"/>
      <c r="AB37" s="1313" t="str">
        <f>[14]Indicadores!$AT$11</f>
        <v/>
      </c>
      <c r="AC37" s="1128"/>
      <c r="AD37" s="1313">
        <f>[14]Indicadores!$AU$139</f>
        <v>0</v>
      </c>
      <c r="AE37" s="1129"/>
      <c r="AF37" s="1040"/>
      <c r="AG37" s="1040"/>
      <c r="AH37" s="1040"/>
      <c r="AI37" s="1040"/>
      <c r="AJ37" s="1040"/>
      <c r="AK37" s="1040"/>
      <c r="AL37" s="1040"/>
    </row>
    <row r="38" spans="1:38" x14ac:dyDescent="0.3">
      <c r="A38" s="1109" t="s">
        <v>190</v>
      </c>
      <c r="B38" s="1110" t="s">
        <v>211</v>
      </c>
      <c r="C38" s="1110" t="s">
        <v>212</v>
      </c>
      <c r="D38" s="1139" t="s">
        <v>192</v>
      </c>
      <c r="E38" s="1120" t="s">
        <v>929</v>
      </c>
      <c r="F38" s="1140">
        <v>785490</v>
      </c>
      <c r="G38" s="1141">
        <v>421705</v>
      </c>
      <c r="H38" s="1142">
        <v>100336.44</v>
      </c>
      <c r="I38" s="1123" t="s">
        <v>935</v>
      </c>
      <c r="J38" s="1143">
        <v>32904</v>
      </c>
      <c r="K38" s="1123" t="s">
        <v>935</v>
      </c>
      <c r="L38" s="1140">
        <v>40106</v>
      </c>
      <c r="M38" s="1123" t="s">
        <v>935</v>
      </c>
      <c r="N38" s="1140">
        <v>83345.63</v>
      </c>
      <c r="O38" s="1123" t="s">
        <v>935</v>
      </c>
      <c r="P38" s="1140">
        <v>102906.25</v>
      </c>
      <c r="Q38" s="1123" t="s">
        <v>935</v>
      </c>
      <c r="R38" s="1140" t="s">
        <v>941</v>
      </c>
      <c r="S38" s="1123" t="s">
        <v>935</v>
      </c>
      <c r="T38" s="1323"/>
      <c r="U38" s="1110"/>
      <c r="V38" s="1310"/>
      <c r="W38" s="1110"/>
      <c r="X38" s="1310"/>
      <c r="Y38" s="1110"/>
      <c r="Z38" s="1310" t="str">
        <f>[14]Indicadores!$AS$11</f>
        <v/>
      </c>
      <c r="AA38" s="1110"/>
      <c r="AB38" s="1310" t="str">
        <f>[14]Indicadores!$AT$11</f>
        <v/>
      </c>
      <c r="AC38" s="1110"/>
      <c r="AD38" s="1310">
        <f>[14]Indicadores!$AU$139</f>
        <v>0</v>
      </c>
      <c r="AE38" s="1125"/>
      <c r="AF38" s="1040"/>
      <c r="AG38" s="1040"/>
      <c r="AH38" s="1040"/>
      <c r="AI38" s="1040"/>
      <c r="AJ38" s="1040"/>
      <c r="AK38" s="1040"/>
      <c r="AL38" s="1040"/>
    </row>
    <row r="39" spans="1:38" x14ac:dyDescent="0.3">
      <c r="A39" s="1109" t="s">
        <v>190</v>
      </c>
      <c r="B39" s="1110" t="s">
        <v>213</v>
      </c>
      <c r="C39" s="1110" t="s">
        <v>212</v>
      </c>
      <c r="D39" s="1110" t="s">
        <v>192</v>
      </c>
      <c r="E39" s="1120" t="s">
        <v>929</v>
      </c>
      <c r="F39" s="1140">
        <v>11267</v>
      </c>
      <c r="G39" s="1142">
        <v>-129647</v>
      </c>
      <c r="H39" s="1144">
        <v>12008</v>
      </c>
      <c r="I39" s="1123"/>
      <c r="J39" s="1143">
        <v>12431</v>
      </c>
      <c r="K39" s="1123"/>
      <c r="L39" s="1140">
        <v>11056</v>
      </c>
      <c r="M39" s="1123"/>
      <c r="N39" s="1140">
        <v>10502</v>
      </c>
      <c r="O39" s="1123"/>
      <c r="P39" s="1140">
        <v>10724</v>
      </c>
      <c r="Q39" s="1145"/>
      <c r="R39" s="1140">
        <v>11351</v>
      </c>
      <c r="S39" s="1123"/>
      <c r="T39" s="1140">
        <v>11700</v>
      </c>
      <c r="U39" s="1110"/>
      <c r="V39" s="1310"/>
      <c r="W39" s="1110"/>
      <c r="X39" s="1310"/>
      <c r="Y39" s="1128"/>
      <c r="Z39" s="1313" t="str">
        <f>[14]Indicadores!$AS$11</f>
        <v/>
      </c>
      <c r="AA39" s="1128"/>
      <c r="AB39" s="1313" t="str">
        <f>[14]Indicadores!$AT$11</f>
        <v/>
      </c>
      <c r="AC39" s="1128"/>
      <c r="AD39" s="1313">
        <f>[14]Indicadores!$AU$139</f>
        <v>0</v>
      </c>
      <c r="AE39" s="1129"/>
      <c r="AF39" s="1040"/>
      <c r="AG39" s="1040"/>
      <c r="AH39" s="1040"/>
      <c r="AI39" s="1040"/>
      <c r="AJ39" s="1040"/>
      <c r="AK39" s="1040"/>
      <c r="AL39" s="1040"/>
    </row>
    <row r="40" spans="1:38" x14ac:dyDescent="0.3">
      <c r="A40" s="1109" t="s">
        <v>217</v>
      </c>
      <c r="B40" s="1110" t="s">
        <v>218</v>
      </c>
      <c r="C40" s="1110" t="s">
        <v>219</v>
      </c>
      <c r="D40" s="1110" t="s">
        <v>192</v>
      </c>
      <c r="E40" s="1120" t="s">
        <v>929</v>
      </c>
      <c r="F40" s="1146">
        <v>21979</v>
      </c>
      <c r="G40" s="1146">
        <v>21000</v>
      </c>
      <c r="H40" s="1123">
        <v>1837</v>
      </c>
      <c r="I40" s="1123" t="s">
        <v>930</v>
      </c>
      <c r="J40" s="1147">
        <v>1926</v>
      </c>
      <c r="K40" s="1123" t="s">
        <v>930</v>
      </c>
      <c r="L40" s="1123">
        <v>2902</v>
      </c>
      <c r="M40" s="1123" t="s">
        <v>930</v>
      </c>
      <c r="N40" s="1123">
        <v>2870</v>
      </c>
      <c r="O40" s="1123" t="s">
        <v>930</v>
      </c>
      <c r="P40" s="1123">
        <v>2522</v>
      </c>
      <c r="Q40" s="1123" t="s">
        <v>930</v>
      </c>
      <c r="R40" s="1123">
        <v>1905</v>
      </c>
      <c r="S40" s="1123" t="s">
        <v>930</v>
      </c>
      <c r="T40" s="1123">
        <v>0</v>
      </c>
      <c r="U40" s="1110"/>
      <c r="V40" s="1310"/>
      <c r="W40" s="1110"/>
      <c r="X40" s="1310"/>
      <c r="Y40" s="1110"/>
      <c r="Z40" s="1310" t="str">
        <f>[14]Indicadores!$AS$11</f>
        <v/>
      </c>
      <c r="AA40" s="1110"/>
      <c r="AB40" s="1310" t="str">
        <f>[14]Indicadores!$AT$11</f>
        <v/>
      </c>
      <c r="AC40" s="1110"/>
      <c r="AD40" s="1310">
        <f>[14]Indicadores!$AU$139</f>
        <v>0</v>
      </c>
      <c r="AE40" s="1125"/>
      <c r="AF40" s="1040"/>
      <c r="AG40" s="1040"/>
      <c r="AH40" s="1040"/>
      <c r="AI40" s="1040"/>
      <c r="AJ40" s="1040"/>
      <c r="AK40" s="1040"/>
      <c r="AL40" s="1040"/>
    </row>
    <row r="41" spans="1:38" x14ac:dyDescent="0.3">
      <c r="A41" s="1109" t="s">
        <v>217</v>
      </c>
      <c r="B41" s="1110" t="s">
        <v>221</v>
      </c>
      <c r="C41" s="1110" t="s">
        <v>219</v>
      </c>
      <c r="D41" s="1110" t="s">
        <v>192</v>
      </c>
      <c r="E41" s="1120" t="s">
        <v>929</v>
      </c>
      <c r="F41" s="1148">
        <v>34297</v>
      </c>
      <c r="G41" s="1146">
        <v>30000</v>
      </c>
      <c r="H41" s="1123">
        <v>2474</v>
      </c>
      <c r="I41" s="1123" t="s">
        <v>309</v>
      </c>
      <c r="J41" s="1131">
        <v>2249</v>
      </c>
      <c r="K41" s="1123"/>
      <c r="L41" s="1123">
        <v>0</v>
      </c>
      <c r="M41" s="1123"/>
      <c r="N41" s="1123">
        <v>0</v>
      </c>
      <c r="O41" s="1123"/>
      <c r="P41" s="1123">
        <v>0</v>
      </c>
      <c r="Q41" s="1110"/>
      <c r="R41" s="1123">
        <v>2</v>
      </c>
      <c r="S41" s="1123"/>
      <c r="T41" s="1123">
        <v>0</v>
      </c>
      <c r="U41" s="1110"/>
      <c r="V41" s="1310"/>
      <c r="W41" s="1110"/>
      <c r="X41" s="1310"/>
      <c r="Y41" s="1128"/>
      <c r="Z41" s="1313" t="str">
        <f>[14]Indicadores!$AS$11</f>
        <v/>
      </c>
      <c r="AA41" s="1128"/>
      <c r="AB41" s="1313" t="str">
        <f>[14]Indicadores!$AT$11</f>
        <v/>
      </c>
      <c r="AC41" s="1128"/>
      <c r="AD41" s="1313">
        <f>[14]Indicadores!$AU$139</f>
        <v>0</v>
      </c>
      <c r="AE41" s="1129"/>
      <c r="AF41" s="1040"/>
      <c r="AG41" s="1040"/>
      <c r="AH41" s="1040"/>
      <c r="AI41" s="1040"/>
      <c r="AJ41" s="1040"/>
      <c r="AK41" s="1040"/>
      <c r="AL41" s="1040"/>
    </row>
    <row r="42" spans="1:38" x14ac:dyDescent="0.3">
      <c r="A42" s="1109" t="s">
        <v>217</v>
      </c>
      <c r="B42" s="1110" t="s">
        <v>228</v>
      </c>
      <c r="C42" s="1110" t="s">
        <v>183</v>
      </c>
      <c r="D42" s="1110" t="s">
        <v>184</v>
      </c>
      <c r="E42" s="1120" t="s">
        <v>929</v>
      </c>
      <c r="F42" s="1122">
        <v>8.6999999999999994E-3</v>
      </c>
      <c r="G42" s="1122" t="s">
        <v>942</v>
      </c>
      <c r="H42" s="1122">
        <v>1.11E-2</v>
      </c>
      <c r="I42" s="1123" t="s">
        <v>943</v>
      </c>
      <c r="J42" s="1127">
        <v>8.5000000000000006E-3</v>
      </c>
      <c r="K42" s="1123" t="s">
        <v>943</v>
      </c>
      <c r="L42" s="1122">
        <v>1.0699999999999999E-2</v>
      </c>
      <c r="M42" s="1123" t="s">
        <v>943</v>
      </c>
      <c r="N42" s="1122">
        <v>1.44E-2</v>
      </c>
      <c r="O42" s="1123" t="s">
        <v>943</v>
      </c>
      <c r="P42" s="1122" t="s">
        <v>944</v>
      </c>
      <c r="Q42" s="1123" t="s">
        <v>943</v>
      </c>
      <c r="R42" s="1122">
        <v>1.0699999999999999E-2</v>
      </c>
      <c r="S42" s="1123" t="s">
        <v>943</v>
      </c>
      <c r="T42" s="1122">
        <v>0</v>
      </c>
      <c r="U42" s="1110"/>
      <c r="V42" s="1310"/>
      <c r="W42" s="1110"/>
      <c r="X42" s="1310"/>
      <c r="Y42" s="1110"/>
      <c r="Z42" s="1310" t="str">
        <f>[14]Indicadores!$AS$11</f>
        <v/>
      </c>
      <c r="AA42" s="1110"/>
      <c r="AB42" s="1310" t="str">
        <f>[14]Indicadores!$AT$11</f>
        <v/>
      </c>
      <c r="AC42" s="1110"/>
      <c r="AD42" s="1310">
        <f>[14]Indicadores!$AU$139</f>
        <v>0</v>
      </c>
      <c r="AE42" s="1125"/>
      <c r="AF42" s="1040"/>
      <c r="AG42" s="1040"/>
      <c r="AH42" s="1040"/>
      <c r="AI42" s="1040"/>
      <c r="AJ42" s="1040"/>
      <c r="AK42" s="1040"/>
      <c r="AL42" s="1040"/>
    </row>
    <row r="43" spans="1:38" x14ac:dyDescent="0.3">
      <c r="A43" s="1109" t="s">
        <v>217</v>
      </c>
      <c r="B43" s="1110" t="s">
        <v>232</v>
      </c>
      <c r="C43" s="1110" t="s">
        <v>233</v>
      </c>
      <c r="D43" s="1110" t="s">
        <v>234</v>
      </c>
      <c r="E43" s="1120" t="s">
        <v>929</v>
      </c>
      <c r="F43" s="1123">
        <v>19</v>
      </c>
      <c r="G43" s="1123">
        <v>14</v>
      </c>
      <c r="H43" s="1149">
        <v>3</v>
      </c>
      <c r="I43" s="1123" t="s">
        <v>945</v>
      </c>
      <c r="J43" s="1131">
        <v>0</v>
      </c>
      <c r="K43" s="1123" t="s">
        <v>309</v>
      </c>
      <c r="L43" s="1150">
        <v>1</v>
      </c>
      <c r="M43" s="1123" t="s">
        <v>309</v>
      </c>
      <c r="N43" s="1123">
        <v>2</v>
      </c>
      <c r="O43" s="1123"/>
      <c r="P43" s="1123">
        <v>4</v>
      </c>
      <c r="Q43" s="1123" t="s">
        <v>309</v>
      </c>
      <c r="R43" s="1123">
        <v>1</v>
      </c>
      <c r="S43" s="1123"/>
      <c r="T43" s="1123">
        <v>2</v>
      </c>
      <c r="U43" s="1110"/>
      <c r="V43" s="1310"/>
      <c r="W43" s="1110"/>
      <c r="X43" s="1310"/>
      <c r="Y43" s="1128"/>
      <c r="Z43" s="1313"/>
      <c r="AA43" s="1128"/>
      <c r="AB43" s="1313"/>
      <c r="AC43" s="1128"/>
      <c r="AD43" s="1313">
        <f>[14]Indicadores!$AU$139</f>
        <v>0</v>
      </c>
      <c r="AE43" s="1129"/>
      <c r="AF43" s="1040"/>
      <c r="AG43" s="1040"/>
      <c r="AH43" s="1040"/>
      <c r="AI43" s="1040"/>
      <c r="AJ43" s="1040"/>
      <c r="AK43" s="1040"/>
      <c r="AL43" s="1040"/>
    </row>
    <row r="44" spans="1:38" x14ac:dyDescent="0.3">
      <c r="A44" s="1109" t="s">
        <v>236</v>
      </c>
      <c r="B44" s="1110" t="s">
        <v>237</v>
      </c>
      <c r="C44" s="1110" t="s">
        <v>238</v>
      </c>
      <c r="D44" s="1123">
        <v>24</v>
      </c>
      <c r="E44" s="1120" t="s">
        <v>929</v>
      </c>
      <c r="F44" s="1123">
        <v>10</v>
      </c>
      <c r="G44" s="1123">
        <v>20</v>
      </c>
      <c r="H44" s="1123">
        <v>24</v>
      </c>
      <c r="I44" s="1123" t="s">
        <v>946</v>
      </c>
      <c r="J44" s="1131">
        <v>26</v>
      </c>
      <c r="K44" s="1123" t="s">
        <v>309</v>
      </c>
      <c r="L44" s="1123">
        <v>0</v>
      </c>
      <c r="M44" s="1123" t="s">
        <v>309</v>
      </c>
      <c r="N44" s="1123">
        <v>0</v>
      </c>
      <c r="O44" s="1123" t="s">
        <v>309</v>
      </c>
      <c r="P44" s="1123">
        <v>13</v>
      </c>
      <c r="Q44" s="1123" t="s">
        <v>309</v>
      </c>
      <c r="R44" s="1123">
        <v>0</v>
      </c>
      <c r="S44" s="1123" t="s">
        <v>309</v>
      </c>
      <c r="T44" s="1123">
        <f>[14]Indicadores!$AP$11</f>
        <v>0</v>
      </c>
      <c r="U44" s="1110"/>
      <c r="V44" s="1310"/>
      <c r="W44" s="1110"/>
      <c r="X44" s="1310"/>
      <c r="Y44" s="1110"/>
      <c r="Z44" s="1310" t="str">
        <f>[14]Indicadores!$AS$11</f>
        <v/>
      </c>
      <c r="AA44" s="1110"/>
      <c r="AB44" s="1310" t="str">
        <f>[14]Indicadores!$AT$11</f>
        <v/>
      </c>
      <c r="AC44" s="1110"/>
      <c r="AD44" s="1310">
        <f>[14]Indicadores!$AU$139</f>
        <v>0</v>
      </c>
      <c r="AE44" s="1125"/>
      <c r="AF44" s="1040"/>
      <c r="AG44" s="1040"/>
      <c r="AH44" s="1040"/>
      <c r="AI44" s="1040"/>
      <c r="AJ44" s="1040"/>
      <c r="AK44" s="1040"/>
      <c r="AL44" s="1040"/>
    </row>
    <row r="45" spans="1:38" x14ac:dyDescent="0.3">
      <c r="A45" s="1109" t="s">
        <v>240</v>
      </c>
      <c r="B45" s="1110" t="s">
        <v>241</v>
      </c>
      <c r="C45" s="1110" t="s">
        <v>183</v>
      </c>
      <c r="D45" s="1110" t="s">
        <v>242</v>
      </c>
      <c r="E45" s="1120" t="s">
        <v>928</v>
      </c>
      <c r="F45" s="1151">
        <v>0.5</v>
      </c>
      <c r="G45" s="1151"/>
      <c r="H45" s="1152">
        <v>1</v>
      </c>
      <c r="I45" s="1123"/>
      <c r="J45" s="1153">
        <v>1</v>
      </c>
      <c r="K45" s="1123"/>
      <c r="L45" s="1151">
        <v>1</v>
      </c>
      <c r="M45" s="1123"/>
      <c r="N45" s="1151">
        <v>1</v>
      </c>
      <c r="O45" s="1123"/>
      <c r="P45" s="1151">
        <v>1</v>
      </c>
      <c r="Q45" s="1123"/>
      <c r="R45" s="1151">
        <v>1</v>
      </c>
      <c r="S45" s="1123"/>
      <c r="T45" s="1151">
        <v>100</v>
      </c>
      <c r="U45" s="1110"/>
      <c r="V45" s="1310"/>
      <c r="W45" s="1110"/>
      <c r="X45" s="1310"/>
      <c r="Y45" s="1128"/>
      <c r="Z45" s="1313" t="str">
        <f>[14]Indicadores!$AS$11</f>
        <v/>
      </c>
      <c r="AA45" s="1128"/>
      <c r="AB45" s="1313" t="str">
        <f>[14]Indicadores!$AT$11</f>
        <v/>
      </c>
      <c r="AC45" s="1128"/>
      <c r="AD45" s="1313">
        <f>[14]Indicadores!$AU$139</f>
        <v>0</v>
      </c>
      <c r="AE45" s="1129"/>
      <c r="AF45" s="1040"/>
      <c r="AG45" s="1040"/>
      <c r="AH45" s="1040"/>
      <c r="AI45" s="1040"/>
      <c r="AJ45" s="1154" t="s">
        <v>244</v>
      </c>
      <c r="AK45" s="1154"/>
      <c r="AL45" s="1040"/>
    </row>
    <row r="46" spans="1:38" x14ac:dyDescent="0.3">
      <c r="A46" s="1109" t="s">
        <v>245</v>
      </c>
      <c r="B46" s="1110" t="s">
        <v>246</v>
      </c>
      <c r="C46" s="1110" t="s">
        <v>183</v>
      </c>
      <c r="D46" s="1110" t="s">
        <v>192</v>
      </c>
      <c r="E46" s="1120" t="s">
        <v>928</v>
      </c>
      <c r="F46" s="1151">
        <v>0.53</v>
      </c>
      <c r="G46" s="1151">
        <v>1</v>
      </c>
      <c r="H46" s="1151">
        <v>0.72</v>
      </c>
      <c r="I46" s="1123" t="s">
        <v>947</v>
      </c>
      <c r="J46" s="1153">
        <v>0.87</v>
      </c>
      <c r="K46" s="1123" t="s">
        <v>947</v>
      </c>
      <c r="L46" s="1123" t="s">
        <v>948</v>
      </c>
      <c r="M46" s="1123" t="s">
        <v>947</v>
      </c>
      <c r="N46" s="1151">
        <v>0.61</v>
      </c>
      <c r="O46" s="1123" t="s">
        <v>947</v>
      </c>
      <c r="P46" s="1151">
        <v>1</v>
      </c>
      <c r="Q46" s="1123" t="s">
        <v>947</v>
      </c>
      <c r="R46" s="1151">
        <v>0.92</v>
      </c>
      <c r="S46" s="1123" t="s">
        <v>947</v>
      </c>
      <c r="T46" s="1151">
        <v>95</v>
      </c>
      <c r="U46" s="1110"/>
      <c r="V46" s="1310"/>
      <c r="W46" s="1110"/>
      <c r="X46" s="1310"/>
      <c r="Y46" s="1110"/>
      <c r="Z46" s="1310" t="str">
        <f>[14]Indicadores!$AS$11</f>
        <v/>
      </c>
      <c r="AA46" s="1110"/>
      <c r="AB46" s="1310" t="str">
        <f>[14]Indicadores!$AT$11</f>
        <v/>
      </c>
      <c r="AC46" s="1110"/>
      <c r="AD46" s="1310">
        <f>[14]Indicadores!$AU$139</f>
        <v>0</v>
      </c>
      <c r="AE46" s="1125"/>
      <c r="AF46" s="1040"/>
      <c r="AG46" s="1040"/>
      <c r="AH46" s="1040"/>
      <c r="AI46" s="1040"/>
      <c r="AJ46" s="1155" t="s">
        <v>249</v>
      </c>
      <c r="AK46" s="1155" t="s">
        <v>250</v>
      </c>
      <c r="AL46" s="1040"/>
    </row>
    <row r="47" spans="1:38" x14ac:dyDescent="0.3">
      <c r="A47" s="1109" t="s">
        <v>190</v>
      </c>
      <c r="B47" s="1110" t="s">
        <v>251</v>
      </c>
      <c r="C47" s="1110" t="s">
        <v>202</v>
      </c>
      <c r="D47" s="1110" t="s">
        <v>192</v>
      </c>
      <c r="E47" s="1120" t="s">
        <v>928</v>
      </c>
      <c r="F47" s="1156">
        <v>18.708333333333332</v>
      </c>
      <c r="G47" s="1156">
        <v>14.583333333333334</v>
      </c>
      <c r="H47" s="1157">
        <v>0.3689351851851852</v>
      </c>
      <c r="I47" s="1123"/>
      <c r="J47" s="1135">
        <v>19.333333333333332</v>
      </c>
      <c r="K47" s="1123"/>
      <c r="L47" s="1134">
        <v>9.0969700290261155</v>
      </c>
      <c r="M47" s="1123"/>
      <c r="N47" s="1156">
        <v>19.458333333333332</v>
      </c>
      <c r="O47" s="1110"/>
      <c r="P47" s="1156">
        <v>18.583333333333332</v>
      </c>
      <c r="Q47" s="1123"/>
      <c r="R47" s="1156">
        <v>2.4305555555555556E-2</v>
      </c>
      <c r="S47" s="1110"/>
      <c r="T47" s="1156">
        <v>20</v>
      </c>
      <c r="U47" s="1110"/>
      <c r="V47" s="1310"/>
      <c r="W47" s="1110"/>
      <c r="X47" s="1310"/>
      <c r="Y47" s="1128"/>
      <c r="Z47" s="1313" t="str">
        <f>[14]Indicadores!$AS$11</f>
        <v/>
      </c>
      <c r="AA47" s="1128"/>
      <c r="AB47" s="1313" t="str">
        <f>[14]Indicadores!$AT$11</f>
        <v/>
      </c>
      <c r="AC47" s="1128"/>
      <c r="AD47" s="1313">
        <f>[14]Indicadores!$AU$139</f>
        <v>0</v>
      </c>
      <c r="AE47" s="1129"/>
      <c r="AF47" s="1040"/>
      <c r="AG47" s="1040"/>
      <c r="AH47" s="1040"/>
      <c r="AI47" s="1040"/>
      <c r="AJ47" s="1042" t="s">
        <v>26</v>
      </c>
      <c r="AK47" s="1158">
        <f>SUMIF($AM$55:$AM$144,AJ47,$AO$55:$AO$144)</f>
        <v>0</v>
      </c>
      <c r="AL47" s="1040"/>
    </row>
    <row r="48" spans="1:38" x14ac:dyDescent="0.3">
      <c r="A48" s="1109" t="s">
        <v>190</v>
      </c>
      <c r="B48" s="1110" t="s">
        <v>260</v>
      </c>
      <c r="C48" s="1110" t="s">
        <v>202</v>
      </c>
      <c r="D48" s="1110" t="s">
        <v>192</v>
      </c>
      <c r="E48" s="1120" t="s">
        <v>929</v>
      </c>
      <c r="F48" s="1132">
        <v>2.2916666666666665E-2</v>
      </c>
      <c r="G48" s="1132">
        <v>2.0833333333333332E-2</v>
      </c>
      <c r="H48" s="1159">
        <v>2.4814814814814814E-2</v>
      </c>
      <c r="I48" s="1123"/>
      <c r="J48" s="1138">
        <v>2.7083333333333334E-2</v>
      </c>
      <c r="K48" s="1123"/>
      <c r="L48" s="1134">
        <v>1.0416666666666666E-2</v>
      </c>
      <c r="M48" s="1123"/>
      <c r="N48" s="1132">
        <v>9.0277777777777769E-3</v>
      </c>
      <c r="O48" s="1110"/>
      <c r="P48" s="1132">
        <v>6.2500000000000003E-3</v>
      </c>
      <c r="Q48" s="1123"/>
      <c r="R48" s="1132">
        <v>12.789502314814815</v>
      </c>
      <c r="S48" s="1110"/>
      <c r="T48" s="1132">
        <v>1.1111111111111112E-2</v>
      </c>
      <c r="U48" s="1110"/>
      <c r="V48" s="1310"/>
      <c r="W48" s="1110"/>
      <c r="X48" s="1310"/>
      <c r="Y48" s="1110"/>
      <c r="Z48" s="1310" t="str">
        <f>[14]Indicadores!$AS$11</f>
        <v/>
      </c>
      <c r="AA48" s="1110"/>
      <c r="AB48" s="1310" t="str">
        <f>[14]Indicadores!$AT$11</f>
        <v/>
      </c>
      <c r="AC48" s="1110"/>
      <c r="AD48" s="1310">
        <f>[14]Indicadores!$AU$139</f>
        <v>0</v>
      </c>
      <c r="AE48" s="1125"/>
      <c r="AF48" s="1040"/>
      <c r="AG48" s="1040"/>
      <c r="AH48" s="1040"/>
      <c r="AI48" s="1040"/>
      <c r="AJ48" s="1160" t="s">
        <v>27</v>
      </c>
      <c r="AK48" s="1161">
        <f>SUMIF($AM$55:$AM$144,AJ48,$AO$55:$AO$144)</f>
        <v>0</v>
      </c>
      <c r="AL48" s="1040"/>
    </row>
    <row r="49" spans="1:47" s="1051" customFormat="1" x14ac:dyDescent="0.3">
      <c r="A49" s="1162" t="s">
        <v>263</v>
      </c>
      <c r="B49" s="1163" t="s">
        <v>264</v>
      </c>
      <c r="C49" s="1163" t="s">
        <v>265</v>
      </c>
      <c r="D49" s="1163" t="s">
        <v>184</v>
      </c>
      <c r="E49" s="1164" t="s">
        <v>2752</v>
      </c>
      <c r="F49" s="1165" t="s">
        <v>949</v>
      </c>
      <c r="G49" s="1165" t="s">
        <v>949</v>
      </c>
      <c r="H49" s="1165" t="s">
        <v>949</v>
      </c>
      <c r="I49" s="1165" t="s">
        <v>949</v>
      </c>
      <c r="J49" s="1165" t="s">
        <v>949</v>
      </c>
      <c r="K49" s="1165" t="s">
        <v>949</v>
      </c>
      <c r="L49" s="1165" t="s">
        <v>949</v>
      </c>
      <c r="M49" s="1165" t="s">
        <v>949</v>
      </c>
      <c r="N49" s="1165" t="s">
        <v>949</v>
      </c>
      <c r="O49" s="1165" t="s">
        <v>949</v>
      </c>
      <c r="P49" s="1165" t="s">
        <v>949</v>
      </c>
      <c r="Q49" s="1165" t="s">
        <v>949</v>
      </c>
      <c r="R49" s="1165" t="s">
        <v>949</v>
      </c>
      <c r="S49" s="1165" t="s">
        <v>949</v>
      </c>
      <c r="T49" s="1311"/>
      <c r="U49" s="1163"/>
      <c r="V49" s="1311"/>
      <c r="W49" s="1163"/>
      <c r="X49" s="1311"/>
      <c r="Y49" s="1166"/>
      <c r="Z49" s="1314" t="str">
        <f>[14]Indicadores!$AS$11</f>
        <v/>
      </c>
      <c r="AA49" s="1166"/>
      <c r="AB49" s="1314" t="str">
        <f>[14]Indicadores!$AT$11</f>
        <v/>
      </c>
      <c r="AC49" s="1166"/>
      <c r="AD49" s="1314">
        <f>[14]Indicadores!$AU$139</f>
        <v>0</v>
      </c>
      <c r="AE49" s="1167"/>
      <c r="AF49" s="1168"/>
      <c r="AG49" s="1168"/>
      <c r="AH49" s="1168"/>
      <c r="AI49" s="1168"/>
      <c r="AJ49" s="1169" t="s">
        <v>266</v>
      </c>
      <c r="AK49" s="1170">
        <f>SUMIF($AM$55:$AM$144,AJ49,$AO$55:$AO$144)</f>
        <v>0</v>
      </c>
      <c r="AL49" s="1168"/>
    </row>
    <row r="50" spans="1:47" x14ac:dyDescent="0.3">
      <c r="A50" s="1109"/>
      <c r="B50" s="1123"/>
      <c r="C50" s="1110"/>
      <c r="D50" s="1110"/>
      <c r="E50" s="1171"/>
      <c r="F50" s="1172"/>
      <c r="G50" s="1172"/>
      <c r="H50" s="1172"/>
      <c r="I50" s="1110"/>
      <c r="J50" s="1173"/>
      <c r="K50" s="1172"/>
      <c r="L50" s="1172"/>
      <c r="M50" s="1110"/>
      <c r="N50" s="1123"/>
      <c r="O50" s="1110"/>
      <c r="P50" s="1110"/>
      <c r="Q50" s="1110"/>
      <c r="R50" s="1110"/>
      <c r="S50" s="1110"/>
      <c r="T50" s="1310"/>
      <c r="U50" s="1110"/>
      <c r="V50" s="1310"/>
      <c r="W50" s="1110"/>
      <c r="X50" s="1310"/>
      <c r="Y50" s="1110"/>
      <c r="Z50" s="1310" t="str">
        <f>[14]Indicadores!$AS$11</f>
        <v/>
      </c>
      <c r="AA50" s="1110"/>
      <c r="AB50" s="1310" t="str">
        <f>[14]Indicadores!$AT$11</f>
        <v/>
      </c>
      <c r="AC50" s="1110"/>
      <c r="AD50" s="1310">
        <f>[14]Indicadores!$AU$139</f>
        <v>0</v>
      </c>
      <c r="AE50" s="1125"/>
      <c r="AF50" s="1040"/>
      <c r="AG50" s="1040"/>
      <c r="AH50" s="1040"/>
      <c r="AI50" s="1040"/>
      <c r="AJ50" s="1160" t="s">
        <v>267</v>
      </c>
      <c r="AK50" s="1161">
        <f>SUMIF($AM$55:$AM$144,AJ50,$AO$55:$AO$144)</f>
        <v>0</v>
      </c>
      <c r="AL50" s="1040"/>
    </row>
    <row r="51" spans="1:47" x14ac:dyDescent="0.3">
      <c r="A51" s="1174"/>
      <c r="B51" s="1175"/>
      <c r="C51" s="1176"/>
      <c r="D51" s="1176"/>
      <c r="E51" s="1177"/>
      <c r="F51" s="1178"/>
      <c r="G51" s="1178"/>
      <c r="H51" s="1178"/>
      <c r="I51" s="1176"/>
      <c r="J51" s="1176"/>
      <c r="K51" s="1178"/>
      <c r="L51" s="1178"/>
      <c r="M51" s="1176"/>
      <c r="N51" s="1175"/>
      <c r="O51" s="1176"/>
      <c r="P51" s="1176"/>
      <c r="Q51" s="1176"/>
      <c r="R51" s="1176"/>
      <c r="S51" s="1176"/>
      <c r="T51" s="1312"/>
      <c r="U51" s="1176"/>
      <c r="V51" s="1312">
        <f>[14]Indicadores!$AQ$46</f>
        <v>0</v>
      </c>
      <c r="W51" s="1176"/>
      <c r="X51" s="1312"/>
      <c r="Y51" s="1128"/>
      <c r="Z51" s="1313" t="str">
        <f>[14]Indicadores!$AS$11</f>
        <v/>
      </c>
      <c r="AA51" s="1128"/>
      <c r="AB51" s="1313" t="str">
        <f>[14]Indicadores!$AT$11</f>
        <v/>
      </c>
      <c r="AC51" s="1128"/>
      <c r="AD51" s="1313">
        <f>[14]Indicadores!$AU$139</f>
        <v>0</v>
      </c>
      <c r="AE51" s="1129"/>
      <c r="AF51" s="1040"/>
      <c r="AG51" s="1040"/>
      <c r="AH51" s="1040"/>
      <c r="AI51" s="1040"/>
      <c r="AJ51" s="1042" t="s">
        <v>268</v>
      </c>
      <c r="AK51" s="1158">
        <f>SUMIF($AM$55:$AM$144,AJ51,$AO$55:$AO$144)</f>
        <v>0</v>
      </c>
      <c r="AL51" s="1040"/>
    </row>
    <row r="52" spans="1:47" x14ac:dyDescent="0.3">
      <c r="V52" s="1181"/>
      <c r="AE52" s="1040"/>
      <c r="AF52" s="1040"/>
      <c r="AG52" s="1040"/>
      <c r="AH52" s="1040"/>
      <c r="AI52" s="1040"/>
      <c r="AJ52" s="1040"/>
      <c r="AL52" s="1040"/>
    </row>
    <row r="53" spans="1:47" x14ac:dyDescent="0.3">
      <c r="A53" s="1182" t="s">
        <v>269</v>
      </c>
      <c r="B53" s="1182"/>
      <c r="C53" s="1183"/>
      <c r="D53" s="1183"/>
      <c r="E53" s="1182"/>
      <c r="F53" s="1184"/>
      <c r="G53" s="1182"/>
      <c r="H53" s="1182"/>
      <c r="I53" s="1182"/>
      <c r="J53" s="1182"/>
      <c r="K53" s="1182"/>
      <c r="L53" s="1182"/>
      <c r="M53" s="1182"/>
      <c r="N53" s="1182"/>
      <c r="O53" s="1183"/>
      <c r="P53" s="1182"/>
      <c r="Q53" s="1182"/>
      <c r="R53" s="1182"/>
      <c r="S53" s="1183"/>
      <c r="T53" s="1183"/>
      <c r="U53" s="1185" t="s">
        <v>270</v>
      </c>
      <c r="V53" s="1185"/>
      <c r="W53" s="1185"/>
      <c r="X53" s="1185"/>
      <c r="Y53" s="1185" t="s">
        <v>271</v>
      </c>
      <c r="Z53" s="1185"/>
      <c r="AA53" s="1185"/>
      <c r="AB53" s="1185"/>
      <c r="AC53" s="1185" t="s">
        <v>272</v>
      </c>
      <c r="AD53" s="1185"/>
      <c r="AE53" s="1185"/>
      <c r="AF53" s="1185"/>
      <c r="AG53" s="1185" t="s">
        <v>273</v>
      </c>
      <c r="AH53" s="1185"/>
      <c r="AI53" s="1185"/>
      <c r="AJ53" s="1185"/>
      <c r="AK53" s="1186"/>
      <c r="AL53" s="1183"/>
      <c r="AM53" s="1984"/>
      <c r="AN53" s="1984"/>
      <c r="AO53" s="1984"/>
      <c r="AT53" s="1187">
        <f>SUM(AT55:AT176)</f>
        <v>3031400.0934826476</v>
      </c>
      <c r="AU53" s="1187">
        <f>SUM(AU55:AU176)</f>
        <v>7824805.1119999988</v>
      </c>
    </row>
    <row r="54" spans="1:47" ht="27.6" x14ac:dyDescent="0.3">
      <c r="A54" s="1188" t="s">
        <v>950</v>
      </c>
      <c r="B54" s="1188" t="s">
        <v>275</v>
      </c>
      <c r="C54" s="1189" t="s">
        <v>276</v>
      </c>
      <c r="D54" s="1188" t="s">
        <v>277</v>
      </c>
      <c r="E54" s="1188" t="s">
        <v>278</v>
      </c>
      <c r="F54" s="1190" t="s">
        <v>279</v>
      </c>
      <c r="G54" s="1188" t="s">
        <v>280</v>
      </c>
      <c r="H54" s="1188" t="s">
        <v>281</v>
      </c>
      <c r="I54" s="1188" t="s">
        <v>951</v>
      </c>
      <c r="J54" s="1188" t="s">
        <v>283</v>
      </c>
      <c r="K54" s="1189" t="s">
        <v>284</v>
      </c>
      <c r="L54" s="1188" t="s">
        <v>285</v>
      </c>
      <c r="M54" s="1188" t="s">
        <v>952</v>
      </c>
      <c r="N54" s="1188" t="s">
        <v>287</v>
      </c>
      <c r="O54" s="1188" t="s">
        <v>72</v>
      </c>
      <c r="P54" s="1188" t="s">
        <v>288</v>
      </c>
      <c r="Q54" s="1188" t="s">
        <v>289</v>
      </c>
      <c r="R54" s="1188" t="s">
        <v>143</v>
      </c>
      <c r="S54" s="1188"/>
      <c r="T54" s="1188" t="s">
        <v>291</v>
      </c>
      <c r="U54" s="1191">
        <v>46023</v>
      </c>
      <c r="V54" s="1191">
        <v>46054</v>
      </c>
      <c r="W54" s="1191">
        <v>46082</v>
      </c>
      <c r="X54" s="1192" t="s">
        <v>292</v>
      </c>
      <c r="Y54" s="1191">
        <v>46113</v>
      </c>
      <c r="Z54" s="1191">
        <v>46143</v>
      </c>
      <c r="AA54" s="1191">
        <v>46174</v>
      </c>
      <c r="AB54" s="1192" t="s">
        <v>293</v>
      </c>
      <c r="AC54" s="1191">
        <v>46204</v>
      </c>
      <c r="AD54" s="1191">
        <v>46235</v>
      </c>
      <c r="AE54" s="1191">
        <v>46266</v>
      </c>
      <c r="AF54" s="1192" t="s">
        <v>294</v>
      </c>
      <c r="AG54" s="1191">
        <v>46296</v>
      </c>
      <c r="AH54" s="1191">
        <v>46327</v>
      </c>
      <c r="AI54" s="1191">
        <v>46357</v>
      </c>
      <c r="AJ54" s="1188" t="s">
        <v>295</v>
      </c>
      <c r="AK54" s="1188" t="s">
        <v>296</v>
      </c>
      <c r="AL54" s="1188" t="s">
        <v>297</v>
      </c>
      <c r="AM54" s="1188" t="s">
        <v>244</v>
      </c>
      <c r="AN54" s="1188" t="s">
        <v>298</v>
      </c>
      <c r="AO54" s="1188" t="s">
        <v>299</v>
      </c>
      <c r="AP54" s="1041" t="s">
        <v>300</v>
      </c>
      <c r="AR54" s="1054" t="s">
        <v>301</v>
      </c>
      <c r="AT54" s="1054" t="s">
        <v>302</v>
      </c>
      <c r="AU54" s="1054" t="s">
        <v>303</v>
      </c>
    </row>
    <row r="55" spans="1:47" s="1199" customFormat="1" ht="29.1" customHeight="1" x14ac:dyDescent="0.3">
      <c r="A55" s="2094" t="s">
        <v>953</v>
      </c>
      <c r="B55" s="2066" t="s">
        <v>97</v>
      </c>
      <c r="C55" s="2096" t="s">
        <v>954</v>
      </c>
      <c r="D55" s="2064" t="s">
        <v>955</v>
      </c>
      <c r="E55" s="2089" t="s">
        <v>956</v>
      </c>
      <c r="F55" s="1985" t="s">
        <v>957</v>
      </c>
      <c r="G55" s="2035">
        <v>46023</v>
      </c>
      <c r="H55" s="2035">
        <v>46388</v>
      </c>
      <c r="I55" s="2025">
        <v>560000</v>
      </c>
      <c r="J55" s="1960">
        <v>46388</v>
      </c>
      <c r="K55" s="1964">
        <f>IF(J55="", "", 12 - MONTH(J55) + 1)</f>
        <v>12</v>
      </c>
      <c r="L55" s="2039"/>
      <c r="M55" s="2031"/>
      <c r="N55" s="2012"/>
      <c r="O55" s="1991" t="s">
        <v>83</v>
      </c>
      <c r="P55" s="1967" t="s">
        <v>958</v>
      </c>
      <c r="Q55" s="1945">
        <v>46264</v>
      </c>
      <c r="R55" s="1991">
        <v>0.8</v>
      </c>
      <c r="S55" s="1193" t="s">
        <v>116</v>
      </c>
      <c r="T55" s="1194">
        <f>AVERAGE([15]Estrutura!$I$5:$I$9)</f>
        <v>0.79032258064516125</v>
      </c>
      <c r="U55" s="1195">
        <f>IFERROR(IF(AND(U$54&gt;=EOMONTH($J55,-1)+1,U$54&lt;=EOMONTH(EOMONTH($J55,-1)+1,$K55-1)),IF(NOT(ISBLANK($N55)),$N55/$K55,$I55/$K55),0),0)</f>
        <v>0</v>
      </c>
      <c r="V55" s="1195">
        <f>IFERROR(IF(AND(V$54&gt;=EOMONTH($J55,-1)+1,V$54&lt;=EOMONTH(EOMONTH($J55,-1)+1,$K55-1)),IF(NOT(ISBLANK($N55)),$N55/$K55,$I55/$K55),0),0)</f>
        <v>0</v>
      </c>
      <c r="W55" s="1195">
        <f>IFERROR(IF(AND(W$54&gt;=EOMONTH($J55,-1)+1,W$54&lt;=EOMONTH(EOMONTH($J55,-1)+1,$K55-1)),IF(NOT(ISBLANK($N55)),$N55/$K55,$I55/$K55),0),0)</f>
        <v>0</v>
      </c>
      <c r="X55" s="1196">
        <f t="shared" ref="X55:X144" si="12">SUM(U55:W55)</f>
        <v>0</v>
      </c>
      <c r="Y55" s="1195">
        <f>IFERROR(IF(AND(Y$54&gt;=EOMONTH($J55,-1)+1,Y$54&lt;=EOMONTH(EOMONTH($J55,-1)+1,$K55-1)),IF(NOT(ISBLANK($N55)),$N55/$K55,$I55/$K55),0),0)</f>
        <v>0</v>
      </c>
      <c r="Z55" s="1195">
        <f>IFERROR(IF(AND(Z$54&gt;=EOMONTH($J55,-1)+1,Z$54&lt;=EOMONTH(EOMONTH($J55,-1)+1,$K55-1)),IF(NOT(ISBLANK($N55)),$N55/$K55,$I55/$K55),0),0)</f>
        <v>0</v>
      </c>
      <c r="AA55" s="1195">
        <f>IFERROR(IF(AND(AA$54&gt;=EOMONTH($J55,-1)+1,AA$54&lt;=EOMONTH(EOMONTH($J55,-1)+1,$K55-1)),IF(NOT(ISBLANK($N55)),$N55/$K55,$I55/$K55),0),0)</f>
        <v>0</v>
      </c>
      <c r="AB55" s="1196">
        <f t="shared" ref="AB55:AB144" si="13">SUM(Y55:AA55)</f>
        <v>0</v>
      </c>
      <c r="AC55" s="1195">
        <f>IFERROR(IF(AND(AC$54&gt;=EOMONTH($J55,-1)+1,AC$54&lt;=EOMONTH(EOMONTH($J55,-1)+1,$K55-1)),IF(NOT(ISBLANK($N55)),$N55/$K55,$I55/$K55),0),0)</f>
        <v>0</v>
      </c>
      <c r="AD55" s="1195">
        <f>IFERROR(IF(AND(AD$54&gt;=EOMONTH($J55,-1)+1,AD$54&lt;=EOMONTH(EOMONTH($J55,-1)+1,$K55-1)),IF(NOT(ISBLANK($N55)),$N55/$K55,$I55/$K55),0),0)</f>
        <v>0</v>
      </c>
      <c r="AE55" s="1195">
        <f>IFERROR(IF(AND(AE$54&gt;=EOMONTH($J55,-1)+1,AE$54&lt;=EOMONTH(EOMONTH($J55,-1)+1,$K55-1)),IF(NOT(ISBLANK($N55)),$N55/$K55,$I55/$K55),0),0)</f>
        <v>0</v>
      </c>
      <c r="AF55" s="1196">
        <f t="shared" ref="AF55:AF144" si="14">SUM(AC55:AE55)</f>
        <v>0</v>
      </c>
      <c r="AG55" s="1195">
        <f>IFERROR(IF(AND(AG$54&gt;=EOMONTH($J55,-1)+1,AG$54&lt;=EOMONTH(EOMONTH($J55,-1)+1,$K55-1)),IF(NOT(ISBLANK($N55)),$N55/$K55,$I55/$K55),0),0)</f>
        <v>0</v>
      </c>
      <c r="AH55" s="1195">
        <f>IFERROR(IF(AND(AH$54&gt;=EOMONTH($J55,-1)+1,AH$54&lt;=EOMONTH(EOMONTH($J55,-1)+1,$K55-1)),IF(NOT(ISBLANK($N55)),$N55/$K55,$I55/$K55),0),0)</f>
        <v>0</v>
      </c>
      <c r="AI55" s="1195">
        <f>IFERROR(IF(AND(AI$54&gt;=EOMONTH($J55,-1)+1,AI$54&lt;=EOMONTH(EOMONTH($J55,-1)+1,$K55-1)),IF(NOT(ISBLANK($N55)),$N55/$K55,$I55/$K55),0),0)</f>
        <v>0</v>
      </c>
      <c r="AJ55" s="1196">
        <f t="shared" ref="AJ55:AJ144" si="15">SUM(AG55:AI55)</f>
        <v>0</v>
      </c>
      <c r="AK55" s="1197">
        <f>SUM(X55,AB55,AF55,AJ55)</f>
        <v>0</v>
      </c>
      <c r="AL55" s="1198"/>
      <c r="AM55" s="1985"/>
      <c r="AN55" s="1987"/>
      <c r="AO55" s="1989">
        <f>N55*AN55</f>
        <v>0</v>
      </c>
      <c r="AP55" s="1199" t="str">
        <f>C55</f>
        <v>01 - Desenvolver célula de solda para soldar porcas</v>
      </c>
      <c r="AQ55" s="1199" t="s">
        <v>311</v>
      </c>
      <c r="AR55" s="1200" t="str" cm="1">
        <f t="array" aca="1" ref="AR55" ca="1">IF(OR(AP55="",AP55=0),"",IF(SUMPRODUCT(($C$55:$C$144=AP55)*(U$54:$AI$54&lt;EOMONTH(TODAY(),-1)+1)*(ISNUMBER(U$55:$AI$144)),U$55:$AI$144)=0,"",SUMPRODUCT(($C$55:$C$144=AP55)*(U$54:$AI$54&lt;EOMONTH(TODAY(),-1)+1)*(ISNUMBER(U$55:$AI$144)),U$55:$AI$144)))</f>
        <v/>
      </c>
      <c r="AS55" s="1199" t="str">
        <f>A55</f>
        <v>Redução de custo</v>
      </c>
      <c r="AT55" s="2111">
        <v>0</v>
      </c>
      <c r="AU55" s="2111">
        <v>0</v>
      </c>
    </row>
    <row r="56" spans="1:47" s="1199" customFormat="1" ht="29.1" customHeight="1" x14ac:dyDescent="0.3">
      <c r="A56" s="2095"/>
      <c r="B56" s="2067"/>
      <c r="C56" s="2088"/>
      <c r="D56" s="2065"/>
      <c r="E56" s="2090"/>
      <c r="F56" s="1986"/>
      <c r="G56" s="2036"/>
      <c r="H56" s="2036"/>
      <c r="I56" s="2026"/>
      <c r="J56" s="1961"/>
      <c r="K56" s="1965"/>
      <c r="L56" s="2040"/>
      <c r="M56" s="2041"/>
      <c r="N56" s="2049"/>
      <c r="O56" s="1992"/>
      <c r="P56" s="1682"/>
      <c r="Q56" s="1946"/>
      <c r="R56" s="1992"/>
      <c r="S56" s="1193" t="s">
        <v>117</v>
      </c>
      <c r="T56" s="1194">
        <f>AVERAGE([15]Estrutura!$J$5:$J$9)</f>
        <v>0.79</v>
      </c>
      <c r="U56" s="1195"/>
      <c r="V56" s="1195" t="s">
        <v>959</v>
      </c>
      <c r="W56" s="1195" t="s">
        <v>959</v>
      </c>
      <c r="X56" s="1196">
        <f t="shared" si="12"/>
        <v>0</v>
      </c>
      <c r="Y56" s="1195" t="s">
        <v>959</v>
      </c>
      <c r="Z56" s="1195" t="s">
        <v>959</v>
      </c>
      <c r="AA56" s="1195" t="s">
        <v>959</v>
      </c>
      <c r="AB56" s="1196">
        <f t="shared" si="13"/>
        <v>0</v>
      </c>
      <c r="AC56" s="1195" t="s">
        <v>959</v>
      </c>
      <c r="AD56" s="1195" t="s">
        <v>959</v>
      </c>
      <c r="AE56" s="1195" t="s">
        <v>959</v>
      </c>
      <c r="AF56" s="1196">
        <f t="shared" si="14"/>
        <v>0</v>
      </c>
      <c r="AG56" s="1195" t="s">
        <v>959</v>
      </c>
      <c r="AH56" s="1195" t="s">
        <v>959</v>
      </c>
      <c r="AI56" s="1195" t="s">
        <v>959</v>
      </c>
      <c r="AJ56" s="1196">
        <f t="shared" si="15"/>
        <v>0</v>
      </c>
      <c r="AK56" s="1201">
        <f t="shared" ref="AK56:AK144" si="16">SUM(X56,AB56,AF56,AJ56)</f>
        <v>0</v>
      </c>
      <c r="AL56" s="1202"/>
      <c r="AM56" s="1986"/>
      <c r="AN56" s="1988"/>
      <c r="AO56" s="1990"/>
      <c r="AP56" s="1199" t="str">
        <f>C55</f>
        <v>01 - Desenvolver célula de solda para soldar porcas</v>
      </c>
      <c r="AQ56" s="1199" t="s">
        <v>313</v>
      </c>
      <c r="AR56" s="1200" t="str" cm="1">
        <f t="array" aca="1" ref="AR56" ca="1">IF(OR(AP56="",AP56=0),"",IF(SUMPRODUCT(($C$55:$C$159=AP56)*($U$54:AI$54&lt;=TODAY())*(ISNUMBER($U$56:AI$160)),$U$56:AI$160)=0,"",SUMPRODUCT(($C$55:$C$159=AP56)*($U$54:AI$54&lt;=TODAY())*(ISNUMBER($U$56:AI$160)),$U$56:AI$160)))</f>
        <v/>
      </c>
      <c r="AS56" s="1199" t="str">
        <f>A55</f>
        <v>Redução de custo</v>
      </c>
      <c r="AT56" s="2112"/>
      <c r="AU56" s="2112"/>
    </row>
    <row r="57" spans="1:47" ht="29.1" customHeight="1" x14ac:dyDescent="0.3">
      <c r="A57" s="1928" t="s">
        <v>59</v>
      </c>
      <c r="B57" s="1928" t="s">
        <v>97</v>
      </c>
      <c r="C57" s="1930" t="s">
        <v>960</v>
      </c>
      <c r="D57" s="1939" t="s">
        <v>961</v>
      </c>
      <c r="E57" s="1932" t="s">
        <v>962</v>
      </c>
      <c r="F57" s="1934" t="s">
        <v>963</v>
      </c>
      <c r="G57" s="1936">
        <v>46024</v>
      </c>
      <c r="H57" s="1936">
        <v>46266</v>
      </c>
      <c r="I57" s="1938">
        <v>30000</v>
      </c>
      <c r="J57" s="1910">
        <v>46266</v>
      </c>
      <c r="K57" s="1912">
        <f>IF(J57="", "", 12 - MONTH(J57) + 1)</f>
        <v>4</v>
      </c>
      <c r="L57" s="1926"/>
      <c r="M57" s="2004"/>
      <c r="N57" s="1998"/>
      <c r="O57" s="1878" t="s">
        <v>83</v>
      </c>
      <c r="P57" s="1906" t="s">
        <v>964</v>
      </c>
      <c r="Q57" s="1947"/>
      <c r="R57" s="1878">
        <v>0.9</v>
      </c>
      <c r="S57" s="1204" t="s">
        <v>116</v>
      </c>
      <c r="T57" s="1205">
        <f>AVERAGE([16]Estrutura!$I$5:$I$15)</f>
        <v>0.89852008456659616</v>
      </c>
      <c r="U57" s="1195">
        <f>IFERROR(IF(AND(U$54&gt;=EOMONTH($J57,-1)+1,U$54&lt;=EOMONTH(EOMONTH($J57,-1)+1,$K57-1)),IF(NOT(ISBLANK($N57)),$N57/$K57,$I57/$K57),0),0)</f>
        <v>0</v>
      </c>
      <c r="V57" s="1195">
        <f>IFERROR(IF(AND(V$54&gt;=EOMONTH($J57,-1)+1,V$54&lt;=EOMONTH(EOMONTH($J57,-1)+1,$K57-1)),IF(NOT(ISBLANK($N57)),$N57/$K57,$I57/$K57),0),0)</f>
        <v>0</v>
      </c>
      <c r="W57" s="1195">
        <f>IFERROR(IF(AND(W$54&gt;=EOMONTH($J57,-1)+1,W$54&lt;=EOMONTH(EOMONTH($J57,-1)+1,$K57-1)),IF(NOT(ISBLANK($N57)),$N57/$K57,$I57/$K57),0),0)</f>
        <v>0</v>
      </c>
      <c r="X57" s="1196">
        <f t="shared" ref="X57" si="17">SUM(U57:W57)</f>
        <v>0</v>
      </c>
      <c r="Y57" s="1195">
        <f>IFERROR(IF(AND(Y$54&gt;=EOMONTH($J57,-1)+1,Y$54&lt;=EOMONTH(EOMONTH($J57,-1)+1,$K57-1)),IF(NOT(ISBLANK($N57)),$N57/$K57,$I57/$K57),0),0)</f>
        <v>0</v>
      </c>
      <c r="Z57" s="1195">
        <f>IFERROR(IF(AND(Z$54&gt;=EOMONTH($J57,-1)+1,Z$54&lt;=EOMONTH(EOMONTH($J57,-1)+1,$K57-1)),IF(NOT(ISBLANK($N57)),$N57/$K57,$I57/$K57),0),0)</f>
        <v>0</v>
      </c>
      <c r="AA57" s="1195">
        <f>IFERROR(IF(AND(AA$54&gt;=EOMONTH($J57,-1)+1,AA$54&lt;=EOMONTH(EOMONTH($J57,-1)+1,$K57-1)),IF(NOT(ISBLANK($N57)),$N57/$K57,$I57/$K57),0),0)</f>
        <v>0</v>
      </c>
      <c r="AB57" s="1196">
        <f t="shared" ref="AB57" si="18">SUM(Y57:AA57)</f>
        <v>0</v>
      </c>
      <c r="AC57" s="1195">
        <f>IFERROR(IF(AND(AC$54&gt;=EOMONTH($J57,-1)+1,AC$54&lt;=EOMONTH(EOMONTH($J57,-1)+1,$K57-1)),IF(NOT(ISBLANK($N57)),$N57/$K57,$I57/$K57),0),0)</f>
        <v>0</v>
      </c>
      <c r="AD57" s="1195">
        <f>IFERROR(IF(AND(AD$54&gt;=EOMONTH($J57,-1)+1,AD$54&lt;=EOMONTH(EOMONTH($J57,-1)+1,$K57-1)),IF(NOT(ISBLANK($N57)),$N57/$K57,$I57/$K57),0),0)</f>
        <v>0</v>
      </c>
      <c r="AE57" s="1195">
        <f>IFERROR(IF(AND(AE$54&gt;=EOMONTH($J57,-1)+1,AE$54&lt;=EOMONTH(EOMONTH($J57,-1)+1,$K57-1)),IF(NOT(ISBLANK($N57)),$N57/$K57,$I57/$K57),0),0)</f>
        <v>7500</v>
      </c>
      <c r="AF57" s="1196">
        <f t="shared" ref="AF57" si="19">SUM(AC57:AE57)</f>
        <v>7500</v>
      </c>
      <c r="AG57" s="1195">
        <f>IFERROR(IF(AND(AG$54&gt;=EOMONTH($J57,-1)+1,AG$54&lt;=EOMONTH(EOMONTH($J57,-1)+1,$K57-1)),IF(NOT(ISBLANK($N57)),$N57/$K57,$I57/$K57),0),0)</f>
        <v>7500</v>
      </c>
      <c r="AH57" s="1195">
        <f>IFERROR(IF(AND(AH$54&gt;=EOMONTH($J57,-1)+1,AH$54&lt;=EOMONTH(EOMONTH($J57,-1)+1,$K57-1)),IF(NOT(ISBLANK($N57)),$N57/$K57,$I57/$K57),0),0)</f>
        <v>7500</v>
      </c>
      <c r="AI57" s="1195">
        <f>IFERROR(IF(AND(AI$54&gt;=EOMONTH($J57,-1)+1,AI$54&lt;=EOMONTH(EOMONTH($J57,-1)+1,$K57-1)),IF(NOT(ISBLANK($N57)),$N57/$K57,$I57/$K57),0),0)</f>
        <v>7500</v>
      </c>
      <c r="AJ57" s="1196">
        <f t="shared" ref="AJ57" si="20">SUM(AG57:AI57)</f>
        <v>22500</v>
      </c>
      <c r="AK57" s="1206">
        <f t="shared" si="16"/>
        <v>30000</v>
      </c>
      <c r="AL57" s="1131"/>
      <c r="AM57" s="1928"/>
      <c r="AN57" s="1878"/>
      <c r="AO57" s="1969">
        <f>N57*AN57</f>
        <v>0</v>
      </c>
      <c r="AP57" s="1041" t="str">
        <f>C57</f>
        <v>02 - Aumentar a produtividade da estamparia atraves da implementação lote econômico e multiplos de MTP</v>
      </c>
      <c r="AQ57" s="1041" t="s">
        <v>311</v>
      </c>
      <c r="AR57" s="1063" t="str" cm="1">
        <f t="array" aca="1" ref="AR57" ca="1">IF(OR(AP57="",AP57=0),"",IF(SUMPRODUCT(($C$55:$C$144=AP57)*(U$54:$AI$54&lt;EOMONTH(TODAY(),-1)+1)*(ISNUMBER(U$55:$AI$144)),U$55:$AI$144)=0,"",SUMPRODUCT(($C$55:$C$144=AP57)*(U$54:$AI$54&lt;EOMONTH(TODAY(),-1)+1)*(ISNUMBER(U$55:$AI$144)),U$55:$AI$144)))</f>
        <v/>
      </c>
      <c r="AS57" s="1041" t="str">
        <f>A57</f>
        <v>Kaizen - Ganho Recorrente</v>
      </c>
      <c r="AT57" s="2111">
        <f>IF(OR(I57="",K57=""),0,(I57/12)*K57)</f>
        <v>10000</v>
      </c>
      <c r="AU57" s="2111">
        <f>IF(OR(N57="",K57="",K57=0),0,(N57/K57)*12)</f>
        <v>0</v>
      </c>
    </row>
    <row r="58" spans="1:47" ht="29.1" customHeight="1" x14ac:dyDescent="0.3">
      <c r="A58" s="1929"/>
      <c r="B58" s="1929"/>
      <c r="C58" s="1931"/>
      <c r="D58" s="1940"/>
      <c r="E58" s="1933"/>
      <c r="F58" s="1935"/>
      <c r="G58" s="1937"/>
      <c r="H58" s="1937"/>
      <c r="I58" s="1937"/>
      <c r="J58" s="1911"/>
      <c r="K58" s="1913"/>
      <c r="L58" s="1927"/>
      <c r="M58" s="2005"/>
      <c r="N58" s="1999"/>
      <c r="O58" s="1879"/>
      <c r="P58" s="1907"/>
      <c r="Q58" s="1948"/>
      <c r="R58" s="1879"/>
      <c r="S58" s="1204" t="s">
        <v>117</v>
      </c>
      <c r="T58" s="1205">
        <f>AVERAGE([16]Estrutura!$J$5:$J$15)</f>
        <v>0.72727272727272729</v>
      </c>
      <c r="U58" s="1207" t="s">
        <v>959</v>
      </c>
      <c r="V58" s="1207" t="s">
        <v>959</v>
      </c>
      <c r="W58" s="1207" t="s">
        <v>959</v>
      </c>
      <c r="X58" s="1208">
        <f t="shared" si="12"/>
        <v>0</v>
      </c>
      <c r="Y58" s="1207" t="s">
        <v>959</v>
      </c>
      <c r="Z58" s="1207" t="s">
        <v>959</v>
      </c>
      <c r="AA58" s="1207" t="s">
        <v>959</v>
      </c>
      <c r="AB58" s="1208">
        <f t="shared" si="13"/>
        <v>0</v>
      </c>
      <c r="AC58" s="1207" t="s">
        <v>959</v>
      </c>
      <c r="AD58" s="1207" t="s">
        <v>959</v>
      </c>
      <c r="AE58" s="1207" t="s">
        <v>959</v>
      </c>
      <c r="AF58" s="1208">
        <f t="shared" si="14"/>
        <v>0</v>
      </c>
      <c r="AG58" s="1207" t="s">
        <v>959</v>
      </c>
      <c r="AH58" s="1207" t="s">
        <v>959</v>
      </c>
      <c r="AI58" s="1207" t="s">
        <v>959</v>
      </c>
      <c r="AJ58" s="1208">
        <f t="shared" si="15"/>
        <v>0</v>
      </c>
      <c r="AK58" s="1209">
        <f t="shared" si="16"/>
        <v>0</v>
      </c>
      <c r="AL58" s="1131"/>
      <c r="AM58" s="1929"/>
      <c r="AN58" s="1879"/>
      <c r="AO58" s="1970"/>
      <c r="AP58" s="1041" t="str">
        <f>C57</f>
        <v>02 - Aumentar a produtividade da estamparia atraves da implementação lote econômico e multiplos de MTP</v>
      </c>
      <c r="AQ58" s="1041" t="s">
        <v>313</v>
      </c>
      <c r="AR58" s="1063" t="str" cm="1">
        <f t="array" aca="1" ref="AR58" ca="1">IF(OR(AP58="",AP58=0),"",IF(SUMPRODUCT(($C$55:$C$159=AP58)*($U$54:AI$54&lt;=TODAY())*(ISNUMBER($U$56:AI$160)),$U$56:AI$160)=0,"",SUMPRODUCT(($C$55:$C$159=AP58)*($U$54:AI$54&lt;=TODAY())*(ISNUMBER($U$56:AI$160)),$U$56:AI$160)))</f>
        <v/>
      </c>
      <c r="AS58" s="1041" t="str">
        <f>A57</f>
        <v>Kaizen - Ganho Recorrente</v>
      </c>
      <c r="AT58" s="2112"/>
      <c r="AU58" s="2112"/>
    </row>
    <row r="59" spans="1:47" ht="29.1" customHeight="1" x14ac:dyDescent="0.3">
      <c r="A59" s="1880" t="s">
        <v>91</v>
      </c>
      <c r="B59" s="1882" t="s">
        <v>95</v>
      </c>
      <c r="C59" s="1884" t="s">
        <v>965</v>
      </c>
      <c r="D59" s="1886" t="s">
        <v>966</v>
      </c>
      <c r="E59" s="1888" t="s">
        <v>967</v>
      </c>
      <c r="F59" s="1890" t="s">
        <v>968</v>
      </c>
      <c r="G59" s="1892">
        <v>46023</v>
      </c>
      <c r="H59" s="1892">
        <v>46266</v>
      </c>
      <c r="I59" s="1894">
        <v>513721</v>
      </c>
      <c r="J59" s="1892">
        <v>46266</v>
      </c>
      <c r="K59" s="1898">
        <f t="shared" ref="K59" si="21">IF(J59="", "", 12 - MONTH(J59) + 1)</f>
        <v>4</v>
      </c>
      <c r="L59" s="1894"/>
      <c r="M59" s="1900"/>
      <c r="N59" s="1902"/>
      <c r="O59" s="1904" t="s">
        <v>83</v>
      </c>
      <c r="P59" s="1920" t="s">
        <v>969</v>
      </c>
      <c r="Q59" s="1945">
        <v>46213</v>
      </c>
      <c r="R59" s="1904">
        <v>0.9</v>
      </c>
      <c r="S59" s="1210" t="s">
        <v>116</v>
      </c>
      <c r="T59" s="1211">
        <f>AVERAGE([17]Estrutura!$I$6:$I$58)</f>
        <v>0.87668986678317529</v>
      </c>
      <c r="U59" s="1195">
        <f>IFERROR(IF(AND(U$54&gt;=EOMONTH($J59,-1)+1,U$54&lt;=EOMONTH(EOMONTH($J59,-1)+1,$K59-1)),IF(NOT(ISBLANK($N59)),$N59/$K59,$I59/$K59),0),0)</f>
        <v>0</v>
      </c>
      <c r="V59" s="1195">
        <f>IFERROR(IF(AND(V$54&gt;=EOMONTH($J59,-1)+1,V$54&lt;=EOMONTH(EOMONTH($J59,-1)+1,$K59-1)),IF(NOT(ISBLANK($N59)),$N59/$K59,$I59/$K59),0),0)</f>
        <v>0</v>
      </c>
      <c r="W59" s="1195">
        <f>IFERROR(IF(AND(W$54&gt;=EOMONTH($J59,-1)+1,W$54&lt;=EOMONTH(EOMONTH($J59,-1)+1,$K59-1)),IF(NOT(ISBLANK($N59)),$N59/$K59,$I59/$K59),0),0)</f>
        <v>0</v>
      </c>
      <c r="X59" s="1196">
        <f t="shared" ref="X59" si="22">SUM(U59:W59)</f>
        <v>0</v>
      </c>
      <c r="Y59" s="1195">
        <f>IFERROR(IF(AND(Y$54&gt;=EOMONTH($J59,-1)+1,Y$54&lt;=EOMONTH(EOMONTH($J59,-1)+1,$K59-1)),IF(NOT(ISBLANK($N59)),$N59/$K59,$I59/$K59),0),0)</f>
        <v>0</v>
      </c>
      <c r="Z59" s="1195">
        <f>IFERROR(IF(AND(Z$54&gt;=EOMONTH($J59,-1)+1,Z$54&lt;=EOMONTH(EOMONTH($J59,-1)+1,$K59-1)),IF(NOT(ISBLANK($N59)),$N59/$K59,$I59/$K59),0),0)</f>
        <v>0</v>
      </c>
      <c r="AA59" s="1195">
        <f>IFERROR(IF(AND(AA$54&gt;=EOMONTH($J59,-1)+1,AA$54&lt;=EOMONTH(EOMONTH($J59,-1)+1,$K59-1)),IF(NOT(ISBLANK($N59)),$N59/$K59,$I59/$K59),0),0)</f>
        <v>0</v>
      </c>
      <c r="AB59" s="1196">
        <f t="shared" ref="AB59" si="23">SUM(Y59:AA59)</f>
        <v>0</v>
      </c>
      <c r="AC59" s="1195">
        <f>IFERROR(IF(AND(AC$54&gt;=EOMONTH($J59,-1)+1,AC$54&lt;=EOMONTH(EOMONTH($J59,-1)+1,$K59-1)),IF(NOT(ISBLANK($N59)),$N59/$K59,$I59/$K59),0),0)</f>
        <v>0</v>
      </c>
      <c r="AD59" s="1195">
        <f>IFERROR(IF(AND(AD$54&gt;=EOMONTH($J59,-1)+1,AD$54&lt;=EOMONTH(EOMONTH($J59,-1)+1,$K59-1)),IF(NOT(ISBLANK($N59)),$N59/$K59,$I59/$K59),0),0)</f>
        <v>0</v>
      </c>
      <c r="AE59" s="1195">
        <f>IFERROR(IF(AND(AE$54&gt;=EOMONTH($J59,-1)+1,AE$54&lt;=EOMONTH(EOMONTH($J59,-1)+1,$K59-1)),IF(NOT(ISBLANK($N59)),$N59/$K59,$I59/$K59),0),0)</f>
        <v>128430.25</v>
      </c>
      <c r="AF59" s="1196">
        <f t="shared" ref="AF59" si="24">SUM(AC59:AE59)</f>
        <v>128430.25</v>
      </c>
      <c r="AG59" s="1195">
        <f>IFERROR(IF(AND(AG$54&gt;=EOMONTH($J59,-1)+1,AG$54&lt;=EOMONTH(EOMONTH($J59,-1)+1,$K59-1)),IF(NOT(ISBLANK($N59)),$N59/$K59,$I59/$K59),0),0)</f>
        <v>128430.25</v>
      </c>
      <c r="AH59" s="1195">
        <f>IFERROR(IF(AND(AH$54&gt;=EOMONTH($J59,-1)+1,AH$54&lt;=EOMONTH(EOMONTH($J59,-1)+1,$K59-1)),IF(NOT(ISBLANK($N59)),$N59/$K59,$I59/$K59),0),0)</f>
        <v>128430.25</v>
      </c>
      <c r="AI59" s="1195">
        <f>IFERROR(IF(AND(AI$54&gt;=EOMONTH($J59,-1)+1,AI$54&lt;=EOMONTH(EOMONTH($J59,-1)+1,$K59-1)),IF(NOT(ISBLANK($N59)),$N59/$K59,$I59/$K59),0),0)</f>
        <v>128430.25</v>
      </c>
      <c r="AJ59" s="1196">
        <f t="shared" ref="AJ59" si="25">SUM(AG59:AI59)</f>
        <v>385290.75</v>
      </c>
      <c r="AK59" s="1212">
        <f t="shared" si="16"/>
        <v>513721</v>
      </c>
      <c r="AL59" s="1213"/>
      <c r="AM59" s="1890"/>
      <c r="AN59" s="1971"/>
      <c r="AO59" s="1973">
        <f>N59*AN59</f>
        <v>0</v>
      </c>
      <c r="AP59" s="1041" t="str">
        <f>C59</f>
        <v>03 - Redução de consumo de MP dos blanks com a técnica de corte Wave</v>
      </c>
      <c r="AQ59" s="1041" t="s">
        <v>311</v>
      </c>
      <c r="AR59" s="1063" t="str" cm="1">
        <f t="array" aca="1" ref="AR59" ca="1">IF(OR(AP59="",AP59=0),"",IF(SUMPRODUCT(($C$55:$C$144=AP59)*(U$54:$AI$54&lt;EOMONTH(TODAY(),-1)+1)*(ISNUMBER(U$55:$AI$144)),U$55:$AI$144)=0,"",SUMPRODUCT(($C$55:$C$144=AP59)*(U$54:$AI$54&lt;EOMONTH(TODAY(),-1)+1)*(ISNUMBER(U$55:$AI$144)),U$55:$AI$144)))</f>
        <v/>
      </c>
      <c r="AS59" s="1041" t="str">
        <f>A59</f>
        <v>BSW</v>
      </c>
      <c r="AT59" s="2111">
        <f>IF(OR(I59="",K59=""),0,(I59/12)*K59)</f>
        <v>171240.33333333334</v>
      </c>
      <c r="AU59" s="2111">
        <f>IF(OR(N59="",K59="",K59=0),0,(N59/K59)*12)</f>
        <v>0</v>
      </c>
    </row>
    <row r="60" spans="1:47" ht="29.1" customHeight="1" x14ac:dyDescent="0.3">
      <c r="A60" s="1881"/>
      <c r="B60" s="1883"/>
      <c r="C60" s="1885"/>
      <c r="D60" s="1887"/>
      <c r="E60" s="1889"/>
      <c r="F60" s="1891"/>
      <c r="G60" s="1893"/>
      <c r="H60" s="1893"/>
      <c r="I60" s="1895"/>
      <c r="J60" s="1893"/>
      <c r="K60" s="1899"/>
      <c r="L60" s="1895"/>
      <c r="M60" s="1993"/>
      <c r="N60" s="1966"/>
      <c r="O60" s="1905"/>
      <c r="P60" s="1921"/>
      <c r="Q60" s="1946"/>
      <c r="R60" s="1905"/>
      <c r="S60" s="1210" t="s">
        <v>117</v>
      </c>
      <c r="T60" s="1211">
        <f>AVERAGE([17]Estrutura!$J$5:$J$58)</f>
        <v>0.78586513189403762</v>
      </c>
      <c r="U60" s="1214" t="s">
        <v>959</v>
      </c>
      <c r="V60" s="1214" t="s">
        <v>959</v>
      </c>
      <c r="W60" s="1214" t="s">
        <v>959</v>
      </c>
      <c r="X60" s="1208">
        <f t="shared" si="12"/>
        <v>0</v>
      </c>
      <c r="Y60" s="1214" t="s">
        <v>959</v>
      </c>
      <c r="Z60" s="1214" t="s">
        <v>959</v>
      </c>
      <c r="AA60" s="1214" t="s">
        <v>959</v>
      </c>
      <c r="AB60" s="1208">
        <f t="shared" si="13"/>
        <v>0</v>
      </c>
      <c r="AC60" s="1214" t="s">
        <v>959</v>
      </c>
      <c r="AD60" s="1214" t="s">
        <v>959</v>
      </c>
      <c r="AE60" s="1214" t="s">
        <v>959</v>
      </c>
      <c r="AF60" s="1208">
        <f t="shared" si="14"/>
        <v>0</v>
      </c>
      <c r="AG60" s="1214" t="s">
        <v>959</v>
      </c>
      <c r="AH60" s="1214" t="s">
        <v>959</v>
      </c>
      <c r="AI60" s="1214" t="s">
        <v>959</v>
      </c>
      <c r="AJ60" s="1208">
        <f t="shared" si="15"/>
        <v>0</v>
      </c>
      <c r="AK60" s="1215">
        <f t="shared" si="16"/>
        <v>0</v>
      </c>
      <c r="AL60" s="1216"/>
      <c r="AM60" s="1891"/>
      <c r="AN60" s="1972"/>
      <c r="AO60" s="1974"/>
      <c r="AP60" s="1041" t="str">
        <f>C59</f>
        <v>03 - Redução de consumo de MP dos blanks com a técnica de corte Wave</v>
      </c>
      <c r="AQ60" s="1041" t="s">
        <v>313</v>
      </c>
      <c r="AR60" s="1063" t="str" cm="1">
        <f t="array" aca="1" ref="AR60" ca="1">IF(OR(AP60="",AP60=0),"",IF(SUMPRODUCT(($C$55:$C$159=AP60)*($U$54:AI$54&lt;=TODAY())*(ISNUMBER($U$56:AI$160)),$U$56:AI$160)=0,"",SUMPRODUCT(($C$55:$C$159=AP60)*($U$54:AI$54&lt;=TODAY())*(ISNUMBER($U$56:AI$160)),$U$56:AI$160)))</f>
        <v/>
      </c>
      <c r="AS60" s="1041" t="str">
        <f>A59</f>
        <v>BSW</v>
      </c>
      <c r="AT60" s="2112"/>
      <c r="AU60" s="2112"/>
    </row>
    <row r="61" spans="1:47" ht="29.1" customHeight="1" x14ac:dyDescent="0.3">
      <c r="A61" s="1928" t="s">
        <v>91</v>
      </c>
      <c r="B61" s="1928" t="s">
        <v>95</v>
      </c>
      <c r="C61" s="1930" t="s">
        <v>970</v>
      </c>
      <c r="D61" s="1939" t="s">
        <v>971</v>
      </c>
      <c r="E61" s="1932" t="s">
        <v>972</v>
      </c>
      <c r="F61" s="1934" t="s">
        <v>973</v>
      </c>
      <c r="G61" s="1936">
        <v>46054</v>
      </c>
      <c r="H61" s="1936">
        <v>46235</v>
      </c>
      <c r="I61" s="1938">
        <v>75733</v>
      </c>
      <c r="J61" s="1936">
        <v>46357</v>
      </c>
      <c r="K61" s="1912">
        <f t="shared" ref="K61" si="26">IF(J61="", "", 12 - MONTH(J61) + 1)</f>
        <v>1</v>
      </c>
      <c r="L61" s="1914"/>
      <c r="M61" s="2004"/>
      <c r="N61" s="1998"/>
      <c r="O61" s="1878" t="s">
        <v>83</v>
      </c>
      <c r="P61" s="1968" t="s">
        <v>974</v>
      </c>
      <c r="Q61" s="1908" t="s">
        <v>975</v>
      </c>
      <c r="R61" s="1878">
        <v>0.5</v>
      </c>
      <c r="S61" s="1204" t="s">
        <v>116</v>
      </c>
      <c r="T61" s="1205">
        <v>0.4</v>
      </c>
      <c r="U61" s="1195">
        <f>IFERROR(IF(AND(U$54&gt;=EOMONTH($J61,-1)+1,U$54&lt;=EOMONTH(EOMONTH($J61,-1)+1,$K61-1)),IF(NOT(ISBLANK($N61)),$N61/$K61,$I61/$K61),0),0)</f>
        <v>0</v>
      </c>
      <c r="V61" s="1195">
        <f>IFERROR(IF(AND(V$54&gt;=EOMONTH($J61,-1)+1,V$54&lt;=EOMONTH(EOMONTH($J61,-1)+1,$K61-1)),IF(NOT(ISBLANK($N61)),$N61/$K61,$I61/$K61),0),0)</f>
        <v>0</v>
      </c>
      <c r="W61" s="1195">
        <f>IFERROR(IF(AND(W$54&gt;=EOMONTH($J61,-1)+1,W$54&lt;=EOMONTH(EOMONTH($J61,-1)+1,$K61-1)),IF(NOT(ISBLANK($N61)),$N61/$K61,$I61/$K61),0),0)</f>
        <v>0</v>
      </c>
      <c r="X61" s="1196">
        <f t="shared" ref="X61" si="27">SUM(U61:W61)</f>
        <v>0</v>
      </c>
      <c r="Y61" s="1195">
        <f>IFERROR(IF(AND(Y$54&gt;=EOMONTH($J61,-1)+1,Y$54&lt;=EOMONTH(EOMONTH($J61,-1)+1,$K61-1)),IF(NOT(ISBLANK($N61)),$N61/$K61,$I61/$K61),0),0)</f>
        <v>0</v>
      </c>
      <c r="Z61" s="1195">
        <f>IFERROR(IF(AND(Z$54&gt;=EOMONTH($J61,-1)+1,Z$54&lt;=EOMONTH(EOMONTH($J61,-1)+1,$K61-1)),IF(NOT(ISBLANK($N61)),$N61/$K61,$I61/$K61),0),0)</f>
        <v>0</v>
      </c>
      <c r="AA61" s="1195">
        <f>IFERROR(IF(AND(AA$54&gt;=EOMONTH($J61,-1)+1,AA$54&lt;=EOMONTH(EOMONTH($J61,-1)+1,$K61-1)),IF(NOT(ISBLANK($N61)),$N61/$K61,$I61/$K61),0),0)</f>
        <v>0</v>
      </c>
      <c r="AB61" s="1196">
        <f t="shared" ref="AB61" si="28">SUM(Y61:AA61)</f>
        <v>0</v>
      </c>
      <c r="AC61" s="1195">
        <f>IFERROR(IF(AND(AC$54&gt;=EOMONTH($J61,-1)+1,AC$54&lt;=EOMONTH(EOMONTH($J61,-1)+1,$K61-1)),IF(NOT(ISBLANK($N61)),$N61/$K61,$I61/$K61),0),0)</f>
        <v>0</v>
      </c>
      <c r="AD61" s="1195">
        <f>IFERROR(IF(AND(AD$54&gt;=EOMONTH($J61,-1)+1,AD$54&lt;=EOMONTH(EOMONTH($J61,-1)+1,$K61-1)),IF(NOT(ISBLANK($N61)),$N61/$K61,$I61/$K61),0),0)</f>
        <v>0</v>
      </c>
      <c r="AE61" s="1195">
        <f>IFERROR(IF(AND(AE$54&gt;=EOMONTH($J61,-1)+1,AE$54&lt;=EOMONTH(EOMONTH($J61,-1)+1,$K61-1)),IF(NOT(ISBLANK($N61)),$N61/$K61,$I61/$K61),0),0)</f>
        <v>0</v>
      </c>
      <c r="AF61" s="1196">
        <f t="shared" ref="AF61" si="29">SUM(AC61:AE61)</f>
        <v>0</v>
      </c>
      <c r="AG61" s="1195">
        <f>IFERROR(IF(AND(AG$54&gt;=EOMONTH($J61,-1)+1,AG$54&lt;=EOMONTH(EOMONTH($J61,-1)+1,$K61-1)),IF(NOT(ISBLANK($N61)),$N61/$K61,$I61/$K61),0),0)</f>
        <v>0</v>
      </c>
      <c r="AH61" s="1195">
        <f>IFERROR(IF(AND(AH$54&gt;=EOMONTH($J61,-1)+1,AH$54&lt;=EOMONTH(EOMONTH($J61,-1)+1,$K61-1)),IF(NOT(ISBLANK($N61)),$N61/$K61,$I61/$K61),0),0)</f>
        <v>0</v>
      </c>
      <c r="AI61" s="1195">
        <f>IFERROR(IF(AND(AI$54&gt;=EOMONTH($J61,-1)+1,AI$54&lt;=EOMONTH(EOMONTH($J61,-1)+1,$K61-1)),IF(NOT(ISBLANK($N61)),$N61/$K61,$I61/$K61),0),0)</f>
        <v>75733</v>
      </c>
      <c r="AJ61" s="1196">
        <f t="shared" ref="AJ61" si="30">SUM(AG61:AI61)</f>
        <v>75733</v>
      </c>
      <c r="AK61" s="1206">
        <f t="shared" si="16"/>
        <v>75733</v>
      </c>
      <c r="AL61" s="1131"/>
      <c r="AM61" s="1928"/>
      <c r="AN61" s="1878"/>
      <c r="AO61" s="1969">
        <f>N61*AN61</f>
        <v>0</v>
      </c>
      <c r="AP61" s="1041" t="str">
        <f>C61</f>
        <v>04 - Redução da largura dos slitters</v>
      </c>
      <c r="AQ61" s="1041" t="s">
        <v>311</v>
      </c>
      <c r="AR61" s="1063" t="str" cm="1">
        <f t="array" aca="1" ref="AR61" ca="1">IF(OR(AP61="",AP61=0),"",IF(SUMPRODUCT(($C$55:$C$144=AP61)*(U$54:$AI$54&lt;EOMONTH(TODAY(),-1)+1)*(ISNUMBER(U$55:$AI$144)),U$55:$AI$144)=0,"",SUMPRODUCT(($C$55:$C$144=AP61)*(U$54:$AI$54&lt;EOMONTH(TODAY(),-1)+1)*(ISNUMBER(U$55:$AI$144)),U$55:$AI$144)))</f>
        <v/>
      </c>
      <c r="AS61" s="1041" t="str">
        <f>A61</f>
        <v>BSW</v>
      </c>
      <c r="AT61" s="2111">
        <f>IF(OR(I61="",K61=""),0,(I61/12)*K61)</f>
        <v>6311.083333333333</v>
      </c>
      <c r="AU61" s="2111">
        <f>IF(OR(N61="",K61="",K61=0),0,(N61/K61)*12)</f>
        <v>0</v>
      </c>
    </row>
    <row r="62" spans="1:47" ht="29.1" customHeight="1" x14ac:dyDescent="0.3">
      <c r="A62" s="1929"/>
      <c r="B62" s="1929"/>
      <c r="C62" s="1931"/>
      <c r="D62" s="2097"/>
      <c r="E62" s="1933"/>
      <c r="F62" s="1935"/>
      <c r="G62" s="1937"/>
      <c r="H62" s="1937"/>
      <c r="I62" s="1937"/>
      <c r="J62" s="1937"/>
      <c r="K62" s="1913"/>
      <c r="L62" s="1915"/>
      <c r="M62" s="2005"/>
      <c r="N62" s="1999"/>
      <c r="O62" s="1879"/>
      <c r="P62" s="1907"/>
      <c r="Q62" s="1909"/>
      <c r="R62" s="1879"/>
      <c r="S62" s="1204" t="s">
        <v>117</v>
      </c>
      <c r="T62" s="1205">
        <v>0.4</v>
      </c>
      <c r="U62" s="1207" t="s">
        <v>959</v>
      </c>
      <c r="V62" s="1207" t="s">
        <v>959</v>
      </c>
      <c r="W62" s="1207" t="s">
        <v>959</v>
      </c>
      <c r="X62" s="1208">
        <f t="shared" si="12"/>
        <v>0</v>
      </c>
      <c r="Y62" s="1207" t="s">
        <v>959</v>
      </c>
      <c r="Z62" s="1207" t="s">
        <v>959</v>
      </c>
      <c r="AA62" s="1207" t="s">
        <v>959</v>
      </c>
      <c r="AB62" s="1208">
        <f t="shared" si="13"/>
        <v>0</v>
      </c>
      <c r="AC62" s="1207" t="s">
        <v>959</v>
      </c>
      <c r="AD62" s="1207" t="s">
        <v>959</v>
      </c>
      <c r="AE62" s="1207" t="s">
        <v>959</v>
      </c>
      <c r="AF62" s="1208">
        <f t="shared" si="14"/>
        <v>0</v>
      </c>
      <c r="AG62" s="1207" t="s">
        <v>959</v>
      </c>
      <c r="AH62" s="1207" t="s">
        <v>959</v>
      </c>
      <c r="AI62" s="1207" t="s">
        <v>959</v>
      </c>
      <c r="AJ62" s="1208">
        <f t="shared" si="15"/>
        <v>0</v>
      </c>
      <c r="AK62" s="1209">
        <f t="shared" si="16"/>
        <v>0</v>
      </c>
      <c r="AL62" s="1131" t="s">
        <v>976</v>
      </c>
      <c r="AM62" s="1929"/>
      <c r="AN62" s="1879"/>
      <c r="AO62" s="1970"/>
      <c r="AP62" s="1041" t="str">
        <f>C61</f>
        <v>04 - Redução da largura dos slitters</v>
      </c>
      <c r="AQ62" s="1041" t="s">
        <v>313</v>
      </c>
      <c r="AR62" s="1063" t="str" cm="1">
        <f t="array" aca="1" ref="AR62" ca="1">IF(OR(AP62="",AP62=0),"",IF(SUMPRODUCT(($C$55:$C$159=AP62)*($U$54:AI$54&lt;=TODAY())*(ISNUMBER($U$56:AI$160)),$U$56:AI$160)=0,"",SUMPRODUCT(($C$55:$C$159=AP62)*($U$54:AI$54&lt;=TODAY())*(ISNUMBER($U$56:AI$160)),$U$56:AI$160)))</f>
        <v/>
      </c>
      <c r="AS62" s="1041" t="str">
        <f>A61</f>
        <v>BSW</v>
      </c>
      <c r="AT62" s="2112"/>
      <c r="AU62" s="2112"/>
    </row>
    <row r="63" spans="1:47" ht="29.1" customHeight="1" x14ac:dyDescent="0.3">
      <c r="A63" s="1880" t="s">
        <v>91</v>
      </c>
      <c r="B63" s="1882" t="s">
        <v>95</v>
      </c>
      <c r="C63" s="1884" t="s">
        <v>977</v>
      </c>
      <c r="D63" s="1886" t="s">
        <v>978</v>
      </c>
      <c r="E63" s="1888" t="s">
        <v>979</v>
      </c>
      <c r="F63" s="1890" t="s">
        <v>968</v>
      </c>
      <c r="G63" s="1892">
        <v>46054</v>
      </c>
      <c r="H63" s="1892">
        <v>46235</v>
      </c>
      <c r="I63" s="1894">
        <v>91444</v>
      </c>
      <c r="J63" s="1892">
        <v>46235</v>
      </c>
      <c r="K63" s="1898">
        <f t="shared" ref="K63:K65" si="31">IF(J63="", "", 12 - MONTH(J63) + 1)</f>
        <v>5</v>
      </c>
      <c r="L63" s="1894"/>
      <c r="M63" s="2031" t="s">
        <v>363</v>
      </c>
      <c r="N63" s="1902"/>
      <c r="O63" s="1904" t="s">
        <v>83</v>
      </c>
      <c r="P63" s="1920" t="s">
        <v>26</v>
      </c>
      <c r="Q63" s="1922" t="s">
        <v>980</v>
      </c>
      <c r="R63" s="1904">
        <v>0.8</v>
      </c>
      <c r="S63" s="1210" t="s">
        <v>116</v>
      </c>
      <c r="T63" s="1211">
        <f>AVERAGE([18]Estrutura!$I$5:$I$16)</f>
        <v>0.41666666666666669</v>
      </c>
      <c r="U63" s="1195">
        <f>IFERROR(IF(AND(U$54&gt;=EOMONTH($J63,-1)+1,U$54&lt;=EOMONTH(EOMONTH($J63,-1)+1,$K63-1)),IF(NOT(ISBLANK($N63)),$N63/$K63,$I63/$K63),0),0)</f>
        <v>0</v>
      </c>
      <c r="V63" s="1195">
        <f>IFERROR(IF(AND(V$54&gt;=EOMONTH($J63,-1)+1,V$54&lt;=EOMONTH(EOMONTH($J63,-1)+1,$K63-1)),IF(NOT(ISBLANK($N63)),$N63/$K63,$I63/$K63),0),0)</f>
        <v>0</v>
      </c>
      <c r="W63" s="1195">
        <f>IFERROR(IF(AND(W$54&gt;=EOMONTH($J63,-1)+1,W$54&lt;=EOMONTH(EOMONTH($J63,-1)+1,$K63-1)),IF(NOT(ISBLANK($N63)),$N63/$K63,$I63/$K63),0),0)</f>
        <v>0</v>
      </c>
      <c r="X63" s="1196">
        <f t="shared" ref="X63" si="32">SUM(U63:W63)</f>
        <v>0</v>
      </c>
      <c r="Y63" s="1195">
        <f>IFERROR(IF(AND(Y$54&gt;=EOMONTH($J63,-1)+1,Y$54&lt;=EOMONTH(EOMONTH($J63,-1)+1,$K63-1)),IF(NOT(ISBLANK($N63)),$N63/$K63,$I63/$K63),0),0)</f>
        <v>0</v>
      </c>
      <c r="Z63" s="1195">
        <f>IFERROR(IF(AND(Z$54&gt;=EOMONTH($J63,-1)+1,Z$54&lt;=EOMONTH(EOMONTH($J63,-1)+1,$K63-1)),IF(NOT(ISBLANK($N63)),$N63/$K63,$I63/$K63),0),0)</f>
        <v>0</v>
      </c>
      <c r="AA63" s="1195">
        <f>IFERROR(IF(AND(AA$54&gt;=EOMONTH($J63,-1)+1,AA$54&lt;=EOMONTH(EOMONTH($J63,-1)+1,$K63-1)),IF(NOT(ISBLANK($N63)),$N63/$K63,$I63/$K63),0),0)</f>
        <v>0</v>
      </c>
      <c r="AB63" s="1196">
        <f t="shared" ref="AB63" si="33">SUM(Y63:AA63)</f>
        <v>0</v>
      </c>
      <c r="AC63" s="1195">
        <f>IFERROR(IF(AND(AC$54&gt;=EOMONTH($J63,-1)+1,AC$54&lt;=EOMONTH(EOMONTH($J63,-1)+1,$K63-1)),IF(NOT(ISBLANK($N63)),$N63/$K63,$I63/$K63),0),0)</f>
        <v>0</v>
      </c>
      <c r="AD63" s="1195">
        <f>IFERROR(IF(AND(AD$54&gt;=EOMONTH($J63,-1)+1,AD$54&lt;=EOMONTH(EOMONTH($J63,-1)+1,$K63-1)),IF(NOT(ISBLANK($N63)),$N63/$K63,$I63/$K63),0),0)</f>
        <v>18288.8</v>
      </c>
      <c r="AE63" s="1195">
        <f>IFERROR(IF(AND(AE$54&gt;=EOMONTH($J63,-1)+1,AE$54&lt;=EOMONTH(EOMONTH($J63,-1)+1,$K63-1)),IF(NOT(ISBLANK($N63)),$N63/$K63,$I63/$K63),0),0)</f>
        <v>18288.8</v>
      </c>
      <c r="AF63" s="1196">
        <f t="shared" ref="AF63" si="34">SUM(AC63:AE63)</f>
        <v>36577.599999999999</v>
      </c>
      <c r="AG63" s="1195">
        <f>IFERROR(IF(AND(AG$54&gt;=EOMONTH($J63,-1)+1,AG$54&lt;=EOMONTH(EOMONTH($J63,-1)+1,$K63-1)),IF(NOT(ISBLANK($N63)),$N63/$K63,$I63/$K63),0),0)</f>
        <v>18288.8</v>
      </c>
      <c r="AH63" s="1195">
        <f>IFERROR(IF(AND(AH$54&gt;=EOMONTH($J63,-1)+1,AH$54&lt;=EOMONTH(EOMONTH($J63,-1)+1,$K63-1)),IF(NOT(ISBLANK($N63)),$N63/$K63,$I63/$K63),0),0)</f>
        <v>18288.8</v>
      </c>
      <c r="AI63" s="1195">
        <f>IFERROR(IF(AND(AI$54&gt;=EOMONTH($J63,-1)+1,AI$54&lt;=EOMONTH(EOMONTH($J63,-1)+1,$K63-1)),IF(NOT(ISBLANK($N63)),$N63/$K63,$I63/$K63),0),0)</f>
        <v>18288.8</v>
      </c>
      <c r="AJ63" s="1196">
        <f t="shared" ref="AJ63" si="35">SUM(AG63:AI63)</f>
        <v>54866.399999999994</v>
      </c>
      <c r="AK63" s="1212">
        <f t="shared" si="16"/>
        <v>91444</v>
      </c>
      <c r="AL63" s="1213"/>
      <c r="AM63" s="1890"/>
      <c r="AN63" s="1971"/>
      <c r="AO63" s="1973">
        <f>N63*AN63</f>
        <v>0</v>
      </c>
      <c r="AP63" s="1041" t="str">
        <f>C63</f>
        <v xml:space="preserve">05 - Aplicar borda aparadas nas bobinas </v>
      </c>
      <c r="AQ63" s="1041" t="s">
        <v>311</v>
      </c>
      <c r="AR63" s="1063" t="str" cm="1">
        <f t="array" aca="1" ref="AR63" ca="1">IF(OR(AP63="",AP63=0),"",IF(SUMPRODUCT(($C$55:$C$144=AP63)*(U$54:$AI$54&lt;EOMONTH(TODAY(),-1)+1)*(ISNUMBER(U$55:$AI$144)),U$55:$AI$144)=0,"",SUMPRODUCT(($C$55:$C$144=AP63)*(U$54:$AI$54&lt;EOMONTH(TODAY(),-1)+1)*(ISNUMBER(U$55:$AI$144)),U$55:$AI$144)))</f>
        <v/>
      </c>
      <c r="AS63" s="1041" t="str">
        <f>A63</f>
        <v>BSW</v>
      </c>
      <c r="AT63" s="2111">
        <f>IF(OR(I63="",K63=""),0,(I63/12)*K63)</f>
        <v>38101.666666666664</v>
      </c>
      <c r="AU63" s="2111">
        <f>IF(OR(N63="",K63="",K63=0),0,(N63/K63)*12)</f>
        <v>0</v>
      </c>
    </row>
    <row r="64" spans="1:47" ht="29.1" customHeight="1" x14ac:dyDescent="0.3">
      <c r="A64" s="1881"/>
      <c r="B64" s="1883"/>
      <c r="C64" s="1885"/>
      <c r="D64" s="1887"/>
      <c r="E64" s="1889"/>
      <c r="F64" s="1891"/>
      <c r="G64" s="1893"/>
      <c r="H64" s="1893"/>
      <c r="I64" s="1895"/>
      <c r="J64" s="1893"/>
      <c r="K64" s="1899"/>
      <c r="L64" s="1895"/>
      <c r="M64" s="2032"/>
      <c r="N64" s="1966"/>
      <c r="O64" s="1905"/>
      <c r="P64" s="1921"/>
      <c r="Q64" s="1923"/>
      <c r="R64" s="1905"/>
      <c r="S64" s="1210" t="s">
        <v>117</v>
      </c>
      <c r="T64" s="1211">
        <f>AVERAGE([18]Estrutura!$J$5:$J$16)</f>
        <v>0.33333333333333331</v>
      </c>
      <c r="U64" s="1214" t="s">
        <v>959</v>
      </c>
      <c r="V64" s="1214" t="s">
        <v>959</v>
      </c>
      <c r="W64" s="1214" t="s">
        <v>959</v>
      </c>
      <c r="X64" s="1208">
        <f t="shared" si="12"/>
        <v>0</v>
      </c>
      <c r="Y64" s="1214" t="s">
        <v>959</v>
      </c>
      <c r="Z64" s="1214" t="s">
        <v>959</v>
      </c>
      <c r="AA64" s="1214" t="s">
        <v>959</v>
      </c>
      <c r="AB64" s="1208">
        <f t="shared" si="13"/>
        <v>0</v>
      </c>
      <c r="AC64" s="1214" t="s">
        <v>959</v>
      </c>
      <c r="AD64" s="1214" t="s">
        <v>959</v>
      </c>
      <c r="AE64" s="1214" t="s">
        <v>959</v>
      </c>
      <c r="AF64" s="1208">
        <f t="shared" si="14"/>
        <v>0</v>
      </c>
      <c r="AG64" s="1214" t="s">
        <v>959</v>
      </c>
      <c r="AH64" s="1214" t="s">
        <v>959</v>
      </c>
      <c r="AI64" s="1214" t="s">
        <v>959</v>
      </c>
      <c r="AJ64" s="1208">
        <f t="shared" si="15"/>
        <v>0</v>
      </c>
      <c r="AK64" s="1215">
        <f t="shared" si="16"/>
        <v>0</v>
      </c>
      <c r="AL64" s="1216"/>
      <c r="AM64" s="1891"/>
      <c r="AN64" s="1972"/>
      <c r="AO64" s="1974"/>
      <c r="AP64" s="1041" t="str">
        <f>C63</f>
        <v xml:space="preserve">05 - Aplicar borda aparadas nas bobinas </v>
      </c>
      <c r="AQ64" s="1041" t="s">
        <v>313</v>
      </c>
      <c r="AR64" s="1063" t="str" cm="1">
        <f t="array" aca="1" ref="AR64" ca="1">IF(OR(AP64="",AP64=0),"",IF(SUMPRODUCT(($C$55:$C$159=AP64)*($U$54:AI$54&lt;=TODAY())*(ISNUMBER($U$56:AI$160)),$U$56:AI$160)=0,"",SUMPRODUCT(($C$55:$C$159=AP64)*($U$54:AI$54&lt;=TODAY())*(ISNUMBER($U$56:AI$160)),$U$56:AI$160)))</f>
        <v/>
      </c>
      <c r="AS64" s="1041" t="str">
        <f>A63</f>
        <v>BSW</v>
      </c>
      <c r="AT64" s="2112"/>
      <c r="AU64" s="2112"/>
    </row>
    <row r="65" spans="1:47" ht="29.1" customHeight="1" x14ac:dyDescent="0.3">
      <c r="A65" s="1928" t="s">
        <v>91</v>
      </c>
      <c r="B65" s="1928" t="s">
        <v>95</v>
      </c>
      <c r="C65" s="1930" t="s">
        <v>981</v>
      </c>
      <c r="D65" s="1939" t="s">
        <v>982</v>
      </c>
      <c r="E65" s="1932" t="s">
        <v>983</v>
      </c>
      <c r="F65" s="1934" t="s">
        <v>968</v>
      </c>
      <c r="G65" s="1936">
        <v>46054</v>
      </c>
      <c r="H65" s="1936">
        <v>46032</v>
      </c>
      <c r="I65" s="1938">
        <v>1063359</v>
      </c>
      <c r="J65" s="1936">
        <v>46296</v>
      </c>
      <c r="K65" s="1912">
        <f t="shared" si="31"/>
        <v>3</v>
      </c>
      <c r="L65" s="1914"/>
      <c r="M65" s="2004" t="s">
        <v>308</v>
      </c>
      <c r="N65" s="1998">
        <v>1145830.24</v>
      </c>
      <c r="O65" s="1878" t="s">
        <v>83</v>
      </c>
      <c r="P65" s="1906" t="s">
        <v>984</v>
      </c>
      <c r="Q65" s="1924">
        <v>46296</v>
      </c>
      <c r="R65" s="1878">
        <v>0.1</v>
      </c>
      <c r="S65" s="1204" t="s">
        <v>116</v>
      </c>
      <c r="T65" s="1205">
        <f>AVERAGE([19]Estrutura!$I$5:$I$24)</f>
        <v>0.32939189189189189</v>
      </c>
      <c r="U65" s="1195">
        <f>IFERROR(IF(AND(U$54&gt;=EOMONTH($J65,-1)+1,U$54&lt;=EOMONTH(EOMONTH($J65,-1)+1,$K65-1)),IF(NOT(ISBLANK($N65)),$N65/$K65,$I65/$K65),0),0)</f>
        <v>0</v>
      </c>
      <c r="V65" s="1195">
        <f>IFERROR(IF(AND(V$54&gt;=EOMONTH($J65,-1)+1,V$54&lt;=EOMONTH(EOMONTH($J65,-1)+1,$K65-1)),IF(NOT(ISBLANK($N65)),$N65/$K65,$I65/$K65),0),0)</f>
        <v>0</v>
      </c>
      <c r="W65" s="1195">
        <f>IFERROR(IF(AND(W$54&gt;=EOMONTH($J65,-1)+1,W$54&lt;=EOMONTH(EOMONTH($J65,-1)+1,$K65-1)),IF(NOT(ISBLANK($N65)),$N65/$K65,$I65/$K65),0),0)</f>
        <v>0</v>
      </c>
      <c r="X65" s="1196">
        <f t="shared" ref="X65" si="36">SUM(U65:W65)</f>
        <v>0</v>
      </c>
      <c r="Y65" s="1195">
        <f>IFERROR(IF(AND(Y$54&gt;=EOMONTH($J65,-1)+1,Y$54&lt;=EOMONTH(EOMONTH($J65,-1)+1,$K65-1)),IF(NOT(ISBLANK($N65)),$N65/$K65,$I65/$K65),0),0)</f>
        <v>0</v>
      </c>
      <c r="Z65" s="1195">
        <f>IFERROR(IF(AND(Z$54&gt;=EOMONTH($J65,-1)+1,Z$54&lt;=EOMONTH(EOMONTH($J65,-1)+1,$K65-1)),IF(NOT(ISBLANK($N65)),$N65/$K65,$I65/$K65),0),0)</f>
        <v>0</v>
      </c>
      <c r="AA65" s="1195">
        <f>IFERROR(IF(AND(AA$54&gt;=EOMONTH($J65,-1)+1,AA$54&lt;=EOMONTH(EOMONTH($J65,-1)+1,$K65-1)),IF(NOT(ISBLANK($N65)),$N65/$K65,$I65/$K65),0),0)</f>
        <v>0</v>
      </c>
      <c r="AB65" s="1196">
        <f t="shared" ref="AB65" si="37">SUM(Y65:AA65)</f>
        <v>0</v>
      </c>
      <c r="AC65" s="1195">
        <f>IFERROR(IF(AND(AC$54&gt;=EOMONTH($J65,-1)+1,AC$54&lt;=EOMONTH(EOMONTH($J65,-1)+1,$K65-1)),IF(NOT(ISBLANK($N65)),$N65/$K65,$I65/$K65),0),0)</f>
        <v>0</v>
      </c>
      <c r="AD65" s="1195">
        <f>IFERROR(IF(AND(AD$54&gt;=EOMONTH($J65,-1)+1,AD$54&lt;=EOMONTH(EOMONTH($J65,-1)+1,$K65-1)),IF(NOT(ISBLANK($N65)),$N65/$K65,$I65/$K65),0),0)</f>
        <v>0</v>
      </c>
      <c r="AE65" s="1195">
        <f>IFERROR(IF(AND(AE$54&gt;=EOMONTH($J65,-1)+1,AE$54&lt;=EOMONTH(EOMONTH($J65,-1)+1,$K65-1)),IF(NOT(ISBLANK($N65)),$N65/$K65,$I65/$K65),0),0)</f>
        <v>0</v>
      </c>
      <c r="AF65" s="1196">
        <f t="shared" ref="AF65" si="38">SUM(AC65:AE65)</f>
        <v>0</v>
      </c>
      <c r="AG65" s="1195">
        <f>IFERROR(IF(AND(AG$54&gt;=EOMONTH($J65,-1)+1,AG$54&lt;=EOMONTH(EOMONTH($J65,-1)+1,$K65-1)),IF(NOT(ISBLANK($N65)),$N65/$K65,$I65/$K65),0),0)</f>
        <v>381943.41333333333</v>
      </c>
      <c r="AH65" s="1195">
        <f>IFERROR(IF(AND(AH$54&gt;=EOMONTH($J65,-1)+1,AH$54&lt;=EOMONTH(EOMONTH($J65,-1)+1,$K65-1)),IF(NOT(ISBLANK($N65)),$N65/$K65,$I65/$K65),0),0)</f>
        <v>381943.41333333333</v>
      </c>
      <c r="AI65" s="1195">
        <f>IFERROR(IF(AND(AI$54&gt;=EOMONTH($J65,-1)+1,AI$54&lt;=EOMONTH(EOMONTH($J65,-1)+1,$K65-1)),IF(NOT(ISBLANK($N65)),$N65/$K65,$I65/$K65),0),0)</f>
        <v>381943.41333333333</v>
      </c>
      <c r="AJ65" s="1196">
        <f t="shared" ref="AJ65" si="39">SUM(AG65:AI65)</f>
        <v>1145830.24</v>
      </c>
      <c r="AK65" s="1206">
        <f t="shared" si="16"/>
        <v>1145830.24</v>
      </c>
      <c r="AL65" s="1131" t="s">
        <v>985</v>
      </c>
      <c r="AM65" s="1928"/>
      <c r="AN65" s="1878"/>
      <c r="AO65" s="1969">
        <f>N65*AN65</f>
        <v>0</v>
      </c>
      <c r="AP65" s="1041" t="str">
        <f>C65</f>
        <v>06 - Redução consumo MTP aplicando tolerância mínima</v>
      </c>
      <c r="AQ65" s="1041" t="s">
        <v>311</v>
      </c>
      <c r="AR65" s="1063" t="str" cm="1">
        <f t="array" aca="1" ref="AR65" ca="1">IF(OR(AP65="",AP65=0),"",IF(SUMPRODUCT(($C$55:$C$144=AP65)*(U$54:$AI$54&lt;EOMONTH(TODAY(),-1)+1)*(ISNUMBER(U$55:$AI$144)),U$55:$AI$144)=0,"",SUMPRODUCT(($C$55:$C$144=AP65)*(U$54:$AI$54&lt;EOMONTH(TODAY(),-1)+1)*(ISNUMBER(U$55:$AI$144)),U$55:$AI$144)))</f>
        <v/>
      </c>
      <c r="AS65" s="1041" t="str">
        <f>A65</f>
        <v>BSW</v>
      </c>
      <c r="AT65" s="2111">
        <f>IF(OR(I65="",K65=""),0,(I65/12)*K65)</f>
        <v>265839.75</v>
      </c>
      <c r="AU65" s="2111">
        <f>IF(OR(N65="",K65="",K65=0),0,(N65/K65)*12)</f>
        <v>4583320.96</v>
      </c>
    </row>
    <row r="66" spans="1:47" ht="29.1" customHeight="1" x14ac:dyDescent="0.3">
      <c r="A66" s="1929"/>
      <c r="B66" s="1929"/>
      <c r="C66" s="1931"/>
      <c r="D66" s="2097"/>
      <c r="E66" s="1933"/>
      <c r="F66" s="1935"/>
      <c r="G66" s="1937"/>
      <c r="H66" s="1937"/>
      <c r="I66" s="1937"/>
      <c r="J66" s="1937"/>
      <c r="K66" s="1913"/>
      <c r="L66" s="1915"/>
      <c r="M66" s="2005"/>
      <c r="N66" s="1999"/>
      <c r="O66" s="1879"/>
      <c r="P66" s="1907"/>
      <c r="Q66" s="1909"/>
      <c r="R66" s="1879"/>
      <c r="S66" s="1204" t="s">
        <v>117</v>
      </c>
      <c r="T66" s="1205">
        <f>AVERAGE([19]Estrutura!$J$5:$J$24)</f>
        <v>0.29100000000000004</v>
      </c>
      <c r="U66" s="1207" t="s">
        <v>959</v>
      </c>
      <c r="V66" s="1207" t="s">
        <v>959</v>
      </c>
      <c r="W66" s="1207" t="s">
        <v>959</v>
      </c>
      <c r="X66" s="1208">
        <f t="shared" si="12"/>
        <v>0</v>
      </c>
      <c r="Y66" s="1207" t="s">
        <v>959</v>
      </c>
      <c r="Z66" s="1207" t="s">
        <v>959</v>
      </c>
      <c r="AA66" s="1207" t="s">
        <v>959</v>
      </c>
      <c r="AB66" s="1208">
        <f t="shared" si="13"/>
        <v>0</v>
      </c>
      <c r="AC66" s="1207" t="s">
        <v>959</v>
      </c>
      <c r="AD66" s="1207" t="s">
        <v>959</v>
      </c>
      <c r="AE66" s="1207" t="s">
        <v>959</v>
      </c>
      <c r="AF66" s="1208">
        <f t="shared" si="14"/>
        <v>0</v>
      </c>
      <c r="AG66" s="1207" t="s">
        <v>959</v>
      </c>
      <c r="AH66" s="1207" t="s">
        <v>959</v>
      </c>
      <c r="AI66" s="1207" t="s">
        <v>959</v>
      </c>
      <c r="AJ66" s="1208">
        <f t="shared" si="15"/>
        <v>0</v>
      </c>
      <c r="AK66" s="1209">
        <f t="shared" si="16"/>
        <v>0</v>
      </c>
      <c r="AL66" s="1131" t="s">
        <v>986</v>
      </c>
      <c r="AM66" s="1929"/>
      <c r="AN66" s="1879"/>
      <c r="AO66" s="1970"/>
      <c r="AP66" s="1041" t="str">
        <f>C65</f>
        <v>06 - Redução consumo MTP aplicando tolerância mínima</v>
      </c>
      <c r="AQ66" s="1041" t="s">
        <v>313</v>
      </c>
      <c r="AR66" s="1063" t="str" cm="1">
        <f t="array" aca="1" ref="AR66" ca="1">IF(OR(AP66="",AP66=0),"",IF(SUMPRODUCT(($C$55:$C$159=AP66)*($U$54:AI$54&lt;=TODAY())*(ISNUMBER($U$56:AI$160)),$U$56:AI$160)=0,"",SUMPRODUCT(($C$55:$C$159=AP66)*($U$54:AI$54&lt;=TODAY())*(ISNUMBER($U$56:AI$160)),$U$56:AI$160)))</f>
        <v/>
      </c>
      <c r="AS66" s="1041" t="str">
        <f>A65</f>
        <v>BSW</v>
      </c>
      <c r="AT66" s="2112"/>
      <c r="AU66" s="2112"/>
    </row>
    <row r="67" spans="1:47" ht="29.1" customHeight="1" x14ac:dyDescent="0.3">
      <c r="A67" s="1880" t="s">
        <v>59</v>
      </c>
      <c r="B67" s="1882" t="s">
        <v>97</v>
      </c>
      <c r="C67" s="1884" t="s">
        <v>987</v>
      </c>
      <c r="D67" s="1886" t="s">
        <v>988</v>
      </c>
      <c r="E67" s="1888" t="s">
        <v>989</v>
      </c>
      <c r="F67" s="1890" t="s">
        <v>973</v>
      </c>
      <c r="G67" s="1892">
        <v>46054</v>
      </c>
      <c r="H67" s="1892">
        <v>46235</v>
      </c>
      <c r="I67" s="1894">
        <v>1459</v>
      </c>
      <c r="J67" s="1892">
        <v>46235</v>
      </c>
      <c r="K67" s="1898">
        <f t="shared" ref="K67" si="40">IF(J67="", "", 12 - MONTH(J67) + 1)</f>
        <v>5</v>
      </c>
      <c r="L67" s="1894"/>
      <c r="M67" s="2031"/>
      <c r="N67" s="1902"/>
      <c r="O67" s="1904" t="s">
        <v>81</v>
      </c>
      <c r="P67" s="1920" t="s">
        <v>990</v>
      </c>
      <c r="Q67" s="1922"/>
      <c r="R67" s="1904">
        <v>0.85</v>
      </c>
      <c r="S67" s="1210" t="s">
        <v>116</v>
      </c>
      <c r="T67" s="1211"/>
      <c r="U67" s="1195">
        <f>IFERROR(IF(AND(U$54&gt;=EOMONTH($J67,-1)+1,U$54&lt;=EOMONTH(EOMONTH($J67,-1)+1,$K67-1)),IF(NOT(ISBLANK($N67)),$N67/$K67,$I67/$K67),0),0)</f>
        <v>0</v>
      </c>
      <c r="V67" s="1195">
        <f>IFERROR(IF(AND(V$54&gt;=EOMONTH($J67,-1)+1,V$54&lt;=EOMONTH(EOMONTH($J67,-1)+1,$K67-1)),IF(NOT(ISBLANK($N67)),$N67/$K67,$I67/$K67),0),0)</f>
        <v>0</v>
      </c>
      <c r="W67" s="1195">
        <f>IFERROR(IF(AND(W$54&gt;=EOMONTH($J67,-1)+1,W$54&lt;=EOMONTH(EOMONTH($J67,-1)+1,$K67-1)),IF(NOT(ISBLANK($N67)),$N67/$K67,$I67/$K67),0),0)</f>
        <v>0</v>
      </c>
      <c r="X67" s="1196">
        <f t="shared" ref="X67" si="41">SUM(U67:W67)</f>
        <v>0</v>
      </c>
      <c r="Y67" s="1195">
        <f>IFERROR(IF(AND(Y$54&gt;=EOMONTH($J67,-1)+1,Y$54&lt;=EOMONTH(EOMONTH($J67,-1)+1,$K67-1)),IF(NOT(ISBLANK($N67)),$N67/$K67,$I67/$K67),0),0)</f>
        <v>0</v>
      </c>
      <c r="Z67" s="1195">
        <f>IFERROR(IF(AND(Z$54&gt;=EOMONTH($J67,-1)+1,Z$54&lt;=EOMONTH(EOMONTH($J67,-1)+1,$K67-1)),IF(NOT(ISBLANK($N67)),$N67/$K67,$I67/$K67),0),0)</f>
        <v>0</v>
      </c>
      <c r="AA67" s="1195">
        <f>IFERROR(IF(AND(AA$54&gt;=EOMONTH($J67,-1)+1,AA$54&lt;=EOMONTH(EOMONTH($J67,-1)+1,$K67-1)),IF(NOT(ISBLANK($N67)),$N67/$K67,$I67/$K67),0),0)</f>
        <v>0</v>
      </c>
      <c r="AB67" s="1196">
        <f t="shared" ref="AB67" si="42">SUM(Y67:AA67)</f>
        <v>0</v>
      </c>
      <c r="AC67" s="1195">
        <f>IFERROR(IF(AND(AC$54&gt;=EOMONTH($J67,-1)+1,AC$54&lt;=EOMONTH(EOMONTH($J67,-1)+1,$K67-1)),IF(NOT(ISBLANK($N67)),$N67/$K67,$I67/$K67),0),0)</f>
        <v>0</v>
      </c>
      <c r="AD67" s="1195">
        <f>IFERROR(IF(AND(AD$54&gt;=EOMONTH($J67,-1)+1,AD$54&lt;=EOMONTH(EOMONTH($J67,-1)+1,$K67-1)),IF(NOT(ISBLANK($N67)),$N67/$K67,$I67/$K67),0),0)</f>
        <v>291.8</v>
      </c>
      <c r="AE67" s="1195">
        <f>IFERROR(IF(AND(AE$54&gt;=EOMONTH($J67,-1)+1,AE$54&lt;=EOMONTH(EOMONTH($J67,-1)+1,$K67-1)),IF(NOT(ISBLANK($N67)),$N67/$K67,$I67/$K67),0),0)</f>
        <v>291.8</v>
      </c>
      <c r="AF67" s="1196">
        <f t="shared" ref="AF67" si="43">SUM(AC67:AE67)</f>
        <v>583.6</v>
      </c>
      <c r="AG67" s="1195">
        <f>IFERROR(IF(AND(AG$54&gt;=EOMONTH($J67,-1)+1,AG$54&lt;=EOMONTH(EOMONTH($J67,-1)+1,$K67-1)),IF(NOT(ISBLANK($N67)),$N67/$K67,$I67/$K67),0),0)</f>
        <v>291.8</v>
      </c>
      <c r="AH67" s="1195">
        <f>IFERROR(IF(AND(AH$54&gt;=EOMONTH($J67,-1)+1,AH$54&lt;=EOMONTH(EOMONTH($J67,-1)+1,$K67-1)),IF(NOT(ISBLANK($N67)),$N67/$K67,$I67/$K67),0),0)</f>
        <v>291.8</v>
      </c>
      <c r="AI67" s="1195">
        <f>IFERROR(IF(AND(AI$54&gt;=EOMONTH($J67,-1)+1,AI$54&lt;=EOMONTH(EOMONTH($J67,-1)+1,$K67-1)),IF(NOT(ISBLANK($N67)),$N67/$K67,$I67/$K67),0),0)</f>
        <v>291.8</v>
      </c>
      <c r="AJ67" s="1196">
        <f t="shared" ref="AJ67" si="44">SUM(AG67:AI67)</f>
        <v>875.40000000000009</v>
      </c>
      <c r="AK67" s="1212">
        <f t="shared" si="16"/>
        <v>1459</v>
      </c>
      <c r="AL67" s="1213"/>
      <c r="AM67" s="1890"/>
      <c r="AN67" s="1971"/>
      <c r="AO67" s="1973">
        <f>N67*AN67</f>
        <v>0</v>
      </c>
      <c r="AP67" s="1041" t="str">
        <f>C67</f>
        <v>07 - Balanceamento de carga máquina entre a prensa Gutmnan / Minster</v>
      </c>
      <c r="AQ67" s="1041" t="s">
        <v>311</v>
      </c>
      <c r="AR67" s="1063" t="str" cm="1">
        <f t="array" aca="1" ref="AR67" ca="1">IF(OR(AP67="",AP67=0),"",IF(SUMPRODUCT(($C$55:$C$144=AP67)*(U$54:$AI$54&lt;EOMONTH(TODAY(),-1)+1)*(ISNUMBER(U$55:$AI$144)),U$55:$AI$144)=0,"",SUMPRODUCT(($C$55:$C$144=AP67)*(U$54:$AI$54&lt;EOMONTH(TODAY(),-1)+1)*(ISNUMBER(U$55:$AI$144)),U$55:$AI$144)))</f>
        <v/>
      </c>
      <c r="AS67" s="1041" t="str">
        <f>A67</f>
        <v>Kaizen - Ganho Recorrente</v>
      </c>
      <c r="AT67" s="2111">
        <f>IF(OR(I67="",K67=""),0,(I67/12)*K67)</f>
        <v>607.91666666666663</v>
      </c>
      <c r="AU67" s="2111">
        <f>IF(OR(N67="",K67="",K67=0),0,(N67/K67)*12)</f>
        <v>0</v>
      </c>
    </row>
    <row r="68" spans="1:47" ht="29.1" customHeight="1" x14ac:dyDescent="0.3">
      <c r="A68" s="1881"/>
      <c r="B68" s="1883"/>
      <c r="C68" s="1885"/>
      <c r="D68" s="1887"/>
      <c r="E68" s="1889"/>
      <c r="F68" s="1891"/>
      <c r="G68" s="1893"/>
      <c r="H68" s="1893"/>
      <c r="I68" s="1895"/>
      <c r="J68" s="1893"/>
      <c r="K68" s="1899"/>
      <c r="L68" s="1895"/>
      <c r="M68" s="2032"/>
      <c r="N68" s="1966"/>
      <c r="O68" s="1905"/>
      <c r="P68" s="1921"/>
      <c r="Q68" s="1923"/>
      <c r="R68" s="1905"/>
      <c r="S68" s="1210" t="s">
        <v>117</v>
      </c>
      <c r="T68" s="1211"/>
      <c r="U68" s="1214" t="s">
        <v>959</v>
      </c>
      <c r="V68" s="1214" t="s">
        <v>959</v>
      </c>
      <c r="W68" s="1214" t="s">
        <v>959</v>
      </c>
      <c r="X68" s="1208">
        <f t="shared" si="12"/>
        <v>0</v>
      </c>
      <c r="Y68" s="1214" t="s">
        <v>959</v>
      </c>
      <c r="Z68" s="1214" t="s">
        <v>959</v>
      </c>
      <c r="AA68" s="1214" t="s">
        <v>959</v>
      </c>
      <c r="AB68" s="1208">
        <f t="shared" si="13"/>
        <v>0</v>
      </c>
      <c r="AC68" s="1214" t="s">
        <v>959</v>
      </c>
      <c r="AD68" s="1214" t="s">
        <v>959</v>
      </c>
      <c r="AE68" s="1214" t="s">
        <v>959</v>
      </c>
      <c r="AF68" s="1208">
        <f t="shared" si="14"/>
        <v>0</v>
      </c>
      <c r="AG68" s="1214" t="s">
        <v>959</v>
      </c>
      <c r="AH68" s="1214" t="s">
        <v>959</v>
      </c>
      <c r="AI68" s="1214" t="s">
        <v>959</v>
      </c>
      <c r="AJ68" s="1208">
        <f t="shared" si="15"/>
        <v>0</v>
      </c>
      <c r="AK68" s="1215">
        <f t="shared" si="16"/>
        <v>0</v>
      </c>
      <c r="AL68" s="1216"/>
      <c r="AM68" s="1891"/>
      <c r="AN68" s="1972"/>
      <c r="AO68" s="1974"/>
      <c r="AP68" s="1041" t="str">
        <f>C67</f>
        <v>07 - Balanceamento de carga máquina entre a prensa Gutmnan / Minster</v>
      </c>
      <c r="AQ68" s="1041" t="s">
        <v>313</v>
      </c>
      <c r="AR68" s="1063" t="str" cm="1">
        <f t="array" aca="1" ref="AR68" ca="1">IF(OR(AP68="",AP68=0),"",IF(SUMPRODUCT(($C$55:$C$159=AP68)*($U$54:AI$54&lt;=TODAY())*(ISNUMBER($U$56:AI$160)),$U$56:AI$160)=0,"",SUMPRODUCT(($C$55:$C$159=AP68)*($U$54:AI$54&lt;=TODAY())*(ISNUMBER($U$56:AI$160)),$U$56:AI$160)))</f>
        <v/>
      </c>
      <c r="AS68" s="1041" t="str">
        <f>A67</f>
        <v>Kaizen - Ganho Recorrente</v>
      </c>
      <c r="AT68" s="2112"/>
      <c r="AU68" s="2112"/>
    </row>
    <row r="69" spans="1:47" s="1221" customFormat="1" ht="29.1" customHeight="1" x14ac:dyDescent="0.3">
      <c r="A69" s="1979" t="s">
        <v>59</v>
      </c>
      <c r="B69" s="1979" t="s">
        <v>97</v>
      </c>
      <c r="C69" s="2084" t="s">
        <v>991</v>
      </c>
      <c r="D69" s="2101" t="s">
        <v>992</v>
      </c>
      <c r="E69" s="2058" t="s">
        <v>993</v>
      </c>
      <c r="F69" s="2085" t="s">
        <v>957</v>
      </c>
      <c r="G69" s="2042">
        <v>46054</v>
      </c>
      <c r="H69" s="2042">
        <v>46296</v>
      </c>
      <c r="I69" s="2027"/>
      <c r="J69" s="2042"/>
      <c r="K69" s="2027"/>
      <c r="L69" s="2017"/>
      <c r="M69" s="2037"/>
      <c r="N69" s="1949"/>
      <c r="O69" s="1981" t="s">
        <v>85</v>
      </c>
      <c r="P69" s="1949" t="s">
        <v>994</v>
      </c>
      <c r="Q69" s="1949" t="s">
        <v>994</v>
      </c>
      <c r="R69" s="1981">
        <v>0.7</v>
      </c>
      <c r="S69" s="1217" t="s">
        <v>116</v>
      </c>
      <c r="T69" s="1218"/>
      <c r="U69" s="1195">
        <f>IFERROR(IF(AND(U$54&gt;=EOMONTH($J69,-1)+1,U$54&lt;=EOMONTH(EOMONTH($J69,-1)+1,$K69-1)),IF(NOT(ISBLANK($N69)),$N69/$K69,$I69/$K69),0),0)</f>
        <v>0</v>
      </c>
      <c r="V69" s="1195">
        <f>IFERROR(IF(AND(V$54&gt;=EOMONTH($J69,-1)+1,V$54&lt;=EOMONTH(EOMONTH($J69,-1)+1,$K69-1)),IF(NOT(ISBLANK($N69)),$N69/$K69,$I69/$K69),0),0)</f>
        <v>0</v>
      </c>
      <c r="W69" s="1195">
        <f>IFERROR(IF(AND(W$54&gt;=EOMONTH($J69,-1)+1,W$54&lt;=EOMONTH(EOMONTH($J69,-1)+1,$K69-1)),IF(NOT(ISBLANK($N69)),$N69/$K69,$I69/$K69),0),0)</f>
        <v>0</v>
      </c>
      <c r="X69" s="1196">
        <f t="shared" ref="X69" si="45">SUM(U69:W69)</f>
        <v>0</v>
      </c>
      <c r="Y69" s="1195">
        <f>IFERROR(IF(AND(Y$54&gt;=EOMONTH($J69,-1)+1,Y$54&lt;=EOMONTH(EOMONTH($J69,-1)+1,$K69-1)),IF(NOT(ISBLANK($N69)),$N69/$K69,$I69/$K69),0),0)</f>
        <v>0</v>
      </c>
      <c r="Z69" s="1195">
        <f>IFERROR(IF(AND(Z$54&gt;=EOMONTH($J69,-1)+1,Z$54&lt;=EOMONTH(EOMONTH($J69,-1)+1,$K69-1)),IF(NOT(ISBLANK($N69)),$N69/$K69,$I69/$K69),0),0)</f>
        <v>0</v>
      </c>
      <c r="AA69" s="1195">
        <f>IFERROR(IF(AND(AA$54&gt;=EOMONTH($J69,-1)+1,AA$54&lt;=EOMONTH(EOMONTH($J69,-1)+1,$K69-1)),IF(NOT(ISBLANK($N69)),$N69/$K69,$I69/$K69),0),0)</f>
        <v>0</v>
      </c>
      <c r="AB69" s="1196">
        <f t="shared" ref="AB69" si="46">SUM(Y69:AA69)</f>
        <v>0</v>
      </c>
      <c r="AC69" s="1195">
        <f>IFERROR(IF(AND(AC$54&gt;=EOMONTH($J69,-1)+1,AC$54&lt;=EOMONTH(EOMONTH($J69,-1)+1,$K69-1)),IF(NOT(ISBLANK($N69)),$N69/$K69,$I69/$K69),0),0)</f>
        <v>0</v>
      </c>
      <c r="AD69" s="1195">
        <f>IFERROR(IF(AND(AD$54&gt;=EOMONTH($J69,-1)+1,AD$54&lt;=EOMONTH(EOMONTH($J69,-1)+1,$K69-1)),IF(NOT(ISBLANK($N69)),$N69/$K69,$I69/$K69),0),0)</f>
        <v>0</v>
      </c>
      <c r="AE69" s="1195">
        <f>IFERROR(IF(AND(AE$54&gt;=EOMONTH($J69,-1)+1,AE$54&lt;=EOMONTH(EOMONTH($J69,-1)+1,$K69-1)),IF(NOT(ISBLANK($N69)),$N69/$K69,$I69/$K69),0),0)</f>
        <v>0</v>
      </c>
      <c r="AF69" s="1196">
        <f t="shared" ref="AF69" si="47">SUM(AC69:AE69)</f>
        <v>0</v>
      </c>
      <c r="AG69" s="1195">
        <f>IFERROR(IF(AND(AG$54&gt;=EOMONTH($J69,-1)+1,AG$54&lt;=EOMONTH(EOMONTH($J69,-1)+1,$K69-1)),IF(NOT(ISBLANK($N69)),$N69/$K69,$I69/$K69),0),0)</f>
        <v>0</v>
      </c>
      <c r="AH69" s="1195">
        <f>IFERROR(IF(AND(AH$54&gt;=EOMONTH($J69,-1)+1,AH$54&lt;=EOMONTH(EOMONTH($J69,-1)+1,$K69-1)),IF(NOT(ISBLANK($N69)),$N69/$K69,$I69/$K69),0),0)</f>
        <v>0</v>
      </c>
      <c r="AI69" s="1195">
        <f>IFERROR(IF(AND(AI$54&gt;=EOMONTH($J69,-1)+1,AI$54&lt;=EOMONTH(EOMONTH($J69,-1)+1,$K69-1)),IF(NOT(ISBLANK($N69)),$N69/$K69,$I69/$K69),0),0)</f>
        <v>0</v>
      </c>
      <c r="AJ69" s="1196">
        <f t="shared" ref="AJ69" si="48">SUM(AG69:AI69)</f>
        <v>0</v>
      </c>
      <c r="AK69" s="1219">
        <f t="shared" si="16"/>
        <v>0</v>
      </c>
      <c r="AL69" s="1220"/>
      <c r="AM69" s="1979"/>
      <c r="AN69" s="1981"/>
      <c r="AO69" s="1982">
        <f>N69*AN69</f>
        <v>0</v>
      </c>
      <c r="AP69" s="1221" t="str">
        <f>C69</f>
        <v>08 - Individualização de zonas de segurança da máquina Baltec</v>
      </c>
      <c r="AQ69" s="1221" t="s">
        <v>311</v>
      </c>
      <c r="AR69" s="1200" t="str" cm="1">
        <f t="array" aca="1" ref="AR69" ca="1">IF(OR(AP69="",AP69=0),"",IF(SUMPRODUCT(($C$55:$C$144=AP69)*(U$54:$AI$54&lt;EOMONTH(TODAY(),-1)+1)*(ISNUMBER(U$55:$AI$144)),U$55:$AI$144)=0,"",SUMPRODUCT(($C$55:$C$144=AP69)*(U$54:$AI$54&lt;EOMONTH(TODAY(),-1)+1)*(ISNUMBER(U$55:$AI$144)),U$55:$AI$144)))</f>
        <v/>
      </c>
      <c r="AS69" s="1221" t="str">
        <f>A69</f>
        <v>Kaizen - Ganho Recorrente</v>
      </c>
      <c r="AT69" s="2111">
        <f>IF(OR(I69="",K69=""),0,(I69/12)*K69)</f>
        <v>0</v>
      </c>
      <c r="AU69" s="2111">
        <f>IF(OR(N69="",K69="",K69=0),0,(N69/K69)*12)</f>
        <v>0</v>
      </c>
    </row>
    <row r="70" spans="1:47" s="1221" customFormat="1" ht="29.1" customHeight="1" x14ac:dyDescent="0.3">
      <c r="A70" s="1980"/>
      <c r="B70" s="1980"/>
      <c r="C70" s="2100"/>
      <c r="D70" s="2102"/>
      <c r="E70" s="2059"/>
      <c r="F70" s="2086"/>
      <c r="G70" s="2028"/>
      <c r="H70" s="2028"/>
      <c r="I70" s="2028"/>
      <c r="J70" s="2028"/>
      <c r="K70" s="2028"/>
      <c r="L70" s="2018"/>
      <c r="M70" s="2038"/>
      <c r="N70" s="1950"/>
      <c r="O70" s="1681"/>
      <c r="P70" s="1950"/>
      <c r="Q70" s="1950"/>
      <c r="R70" s="1681"/>
      <c r="S70" s="1217" t="s">
        <v>117</v>
      </c>
      <c r="T70" s="1218"/>
      <c r="U70" s="1222" t="s">
        <v>959</v>
      </c>
      <c r="V70" s="1222" t="s">
        <v>959</v>
      </c>
      <c r="W70" s="1222" t="s">
        <v>959</v>
      </c>
      <c r="X70" s="1223">
        <f t="shared" si="12"/>
        <v>0</v>
      </c>
      <c r="Y70" s="1222" t="s">
        <v>959</v>
      </c>
      <c r="Z70" s="1222" t="s">
        <v>959</v>
      </c>
      <c r="AA70" s="1222" t="s">
        <v>959</v>
      </c>
      <c r="AB70" s="1223">
        <f t="shared" si="13"/>
        <v>0</v>
      </c>
      <c r="AC70" s="1222" t="s">
        <v>959</v>
      </c>
      <c r="AD70" s="1222" t="s">
        <v>959</v>
      </c>
      <c r="AE70" s="1222" t="s">
        <v>959</v>
      </c>
      <c r="AF70" s="1223">
        <f t="shared" si="14"/>
        <v>0</v>
      </c>
      <c r="AG70" s="1222" t="s">
        <v>959</v>
      </c>
      <c r="AH70" s="1222" t="s">
        <v>959</v>
      </c>
      <c r="AI70" s="1222" t="s">
        <v>959</v>
      </c>
      <c r="AJ70" s="1223">
        <f t="shared" si="15"/>
        <v>0</v>
      </c>
      <c r="AK70" s="1224">
        <f t="shared" si="16"/>
        <v>0</v>
      </c>
      <c r="AL70" s="1220"/>
      <c r="AM70" s="1980"/>
      <c r="AN70" s="1681"/>
      <c r="AO70" s="1983"/>
      <c r="AP70" s="1221" t="str">
        <f>C69</f>
        <v>08 - Individualização de zonas de segurança da máquina Baltec</v>
      </c>
      <c r="AQ70" s="1221" t="s">
        <v>313</v>
      </c>
      <c r="AR70" s="1200" t="str" cm="1">
        <f t="array" aca="1" ref="AR70" ca="1">IF(OR(AP70="",AP70=0),"",IF(SUMPRODUCT(($C$55:$C$159=AP70)*($U$54:AI$54&lt;=TODAY())*(ISNUMBER($U$56:AI$160)),$U$56:AI$160)=0,"",SUMPRODUCT(($C$55:$C$159=AP70)*($U$54:AI$54&lt;=TODAY())*(ISNUMBER($U$56:AI$160)),$U$56:AI$160)))</f>
        <v/>
      </c>
      <c r="AS70" s="1221" t="str">
        <f>A69</f>
        <v>Kaizen - Ganho Recorrente</v>
      </c>
      <c r="AT70" s="2112"/>
      <c r="AU70" s="2112"/>
    </row>
    <row r="71" spans="1:47" ht="29.1" customHeight="1" x14ac:dyDescent="0.3">
      <c r="A71" s="1880" t="s">
        <v>59</v>
      </c>
      <c r="B71" s="1882" t="s">
        <v>97</v>
      </c>
      <c r="C71" s="1884" t="s">
        <v>995</v>
      </c>
      <c r="D71" s="1886" t="s">
        <v>996</v>
      </c>
      <c r="E71" s="1888" t="s">
        <v>997</v>
      </c>
      <c r="F71" s="1890" t="s">
        <v>968</v>
      </c>
      <c r="G71" s="1892">
        <v>46235</v>
      </c>
      <c r="H71" s="1892">
        <v>46296</v>
      </c>
      <c r="I71" s="1894">
        <v>1000.0009635599999</v>
      </c>
      <c r="J71" s="1896">
        <v>46296</v>
      </c>
      <c r="K71" s="1898">
        <f t="shared" ref="K71" si="49">IF(J71="", "", 12 - MONTH(J71) + 1)</f>
        <v>3</v>
      </c>
      <c r="L71" s="1926"/>
      <c r="M71" s="2031"/>
      <c r="N71" s="1902"/>
      <c r="O71" s="1904" t="s">
        <v>85</v>
      </c>
      <c r="P71" s="1920" t="s">
        <v>998</v>
      </c>
      <c r="Q71" s="1925">
        <v>46264</v>
      </c>
      <c r="R71" s="1904">
        <v>0.85</v>
      </c>
      <c r="S71" s="1210" t="s">
        <v>116</v>
      </c>
      <c r="T71" s="1211"/>
      <c r="U71" s="1195">
        <f>IFERROR(IF(AND(U$54&gt;=EOMONTH($J71,-1)+1,U$54&lt;=EOMONTH(EOMONTH($J71,-1)+1,$K71-1)),IF(NOT(ISBLANK($N71)),$N71/$K71,$I71/$K71),0),0)</f>
        <v>0</v>
      </c>
      <c r="V71" s="1195">
        <f>IFERROR(IF(AND(V$54&gt;=EOMONTH($J71,-1)+1,V$54&lt;=EOMONTH(EOMONTH($J71,-1)+1,$K71-1)),IF(NOT(ISBLANK($N71)),$N71/$K71,$I71/$K71),0),0)</f>
        <v>0</v>
      </c>
      <c r="W71" s="1195">
        <f>IFERROR(IF(AND(W$54&gt;=EOMONTH($J71,-1)+1,W$54&lt;=EOMONTH(EOMONTH($J71,-1)+1,$K71-1)),IF(NOT(ISBLANK($N71)),$N71/$K71,$I71/$K71),0),0)</f>
        <v>0</v>
      </c>
      <c r="X71" s="1196">
        <f t="shared" ref="X71" si="50">SUM(U71:W71)</f>
        <v>0</v>
      </c>
      <c r="Y71" s="1195">
        <f>IFERROR(IF(AND(Y$54&gt;=EOMONTH($J71,-1)+1,Y$54&lt;=EOMONTH(EOMONTH($J71,-1)+1,$K71-1)),IF(NOT(ISBLANK($N71)),$N71/$K71,$I71/$K71),0),0)</f>
        <v>0</v>
      </c>
      <c r="Z71" s="1195">
        <f>IFERROR(IF(AND(Z$54&gt;=EOMONTH($J71,-1)+1,Z$54&lt;=EOMONTH(EOMONTH($J71,-1)+1,$K71-1)),IF(NOT(ISBLANK($N71)),$N71/$K71,$I71/$K71),0),0)</f>
        <v>0</v>
      </c>
      <c r="AA71" s="1195">
        <f>IFERROR(IF(AND(AA$54&gt;=EOMONTH($J71,-1)+1,AA$54&lt;=EOMONTH(EOMONTH($J71,-1)+1,$K71-1)),IF(NOT(ISBLANK($N71)),$N71/$K71,$I71/$K71),0),0)</f>
        <v>0</v>
      </c>
      <c r="AB71" s="1196">
        <f t="shared" ref="AB71" si="51">SUM(Y71:AA71)</f>
        <v>0</v>
      </c>
      <c r="AC71" s="1195">
        <f>IFERROR(IF(AND(AC$54&gt;=EOMONTH($J71,-1)+1,AC$54&lt;=EOMONTH(EOMONTH($J71,-1)+1,$K71-1)),IF(NOT(ISBLANK($N71)),$N71/$K71,$I71/$K71),0),0)</f>
        <v>0</v>
      </c>
      <c r="AD71" s="1195">
        <f>IFERROR(IF(AND(AD$54&gt;=EOMONTH($J71,-1)+1,AD$54&lt;=EOMONTH(EOMONTH($J71,-1)+1,$K71-1)),IF(NOT(ISBLANK($N71)),$N71/$K71,$I71/$K71),0),0)</f>
        <v>0</v>
      </c>
      <c r="AE71" s="1195">
        <f>IFERROR(IF(AND(AE$54&gt;=EOMONTH($J71,-1)+1,AE$54&lt;=EOMONTH(EOMONTH($J71,-1)+1,$K71-1)),IF(NOT(ISBLANK($N71)),$N71/$K71,$I71/$K71),0),0)</f>
        <v>0</v>
      </c>
      <c r="AF71" s="1196">
        <f t="shared" ref="AF71" si="52">SUM(AC71:AE71)</f>
        <v>0</v>
      </c>
      <c r="AG71" s="1195">
        <f>IFERROR(IF(AND(AG$54&gt;=EOMONTH($J71,-1)+1,AG$54&lt;=EOMONTH(EOMONTH($J71,-1)+1,$K71-1)),IF(NOT(ISBLANK($N71)),$N71/$K71,$I71/$K71),0),0)</f>
        <v>333.33365451999998</v>
      </c>
      <c r="AH71" s="1195">
        <f>IFERROR(IF(AND(AH$54&gt;=EOMONTH($J71,-1)+1,AH$54&lt;=EOMONTH(EOMONTH($J71,-1)+1,$K71-1)),IF(NOT(ISBLANK($N71)),$N71/$K71,$I71/$K71),0),0)</f>
        <v>333.33365451999998</v>
      </c>
      <c r="AI71" s="1195">
        <f>IFERROR(IF(AND(AI$54&gt;=EOMONTH($J71,-1)+1,AI$54&lt;=EOMONTH(EOMONTH($J71,-1)+1,$K71-1)),IF(NOT(ISBLANK($N71)),$N71/$K71,$I71/$K71),0),0)</f>
        <v>333.33365451999998</v>
      </c>
      <c r="AJ71" s="1196">
        <f t="shared" ref="AJ71" si="53">SUM(AG71:AI71)</f>
        <v>1000.0009635599999</v>
      </c>
      <c r="AK71" s="1212">
        <f t="shared" si="16"/>
        <v>1000.0009635599999</v>
      </c>
      <c r="AL71" s="1213"/>
      <c r="AM71" s="1890"/>
      <c r="AN71" s="1971"/>
      <c r="AO71" s="1973">
        <f>N71*AN71</f>
        <v>0</v>
      </c>
      <c r="AP71" s="1041" t="str">
        <f>C71</f>
        <v>09 - Aumento de performance dos itens estampados na prensa Minster</v>
      </c>
      <c r="AQ71" s="1041" t="s">
        <v>311</v>
      </c>
      <c r="AR71" s="1063" t="str" cm="1">
        <f t="array" aca="1" ref="AR71" ca="1">IF(OR(AP71="",AP71=0),"",IF(SUMPRODUCT(($C$55:$C$144=AP71)*(U$54:$AI$54&lt;EOMONTH(TODAY(),-1)+1)*(ISNUMBER(U$55:$AI$144)),U$55:$AI$144)=0,"",SUMPRODUCT(($C$55:$C$144=AP71)*(U$54:$AI$54&lt;EOMONTH(TODAY(),-1)+1)*(ISNUMBER(U$55:$AI$144)),U$55:$AI$144)))</f>
        <v/>
      </c>
      <c r="AS71" s="1041" t="str">
        <f>A71</f>
        <v>Kaizen - Ganho Recorrente</v>
      </c>
      <c r="AT71" s="2111">
        <f>IF(OR(I71="",K71=""),0,(I71/12)*K71)</f>
        <v>250.00024088999999</v>
      </c>
      <c r="AU71" s="2111">
        <f>IF(OR(N71="",K71="",K71=0),0,(N71/K71)*12)</f>
        <v>0</v>
      </c>
    </row>
    <row r="72" spans="1:47" ht="29.1" customHeight="1" x14ac:dyDescent="0.3">
      <c r="A72" s="1881"/>
      <c r="B72" s="1883"/>
      <c r="C72" s="1885"/>
      <c r="D72" s="1887"/>
      <c r="E72" s="1889"/>
      <c r="F72" s="1891"/>
      <c r="G72" s="1893"/>
      <c r="H72" s="1893"/>
      <c r="I72" s="1895"/>
      <c r="J72" s="1897"/>
      <c r="K72" s="1899"/>
      <c r="L72" s="1927"/>
      <c r="M72" s="2032"/>
      <c r="N72" s="1966"/>
      <c r="O72" s="1905"/>
      <c r="P72" s="1921"/>
      <c r="Q72" s="1923"/>
      <c r="R72" s="1905"/>
      <c r="S72" s="1210" t="s">
        <v>117</v>
      </c>
      <c r="T72" s="1211"/>
      <c r="U72" s="1214" t="s">
        <v>959</v>
      </c>
      <c r="V72" s="1214" t="s">
        <v>959</v>
      </c>
      <c r="W72" s="1214" t="s">
        <v>959</v>
      </c>
      <c r="X72" s="1208">
        <f t="shared" si="12"/>
        <v>0</v>
      </c>
      <c r="Y72" s="1214" t="s">
        <v>959</v>
      </c>
      <c r="Z72" s="1214" t="s">
        <v>959</v>
      </c>
      <c r="AA72" s="1214" t="s">
        <v>959</v>
      </c>
      <c r="AB72" s="1208">
        <f t="shared" si="13"/>
        <v>0</v>
      </c>
      <c r="AC72" s="1214" t="s">
        <v>959</v>
      </c>
      <c r="AD72" s="1214" t="s">
        <v>959</v>
      </c>
      <c r="AE72" s="1214" t="s">
        <v>959</v>
      </c>
      <c r="AF72" s="1208">
        <f t="shared" si="14"/>
        <v>0</v>
      </c>
      <c r="AG72" s="1214" t="s">
        <v>959</v>
      </c>
      <c r="AH72" s="1214" t="s">
        <v>959</v>
      </c>
      <c r="AI72" s="1214" t="s">
        <v>959</v>
      </c>
      <c r="AJ72" s="1208">
        <f t="shared" si="15"/>
        <v>0</v>
      </c>
      <c r="AK72" s="1215">
        <f t="shared" si="16"/>
        <v>0</v>
      </c>
      <c r="AL72" s="1216"/>
      <c r="AM72" s="1891"/>
      <c r="AN72" s="1972"/>
      <c r="AO72" s="1974"/>
      <c r="AP72" s="1041" t="str">
        <f>C71</f>
        <v>09 - Aumento de performance dos itens estampados na prensa Minster</v>
      </c>
      <c r="AQ72" s="1041" t="s">
        <v>313</v>
      </c>
      <c r="AR72" s="1063" t="str" cm="1">
        <f t="array" aca="1" ref="AR72" ca="1">IF(OR(AP72="",AP72=0),"",IF(SUMPRODUCT(($C$55:$C$159=AP72)*($U$54:AI$54&lt;=TODAY())*(ISNUMBER($U$56:AI$160)),$U$56:AI$160)=0,"",SUMPRODUCT(($C$55:$C$159=AP72)*($U$54:AI$54&lt;=TODAY())*(ISNUMBER($U$56:AI$160)),$U$56:AI$160)))</f>
        <v/>
      </c>
      <c r="AS72" s="1041" t="str">
        <f>A71</f>
        <v>Kaizen - Ganho Recorrente</v>
      </c>
      <c r="AT72" s="2112"/>
      <c r="AU72" s="2112"/>
    </row>
    <row r="73" spans="1:47" ht="29.1" customHeight="1" x14ac:dyDescent="0.3">
      <c r="A73" s="1928" t="s">
        <v>59</v>
      </c>
      <c r="B73" s="1928" t="s">
        <v>97</v>
      </c>
      <c r="C73" s="1930" t="s">
        <v>999</v>
      </c>
      <c r="D73" s="1939" t="s">
        <v>996</v>
      </c>
      <c r="E73" s="1932" t="s">
        <v>1000</v>
      </c>
      <c r="F73" s="1934" t="s">
        <v>968</v>
      </c>
      <c r="G73" s="1936">
        <v>46235</v>
      </c>
      <c r="H73" s="1936">
        <v>46296</v>
      </c>
      <c r="I73" s="1938">
        <v>1000.002654</v>
      </c>
      <c r="J73" s="1910">
        <v>46296</v>
      </c>
      <c r="K73" s="1912">
        <f t="shared" ref="K73" si="54">IF(J73="", "", 12 - MONTH(J73) + 1)</f>
        <v>3</v>
      </c>
      <c r="L73" s="1926"/>
      <c r="M73" s="2004"/>
      <c r="N73" s="1998"/>
      <c r="O73" s="1878" t="s">
        <v>85</v>
      </c>
      <c r="P73" s="1906" t="s">
        <v>998</v>
      </c>
      <c r="Q73" s="1924">
        <v>46264</v>
      </c>
      <c r="R73" s="1878">
        <v>0.85</v>
      </c>
      <c r="S73" s="1204" t="s">
        <v>116</v>
      </c>
      <c r="T73" s="1205"/>
      <c r="U73" s="1195">
        <f>IFERROR(IF(AND(U$54&gt;=EOMONTH($J73,-1)+1,U$54&lt;=EOMONTH(EOMONTH($J73,-1)+1,$K73-1)),IF(NOT(ISBLANK($N73)),$N73/$K73,$I73/$K73),0),0)</f>
        <v>0</v>
      </c>
      <c r="V73" s="1195">
        <f>IFERROR(IF(AND(V$54&gt;=EOMONTH($J73,-1)+1,V$54&lt;=EOMONTH(EOMONTH($J73,-1)+1,$K73-1)),IF(NOT(ISBLANK($N73)),$N73/$K73,$I73/$K73),0),0)</f>
        <v>0</v>
      </c>
      <c r="W73" s="1195">
        <f>IFERROR(IF(AND(W$54&gt;=EOMONTH($J73,-1)+1,W$54&lt;=EOMONTH(EOMONTH($J73,-1)+1,$K73-1)),IF(NOT(ISBLANK($N73)),$N73/$K73,$I73/$K73),0),0)</f>
        <v>0</v>
      </c>
      <c r="X73" s="1196">
        <f t="shared" ref="X73" si="55">SUM(U73:W73)</f>
        <v>0</v>
      </c>
      <c r="Y73" s="1195">
        <f>IFERROR(IF(AND(Y$54&gt;=EOMONTH($J73,-1)+1,Y$54&lt;=EOMONTH(EOMONTH($J73,-1)+1,$K73-1)),IF(NOT(ISBLANK($N73)),$N73/$K73,$I73/$K73),0),0)</f>
        <v>0</v>
      </c>
      <c r="Z73" s="1195">
        <f>IFERROR(IF(AND(Z$54&gt;=EOMONTH($J73,-1)+1,Z$54&lt;=EOMONTH(EOMONTH($J73,-1)+1,$K73-1)),IF(NOT(ISBLANK($N73)),$N73/$K73,$I73/$K73),0),0)</f>
        <v>0</v>
      </c>
      <c r="AA73" s="1195">
        <f>IFERROR(IF(AND(AA$54&gt;=EOMONTH($J73,-1)+1,AA$54&lt;=EOMONTH(EOMONTH($J73,-1)+1,$K73-1)),IF(NOT(ISBLANK($N73)),$N73/$K73,$I73/$K73),0),0)</f>
        <v>0</v>
      </c>
      <c r="AB73" s="1196">
        <f t="shared" ref="AB73" si="56">SUM(Y73:AA73)</f>
        <v>0</v>
      </c>
      <c r="AC73" s="1195">
        <f>IFERROR(IF(AND(AC$54&gt;=EOMONTH($J73,-1)+1,AC$54&lt;=EOMONTH(EOMONTH($J73,-1)+1,$K73-1)),IF(NOT(ISBLANK($N73)),$N73/$K73,$I73/$K73),0),0)</f>
        <v>0</v>
      </c>
      <c r="AD73" s="1195">
        <f>IFERROR(IF(AND(AD$54&gt;=EOMONTH($J73,-1)+1,AD$54&lt;=EOMONTH(EOMONTH($J73,-1)+1,$K73-1)),IF(NOT(ISBLANK($N73)),$N73/$K73,$I73/$K73),0),0)</f>
        <v>0</v>
      </c>
      <c r="AE73" s="1195">
        <f>IFERROR(IF(AND(AE$54&gt;=EOMONTH($J73,-1)+1,AE$54&lt;=EOMONTH(EOMONTH($J73,-1)+1,$K73-1)),IF(NOT(ISBLANK($N73)),$N73/$K73,$I73/$K73),0),0)</f>
        <v>0</v>
      </c>
      <c r="AF73" s="1196">
        <f t="shared" ref="AF73" si="57">SUM(AC73:AE73)</f>
        <v>0</v>
      </c>
      <c r="AG73" s="1195">
        <f>IFERROR(IF(AND(AG$54&gt;=EOMONTH($J73,-1)+1,AG$54&lt;=EOMONTH(EOMONTH($J73,-1)+1,$K73-1)),IF(NOT(ISBLANK($N73)),$N73/$K73,$I73/$K73),0),0)</f>
        <v>333.33421800000002</v>
      </c>
      <c r="AH73" s="1195">
        <f>IFERROR(IF(AND(AH$54&gt;=EOMONTH($J73,-1)+1,AH$54&lt;=EOMONTH(EOMONTH($J73,-1)+1,$K73-1)),IF(NOT(ISBLANK($N73)),$N73/$K73,$I73/$K73),0),0)</f>
        <v>333.33421800000002</v>
      </c>
      <c r="AI73" s="1195">
        <f>IFERROR(IF(AND(AI$54&gt;=EOMONTH($J73,-1)+1,AI$54&lt;=EOMONTH(EOMONTH($J73,-1)+1,$K73-1)),IF(NOT(ISBLANK($N73)),$N73/$K73,$I73/$K73),0),0)</f>
        <v>333.33421800000002</v>
      </c>
      <c r="AJ73" s="1196">
        <f t="shared" ref="AJ73" si="58">SUM(AG73:AI73)</f>
        <v>1000.0026540000001</v>
      </c>
      <c r="AK73" s="1206">
        <f t="shared" si="16"/>
        <v>1000.0026540000001</v>
      </c>
      <c r="AL73" s="1131"/>
      <c r="AM73" s="1928"/>
      <c r="AN73" s="1878"/>
      <c r="AO73" s="1969">
        <f>N73*AN73</f>
        <v>0</v>
      </c>
      <c r="AP73" s="1041" t="str">
        <f>C73</f>
        <v>10 - Aumento de performance dos itens estampados na prensa Isgec</v>
      </c>
      <c r="AQ73" s="1041" t="s">
        <v>311</v>
      </c>
      <c r="AR73" s="1063" t="str" cm="1">
        <f t="array" aca="1" ref="AR73" ca="1">IF(OR(AP73="",AP73=0),"",IF(SUMPRODUCT(($C$55:$C$144=AP73)*(U$54:$AI$54&lt;EOMONTH(TODAY(),-1)+1)*(ISNUMBER(U$55:$AI$144)),U$55:$AI$144)=0,"",SUMPRODUCT(($C$55:$C$144=AP73)*(U$54:$AI$54&lt;EOMONTH(TODAY(),-1)+1)*(ISNUMBER(U$55:$AI$144)),U$55:$AI$144)))</f>
        <v/>
      </c>
      <c r="AS73" s="1041" t="str">
        <f>A73</f>
        <v>Kaizen - Ganho Recorrente</v>
      </c>
      <c r="AT73" s="2111">
        <f>IF(OR(I73="",K73=""),0,(I73/12)*K73)</f>
        <v>250.00066350000003</v>
      </c>
      <c r="AU73" s="2111">
        <f>IF(OR(N73="",K73="",K73=0),0,(N73/K73)*12)</f>
        <v>0</v>
      </c>
    </row>
    <row r="74" spans="1:47" ht="29.1" customHeight="1" x14ac:dyDescent="0.3">
      <c r="A74" s="1929"/>
      <c r="B74" s="1929"/>
      <c r="C74" s="1931"/>
      <c r="D74" s="1940"/>
      <c r="E74" s="1933"/>
      <c r="F74" s="1935"/>
      <c r="G74" s="1937"/>
      <c r="H74" s="1937"/>
      <c r="I74" s="1937"/>
      <c r="J74" s="1911"/>
      <c r="K74" s="1913"/>
      <c r="L74" s="1927"/>
      <c r="M74" s="2005"/>
      <c r="N74" s="1999"/>
      <c r="O74" s="1879"/>
      <c r="P74" s="1907"/>
      <c r="Q74" s="1909"/>
      <c r="R74" s="1879"/>
      <c r="S74" s="1204" t="s">
        <v>117</v>
      </c>
      <c r="T74" s="1205"/>
      <c r="U74" s="1207" t="s">
        <v>959</v>
      </c>
      <c r="V74" s="1207" t="s">
        <v>959</v>
      </c>
      <c r="W74" s="1207" t="s">
        <v>959</v>
      </c>
      <c r="X74" s="1208">
        <f t="shared" si="12"/>
        <v>0</v>
      </c>
      <c r="Y74" s="1207" t="s">
        <v>959</v>
      </c>
      <c r="Z74" s="1207" t="s">
        <v>959</v>
      </c>
      <c r="AA74" s="1207" t="s">
        <v>959</v>
      </c>
      <c r="AB74" s="1208">
        <f t="shared" si="13"/>
        <v>0</v>
      </c>
      <c r="AC74" s="1207" t="s">
        <v>959</v>
      </c>
      <c r="AD74" s="1207" t="s">
        <v>959</v>
      </c>
      <c r="AE74" s="1207" t="s">
        <v>959</v>
      </c>
      <c r="AF74" s="1208">
        <f t="shared" si="14"/>
        <v>0</v>
      </c>
      <c r="AG74" s="1207" t="s">
        <v>959</v>
      </c>
      <c r="AH74" s="1207" t="s">
        <v>959</v>
      </c>
      <c r="AI74" s="1207" t="s">
        <v>959</v>
      </c>
      <c r="AJ74" s="1208">
        <f t="shared" si="15"/>
        <v>0</v>
      </c>
      <c r="AK74" s="1209">
        <f t="shared" si="16"/>
        <v>0</v>
      </c>
      <c r="AL74" s="1131"/>
      <c r="AM74" s="1929"/>
      <c r="AN74" s="1879"/>
      <c r="AO74" s="1970"/>
      <c r="AP74" s="1041" t="str">
        <f>C73</f>
        <v>10 - Aumento de performance dos itens estampados na prensa Isgec</v>
      </c>
      <c r="AQ74" s="1041" t="s">
        <v>313</v>
      </c>
      <c r="AR74" s="1063" t="str" cm="1">
        <f t="array" aca="1" ref="AR74" ca="1">IF(OR(AP74="",AP74=0),"",IF(SUMPRODUCT(($C$55:$C$159=AP74)*($U$54:AI$54&lt;=TODAY())*(ISNUMBER($U$56:AI$160)),$U$56:AI$160)=0,"",SUMPRODUCT(($C$55:$C$159=AP74)*($U$54:AI$54&lt;=TODAY())*(ISNUMBER($U$56:AI$160)),$U$56:AI$160)))</f>
        <v/>
      </c>
      <c r="AS74" s="1041" t="str">
        <f>A73</f>
        <v>Kaizen - Ganho Recorrente</v>
      </c>
      <c r="AT74" s="2112"/>
      <c r="AU74" s="2112"/>
    </row>
    <row r="75" spans="1:47" ht="29.1" customHeight="1" x14ac:dyDescent="0.3">
      <c r="A75" s="1880" t="s">
        <v>59</v>
      </c>
      <c r="B75" s="1882" t="s">
        <v>97</v>
      </c>
      <c r="C75" s="1884" t="s">
        <v>1001</v>
      </c>
      <c r="D75" s="1886" t="s">
        <v>996</v>
      </c>
      <c r="E75" s="1888" t="s">
        <v>1002</v>
      </c>
      <c r="F75" s="1890" t="s">
        <v>968</v>
      </c>
      <c r="G75" s="1892">
        <v>46235</v>
      </c>
      <c r="H75" s="1892">
        <v>46296</v>
      </c>
      <c r="I75" s="1894">
        <v>1000.00415646</v>
      </c>
      <c r="J75" s="1896">
        <v>46296</v>
      </c>
      <c r="K75" s="1898">
        <f t="shared" ref="K75:K77" si="59">IF(J75="", "", 12 - MONTH(J75) + 1)</f>
        <v>3</v>
      </c>
      <c r="L75" s="1926"/>
      <c r="M75" s="2031"/>
      <c r="N75" s="1902"/>
      <c r="O75" s="1904" t="s">
        <v>85</v>
      </c>
      <c r="P75" s="1920" t="s">
        <v>998</v>
      </c>
      <c r="Q75" s="1925">
        <v>46233</v>
      </c>
      <c r="R75" s="1904">
        <v>0.85</v>
      </c>
      <c r="S75" s="1210" t="s">
        <v>116</v>
      </c>
      <c r="T75" s="1211"/>
      <c r="U75" s="1195">
        <f>IFERROR(IF(AND(U$54&gt;=EOMONTH($J75,-1)+1,U$54&lt;=EOMONTH(EOMONTH($J75,-1)+1,$K75-1)),IF(NOT(ISBLANK($N75)),$N75/$K75,$I75/$K75),0),0)</f>
        <v>0</v>
      </c>
      <c r="V75" s="1195">
        <f>IFERROR(IF(AND(V$54&gt;=EOMONTH($J75,-1)+1,V$54&lt;=EOMONTH(EOMONTH($J75,-1)+1,$K75-1)),IF(NOT(ISBLANK($N75)),$N75/$K75,$I75/$K75),0),0)</f>
        <v>0</v>
      </c>
      <c r="W75" s="1195">
        <f>IFERROR(IF(AND(W$54&gt;=EOMONTH($J75,-1)+1,W$54&lt;=EOMONTH(EOMONTH($J75,-1)+1,$K75-1)),IF(NOT(ISBLANK($N75)),$N75/$K75,$I75/$K75),0),0)</f>
        <v>0</v>
      </c>
      <c r="X75" s="1196">
        <f t="shared" ref="X75" si="60">SUM(U75:W75)</f>
        <v>0</v>
      </c>
      <c r="Y75" s="1195">
        <f>IFERROR(IF(AND(Y$54&gt;=EOMONTH($J75,-1)+1,Y$54&lt;=EOMONTH(EOMONTH($J75,-1)+1,$K75-1)),IF(NOT(ISBLANK($N75)),$N75/$K75,$I75/$K75),0),0)</f>
        <v>0</v>
      </c>
      <c r="Z75" s="1195">
        <f>IFERROR(IF(AND(Z$54&gt;=EOMONTH($J75,-1)+1,Z$54&lt;=EOMONTH(EOMONTH($J75,-1)+1,$K75-1)),IF(NOT(ISBLANK($N75)),$N75/$K75,$I75/$K75),0),0)</f>
        <v>0</v>
      </c>
      <c r="AA75" s="1195">
        <f>IFERROR(IF(AND(AA$54&gt;=EOMONTH($J75,-1)+1,AA$54&lt;=EOMONTH(EOMONTH($J75,-1)+1,$K75-1)),IF(NOT(ISBLANK($N75)),$N75/$K75,$I75/$K75),0),0)</f>
        <v>0</v>
      </c>
      <c r="AB75" s="1196">
        <f t="shared" ref="AB75" si="61">SUM(Y75:AA75)</f>
        <v>0</v>
      </c>
      <c r="AC75" s="1195">
        <f>IFERROR(IF(AND(AC$54&gt;=EOMONTH($J75,-1)+1,AC$54&lt;=EOMONTH(EOMONTH($J75,-1)+1,$K75-1)),IF(NOT(ISBLANK($N75)),$N75/$K75,$I75/$K75),0),0)</f>
        <v>0</v>
      </c>
      <c r="AD75" s="1195">
        <f>IFERROR(IF(AND(AD$54&gt;=EOMONTH($J75,-1)+1,AD$54&lt;=EOMONTH(EOMONTH($J75,-1)+1,$K75-1)),IF(NOT(ISBLANK($N75)),$N75/$K75,$I75/$K75),0),0)</f>
        <v>0</v>
      </c>
      <c r="AE75" s="1195">
        <f>IFERROR(IF(AND(AE$54&gt;=EOMONTH($J75,-1)+1,AE$54&lt;=EOMONTH(EOMONTH($J75,-1)+1,$K75-1)),IF(NOT(ISBLANK($N75)),$N75/$K75,$I75/$K75),0),0)</f>
        <v>0</v>
      </c>
      <c r="AF75" s="1196">
        <f t="shared" ref="AF75" si="62">SUM(AC75:AE75)</f>
        <v>0</v>
      </c>
      <c r="AG75" s="1195">
        <f>IFERROR(IF(AND(AG$54&gt;=EOMONTH($J75,-1)+1,AG$54&lt;=EOMONTH(EOMONTH($J75,-1)+1,$K75-1)),IF(NOT(ISBLANK($N75)),$N75/$K75,$I75/$K75),0),0)</f>
        <v>333.33471881999998</v>
      </c>
      <c r="AH75" s="1195">
        <f>IFERROR(IF(AND(AH$54&gt;=EOMONTH($J75,-1)+1,AH$54&lt;=EOMONTH(EOMONTH($J75,-1)+1,$K75-1)),IF(NOT(ISBLANK($N75)),$N75/$K75,$I75/$K75),0),0)</f>
        <v>333.33471881999998</v>
      </c>
      <c r="AI75" s="1195">
        <f>IFERROR(IF(AND(AI$54&gt;=EOMONTH($J75,-1)+1,AI$54&lt;=EOMONTH(EOMONTH($J75,-1)+1,$K75-1)),IF(NOT(ISBLANK($N75)),$N75/$K75,$I75/$K75),0),0)</f>
        <v>333.33471881999998</v>
      </c>
      <c r="AJ75" s="1196">
        <f t="shared" ref="AJ75" si="63">SUM(AG75:AI75)</f>
        <v>1000.0041564599999</v>
      </c>
      <c r="AK75" s="1212">
        <f t="shared" si="16"/>
        <v>1000.0041564599999</v>
      </c>
      <c r="AL75" s="1213"/>
      <c r="AM75" s="1890"/>
      <c r="AN75" s="1971"/>
      <c r="AO75" s="1973">
        <f>N75*AN75</f>
        <v>0</v>
      </c>
      <c r="AP75" s="1041" t="str">
        <f>C75</f>
        <v>11 - Aumento de performance dos itens estampados nas prensas Gutmmans</v>
      </c>
      <c r="AQ75" s="1041" t="s">
        <v>311</v>
      </c>
      <c r="AR75" s="1063" t="str" cm="1">
        <f t="array" aca="1" ref="AR75" ca="1">IF(OR(AP75="",AP75=0),"",IF(SUMPRODUCT(($C$55:$C$144=AP75)*(U$54:$AI$54&lt;EOMONTH(TODAY(),-1)+1)*(ISNUMBER(U$55:$AI$144)),U$55:$AI$144)=0,"",SUMPRODUCT(($C$55:$C$144=AP75)*(U$54:$AI$54&lt;EOMONTH(TODAY(),-1)+1)*(ISNUMBER(U$55:$AI$144)),U$55:$AI$144)))</f>
        <v/>
      </c>
      <c r="AS75" s="1041" t="str">
        <f>A75</f>
        <v>Kaizen - Ganho Recorrente</v>
      </c>
      <c r="AT75" s="2111">
        <f>IF(OR(I75="",K75=""),0,(I75/12)*K75)</f>
        <v>250.00103911499997</v>
      </c>
      <c r="AU75" s="2111">
        <f>IF(OR(N75="",K75="",K75=0),0,(N75/K75)*12)</f>
        <v>0</v>
      </c>
    </row>
    <row r="76" spans="1:47" ht="29.1" customHeight="1" x14ac:dyDescent="0.3">
      <c r="A76" s="1881"/>
      <c r="B76" s="1883"/>
      <c r="C76" s="1885"/>
      <c r="D76" s="1887"/>
      <c r="E76" s="1889"/>
      <c r="F76" s="1891"/>
      <c r="G76" s="1893"/>
      <c r="H76" s="1893"/>
      <c r="I76" s="1895"/>
      <c r="J76" s="1897"/>
      <c r="K76" s="1899"/>
      <c r="L76" s="1927"/>
      <c r="M76" s="2032"/>
      <c r="N76" s="1966"/>
      <c r="O76" s="1905"/>
      <c r="P76" s="1921"/>
      <c r="Q76" s="1923"/>
      <c r="R76" s="1905"/>
      <c r="S76" s="1210" t="s">
        <v>117</v>
      </c>
      <c r="T76" s="1211"/>
      <c r="U76" s="1214" t="s">
        <v>959</v>
      </c>
      <c r="V76" s="1214" t="s">
        <v>959</v>
      </c>
      <c r="W76" s="1214" t="s">
        <v>959</v>
      </c>
      <c r="X76" s="1208">
        <f t="shared" si="12"/>
        <v>0</v>
      </c>
      <c r="Y76" s="1214" t="s">
        <v>959</v>
      </c>
      <c r="Z76" s="1214" t="s">
        <v>959</v>
      </c>
      <c r="AA76" s="1214" t="s">
        <v>959</v>
      </c>
      <c r="AB76" s="1208">
        <f t="shared" si="13"/>
        <v>0</v>
      </c>
      <c r="AC76" s="1214" t="s">
        <v>959</v>
      </c>
      <c r="AD76" s="1214" t="s">
        <v>959</v>
      </c>
      <c r="AE76" s="1214" t="s">
        <v>959</v>
      </c>
      <c r="AF76" s="1208">
        <f t="shared" si="14"/>
        <v>0</v>
      </c>
      <c r="AG76" s="1214" t="s">
        <v>959</v>
      </c>
      <c r="AH76" s="1214" t="s">
        <v>959</v>
      </c>
      <c r="AI76" s="1214" t="s">
        <v>959</v>
      </c>
      <c r="AJ76" s="1208">
        <f t="shared" si="15"/>
        <v>0</v>
      </c>
      <c r="AK76" s="1215">
        <f t="shared" si="16"/>
        <v>0</v>
      </c>
      <c r="AL76" s="1216"/>
      <c r="AM76" s="1891"/>
      <c r="AN76" s="1972"/>
      <c r="AO76" s="1974"/>
      <c r="AP76" s="1041" t="str">
        <f>C75</f>
        <v>11 - Aumento de performance dos itens estampados nas prensas Gutmmans</v>
      </c>
      <c r="AQ76" s="1041" t="s">
        <v>313</v>
      </c>
      <c r="AR76" s="1063" t="str" cm="1">
        <f t="array" aca="1" ref="AR76" ca="1">IF(OR(AP76="",AP76=0),"",IF(SUMPRODUCT(($C$55:$C$159=AP76)*($U$54:AI$54&lt;=TODAY())*(ISNUMBER($U$56:AI$160)),$U$56:AI$160)=0,"",SUMPRODUCT(($C$55:$C$159=AP76)*($U$54:AI$54&lt;=TODAY())*(ISNUMBER($U$56:AI$160)),$U$56:AI$160)))</f>
        <v/>
      </c>
      <c r="AS76" s="1041" t="str">
        <f>A75</f>
        <v>Kaizen - Ganho Recorrente</v>
      </c>
      <c r="AT76" s="2112"/>
      <c r="AU76" s="2112"/>
    </row>
    <row r="77" spans="1:47" ht="29.1" customHeight="1" x14ac:dyDescent="0.3">
      <c r="A77" s="1928" t="s">
        <v>59</v>
      </c>
      <c r="B77" s="1928" t="s">
        <v>97</v>
      </c>
      <c r="C77" s="2084" t="s">
        <v>1003</v>
      </c>
      <c r="D77" s="1939" t="s">
        <v>1004</v>
      </c>
      <c r="E77" s="1932" t="s">
        <v>1005</v>
      </c>
      <c r="F77" s="1934" t="s">
        <v>1006</v>
      </c>
      <c r="G77" s="1936">
        <v>46054</v>
      </c>
      <c r="H77" s="1936">
        <v>46296</v>
      </c>
      <c r="I77" s="1938">
        <v>1000.0045897</v>
      </c>
      <c r="J77" s="1910">
        <v>46296</v>
      </c>
      <c r="K77" s="1912">
        <f t="shared" si="59"/>
        <v>3</v>
      </c>
      <c r="L77" s="2004"/>
      <c r="M77" s="2004"/>
      <c r="N77" s="1998"/>
      <c r="O77" s="1878" t="s">
        <v>83</v>
      </c>
      <c r="P77" s="1906" t="s">
        <v>1007</v>
      </c>
      <c r="Q77" s="1925">
        <v>46233</v>
      </c>
      <c r="R77" s="1878">
        <v>0.85</v>
      </c>
      <c r="S77" s="1204" t="s">
        <v>116</v>
      </c>
      <c r="T77" s="1205">
        <f ca="1">IF(OR(G77="", H77=""), "", IF(TODAY()&lt;G77, 0, IF(TODAY()&gt;H77, 1, (TODAY()-G77+1)/(H77-G77+1))))</f>
        <v>0.81481481481481477</v>
      </c>
      <c r="U77" s="1195">
        <f>IFERROR(IF(AND(U$54&gt;=EOMONTH($J77,-1)+1,U$54&lt;=EOMONTH(EOMONTH($J77,-1)+1,$K77-1)),IF(NOT(ISBLANK($N77)),$N77/$K77,$I77/$K77),0),0)</f>
        <v>0</v>
      </c>
      <c r="V77" s="1195">
        <f>IFERROR(IF(AND(V$54&gt;=EOMONTH($J77,-1)+1,V$54&lt;=EOMONTH(EOMONTH($J77,-1)+1,$K77-1)),IF(NOT(ISBLANK($N77)),$N77/$K77,$I77/$K77),0),0)</f>
        <v>0</v>
      </c>
      <c r="W77" s="1195">
        <f>IFERROR(IF(AND(W$54&gt;=EOMONTH($J77,-1)+1,W$54&lt;=EOMONTH(EOMONTH($J77,-1)+1,$K77-1)),IF(NOT(ISBLANK($N77)),$N77/$K77,$I77/$K77),0),0)</f>
        <v>0</v>
      </c>
      <c r="X77" s="1196">
        <f t="shared" ref="X77" si="64">SUM(U77:W77)</f>
        <v>0</v>
      </c>
      <c r="Y77" s="1195">
        <f>IFERROR(IF(AND(Y$54&gt;=EOMONTH($J77,-1)+1,Y$54&lt;=EOMONTH(EOMONTH($J77,-1)+1,$K77-1)),IF(NOT(ISBLANK($N77)),$N77/$K77,$I77/$K77),0),0)</f>
        <v>0</v>
      </c>
      <c r="Z77" s="1195">
        <f>IFERROR(IF(AND(Z$54&gt;=EOMONTH($J77,-1)+1,Z$54&lt;=EOMONTH(EOMONTH($J77,-1)+1,$K77-1)),IF(NOT(ISBLANK($N77)),$N77/$K77,$I77/$K77),0),0)</f>
        <v>0</v>
      </c>
      <c r="AA77" s="1195">
        <f>IFERROR(IF(AND(AA$54&gt;=EOMONTH($J77,-1)+1,AA$54&lt;=EOMONTH(EOMONTH($J77,-1)+1,$K77-1)),IF(NOT(ISBLANK($N77)),$N77/$K77,$I77/$K77),0),0)</f>
        <v>0</v>
      </c>
      <c r="AB77" s="1196">
        <f t="shared" ref="AB77" si="65">SUM(Y77:AA77)</f>
        <v>0</v>
      </c>
      <c r="AC77" s="1195">
        <f>IFERROR(IF(AND(AC$54&gt;=EOMONTH($J77,-1)+1,AC$54&lt;=EOMONTH(EOMONTH($J77,-1)+1,$K77-1)),IF(NOT(ISBLANK($N77)),$N77/$K77,$I77/$K77),0),0)</f>
        <v>0</v>
      </c>
      <c r="AD77" s="1195">
        <f>IFERROR(IF(AND(AD$54&gt;=EOMONTH($J77,-1)+1,AD$54&lt;=EOMONTH(EOMONTH($J77,-1)+1,$K77-1)),IF(NOT(ISBLANK($N77)),$N77/$K77,$I77/$K77),0),0)</f>
        <v>0</v>
      </c>
      <c r="AE77" s="1195">
        <f>IFERROR(IF(AND(AE$54&gt;=EOMONTH($J77,-1)+1,AE$54&lt;=EOMONTH(EOMONTH($J77,-1)+1,$K77-1)),IF(NOT(ISBLANK($N77)),$N77/$K77,$I77/$K77),0),0)</f>
        <v>0</v>
      </c>
      <c r="AF77" s="1196">
        <f t="shared" ref="AF77" si="66">SUM(AC77:AE77)</f>
        <v>0</v>
      </c>
      <c r="AG77" s="1195">
        <f>IFERROR(IF(AND(AG$54&gt;=EOMONTH($J77,-1)+1,AG$54&lt;=EOMONTH(EOMONTH($J77,-1)+1,$K77-1)),IF(NOT(ISBLANK($N77)),$N77/$K77,$I77/$K77),0),0)</f>
        <v>333.33486323333335</v>
      </c>
      <c r="AH77" s="1195">
        <f>IFERROR(IF(AND(AH$54&gt;=EOMONTH($J77,-1)+1,AH$54&lt;=EOMONTH(EOMONTH($J77,-1)+1,$K77-1)),IF(NOT(ISBLANK($N77)),$N77/$K77,$I77/$K77),0),0)</f>
        <v>333.33486323333335</v>
      </c>
      <c r="AI77" s="1195">
        <f>IFERROR(IF(AND(AI$54&gt;=EOMONTH($J77,-1)+1,AI$54&lt;=EOMONTH(EOMONTH($J77,-1)+1,$K77-1)),IF(NOT(ISBLANK($N77)),$N77/$K77,$I77/$K77),0),0)</f>
        <v>333.33486323333335</v>
      </c>
      <c r="AJ77" s="1196">
        <f t="shared" ref="AJ77" si="67">SUM(AG77:AI77)</f>
        <v>1000.0045897</v>
      </c>
      <c r="AK77" s="1206">
        <f t="shared" si="16"/>
        <v>1000.0045897</v>
      </c>
      <c r="AL77" s="1131"/>
      <c r="AM77" s="1928"/>
      <c r="AN77" s="1878"/>
      <c r="AO77" s="1969">
        <f>N77*AN77</f>
        <v>0</v>
      </c>
      <c r="AP77" s="1041" t="str">
        <f>C77</f>
        <v>12 - Aumento do OEE do equipamento ISGEC</v>
      </c>
      <c r="AQ77" s="1041" t="s">
        <v>311</v>
      </c>
      <c r="AR77" s="1063" t="str" cm="1">
        <f t="array" aca="1" ref="AR77" ca="1">IF(OR(AP77="",AP77=0),"",IF(SUMPRODUCT(($C$55:$C$144=AP77)*(U$54:$AI$54&lt;EOMONTH(TODAY(),-1)+1)*(ISNUMBER(U$55:$AI$144)),U$55:$AI$144)=0,"",SUMPRODUCT(($C$55:$C$144=AP77)*(U$54:$AI$54&lt;EOMONTH(TODAY(),-1)+1)*(ISNUMBER(U$55:$AI$144)),U$55:$AI$144)))</f>
        <v/>
      </c>
      <c r="AS77" s="1041" t="str">
        <f>A77</f>
        <v>Kaizen - Ganho Recorrente</v>
      </c>
      <c r="AT77" s="2111">
        <f>IF(OR(I77="",K77=""),0,(I77/12)*K77)</f>
        <v>250.001147425</v>
      </c>
      <c r="AU77" s="2111">
        <f>IF(OR(N77="",K77="",K77=0),0,(N77/K77)*12)</f>
        <v>0</v>
      </c>
    </row>
    <row r="78" spans="1:47" ht="29.1" customHeight="1" x14ac:dyDescent="0.3">
      <c r="A78" s="1929"/>
      <c r="B78" s="1929"/>
      <c r="C78" s="1931"/>
      <c r="D78" s="1940"/>
      <c r="E78" s="1933"/>
      <c r="F78" s="1935"/>
      <c r="G78" s="1937"/>
      <c r="H78" s="1937"/>
      <c r="I78" s="1937"/>
      <c r="J78" s="1911"/>
      <c r="K78" s="1913"/>
      <c r="L78" s="2005"/>
      <c r="M78" s="2005"/>
      <c r="N78" s="1999"/>
      <c r="O78" s="1879"/>
      <c r="P78" s="1907"/>
      <c r="Q78" s="1923"/>
      <c r="R78" s="1879"/>
      <c r="S78" s="1204" t="s">
        <v>117</v>
      </c>
      <c r="T78" s="1205"/>
      <c r="U78" s="1207" t="s">
        <v>959</v>
      </c>
      <c r="V78" s="1207" t="s">
        <v>959</v>
      </c>
      <c r="W78" s="1207" t="s">
        <v>959</v>
      </c>
      <c r="X78" s="1208">
        <f t="shared" si="12"/>
        <v>0</v>
      </c>
      <c r="Y78" s="1207" t="s">
        <v>959</v>
      </c>
      <c r="Z78" s="1207" t="s">
        <v>959</v>
      </c>
      <c r="AA78" s="1207" t="s">
        <v>959</v>
      </c>
      <c r="AB78" s="1208">
        <f t="shared" si="13"/>
        <v>0</v>
      </c>
      <c r="AC78" s="1207" t="s">
        <v>959</v>
      </c>
      <c r="AD78" s="1207" t="s">
        <v>959</v>
      </c>
      <c r="AE78" s="1207" t="s">
        <v>959</v>
      </c>
      <c r="AF78" s="1208">
        <f t="shared" si="14"/>
        <v>0</v>
      </c>
      <c r="AG78" s="1207" t="s">
        <v>959</v>
      </c>
      <c r="AH78" s="1207" t="s">
        <v>959</v>
      </c>
      <c r="AI78" s="1207" t="s">
        <v>959</v>
      </c>
      <c r="AJ78" s="1208">
        <f t="shared" si="15"/>
        <v>0</v>
      </c>
      <c r="AK78" s="1209">
        <f t="shared" si="16"/>
        <v>0</v>
      </c>
      <c r="AL78" s="1131"/>
      <c r="AM78" s="1929"/>
      <c r="AN78" s="1879"/>
      <c r="AO78" s="1970"/>
      <c r="AP78" s="1041" t="str">
        <f>C77</f>
        <v>12 - Aumento do OEE do equipamento ISGEC</v>
      </c>
      <c r="AQ78" s="1041" t="s">
        <v>313</v>
      </c>
      <c r="AR78" s="1063" t="str" cm="1">
        <f t="array" aca="1" ref="AR78" ca="1">IF(OR(AP78="",AP78=0),"",IF(SUMPRODUCT(($C$55:$C$159=AP78)*($U$54:AI$54&lt;=TODAY())*(ISNUMBER($U$56:AI$160)),$U$56:AI$160)=0,"",SUMPRODUCT(($C$55:$C$159=AP78)*($U$54:AI$54&lt;=TODAY())*(ISNUMBER($U$56:AI$160)),$U$56:AI$160)))</f>
        <v/>
      </c>
      <c r="AS78" s="1041" t="str">
        <f>A77</f>
        <v>Kaizen - Ganho Recorrente</v>
      </c>
      <c r="AT78" s="2112"/>
      <c r="AU78" s="2112"/>
    </row>
    <row r="79" spans="1:47" s="1199" customFormat="1" ht="29.1" customHeight="1" x14ac:dyDescent="0.3">
      <c r="A79" s="2094" t="s">
        <v>91</v>
      </c>
      <c r="B79" s="2066" t="s">
        <v>95</v>
      </c>
      <c r="C79" s="2087" t="s">
        <v>1008</v>
      </c>
      <c r="D79" s="2064" t="s">
        <v>1009</v>
      </c>
      <c r="E79" s="2089" t="s">
        <v>1010</v>
      </c>
      <c r="F79" s="1985" t="s">
        <v>968</v>
      </c>
      <c r="G79" s="2035" t="s">
        <v>994</v>
      </c>
      <c r="H79" s="2035" t="s">
        <v>994</v>
      </c>
      <c r="I79" s="2035"/>
      <c r="J79" s="2035"/>
      <c r="K79" s="2035"/>
      <c r="L79" s="2025"/>
      <c r="M79" s="2031"/>
      <c r="N79" s="1949"/>
      <c r="O79" s="1991" t="s">
        <v>81</v>
      </c>
      <c r="P79" s="1949" t="s">
        <v>994</v>
      </c>
      <c r="Q79" s="1949" t="s">
        <v>994</v>
      </c>
      <c r="R79" s="1991">
        <v>0.9</v>
      </c>
      <c r="S79" s="1193" t="s">
        <v>116</v>
      </c>
      <c r="T79" s="1194"/>
      <c r="U79" s="1195">
        <f>IFERROR(IF(AND(U$54&gt;=EOMONTH($J79,-1)+1,U$54&lt;=EOMONTH(EOMONTH($J79,-1)+1,$K79-1)),IF(NOT(ISBLANK($N79)),$N79/$K79,$I79/$K79),0),0)</f>
        <v>0</v>
      </c>
      <c r="V79" s="1195">
        <f>IFERROR(IF(AND(V$54&gt;=EOMONTH($J79,-1)+1,V$54&lt;=EOMONTH(EOMONTH($J79,-1)+1,$K79-1)),IF(NOT(ISBLANK($N79)),$N79/$K79,$I79/$K79),0),0)</f>
        <v>0</v>
      </c>
      <c r="W79" s="1195">
        <f>IFERROR(IF(AND(W$54&gt;=EOMONTH($J79,-1)+1,W$54&lt;=EOMONTH(EOMONTH($J79,-1)+1,$K79-1)),IF(NOT(ISBLANK($N79)),$N79/$K79,$I79/$K79),0),0)</f>
        <v>0</v>
      </c>
      <c r="X79" s="1196">
        <f t="shared" ref="X79" si="68">SUM(U79:W79)</f>
        <v>0</v>
      </c>
      <c r="Y79" s="1195">
        <f>IFERROR(IF(AND(Y$54&gt;=EOMONTH($J79,-1)+1,Y$54&lt;=EOMONTH(EOMONTH($J79,-1)+1,$K79-1)),IF(NOT(ISBLANK($N79)),$N79/$K79,$I79/$K79),0),0)</f>
        <v>0</v>
      </c>
      <c r="Z79" s="1195">
        <f>IFERROR(IF(AND(Z$54&gt;=EOMONTH($J79,-1)+1,Z$54&lt;=EOMONTH(EOMONTH($J79,-1)+1,$K79-1)),IF(NOT(ISBLANK($N79)),$N79/$K79,$I79/$K79),0),0)</f>
        <v>0</v>
      </c>
      <c r="AA79" s="1195">
        <f>IFERROR(IF(AND(AA$54&gt;=EOMONTH($J79,-1)+1,AA$54&lt;=EOMONTH(EOMONTH($J79,-1)+1,$K79-1)),IF(NOT(ISBLANK($N79)),$N79/$K79,$I79/$K79),0),0)</f>
        <v>0</v>
      </c>
      <c r="AB79" s="1196">
        <f t="shared" ref="AB79" si="69">SUM(Y79:AA79)</f>
        <v>0</v>
      </c>
      <c r="AC79" s="1195">
        <f>IFERROR(IF(AND(AC$54&gt;=EOMONTH($J79,-1)+1,AC$54&lt;=EOMONTH(EOMONTH($J79,-1)+1,$K79-1)),IF(NOT(ISBLANK($N79)),$N79/$K79,$I79/$K79),0),0)</f>
        <v>0</v>
      </c>
      <c r="AD79" s="1195">
        <f>IFERROR(IF(AND(AD$54&gt;=EOMONTH($J79,-1)+1,AD$54&lt;=EOMONTH(EOMONTH($J79,-1)+1,$K79-1)),IF(NOT(ISBLANK($N79)),$N79/$K79,$I79/$K79),0),0)</f>
        <v>0</v>
      </c>
      <c r="AE79" s="1195">
        <f>IFERROR(IF(AND(AE$54&gt;=EOMONTH($J79,-1)+1,AE$54&lt;=EOMONTH(EOMONTH($J79,-1)+1,$K79-1)),IF(NOT(ISBLANK($N79)),$N79/$K79,$I79/$K79),0),0)</f>
        <v>0</v>
      </c>
      <c r="AF79" s="1196">
        <f t="shared" ref="AF79" si="70">SUM(AC79:AE79)</f>
        <v>0</v>
      </c>
      <c r="AG79" s="1195">
        <f>IFERROR(IF(AND(AG$54&gt;=EOMONTH($J79,-1)+1,AG$54&lt;=EOMONTH(EOMONTH($J79,-1)+1,$K79-1)),IF(NOT(ISBLANK($N79)),$N79/$K79,$I79/$K79),0),0)</f>
        <v>0</v>
      </c>
      <c r="AH79" s="1195">
        <f>IFERROR(IF(AND(AH$54&gt;=EOMONTH($J79,-1)+1,AH$54&lt;=EOMONTH(EOMONTH($J79,-1)+1,$K79-1)),IF(NOT(ISBLANK($N79)),$N79/$K79,$I79/$K79),0),0)</f>
        <v>0</v>
      </c>
      <c r="AI79" s="1195">
        <f>IFERROR(IF(AND(AI$54&gt;=EOMONTH($J79,-1)+1,AI$54&lt;=EOMONTH(EOMONTH($J79,-1)+1,$K79-1)),IF(NOT(ISBLANK($N79)),$N79/$K79,$I79/$K79),0),0)</f>
        <v>0</v>
      </c>
      <c r="AJ79" s="1196">
        <f t="shared" ref="AJ79" si="71">SUM(AG79:AI79)</f>
        <v>0</v>
      </c>
      <c r="AK79" s="1197">
        <f t="shared" si="16"/>
        <v>0</v>
      </c>
      <c r="AL79" s="1198" t="s">
        <v>1011</v>
      </c>
      <c r="AM79" s="1985"/>
      <c r="AN79" s="1987"/>
      <c r="AO79" s="1989">
        <f>N79*AN79</f>
        <v>0</v>
      </c>
      <c r="AP79" s="1199" t="str">
        <f>C79</f>
        <v>13 - Redução de consumo no passo do blank dos itens VW000954Z/955Z</v>
      </c>
      <c r="AQ79" s="1199" t="s">
        <v>311</v>
      </c>
      <c r="AR79" s="1200" t="str" cm="1">
        <f t="array" aca="1" ref="AR79" ca="1">IF(OR(AP79="",AP79=0),"",IF(SUMPRODUCT(($C$55:$C$144=AP79)*(U$54:$AI$54&lt;EOMONTH(TODAY(),-1)+1)*(ISNUMBER(U$55:$AI$144)),U$55:$AI$144)=0,"",SUMPRODUCT(($C$55:$C$144=AP79)*(U$54:$AI$54&lt;EOMONTH(TODAY(),-1)+1)*(ISNUMBER(U$55:$AI$144)),U$55:$AI$144)))</f>
        <v/>
      </c>
      <c r="AS79" s="1199" t="str">
        <f>A79</f>
        <v>BSW</v>
      </c>
      <c r="AT79" s="2111">
        <f>IF(OR(I79="",K79=""),0,(I79/12)*K79)</f>
        <v>0</v>
      </c>
      <c r="AU79" s="2111">
        <f>IF(OR(N79="",K79="",K79=0),0,(N79/K79)*12)</f>
        <v>0</v>
      </c>
    </row>
    <row r="80" spans="1:47" s="1199" customFormat="1" ht="29.1" customHeight="1" x14ac:dyDescent="0.3">
      <c r="A80" s="2095"/>
      <c r="B80" s="2067"/>
      <c r="C80" s="2088"/>
      <c r="D80" s="2065"/>
      <c r="E80" s="2090"/>
      <c r="F80" s="1986"/>
      <c r="G80" s="2036"/>
      <c r="H80" s="2036"/>
      <c r="I80" s="2036"/>
      <c r="J80" s="2036"/>
      <c r="K80" s="2036"/>
      <c r="L80" s="2026"/>
      <c r="M80" s="2032"/>
      <c r="N80" s="1950"/>
      <c r="O80" s="1992"/>
      <c r="P80" s="1950"/>
      <c r="Q80" s="1950"/>
      <c r="R80" s="1992"/>
      <c r="S80" s="1193" t="s">
        <v>117</v>
      </c>
      <c r="T80" s="1194"/>
      <c r="U80" s="1195" t="s">
        <v>959</v>
      </c>
      <c r="V80" s="1195" t="s">
        <v>959</v>
      </c>
      <c r="W80" s="1195">
        <v>0</v>
      </c>
      <c r="X80" s="1196">
        <f t="shared" si="12"/>
        <v>0</v>
      </c>
      <c r="Y80" s="1195" t="s">
        <v>959</v>
      </c>
      <c r="Z80" s="1195" t="s">
        <v>959</v>
      </c>
      <c r="AA80" s="1195" t="s">
        <v>959</v>
      </c>
      <c r="AB80" s="1196">
        <f t="shared" si="13"/>
        <v>0</v>
      </c>
      <c r="AC80" s="1195" t="s">
        <v>959</v>
      </c>
      <c r="AD80" s="1195" t="s">
        <v>959</v>
      </c>
      <c r="AE80" s="1195" t="s">
        <v>959</v>
      </c>
      <c r="AF80" s="1196">
        <f t="shared" si="14"/>
        <v>0</v>
      </c>
      <c r="AG80" s="1195" t="s">
        <v>959</v>
      </c>
      <c r="AH80" s="1195" t="s">
        <v>959</v>
      </c>
      <c r="AI80" s="1195" t="s">
        <v>959</v>
      </c>
      <c r="AJ80" s="1196">
        <f t="shared" si="15"/>
        <v>0</v>
      </c>
      <c r="AK80" s="1201">
        <f t="shared" si="16"/>
        <v>0</v>
      </c>
      <c r="AL80" s="1202" t="s">
        <v>1012</v>
      </c>
      <c r="AM80" s="1986"/>
      <c r="AN80" s="1988"/>
      <c r="AO80" s="1990"/>
      <c r="AP80" s="1199" t="str">
        <f>C79</f>
        <v>13 - Redução de consumo no passo do blank dos itens VW000954Z/955Z</v>
      </c>
      <c r="AQ80" s="1199" t="s">
        <v>313</v>
      </c>
      <c r="AR80" s="1200" t="str" cm="1">
        <f t="array" aca="1" ref="AR80" ca="1">IF(OR(AP80="",AP80=0),"",IF(SUMPRODUCT(($C$55:$C$159=AP80)*($U$54:AI$54&lt;=TODAY())*(ISNUMBER($U$56:AI$160)),$U$56:AI$160)=0,"",SUMPRODUCT(($C$55:$C$159=AP80)*($U$54:AI$54&lt;=TODAY())*(ISNUMBER($U$56:AI$160)),$U$56:AI$160)))</f>
        <v/>
      </c>
      <c r="AS80" s="1199" t="str">
        <f>A79</f>
        <v>BSW</v>
      </c>
      <c r="AT80" s="2112"/>
      <c r="AU80" s="2112"/>
    </row>
    <row r="81" spans="1:47" ht="29.1" customHeight="1" x14ac:dyDescent="0.3">
      <c r="A81" s="1928" t="s">
        <v>91</v>
      </c>
      <c r="B81" s="1928" t="s">
        <v>95</v>
      </c>
      <c r="C81" s="2098" t="s">
        <v>1013</v>
      </c>
      <c r="D81" s="1939" t="s">
        <v>1014</v>
      </c>
      <c r="E81" s="1932" t="s">
        <v>1015</v>
      </c>
      <c r="F81" s="1934" t="s">
        <v>968</v>
      </c>
      <c r="G81" s="1936">
        <v>46054</v>
      </c>
      <c r="H81" s="1936">
        <v>46113</v>
      </c>
      <c r="I81" s="2033">
        <v>24120</v>
      </c>
      <c r="J81" s="1910">
        <v>46204</v>
      </c>
      <c r="K81" s="1912">
        <f t="shared" ref="K81" si="72">IF(J81="", "", 12 - MONTH(J81) + 1)</f>
        <v>6</v>
      </c>
      <c r="L81" s="2004"/>
      <c r="M81" s="2004" t="s">
        <v>308</v>
      </c>
      <c r="N81" s="1998">
        <v>25661.61</v>
      </c>
      <c r="O81" s="1878" t="s">
        <v>81</v>
      </c>
      <c r="P81" s="1906" t="s">
        <v>990</v>
      </c>
      <c r="Q81" s="1908"/>
      <c r="R81" s="1878">
        <v>0.9</v>
      </c>
      <c r="S81" s="1204" t="s">
        <v>116</v>
      </c>
      <c r="T81" s="1205">
        <f>AVERAGE([20]Estrutura!$I$5:$I$16)</f>
        <v>1</v>
      </c>
      <c r="U81" s="1195">
        <f>IFERROR(IF(AND(U$54&gt;=EOMONTH($J81,-1)+1,U$54&lt;=EOMONTH(EOMONTH($J81,-1)+1,$K81-1)),IF(NOT(ISBLANK($N81)),$N81/$K81,$I81/$K81),0),0)</f>
        <v>0</v>
      </c>
      <c r="V81" s="1195">
        <f>IFERROR(IF(AND(V$54&gt;=EOMONTH($J81,-1)+1,V$54&lt;=EOMONTH(EOMONTH($J81,-1)+1,$K81-1)),IF(NOT(ISBLANK($N81)),$N81/$K81,$I81/$K81),0),0)</f>
        <v>0</v>
      </c>
      <c r="W81" s="1195">
        <f>IFERROR(IF(AND(W$54&gt;=EOMONTH($J81,-1)+1,W$54&lt;=EOMONTH(EOMONTH($J81,-1)+1,$K81-1)),IF(NOT(ISBLANK($N81)),$N81/$K81,$I81/$K81),0),0)</f>
        <v>0</v>
      </c>
      <c r="X81" s="1196">
        <f t="shared" ref="X81" si="73">SUM(U81:W81)</f>
        <v>0</v>
      </c>
      <c r="Y81" s="1195">
        <f>IFERROR(IF(AND(Y$54&gt;=EOMONTH($J81,-1)+1,Y$54&lt;=EOMONTH(EOMONTH($J81,-1)+1,$K81-1)),IF(NOT(ISBLANK($N81)),$N81/$K81,$I81/$K81),0),0)</f>
        <v>0</v>
      </c>
      <c r="Z81" s="1195">
        <f>IFERROR(IF(AND(Z$54&gt;=EOMONTH($J81,-1)+1,Z$54&lt;=EOMONTH(EOMONTH($J81,-1)+1,$K81-1)),IF(NOT(ISBLANK($N81)),$N81/$K81,$I81/$K81),0),0)</f>
        <v>0</v>
      </c>
      <c r="AA81" s="1195">
        <f>IFERROR(IF(AND(AA$54&gt;=EOMONTH($J81,-1)+1,AA$54&lt;=EOMONTH(EOMONTH($J81,-1)+1,$K81-1)),IF(NOT(ISBLANK($N81)),$N81/$K81,$I81/$K81),0),0)</f>
        <v>0</v>
      </c>
      <c r="AB81" s="1196">
        <f t="shared" ref="AB81" si="74">SUM(Y81:AA81)</f>
        <v>0</v>
      </c>
      <c r="AC81" s="1195">
        <f>IFERROR(IF(AND(AC$54&gt;=EOMONTH($J81,-1)+1,AC$54&lt;=EOMONTH(EOMONTH($J81,-1)+1,$K81-1)),IF(NOT(ISBLANK($N81)),$N81/$K81,$I81/$K81),0),0)</f>
        <v>4276.9350000000004</v>
      </c>
      <c r="AD81" s="1195">
        <f>IFERROR(IF(AND(AD$54&gt;=EOMONTH($J81,-1)+1,AD$54&lt;=EOMONTH(EOMONTH($J81,-1)+1,$K81-1)),IF(NOT(ISBLANK($N81)),$N81/$K81,$I81/$K81),0),0)</f>
        <v>4276.9350000000004</v>
      </c>
      <c r="AE81" s="1195">
        <f>IFERROR(IF(AND(AE$54&gt;=EOMONTH($J81,-1)+1,AE$54&lt;=EOMONTH(EOMONTH($J81,-1)+1,$K81-1)),IF(NOT(ISBLANK($N81)),$N81/$K81,$I81/$K81),0),0)</f>
        <v>4276.9350000000004</v>
      </c>
      <c r="AF81" s="1196">
        <f t="shared" ref="AF81" si="75">SUM(AC81:AE81)</f>
        <v>12830.805</v>
      </c>
      <c r="AG81" s="1195">
        <f>IFERROR(IF(AND(AG$54&gt;=EOMONTH($J81,-1)+1,AG$54&lt;=EOMONTH(EOMONTH($J81,-1)+1,$K81-1)),IF(NOT(ISBLANK($N81)),$N81/$K81,$I81/$K81),0),0)</f>
        <v>4276.9350000000004</v>
      </c>
      <c r="AH81" s="1195">
        <f>IFERROR(IF(AND(AH$54&gt;=EOMONTH($J81,-1)+1,AH$54&lt;=EOMONTH(EOMONTH($J81,-1)+1,$K81-1)),IF(NOT(ISBLANK($N81)),$N81/$K81,$I81/$K81),0),0)</f>
        <v>4276.9350000000004</v>
      </c>
      <c r="AI81" s="1195">
        <f>IFERROR(IF(AND(AI$54&gt;=EOMONTH($J81,-1)+1,AI$54&lt;=EOMONTH(EOMONTH($J81,-1)+1,$K81-1)),IF(NOT(ISBLANK($N81)),$N81/$K81,$I81/$K81),0),0)</f>
        <v>4276.9350000000004</v>
      </c>
      <c r="AJ81" s="1196">
        <f t="shared" ref="AJ81" si="76">SUM(AG81:AI81)</f>
        <v>12830.805</v>
      </c>
      <c r="AK81" s="1206">
        <f t="shared" si="16"/>
        <v>25661.61</v>
      </c>
      <c r="AL81" s="1131" t="s">
        <v>1016</v>
      </c>
      <c r="AM81" s="1928"/>
      <c r="AN81" s="1878"/>
      <c r="AO81" s="1969">
        <f>N81*AN81</f>
        <v>0</v>
      </c>
      <c r="AP81" s="1041" t="str">
        <f>C81</f>
        <v>14 - Redução de consumo no passo do blank dos itens VW000950AA/951AA</v>
      </c>
      <c r="AQ81" s="1041" t="s">
        <v>311</v>
      </c>
      <c r="AR81" s="1063" cm="1">
        <f t="array" aca="1" ref="AR81" ca="1">IF(OR(AP81="",AP81=0),"",IF(SUMPRODUCT(($C$55:$C$144=AP81)*(U$54:$AI$54&lt;EOMONTH(TODAY(),-1)+1)*(ISNUMBER(U$55:$AI$144)),U$55:$AI$144)=0,"",SUMPRODUCT(($C$55:$C$144=AP81)*(U$54:$AI$54&lt;EOMONTH(TODAY(),-1)+1)*(ISNUMBER(U$55:$AI$144)),U$55:$AI$144)))</f>
        <v>4276.9350000000004</v>
      </c>
      <c r="AS81" s="1041" t="str">
        <f>A81</f>
        <v>BSW</v>
      </c>
      <c r="AT81" s="2111">
        <f>IF(OR(I81="",K81=""),0,(I81/12)*K81)</f>
        <v>12060</v>
      </c>
      <c r="AU81" s="2111">
        <f>IF(OR(N81="",K81="",K81=0),0,(N81/K81)*12)</f>
        <v>51323.22</v>
      </c>
    </row>
    <row r="82" spans="1:47" ht="29.1" customHeight="1" x14ac:dyDescent="0.3">
      <c r="A82" s="1929"/>
      <c r="B82" s="1929"/>
      <c r="C82" s="2099"/>
      <c r="D82" s="1940"/>
      <c r="E82" s="1933"/>
      <c r="F82" s="1935"/>
      <c r="G82" s="1937"/>
      <c r="H82" s="1937"/>
      <c r="I82" s="2034"/>
      <c r="J82" s="1911"/>
      <c r="K82" s="1913"/>
      <c r="L82" s="2005"/>
      <c r="M82" s="2005"/>
      <c r="N82" s="1999"/>
      <c r="O82" s="1879"/>
      <c r="P82" s="1907"/>
      <c r="Q82" s="1909"/>
      <c r="R82" s="1879"/>
      <c r="S82" s="1204" t="s">
        <v>117</v>
      </c>
      <c r="T82" s="1205">
        <f>AVERAGE([20]Estrutura!$J$5:$J$16)</f>
        <v>1</v>
      </c>
      <c r="U82" s="1207" t="s">
        <v>959</v>
      </c>
      <c r="V82" s="1207" t="s">
        <v>959</v>
      </c>
      <c r="W82" s="1207" t="s">
        <v>959</v>
      </c>
      <c r="X82" s="1208">
        <f t="shared" si="12"/>
        <v>0</v>
      </c>
      <c r="Y82" s="1225">
        <v>0</v>
      </c>
      <c r="Z82" s="1226">
        <v>0</v>
      </c>
      <c r="AA82" s="1226">
        <v>0</v>
      </c>
      <c r="AB82" s="1208">
        <f t="shared" si="13"/>
        <v>0</v>
      </c>
      <c r="AC82" s="1207">
        <v>4110.9371626224101</v>
      </c>
      <c r="AD82" s="1207" t="s">
        <v>959</v>
      </c>
      <c r="AE82" s="1207" t="s">
        <v>959</v>
      </c>
      <c r="AF82" s="1208">
        <f t="shared" si="14"/>
        <v>4110.9371626224101</v>
      </c>
      <c r="AG82" s="1207" t="s">
        <v>959</v>
      </c>
      <c r="AH82" s="1207" t="s">
        <v>959</v>
      </c>
      <c r="AI82" s="1207" t="s">
        <v>959</v>
      </c>
      <c r="AJ82" s="1208">
        <f t="shared" si="15"/>
        <v>0</v>
      </c>
      <c r="AK82" s="1209">
        <f t="shared" si="16"/>
        <v>4110.9371626224101</v>
      </c>
      <c r="AL82" s="1131" t="s">
        <v>1016</v>
      </c>
      <c r="AM82" s="1929"/>
      <c r="AN82" s="1879"/>
      <c r="AO82" s="1970"/>
      <c r="AP82" s="1041" t="str">
        <f>C81</f>
        <v>14 - Redução de consumo no passo do blank dos itens VW000950AA/951AA</v>
      </c>
      <c r="AQ82" s="1041" t="s">
        <v>313</v>
      </c>
      <c r="AR82" s="1063" cm="1">
        <f t="array" aca="1" ref="AR82" ca="1">IF(OR(AP82="",AP82=0),"",IF(SUMPRODUCT(($C$55:$C$159=AP82)*($U$54:AI$54&lt;=TODAY())*(ISNUMBER($U$56:AI$160)),$U$56:AI$160)=0,"",SUMPRODUCT(($C$55:$C$159=AP82)*($U$54:AI$54&lt;=TODAY())*(ISNUMBER($U$56:AI$160)),$U$56:AI$160)))</f>
        <v>4110.9371626224101</v>
      </c>
      <c r="AS82" s="1041" t="str">
        <f>A81</f>
        <v>BSW</v>
      </c>
      <c r="AT82" s="2112"/>
      <c r="AU82" s="2112"/>
    </row>
    <row r="83" spans="1:47" ht="29.1" customHeight="1" x14ac:dyDescent="0.3">
      <c r="A83" s="1880" t="s">
        <v>91</v>
      </c>
      <c r="B83" s="1882" t="s">
        <v>95</v>
      </c>
      <c r="C83" s="1884" t="s">
        <v>1017</v>
      </c>
      <c r="D83" s="1886" t="s">
        <v>1018</v>
      </c>
      <c r="E83" s="1888" t="s">
        <v>1019</v>
      </c>
      <c r="F83" s="1890" t="s">
        <v>968</v>
      </c>
      <c r="G83" s="1892">
        <v>46054</v>
      </c>
      <c r="H83" s="1892">
        <v>46235</v>
      </c>
      <c r="I83" s="2033">
        <v>34645</v>
      </c>
      <c r="J83" s="1896">
        <v>46357</v>
      </c>
      <c r="K83" s="1898">
        <f t="shared" ref="K83" si="77">IF(J83="", "", 12 - MONTH(J83) + 1)</f>
        <v>1</v>
      </c>
      <c r="L83" s="1894"/>
      <c r="M83" s="1900" t="s">
        <v>308</v>
      </c>
      <c r="N83" s="2029">
        <f>47248.27/6</f>
        <v>7874.7116666666661</v>
      </c>
      <c r="O83" s="1904" t="s">
        <v>83</v>
      </c>
      <c r="P83" s="1920" t="s">
        <v>26</v>
      </c>
      <c r="Q83" s="1951" t="s">
        <v>980</v>
      </c>
      <c r="R83" s="1904">
        <v>0.5</v>
      </c>
      <c r="S83" s="1210" t="s">
        <v>116</v>
      </c>
      <c r="T83" s="1211">
        <f>AVERAGE([21]Estrutura!$I$5:$I$15)</f>
        <v>0.90909090909090906</v>
      </c>
      <c r="U83" s="1195">
        <f>IFERROR(IF(AND(U$54&gt;=EOMONTH($J83,-1)+1,U$54&lt;=EOMONTH(EOMONTH($J83,-1)+1,$K83-1)),IF(NOT(ISBLANK($N83)),$N83/$K83,$I83/$K83),0),0)</f>
        <v>0</v>
      </c>
      <c r="V83" s="1195">
        <f>IFERROR(IF(AND(V$54&gt;=EOMONTH($J83,-1)+1,V$54&lt;=EOMONTH(EOMONTH($J83,-1)+1,$K83-1)),IF(NOT(ISBLANK($N83)),$N83/$K83,$I83/$K83),0),0)</f>
        <v>0</v>
      </c>
      <c r="W83" s="1195">
        <f>IFERROR(IF(AND(W$54&gt;=EOMONTH($J83,-1)+1,W$54&lt;=EOMONTH(EOMONTH($J83,-1)+1,$K83-1)),IF(NOT(ISBLANK($N83)),$N83/$K83,$I83/$K83),0),0)</f>
        <v>0</v>
      </c>
      <c r="X83" s="1196">
        <f t="shared" ref="X83" si="78">SUM(U83:W83)</f>
        <v>0</v>
      </c>
      <c r="Y83" s="1195">
        <f>IFERROR(IF(AND(Y$54&gt;=EOMONTH($J83,-1)+1,Y$54&lt;=EOMONTH(EOMONTH($J83,-1)+1,$K83-1)),IF(NOT(ISBLANK($N83)),$N83/$K83,$I83/$K83),0),0)</f>
        <v>0</v>
      </c>
      <c r="Z83" s="1195">
        <f>IFERROR(IF(AND(Z$54&gt;=EOMONTH($J83,-1)+1,Z$54&lt;=EOMONTH(EOMONTH($J83,-1)+1,$K83-1)),IF(NOT(ISBLANK($N83)),$N83/$K83,$I83/$K83),0),0)</f>
        <v>0</v>
      </c>
      <c r="AA83" s="1195">
        <f>IFERROR(IF(AND(AA$54&gt;=EOMONTH($J83,-1)+1,AA$54&lt;=EOMONTH(EOMONTH($J83,-1)+1,$K83-1)),IF(NOT(ISBLANK($N83)),$N83/$K83,$I83/$K83),0),0)</f>
        <v>0</v>
      </c>
      <c r="AB83" s="1196">
        <f t="shared" ref="AB83" si="79">SUM(Y83:AA83)</f>
        <v>0</v>
      </c>
      <c r="AC83" s="1195">
        <f>IFERROR(IF(AND(AC$54&gt;=EOMONTH($J83,-1)+1,AC$54&lt;=EOMONTH(EOMONTH($J83,-1)+1,$K83-1)),IF(NOT(ISBLANK($N83)),$N83/$K83,$I83/$K83),0),0)</f>
        <v>0</v>
      </c>
      <c r="AD83" s="1195">
        <f>IFERROR(IF(AND(AD$54&gt;=EOMONTH($J83,-1)+1,AD$54&lt;=EOMONTH(EOMONTH($J83,-1)+1,$K83-1)),IF(NOT(ISBLANK($N83)),$N83/$K83,$I83/$K83),0),0)</f>
        <v>0</v>
      </c>
      <c r="AE83" s="1195">
        <f>IFERROR(IF(AND(AE$54&gt;=EOMONTH($J83,-1)+1,AE$54&lt;=EOMONTH(EOMONTH($J83,-1)+1,$K83-1)),IF(NOT(ISBLANK($N83)),$N83/$K83,$I83/$K83),0),0)</f>
        <v>0</v>
      </c>
      <c r="AF83" s="1196">
        <f t="shared" ref="AF83" si="80">SUM(AC83:AE83)</f>
        <v>0</v>
      </c>
      <c r="AG83" s="1195">
        <f>IFERROR(IF(AND(AG$54&gt;=EOMONTH($J83,-1)+1,AG$54&lt;=EOMONTH(EOMONTH($J83,-1)+1,$K83-1)),IF(NOT(ISBLANK($N83)),$N83/$K83,$I83/$K83),0),0)</f>
        <v>0</v>
      </c>
      <c r="AH83" s="1195">
        <f>IFERROR(IF(AND(AH$54&gt;=EOMONTH($J83,-1)+1,AH$54&lt;=EOMONTH(EOMONTH($J83,-1)+1,$K83-1)),IF(NOT(ISBLANK($N83)),$N83/$K83,$I83/$K83),0),0)</f>
        <v>0</v>
      </c>
      <c r="AI83" s="1195">
        <f>IFERROR(IF(AND(AI$54&gt;=EOMONTH($J83,-1)+1,AI$54&lt;=EOMONTH(EOMONTH($J83,-1)+1,$K83-1)),IF(NOT(ISBLANK($N83)),$N83/$K83,$I83/$K83),0),0)</f>
        <v>7874.7116666666661</v>
      </c>
      <c r="AJ83" s="1196">
        <f t="shared" ref="AJ83" si="81">SUM(AG83:AI83)</f>
        <v>7874.7116666666661</v>
      </c>
      <c r="AK83" s="1212">
        <f t="shared" si="16"/>
        <v>7874.7116666666661</v>
      </c>
      <c r="AL83" s="1213" t="s">
        <v>1020</v>
      </c>
      <c r="AM83" s="1890"/>
      <c r="AN83" s="1971"/>
      <c r="AO83" s="1973">
        <f>N83*AN83</f>
        <v>0</v>
      </c>
      <c r="AP83" s="1041" t="str">
        <f>C83</f>
        <v>15 - Redução de consumo no slitter dos itens VW000950AA/951AA</v>
      </c>
      <c r="AQ83" s="1041" t="s">
        <v>311</v>
      </c>
      <c r="AR83" s="1063" t="str" cm="1">
        <f t="array" aca="1" ref="AR83" ca="1">IF(OR(AP83="",AP83=0),"",IF(SUMPRODUCT(($C$55:$C$144=AP83)*(U$54:$AI$54&lt;EOMONTH(TODAY(),-1)+1)*(ISNUMBER(U$55:$AI$144)),U$55:$AI$144)=0,"",SUMPRODUCT(($C$55:$C$144=AP83)*(U$54:$AI$54&lt;EOMONTH(TODAY(),-1)+1)*(ISNUMBER(U$55:$AI$144)),U$55:$AI$144)))</f>
        <v/>
      </c>
      <c r="AS83" s="1041" t="str">
        <f>A83</f>
        <v>BSW</v>
      </c>
      <c r="AT83" s="2111">
        <f>IF(OR(I83="",K83=""),0,(I83/12)*K83)</f>
        <v>2887.0833333333335</v>
      </c>
      <c r="AU83" s="2111">
        <f>IF(OR(N83="",K83="",K83=0),0,(N83/K83)*12)</f>
        <v>94496.54</v>
      </c>
    </row>
    <row r="84" spans="1:47" ht="29.1" customHeight="1" x14ac:dyDescent="0.3">
      <c r="A84" s="1881"/>
      <c r="B84" s="1883"/>
      <c r="C84" s="1885"/>
      <c r="D84" s="1887"/>
      <c r="E84" s="1889"/>
      <c r="F84" s="1891"/>
      <c r="G84" s="1893"/>
      <c r="H84" s="1893"/>
      <c r="I84" s="2034"/>
      <c r="J84" s="1897"/>
      <c r="K84" s="1899"/>
      <c r="L84" s="1895"/>
      <c r="M84" s="1993"/>
      <c r="N84" s="2030"/>
      <c r="O84" s="1905"/>
      <c r="P84" s="1921"/>
      <c r="Q84" s="1952"/>
      <c r="R84" s="1905"/>
      <c r="S84" s="1210" t="s">
        <v>117</v>
      </c>
      <c r="T84" s="1211">
        <f>AVERAGE([21]Estrutura!$J$5:$J$15)</f>
        <v>0.36363636363636365</v>
      </c>
      <c r="U84" s="1214" t="s">
        <v>959</v>
      </c>
      <c r="V84" s="1214"/>
      <c r="W84" s="1214">
        <v>0</v>
      </c>
      <c r="X84" s="1208">
        <f t="shared" si="12"/>
        <v>0</v>
      </c>
      <c r="Y84" s="1214" t="s">
        <v>959</v>
      </c>
      <c r="Z84" s="1214" t="s">
        <v>959</v>
      </c>
      <c r="AA84" s="1227" t="s">
        <v>959</v>
      </c>
      <c r="AB84" s="1208">
        <f t="shared" si="13"/>
        <v>0</v>
      </c>
      <c r="AC84" s="1214"/>
      <c r="AD84" s="1214" t="s">
        <v>959</v>
      </c>
      <c r="AE84" s="1214" t="s">
        <v>959</v>
      </c>
      <c r="AF84" s="1208">
        <f t="shared" si="14"/>
        <v>0</v>
      </c>
      <c r="AG84" s="1214" t="s">
        <v>959</v>
      </c>
      <c r="AH84" s="1214" t="s">
        <v>959</v>
      </c>
      <c r="AI84" s="1214" t="s">
        <v>959</v>
      </c>
      <c r="AJ84" s="1208">
        <f t="shared" si="15"/>
        <v>0</v>
      </c>
      <c r="AK84" s="1215">
        <f t="shared" si="16"/>
        <v>0</v>
      </c>
      <c r="AL84" s="1216" t="s">
        <v>1020</v>
      </c>
      <c r="AM84" s="1891"/>
      <c r="AN84" s="1972"/>
      <c r="AO84" s="1974"/>
      <c r="AP84" s="1041" t="str">
        <f>C83</f>
        <v>15 - Redução de consumo no slitter dos itens VW000950AA/951AA</v>
      </c>
      <c r="AQ84" s="1041" t="s">
        <v>313</v>
      </c>
      <c r="AR84" s="1063" t="str" cm="1">
        <f t="array" aca="1" ref="AR84" ca="1">IF(OR(AP84="",AP84=0),"",IF(SUMPRODUCT(($C$55:$C$159=AP84)*($U$54:AI$54&lt;=TODAY())*(ISNUMBER($U$56:AI$160)),$U$56:AI$160)=0,"",SUMPRODUCT(($C$55:$C$159=AP84)*($U$54:AI$54&lt;=TODAY())*(ISNUMBER($U$56:AI$160)),$U$56:AI$160)))</f>
        <v/>
      </c>
      <c r="AS84" s="1041" t="str">
        <f>A83</f>
        <v>BSW</v>
      </c>
      <c r="AT84" s="2112"/>
      <c r="AU84" s="2112"/>
    </row>
    <row r="85" spans="1:47" ht="29.1" customHeight="1" x14ac:dyDescent="0.3">
      <c r="A85" s="1880" t="s">
        <v>91</v>
      </c>
      <c r="B85" s="1928" t="s">
        <v>95</v>
      </c>
      <c r="C85" s="1884" t="s">
        <v>1021</v>
      </c>
      <c r="D85" s="1886" t="s">
        <v>1022</v>
      </c>
      <c r="E85" s="1888" t="s">
        <v>1023</v>
      </c>
      <c r="F85" s="1890" t="s">
        <v>968</v>
      </c>
      <c r="G85" s="1892">
        <v>46054</v>
      </c>
      <c r="H85" s="1892">
        <v>46266</v>
      </c>
      <c r="I85" s="1894">
        <v>102967</v>
      </c>
      <c r="J85" s="1896">
        <v>46357</v>
      </c>
      <c r="K85" s="1898">
        <f t="shared" ref="K85" si="82">IF(J85="", "", 12 - MONTH(J85) + 1)</f>
        <v>1</v>
      </c>
      <c r="L85" s="2023"/>
      <c r="M85" s="2031" t="s">
        <v>363</v>
      </c>
      <c r="N85" s="2012">
        <v>0</v>
      </c>
      <c r="O85" s="1904" t="s">
        <v>83</v>
      </c>
      <c r="P85" s="1906" t="s">
        <v>26</v>
      </c>
      <c r="Q85" s="1922" t="s">
        <v>980</v>
      </c>
      <c r="R85" s="1904">
        <v>0.5</v>
      </c>
      <c r="S85" s="1210" t="s">
        <v>116</v>
      </c>
      <c r="T85" s="1211">
        <f>AVERAGE([22]Estrutura!$I$5:$I$16)</f>
        <v>0</v>
      </c>
      <c r="U85" s="1195">
        <f>IFERROR(IF(AND(U$54&gt;=EOMONTH($J85,-1)+1,U$54&lt;=EOMONTH(EOMONTH($J85,-1)+1,$K85-1)),IF(NOT(ISBLANK($N85)),$N85/$K85,$I85/$K85),0),0)</f>
        <v>0</v>
      </c>
      <c r="V85" s="1195">
        <f>IFERROR(IF(AND(V$54&gt;=EOMONTH($J85,-1)+1,V$54&lt;=EOMONTH(EOMONTH($J85,-1)+1,$K85-1)),IF(NOT(ISBLANK($N85)),$N85/$K85,$I85/$K85),0),0)</f>
        <v>0</v>
      </c>
      <c r="W85" s="1195">
        <f>IFERROR(IF(AND(W$54&gt;=EOMONTH($J85,-1)+1,W$54&lt;=EOMONTH(EOMONTH($J85,-1)+1,$K85-1)),IF(NOT(ISBLANK($N85)),$N85/$K85,$I85/$K85),0),0)</f>
        <v>0</v>
      </c>
      <c r="X85" s="1196">
        <f t="shared" ref="X85" si="83">SUM(U85:W85)</f>
        <v>0</v>
      </c>
      <c r="Y85" s="1195">
        <f>IFERROR(IF(AND(Y$54&gt;=EOMONTH($J85,-1)+1,Y$54&lt;=EOMONTH(EOMONTH($J85,-1)+1,$K85-1)),IF(NOT(ISBLANK($N85)),$N85/$K85,$I85/$K85),0),0)</f>
        <v>0</v>
      </c>
      <c r="Z85" s="1195">
        <f>IFERROR(IF(AND(Z$54&gt;=EOMONTH($J85,-1)+1,Z$54&lt;=EOMONTH(EOMONTH($J85,-1)+1,$K85-1)),IF(NOT(ISBLANK($N85)),$N85/$K85,$I85/$K85),0),0)</f>
        <v>0</v>
      </c>
      <c r="AA85" s="1195">
        <f>IFERROR(IF(AND(AA$54&gt;=EOMONTH($J85,-1)+1,AA$54&lt;=EOMONTH(EOMONTH($J85,-1)+1,$K85-1)),IF(NOT(ISBLANK($N85)),$N85/$K85,$I85/$K85),0),0)</f>
        <v>0</v>
      </c>
      <c r="AB85" s="1196">
        <f t="shared" ref="AB85" si="84">SUM(Y85:AA85)</f>
        <v>0</v>
      </c>
      <c r="AC85" s="1195">
        <f>IFERROR(IF(AND(AC$54&gt;=EOMONTH($J85,-1)+1,AC$54&lt;=EOMONTH(EOMONTH($J85,-1)+1,$K85-1)),IF(NOT(ISBLANK($N85)),$N85/$K85,$I85/$K85),0),0)</f>
        <v>0</v>
      </c>
      <c r="AD85" s="1195">
        <f>IFERROR(IF(AND(AD$54&gt;=EOMONTH($J85,-1)+1,AD$54&lt;=EOMONTH(EOMONTH($J85,-1)+1,$K85-1)),IF(NOT(ISBLANK($N85)),$N85/$K85,$I85/$K85),0),0)</f>
        <v>0</v>
      </c>
      <c r="AE85" s="1195">
        <f>IFERROR(IF(AND(AE$54&gt;=EOMONTH($J85,-1)+1,AE$54&lt;=EOMONTH(EOMONTH($J85,-1)+1,$K85-1)),IF(NOT(ISBLANK($N85)),$N85/$K85,$I85/$K85),0),0)</f>
        <v>0</v>
      </c>
      <c r="AF85" s="1196">
        <f t="shared" ref="AF85" si="85">SUM(AC85:AE85)</f>
        <v>0</v>
      </c>
      <c r="AG85" s="1195">
        <f>IFERROR(IF(AND(AG$54&gt;=EOMONTH($J85,-1)+1,AG$54&lt;=EOMONTH(EOMONTH($J85,-1)+1,$K85-1)),IF(NOT(ISBLANK($N85)),$N85/$K85,$I85/$K85),0),0)</f>
        <v>0</v>
      </c>
      <c r="AH85" s="1195">
        <f>IFERROR(IF(AND(AH$54&gt;=EOMONTH($J85,-1)+1,AH$54&lt;=EOMONTH(EOMONTH($J85,-1)+1,$K85-1)),IF(NOT(ISBLANK($N85)),$N85/$K85,$I85/$K85),0),0)</f>
        <v>0</v>
      </c>
      <c r="AI85" s="1195">
        <f>IFERROR(IF(AND(AI$54&gt;=EOMONTH($J85,-1)+1,AI$54&lt;=EOMONTH(EOMONTH($J85,-1)+1,$K85-1)),IF(NOT(ISBLANK($N85)),$N85/$K85,$I85/$K85),0),0)</f>
        <v>0</v>
      </c>
      <c r="AJ85" s="1196">
        <f t="shared" ref="AJ85" si="86">SUM(AG85:AI85)</f>
        <v>0</v>
      </c>
      <c r="AK85" s="1212">
        <f t="shared" si="16"/>
        <v>0</v>
      </c>
      <c r="AL85" s="1213"/>
      <c r="AM85" s="1890"/>
      <c r="AN85" s="1971"/>
      <c r="AO85" s="1973">
        <f>N85*AN85</f>
        <v>0</v>
      </c>
      <c r="AP85" s="1041" t="str">
        <f>C85</f>
        <v>19 - Redução da largura da bobina mãe do Curvão</v>
      </c>
      <c r="AQ85" s="1041" t="s">
        <v>311</v>
      </c>
      <c r="AR85" s="1063" t="str" cm="1">
        <f t="array" aca="1" ref="AR85" ca="1">IF(OR(AP85="",AP85=0),"",IF(SUMPRODUCT(($C$55:$C$144=AP85)*(U$54:$AI$54&lt;EOMONTH(TODAY(),-1)+1)*(ISNUMBER(U$55:$AI$144)),U$55:$AI$144)=0,"",SUMPRODUCT(($C$55:$C$144=AP85)*(U$54:$AI$54&lt;EOMONTH(TODAY(),-1)+1)*(ISNUMBER(U$55:$AI$144)),U$55:$AI$144)))</f>
        <v/>
      </c>
      <c r="AS85" s="1041" t="str">
        <f>A85</f>
        <v>BSW</v>
      </c>
      <c r="AT85" s="2111">
        <f>IF(OR(I85="",K85=""),0,(I85/12)*K85)</f>
        <v>8580.5833333333339</v>
      </c>
      <c r="AU85" s="2111">
        <f>IF(OR(N85="",K85="",K85=0),0,(N85/K85)*12)</f>
        <v>0</v>
      </c>
    </row>
    <row r="86" spans="1:47" ht="29.1" customHeight="1" x14ac:dyDescent="0.3">
      <c r="A86" s="1881"/>
      <c r="B86" s="1929"/>
      <c r="C86" s="1885"/>
      <c r="D86" s="1887"/>
      <c r="E86" s="1889"/>
      <c r="F86" s="1891"/>
      <c r="G86" s="1893"/>
      <c r="H86" s="1893"/>
      <c r="I86" s="1895"/>
      <c r="J86" s="1897"/>
      <c r="K86" s="1899"/>
      <c r="L86" s="2024"/>
      <c r="M86" s="2032"/>
      <c r="N86" s="2013"/>
      <c r="O86" s="1905"/>
      <c r="P86" s="1907"/>
      <c r="Q86" s="1923"/>
      <c r="R86" s="1905"/>
      <c r="S86" s="1210" t="s">
        <v>117</v>
      </c>
      <c r="T86" s="1211">
        <f>AVERAGE([22]Estrutura!$J$5:$J$16)</f>
        <v>0</v>
      </c>
      <c r="U86" s="1214" t="s">
        <v>959</v>
      </c>
      <c r="V86" s="1214" t="s">
        <v>959</v>
      </c>
      <c r="W86" s="1214" t="s">
        <v>959</v>
      </c>
      <c r="X86" s="1208">
        <f t="shared" si="12"/>
        <v>0</v>
      </c>
      <c r="Y86" s="1214" t="s">
        <v>959</v>
      </c>
      <c r="Z86" s="1214" t="s">
        <v>959</v>
      </c>
      <c r="AA86" s="1214" t="s">
        <v>959</v>
      </c>
      <c r="AB86" s="1208">
        <f t="shared" si="13"/>
        <v>0</v>
      </c>
      <c r="AC86" s="1214" t="s">
        <v>959</v>
      </c>
      <c r="AD86" s="1214" t="s">
        <v>959</v>
      </c>
      <c r="AE86" s="1214" t="s">
        <v>959</v>
      </c>
      <c r="AF86" s="1208">
        <f t="shared" si="14"/>
        <v>0</v>
      </c>
      <c r="AG86" s="1214" t="s">
        <v>959</v>
      </c>
      <c r="AH86" s="1214" t="s">
        <v>959</v>
      </c>
      <c r="AI86" s="1214" t="s">
        <v>959</v>
      </c>
      <c r="AJ86" s="1208">
        <f t="shared" si="15"/>
        <v>0</v>
      </c>
      <c r="AK86" s="1215">
        <f t="shared" si="16"/>
        <v>0</v>
      </c>
      <c r="AL86" s="1216"/>
      <c r="AM86" s="1891"/>
      <c r="AN86" s="1972"/>
      <c r="AO86" s="1974"/>
      <c r="AP86" s="1041" t="str">
        <f>C85</f>
        <v>19 - Redução da largura da bobina mãe do Curvão</v>
      </c>
      <c r="AQ86" s="1041" t="s">
        <v>313</v>
      </c>
      <c r="AR86" s="1063" t="str" cm="1">
        <f t="array" aca="1" ref="AR86" ca="1">IF(OR(AP86="",AP86=0),"",IF(SUMPRODUCT(($C$55:$C$159=AP86)*($U$54:AI$54&lt;=TODAY())*(ISNUMBER($U$56:AI$160)),$U$56:AI$160)=0,"",SUMPRODUCT(($C$55:$C$159=AP86)*($U$54:AI$54&lt;=TODAY())*(ISNUMBER($U$56:AI$160)),$U$56:AI$160)))</f>
        <v/>
      </c>
      <c r="AS86" s="1041" t="str">
        <f>A85</f>
        <v>BSW</v>
      </c>
      <c r="AT86" s="2112"/>
      <c r="AU86" s="2112"/>
    </row>
    <row r="87" spans="1:47" s="1221" customFormat="1" ht="29.1" customHeight="1" x14ac:dyDescent="0.3">
      <c r="A87" s="1979" t="s">
        <v>953</v>
      </c>
      <c r="B87" s="2066" t="s">
        <v>99</v>
      </c>
      <c r="C87" s="2084" t="s">
        <v>1024</v>
      </c>
      <c r="D87" s="2101" t="s">
        <v>1025</v>
      </c>
      <c r="E87" s="2058" t="s">
        <v>1026</v>
      </c>
      <c r="F87" s="2085" t="s">
        <v>957</v>
      </c>
      <c r="G87" s="2042">
        <v>46054</v>
      </c>
      <c r="H87" s="2042">
        <v>46113</v>
      </c>
      <c r="I87" s="2027"/>
      <c r="J87" s="1962"/>
      <c r="K87" s="1949"/>
      <c r="L87" s="2017"/>
      <c r="M87" s="2021" t="s">
        <v>363</v>
      </c>
      <c r="N87" s="1949"/>
      <c r="O87" s="1981" t="s">
        <v>81</v>
      </c>
      <c r="P87" s="1949" t="s">
        <v>994</v>
      </c>
      <c r="Q87" s="1949" t="s">
        <v>994</v>
      </c>
      <c r="R87" s="1981">
        <v>1</v>
      </c>
      <c r="S87" s="1217" t="s">
        <v>116</v>
      </c>
      <c r="T87" s="1218">
        <f>AVERAGE([23]Estrutura!$I$8:$I$17)</f>
        <v>0.4</v>
      </c>
      <c r="U87" s="1195">
        <f>IFERROR(IF(AND(U$54&gt;=EOMONTH($J87,-1)+1,U$54&lt;=EOMONTH(EOMONTH($J87,-1)+1,$K87-1)),IF(NOT(ISBLANK($N87)),$N87/$K87,$I87/$K87),0),0)</f>
        <v>0</v>
      </c>
      <c r="V87" s="1195">
        <f>IFERROR(IF(AND(V$54&gt;=EOMONTH($J87,-1)+1,V$54&lt;=EOMONTH(EOMONTH($J87,-1)+1,$K87-1)),IF(NOT(ISBLANK($N87)),$N87/$K87,$I87/$K87),0),0)</f>
        <v>0</v>
      </c>
      <c r="W87" s="1195">
        <f>IFERROR(IF(AND(W$54&gt;=EOMONTH($J87,-1)+1,W$54&lt;=EOMONTH(EOMONTH($J87,-1)+1,$K87-1)),IF(NOT(ISBLANK($N87)),$N87/$K87,$I87/$K87),0),0)</f>
        <v>0</v>
      </c>
      <c r="X87" s="1196">
        <f t="shared" ref="X87" si="87">SUM(U87:W87)</f>
        <v>0</v>
      </c>
      <c r="Y87" s="1195">
        <f>IFERROR(IF(AND(Y$54&gt;=EOMONTH($J87,-1)+1,Y$54&lt;=EOMONTH(EOMONTH($J87,-1)+1,$K87-1)),IF(NOT(ISBLANK($N87)),$N87/$K87,$I87/$K87),0),0)</f>
        <v>0</v>
      </c>
      <c r="Z87" s="1195">
        <f>IFERROR(IF(AND(Z$54&gt;=EOMONTH($J87,-1)+1,Z$54&lt;=EOMONTH(EOMONTH($J87,-1)+1,$K87-1)),IF(NOT(ISBLANK($N87)),$N87/$K87,$I87/$K87),0),0)</f>
        <v>0</v>
      </c>
      <c r="AA87" s="1195">
        <f>IFERROR(IF(AND(AA$54&gt;=EOMONTH($J87,-1)+1,AA$54&lt;=EOMONTH(EOMONTH($J87,-1)+1,$K87-1)),IF(NOT(ISBLANK($N87)),$N87/$K87,$I87/$K87),0),0)</f>
        <v>0</v>
      </c>
      <c r="AB87" s="1196">
        <f t="shared" ref="AB87" si="88">SUM(Y87:AA87)</f>
        <v>0</v>
      </c>
      <c r="AC87" s="1195">
        <f>IFERROR(IF(AND(AC$54&gt;=EOMONTH($J87,-1)+1,AC$54&lt;=EOMONTH(EOMONTH($J87,-1)+1,$K87-1)),IF(NOT(ISBLANK($N87)),$N87/$K87,$I87/$K87),0),0)</f>
        <v>0</v>
      </c>
      <c r="AD87" s="1195">
        <f>IFERROR(IF(AND(AD$54&gt;=EOMONTH($J87,-1)+1,AD$54&lt;=EOMONTH(EOMONTH($J87,-1)+1,$K87-1)),IF(NOT(ISBLANK($N87)),$N87/$K87,$I87/$K87),0),0)</f>
        <v>0</v>
      </c>
      <c r="AE87" s="1195">
        <f>IFERROR(IF(AND(AE$54&gt;=EOMONTH($J87,-1)+1,AE$54&lt;=EOMONTH(EOMONTH($J87,-1)+1,$K87-1)),IF(NOT(ISBLANK($N87)),$N87/$K87,$I87/$K87),0),0)</f>
        <v>0</v>
      </c>
      <c r="AF87" s="1196">
        <f t="shared" ref="AF87" si="89">SUM(AC87:AE87)</f>
        <v>0</v>
      </c>
      <c r="AG87" s="1195">
        <f>IFERROR(IF(AND(AG$54&gt;=EOMONTH($J87,-1)+1,AG$54&lt;=EOMONTH(EOMONTH($J87,-1)+1,$K87-1)),IF(NOT(ISBLANK($N87)),$N87/$K87,$I87/$K87),0),0)</f>
        <v>0</v>
      </c>
      <c r="AH87" s="1195">
        <f>IFERROR(IF(AND(AH$54&gt;=EOMONTH($J87,-1)+1,AH$54&lt;=EOMONTH(EOMONTH($J87,-1)+1,$K87-1)),IF(NOT(ISBLANK($N87)),$N87/$K87,$I87/$K87),0),0)</f>
        <v>0</v>
      </c>
      <c r="AI87" s="1195">
        <f>IFERROR(IF(AND(AI$54&gt;=EOMONTH($J87,-1)+1,AI$54&lt;=EOMONTH(EOMONTH($J87,-1)+1,$K87-1)),IF(NOT(ISBLANK($N87)),$N87/$K87,$I87/$K87),0),0)</f>
        <v>0</v>
      </c>
      <c r="AJ87" s="1196">
        <f t="shared" ref="AJ87" si="90">SUM(AG87:AI87)</f>
        <v>0</v>
      </c>
      <c r="AK87" s="1219">
        <f t="shared" si="16"/>
        <v>0</v>
      </c>
      <c r="AL87" s="1220"/>
      <c r="AM87" s="1979"/>
      <c r="AN87" s="1981"/>
      <c r="AO87" s="1982">
        <f>N87*AN87</f>
        <v>0</v>
      </c>
      <c r="AP87" s="1221" t="str">
        <f>C87</f>
        <v>20 - Troca do modelo disco Flap</v>
      </c>
      <c r="AQ87" s="1221" t="s">
        <v>311</v>
      </c>
      <c r="AR87" s="1200" t="str" cm="1">
        <f t="array" aca="1" ref="AR87" ca="1">IF(OR(AP87="",AP87=0),"",IF(SUMPRODUCT(($C$55:$C$144=AP87)*(U$54:$AI$54&lt;EOMONTH(TODAY(),-1)+1)*(ISNUMBER(U$55:$AI$144)),U$55:$AI$144)=0,"",SUMPRODUCT(($C$55:$C$144=AP87)*(U$54:$AI$54&lt;EOMONTH(TODAY(),-1)+1)*(ISNUMBER(U$55:$AI$144)),U$55:$AI$144)))</f>
        <v/>
      </c>
      <c r="AS87" s="1221" t="str">
        <f>A87</f>
        <v>Redução de custo</v>
      </c>
      <c r="AT87" s="2111">
        <f>IF(OR(I87="",K87=""),0,(I87/12)*K87)</f>
        <v>0</v>
      </c>
      <c r="AU87" s="2111">
        <f>IF(OR(N87="",K87="",K87=0),0,(N87/K87)*12)</f>
        <v>0</v>
      </c>
    </row>
    <row r="88" spans="1:47" s="1221" customFormat="1" ht="29.1" customHeight="1" x14ac:dyDescent="0.3">
      <c r="A88" s="1980"/>
      <c r="B88" s="2067"/>
      <c r="C88" s="2100"/>
      <c r="D88" s="2102"/>
      <c r="E88" s="2059"/>
      <c r="F88" s="2086"/>
      <c r="G88" s="2028"/>
      <c r="H88" s="2028"/>
      <c r="I88" s="2028"/>
      <c r="J88" s="1963"/>
      <c r="K88" s="1950"/>
      <c r="L88" s="2018"/>
      <c r="M88" s="2022"/>
      <c r="N88" s="1950"/>
      <c r="O88" s="1681"/>
      <c r="P88" s="1950"/>
      <c r="Q88" s="1950"/>
      <c r="R88" s="1681"/>
      <c r="S88" s="1217" t="s">
        <v>117</v>
      </c>
      <c r="T88" s="1218">
        <f>AVERAGE([23]Estrutura!$J$5:$J$17)</f>
        <v>0.53846153846153844</v>
      </c>
      <c r="U88" s="1222" t="s">
        <v>959</v>
      </c>
      <c r="V88" s="1222" t="s">
        <v>959</v>
      </c>
      <c r="W88" s="1222" t="s">
        <v>959</v>
      </c>
      <c r="X88" s="1228">
        <f t="shared" si="12"/>
        <v>0</v>
      </c>
      <c r="Y88" s="1222" t="s">
        <v>959</v>
      </c>
      <c r="Z88" s="1222" t="s">
        <v>959</v>
      </c>
      <c r="AA88" s="1222" t="s">
        <v>959</v>
      </c>
      <c r="AB88" s="1223">
        <f t="shared" si="13"/>
        <v>0</v>
      </c>
      <c r="AC88" s="1222" t="s">
        <v>959</v>
      </c>
      <c r="AD88" s="1222" t="s">
        <v>959</v>
      </c>
      <c r="AE88" s="1222" t="s">
        <v>959</v>
      </c>
      <c r="AF88" s="1223">
        <f t="shared" si="14"/>
        <v>0</v>
      </c>
      <c r="AG88" s="1222" t="s">
        <v>959</v>
      </c>
      <c r="AH88" s="1222" t="s">
        <v>959</v>
      </c>
      <c r="AI88" s="1222" t="s">
        <v>959</v>
      </c>
      <c r="AJ88" s="1223">
        <f t="shared" si="15"/>
        <v>0</v>
      </c>
      <c r="AK88" s="1224">
        <f t="shared" si="16"/>
        <v>0</v>
      </c>
      <c r="AL88" s="1220"/>
      <c r="AM88" s="1980"/>
      <c r="AN88" s="1681"/>
      <c r="AO88" s="1983"/>
      <c r="AP88" s="1221" t="str">
        <f>C87</f>
        <v>20 - Troca do modelo disco Flap</v>
      </c>
      <c r="AQ88" s="1221" t="s">
        <v>313</v>
      </c>
      <c r="AR88" s="1200" t="str" cm="1">
        <f t="array" aca="1" ref="AR88" ca="1">IF(OR(AP88="",AP88=0),"",IF(SUMPRODUCT(($C$55:$C$159=AP88)*($U$54:AI$54&lt;=TODAY())*(ISNUMBER($U$56:AI$160)),$U$56:AI$160)=0,"",SUMPRODUCT(($C$55:$C$159=AP88)*($U$54:AI$54&lt;=TODAY())*(ISNUMBER($U$56:AI$160)),$U$56:AI$160)))</f>
        <v/>
      </c>
      <c r="AS88" s="1221" t="str">
        <f>A87</f>
        <v>Redução de custo</v>
      </c>
      <c r="AT88" s="2112"/>
      <c r="AU88" s="2112"/>
    </row>
    <row r="89" spans="1:47" ht="29.1" customHeight="1" x14ac:dyDescent="0.3">
      <c r="A89" s="1880" t="s">
        <v>61</v>
      </c>
      <c r="B89" s="1928" t="s">
        <v>97</v>
      </c>
      <c r="C89" s="1884" t="s">
        <v>1027</v>
      </c>
      <c r="D89" s="1886" t="s">
        <v>1028</v>
      </c>
      <c r="E89" s="1888" t="s">
        <v>1029</v>
      </c>
      <c r="F89" s="1890" t="s">
        <v>957</v>
      </c>
      <c r="G89" s="1892">
        <v>46054</v>
      </c>
      <c r="H89" s="1892">
        <v>46054</v>
      </c>
      <c r="I89" s="1894">
        <v>300000.00008899998</v>
      </c>
      <c r="J89" s="1896">
        <v>46054</v>
      </c>
      <c r="K89" s="1898">
        <f t="shared" ref="K89" si="91">IF(J89="", "", 12 - MONTH(J89) + 1)</f>
        <v>11</v>
      </c>
      <c r="L89" s="2008"/>
      <c r="M89" s="2019"/>
      <c r="N89" s="2000"/>
      <c r="O89" s="1904" t="s">
        <v>81</v>
      </c>
      <c r="P89" s="1906" t="s">
        <v>990</v>
      </c>
      <c r="Q89" s="1908"/>
      <c r="R89" s="1904">
        <v>1</v>
      </c>
      <c r="S89" s="1210" t="s">
        <v>116</v>
      </c>
      <c r="T89" s="1211">
        <v>1</v>
      </c>
      <c r="U89" s="1195">
        <f>IFERROR(IF(AND(U$54&gt;=EOMONTH($J89,-1)+1,U$54&lt;=EOMONTH(EOMONTH($J89,-1)+1,$K89-1)),IF(NOT(ISBLANK($N89)),$N89/$K89,$I89/$K89),0),0)</f>
        <v>0</v>
      </c>
      <c r="V89" s="1195">
        <f>IFERROR(IF(AND(V$54&gt;=EOMONTH($J89,-1)+1,V$54&lt;=EOMONTH(EOMONTH($J89,-1)+1,$K89-1)),IF(NOT(ISBLANK($N89)),$N89/$K89,$I89/$K89),0),0)</f>
        <v>27272.727280818181</v>
      </c>
      <c r="W89" s="1195">
        <f>IFERROR(IF(AND(W$54&gt;=EOMONTH($J89,-1)+1,W$54&lt;=EOMONTH(EOMONTH($J89,-1)+1,$K89-1)),IF(NOT(ISBLANK($N89)),$N89/$K89,$I89/$K89),0),0)</f>
        <v>27272.727280818181</v>
      </c>
      <c r="X89" s="1196">
        <f t="shared" ref="X89" si="92">SUM(U89:W89)</f>
        <v>54545.454561636361</v>
      </c>
      <c r="Y89" s="1195">
        <f>IFERROR(IF(AND(Y$54&gt;=EOMONTH($J89,-1)+1,Y$54&lt;=EOMONTH(EOMONTH($J89,-1)+1,$K89-1)),IF(NOT(ISBLANK($N89)),$N89/$K89,$I89/$K89),0),0)</f>
        <v>27272.727280818181</v>
      </c>
      <c r="Z89" s="1195">
        <f>IFERROR(IF(AND(Z$54&gt;=EOMONTH($J89,-1)+1,Z$54&lt;=EOMONTH(EOMONTH($J89,-1)+1,$K89-1)),IF(NOT(ISBLANK($N89)),$N89/$K89,$I89/$K89),0),0)</f>
        <v>27272.727280818181</v>
      </c>
      <c r="AA89" s="1195">
        <f>IFERROR(IF(AND(AA$54&gt;=EOMONTH($J89,-1)+1,AA$54&lt;=EOMONTH(EOMONTH($J89,-1)+1,$K89-1)),IF(NOT(ISBLANK($N89)),$N89/$K89,$I89/$K89),0),0)</f>
        <v>27272.727280818181</v>
      </c>
      <c r="AB89" s="1196">
        <f t="shared" ref="AB89" si="93">SUM(Y89:AA89)</f>
        <v>81818.181842454534</v>
      </c>
      <c r="AC89" s="1195">
        <f>IFERROR(IF(AND(AC$54&gt;=EOMONTH($J89,-1)+1,AC$54&lt;=EOMONTH(EOMONTH($J89,-1)+1,$K89-1)),IF(NOT(ISBLANK($N89)),$N89/$K89,$I89/$K89),0),0)</f>
        <v>27272.727280818181</v>
      </c>
      <c r="AD89" s="1195">
        <f>IFERROR(IF(AND(AD$54&gt;=EOMONTH($J89,-1)+1,AD$54&lt;=EOMONTH(EOMONTH($J89,-1)+1,$K89-1)),IF(NOT(ISBLANK($N89)),$N89/$K89,$I89/$K89),0),0)</f>
        <v>27272.727280818181</v>
      </c>
      <c r="AE89" s="1195">
        <f>IFERROR(IF(AND(AE$54&gt;=EOMONTH($J89,-1)+1,AE$54&lt;=EOMONTH(EOMONTH($J89,-1)+1,$K89-1)),IF(NOT(ISBLANK($N89)),$N89/$K89,$I89/$K89),0),0)</f>
        <v>27272.727280818181</v>
      </c>
      <c r="AF89" s="1196">
        <f t="shared" ref="AF89" si="94">SUM(AC89:AE89)</f>
        <v>81818.181842454534</v>
      </c>
      <c r="AG89" s="1195">
        <f>IFERROR(IF(AND(AG$54&gt;=EOMONTH($J89,-1)+1,AG$54&lt;=EOMONTH(EOMONTH($J89,-1)+1,$K89-1)),IF(NOT(ISBLANK($N89)),$N89/$K89,$I89/$K89),0),0)</f>
        <v>27272.727280818181</v>
      </c>
      <c r="AH89" s="1195">
        <f>IFERROR(IF(AND(AH$54&gt;=EOMONTH($J89,-1)+1,AH$54&lt;=EOMONTH(EOMONTH($J89,-1)+1,$K89-1)),IF(NOT(ISBLANK($N89)),$N89/$K89,$I89/$K89),0),0)</f>
        <v>27272.727280818181</v>
      </c>
      <c r="AI89" s="1195">
        <f>IFERROR(IF(AND(AI$54&gt;=EOMONTH($J89,-1)+1,AI$54&lt;=EOMONTH(EOMONTH($J89,-1)+1,$K89-1)),IF(NOT(ISBLANK($N89)),$N89/$K89,$I89/$K89),0),0)</f>
        <v>27272.727280818181</v>
      </c>
      <c r="AJ89" s="1196">
        <f t="shared" ref="AJ89" si="95">SUM(AG89:AI89)</f>
        <v>81818.181842454534</v>
      </c>
      <c r="AK89" s="1212">
        <f t="shared" si="16"/>
        <v>300000.00008899998</v>
      </c>
      <c r="AL89" s="1213"/>
      <c r="AM89" s="1890"/>
      <c r="AN89" s="1971"/>
      <c r="AO89" s="1973">
        <f>N89*AN89</f>
        <v>0</v>
      </c>
      <c r="AP89" s="1041" t="str">
        <f>C89</f>
        <v>21 - Redução de MOD CSR61014</v>
      </c>
      <c r="AQ89" s="1041" t="s">
        <v>311</v>
      </c>
      <c r="AR89" s="1063" cm="1">
        <f t="array" aca="1" ref="AR89" ca="1">IF(OR(AP89="",AP89=0),"",IF(SUMPRODUCT(($C$55:$C$144=AP89)*(U$54:$AI$54&lt;EOMONTH(TODAY(),-1)+1)*(ISNUMBER(U$55:$AI$144)),U$55:$AI$144)=0,"",SUMPRODUCT(($C$55:$C$144=AP89)*(U$54:$AI$54&lt;EOMONTH(TODAY(),-1)+1)*(ISNUMBER(U$55:$AI$144)),U$55:$AI$144)))</f>
        <v>163636.3636849091</v>
      </c>
      <c r="AS89" s="1041" t="str">
        <f>A89</f>
        <v>Kaizen - Custo Evitado</v>
      </c>
      <c r="AT89" s="2111">
        <f>IF(OR(I89="",K89=""),0,(I89/12)*K89)</f>
        <v>275000.00008158328</v>
      </c>
      <c r="AU89" s="2111">
        <f>IF(OR(N89="",K89="",K89=0),0,(N89/K89)*12)</f>
        <v>0</v>
      </c>
    </row>
    <row r="90" spans="1:47" ht="29.1" customHeight="1" x14ac:dyDescent="0.3">
      <c r="A90" s="1881"/>
      <c r="B90" s="1929"/>
      <c r="C90" s="1885"/>
      <c r="D90" s="1887"/>
      <c r="E90" s="1889"/>
      <c r="F90" s="1891"/>
      <c r="G90" s="1893"/>
      <c r="H90" s="1893"/>
      <c r="I90" s="1895"/>
      <c r="J90" s="1897"/>
      <c r="K90" s="1899"/>
      <c r="L90" s="1895"/>
      <c r="M90" s="2020"/>
      <c r="N90" s="2001"/>
      <c r="O90" s="1905"/>
      <c r="P90" s="1907"/>
      <c r="Q90" s="1909"/>
      <c r="R90" s="1905"/>
      <c r="S90" s="1210" t="s">
        <v>117</v>
      </c>
      <c r="T90" s="1211">
        <v>1</v>
      </c>
      <c r="U90" s="1229" t="s">
        <v>959</v>
      </c>
      <c r="V90" s="1229" t="s">
        <v>959</v>
      </c>
      <c r="W90" s="1229" t="s">
        <v>959</v>
      </c>
      <c r="X90" s="1230">
        <f t="shared" si="12"/>
        <v>0</v>
      </c>
      <c r="Y90" s="1229" t="s">
        <v>959</v>
      </c>
      <c r="Z90" s="1229" t="s">
        <v>959</v>
      </c>
      <c r="AA90" s="1229" t="s">
        <v>959</v>
      </c>
      <c r="AB90" s="1230">
        <f t="shared" si="13"/>
        <v>0</v>
      </c>
      <c r="AC90" s="1229" t="s">
        <v>959</v>
      </c>
      <c r="AD90" s="1229" t="s">
        <v>959</v>
      </c>
      <c r="AE90" s="1229" t="s">
        <v>959</v>
      </c>
      <c r="AF90" s="1230">
        <f t="shared" si="14"/>
        <v>0</v>
      </c>
      <c r="AG90" s="1229" t="s">
        <v>959</v>
      </c>
      <c r="AH90" s="1229" t="s">
        <v>959</v>
      </c>
      <c r="AI90" s="1229" t="s">
        <v>959</v>
      </c>
      <c r="AJ90" s="1230">
        <f t="shared" si="15"/>
        <v>0</v>
      </c>
      <c r="AK90" s="1231">
        <f t="shared" si="16"/>
        <v>0</v>
      </c>
      <c r="AL90" s="1232" t="s">
        <v>1030</v>
      </c>
      <c r="AM90" s="1891"/>
      <c r="AN90" s="1972"/>
      <c r="AO90" s="1974"/>
      <c r="AP90" s="1041" t="str">
        <f>C89</f>
        <v>21 - Redução de MOD CSR61014</v>
      </c>
      <c r="AQ90" s="1041" t="s">
        <v>313</v>
      </c>
      <c r="AR90" s="1063" t="str" cm="1">
        <f t="array" aca="1" ref="AR90" ca="1">IF(OR(AP90="",AP90=0),"",IF(SUMPRODUCT(($C$55:$C$159=AP90)*($U$54:AI$54&lt;=TODAY())*(ISNUMBER($U$56:AI$160)),$U$56:AI$160)=0,"",SUMPRODUCT(($C$55:$C$159=AP90)*($U$54:AI$54&lt;=TODAY())*(ISNUMBER($U$56:AI$160)),$U$56:AI$160)))</f>
        <v/>
      </c>
      <c r="AS90" s="1041" t="str">
        <f>A89</f>
        <v>Kaizen - Custo Evitado</v>
      </c>
      <c r="AT90" s="2112"/>
      <c r="AU90" s="2112"/>
    </row>
    <row r="91" spans="1:47" ht="29.1" customHeight="1" x14ac:dyDescent="0.3">
      <c r="A91" s="1928" t="s">
        <v>61</v>
      </c>
      <c r="B91" s="1882" t="s">
        <v>97</v>
      </c>
      <c r="C91" s="1930" t="s">
        <v>1031</v>
      </c>
      <c r="D91" s="1939" t="s">
        <v>1032</v>
      </c>
      <c r="E91" s="1932" t="s">
        <v>1033</v>
      </c>
      <c r="F91" s="1934" t="s">
        <v>957</v>
      </c>
      <c r="G91" s="1936">
        <v>46054</v>
      </c>
      <c r="H91" s="1936">
        <v>46054</v>
      </c>
      <c r="I91" s="1938">
        <v>300000</v>
      </c>
      <c r="J91" s="1910">
        <v>46054</v>
      </c>
      <c r="K91" s="1912">
        <f t="shared" ref="K91" si="96">IF(J91="", "", 12 - MONTH(J91) + 1)</f>
        <v>11</v>
      </c>
      <c r="L91" s="2008"/>
      <c r="M91" s="2014"/>
      <c r="N91" s="2000"/>
      <c r="O91" s="1878" t="s">
        <v>81</v>
      </c>
      <c r="P91" s="1920" t="s">
        <v>990</v>
      </c>
      <c r="Q91" s="1922"/>
      <c r="R91" s="1878">
        <v>1</v>
      </c>
      <c r="S91" s="1204" t="s">
        <v>116</v>
      </c>
      <c r="T91" s="1205">
        <v>1</v>
      </c>
      <c r="U91" s="1195">
        <f>IFERROR(IF(AND(U$54&gt;=EOMONTH($J91,-1)+1,U$54&lt;=EOMONTH(EOMONTH($J91,-1)+1,$K91-1)),IF(NOT(ISBLANK($N91)),$N91/$K91,$I91/$K91),0),0)</f>
        <v>0</v>
      </c>
      <c r="V91" s="1195">
        <f>IFERROR(IF(AND(V$54&gt;=EOMONTH($J91,-1)+1,V$54&lt;=EOMONTH(EOMONTH($J91,-1)+1,$K91-1)),IF(NOT(ISBLANK($N91)),$N91/$K91,$I91/$K91),0),0)</f>
        <v>27272.727272727272</v>
      </c>
      <c r="W91" s="1195">
        <f>IFERROR(IF(AND(W$54&gt;=EOMONTH($J91,-1)+1,W$54&lt;=EOMONTH(EOMONTH($J91,-1)+1,$K91-1)),IF(NOT(ISBLANK($N91)),$N91/$K91,$I91/$K91),0),0)</f>
        <v>27272.727272727272</v>
      </c>
      <c r="X91" s="1196">
        <f t="shared" ref="X91" si="97">SUM(U91:W91)</f>
        <v>54545.454545454544</v>
      </c>
      <c r="Y91" s="1195">
        <f>IFERROR(IF(AND(Y$54&gt;=EOMONTH($J91,-1)+1,Y$54&lt;=EOMONTH(EOMONTH($J91,-1)+1,$K91-1)),IF(NOT(ISBLANK($N91)),$N91/$K91,$I91/$K91),0),0)</f>
        <v>27272.727272727272</v>
      </c>
      <c r="Z91" s="1195">
        <f>IFERROR(IF(AND(Z$54&gt;=EOMONTH($J91,-1)+1,Z$54&lt;=EOMONTH(EOMONTH($J91,-1)+1,$K91-1)),IF(NOT(ISBLANK($N91)),$N91/$K91,$I91/$K91),0),0)</f>
        <v>27272.727272727272</v>
      </c>
      <c r="AA91" s="1195">
        <f>IFERROR(IF(AND(AA$54&gt;=EOMONTH($J91,-1)+1,AA$54&lt;=EOMONTH(EOMONTH($J91,-1)+1,$K91-1)),IF(NOT(ISBLANK($N91)),$N91/$K91,$I91/$K91),0),0)</f>
        <v>27272.727272727272</v>
      </c>
      <c r="AB91" s="1196">
        <f t="shared" ref="AB91" si="98">SUM(Y91:AA91)</f>
        <v>81818.181818181823</v>
      </c>
      <c r="AC91" s="1195">
        <f>IFERROR(IF(AND(AC$54&gt;=EOMONTH($J91,-1)+1,AC$54&lt;=EOMONTH(EOMONTH($J91,-1)+1,$K91-1)),IF(NOT(ISBLANK($N91)),$N91/$K91,$I91/$K91),0),0)</f>
        <v>27272.727272727272</v>
      </c>
      <c r="AD91" s="1195">
        <f>IFERROR(IF(AND(AD$54&gt;=EOMONTH($J91,-1)+1,AD$54&lt;=EOMONTH(EOMONTH($J91,-1)+1,$K91-1)),IF(NOT(ISBLANK($N91)),$N91/$K91,$I91/$K91),0),0)</f>
        <v>27272.727272727272</v>
      </c>
      <c r="AE91" s="1195">
        <f>IFERROR(IF(AND(AE$54&gt;=EOMONTH($J91,-1)+1,AE$54&lt;=EOMONTH(EOMONTH($J91,-1)+1,$K91-1)),IF(NOT(ISBLANK($N91)),$N91/$K91,$I91/$K91),0),0)</f>
        <v>27272.727272727272</v>
      </c>
      <c r="AF91" s="1196">
        <f t="shared" ref="AF91" si="99">SUM(AC91:AE91)</f>
        <v>81818.181818181823</v>
      </c>
      <c r="AG91" s="1195">
        <f>IFERROR(IF(AND(AG$54&gt;=EOMONTH($J91,-1)+1,AG$54&lt;=EOMONTH(EOMONTH($J91,-1)+1,$K91-1)),IF(NOT(ISBLANK($N91)),$N91/$K91,$I91/$K91),0),0)</f>
        <v>27272.727272727272</v>
      </c>
      <c r="AH91" s="1195">
        <f>IFERROR(IF(AND(AH$54&gt;=EOMONTH($J91,-1)+1,AH$54&lt;=EOMONTH(EOMONTH($J91,-1)+1,$K91-1)),IF(NOT(ISBLANK($N91)),$N91/$K91,$I91/$K91),0),0)</f>
        <v>27272.727272727272</v>
      </c>
      <c r="AI91" s="1195">
        <f>IFERROR(IF(AND(AI$54&gt;=EOMONTH($J91,-1)+1,AI$54&lt;=EOMONTH(EOMONTH($J91,-1)+1,$K91-1)),IF(NOT(ISBLANK($N91)),$N91/$K91,$I91/$K91),0),0)</f>
        <v>27272.727272727272</v>
      </c>
      <c r="AJ91" s="1196">
        <f t="shared" ref="AJ91" si="100">SUM(AG91:AI91)</f>
        <v>81818.181818181823</v>
      </c>
      <c r="AK91" s="1206">
        <f t="shared" si="16"/>
        <v>300000</v>
      </c>
      <c r="AL91" s="1131"/>
      <c r="AM91" s="1928"/>
      <c r="AN91" s="1878"/>
      <c r="AO91" s="1969">
        <f>N91*AN91</f>
        <v>0</v>
      </c>
      <c r="AP91" s="1041" t="str">
        <f>C91</f>
        <v>22 - Redução de MOD CSR61015</v>
      </c>
      <c r="AQ91" s="1041" t="s">
        <v>311</v>
      </c>
      <c r="AR91" s="1063" cm="1">
        <f t="array" aca="1" ref="AR91" ca="1">IF(OR(AP91="",AP91=0),"",IF(SUMPRODUCT(($C$55:$C$144=AP91)*(U$54:$AI$54&lt;EOMONTH(TODAY(),-1)+1)*(ISNUMBER(U$55:$AI$144)),U$55:$AI$144)=0,"",SUMPRODUCT(($C$55:$C$144=AP91)*(U$54:$AI$54&lt;EOMONTH(TODAY(),-1)+1)*(ISNUMBER(U$55:$AI$144)),U$55:$AI$144)))</f>
        <v>163636.36363636362</v>
      </c>
      <c r="AS91" s="1041" t="str">
        <f>A91</f>
        <v>Kaizen - Custo Evitado</v>
      </c>
      <c r="AT91" s="2111">
        <f>IF(OR(I91="",K91=""),0,(I91/12)*K91)</f>
        <v>275000</v>
      </c>
      <c r="AU91" s="2111">
        <f>IF(OR(N91="",K91="",K91=0),0,(N91/K91)*12)</f>
        <v>0</v>
      </c>
    </row>
    <row r="92" spans="1:47" ht="29.1" customHeight="1" x14ac:dyDescent="0.3">
      <c r="A92" s="1929"/>
      <c r="B92" s="1883"/>
      <c r="C92" s="1931"/>
      <c r="D92" s="1940"/>
      <c r="E92" s="1933"/>
      <c r="F92" s="1935"/>
      <c r="G92" s="1937"/>
      <c r="H92" s="1937"/>
      <c r="I92" s="1937"/>
      <c r="J92" s="1911"/>
      <c r="K92" s="1913"/>
      <c r="L92" s="1895"/>
      <c r="M92" s="2015"/>
      <c r="N92" s="2016"/>
      <c r="O92" s="1879"/>
      <c r="P92" s="1921"/>
      <c r="Q92" s="1923"/>
      <c r="R92" s="1879"/>
      <c r="S92" s="1204" t="s">
        <v>117</v>
      </c>
      <c r="T92" s="1205">
        <v>1</v>
      </c>
      <c r="U92" s="1229" t="s">
        <v>959</v>
      </c>
      <c r="V92" s="1229" t="s">
        <v>959</v>
      </c>
      <c r="W92" s="1229" t="s">
        <v>959</v>
      </c>
      <c r="X92" s="1230">
        <f t="shared" si="12"/>
        <v>0</v>
      </c>
      <c r="Y92" s="1229" t="s">
        <v>959</v>
      </c>
      <c r="Z92" s="1229" t="s">
        <v>959</v>
      </c>
      <c r="AA92" s="1229" t="s">
        <v>959</v>
      </c>
      <c r="AB92" s="1230">
        <f t="shared" si="13"/>
        <v>0</v>
      </c>
      <c r="AC92" s="1229" t="s">
        <v>959</v>
      </c>
      <c r="AD92" s="1229" t="s">
        <v>959</v>
      </c>
      <c r="AE92" s="1229" t="s">
        <v>959</v>
      </c>
      <c r="AF92" s="1230">
        <f t="shared" si="14"/>
        <v>0</v>
      </c>
      <c r="AG92" s="1229" t="s">
        <v>959</v>
      </c>
      <c r="AH92" s="1229" t="s">
        <v>959</v>
      </c>
      <c r="AI92" s="1229" t="s">
        <v>959</v>
      </c>
      <c r="AJ92" s="1230">
        <f t="shared" si="15"/>
        <v>0</v>
      </c>
      <c r="AK92" s="1231">
        <f t="shared" si="16"/>
        <v>0</v>
      </c>
      <c r="AL92" s="1233" t="s">
        <v>1030</v>
      </c>
      <c r="AM92" s="1929"/>
      <c r="AN92" s="1879"/>
      <c r="AO92" s="1970"/>
      <c r="AP92" s="1041" t="str">
        <f>C91</f>
        <v>22 - Redução de MOD CSR61015</v>
      </c>
      <c r="AQ92" s="1041" t="s">
        <v>313</v>
      </c>
      <c r="AR92" s="1063" t="str" cm="1">
        <f t="array" aca="1" ref="AR92" ca="1">IF(OR(AP92="",AP92=0),"",IF(SUMPRODUCT(($C$55:$C$159=AP92)*($U$54:AI$54&lt;=TODAY())*(ISNUMBER($U$56:AI$160)),$U$56:AI$160)=0,"",SUMPRODUCT(($C$55:$C$159=AP92)*($U$54:AI$54&lt;=TODAY())*(ISNUMBER($U$56:AI$160)),$U$56:AI$160)))</f>
        <v/>
      </c>
      <c r="AS92" s="1041" t="str">
        <f>A91</f>
        <v>Kaizen - Custo Evitado</v>
      </c>
      <c r="AT92" s="2112"/>
      <c r="AU92" s="2112"/>
    </row>
    <row r="93" spans="1:47" ht="29.1" customHeight="1" x14ac:dyDescent="0.3">
      <c r="A93" s="1880" t="s">
        <v>953</v>
      </c>
      <c r="B93" s="1928" t="s">
        <v>97</v>
      </c>
      <c r="C93" s="2103" t="s">
        <v>1034</v>
      </c>
      <c r="D93" s="1886" t="s">
        <v>1035</v>
      </c>
      <c r="E93" s="1888" t="s">
        <v>1036</v>
      </c>
      <c r="F93" s="1890" t="s">
        <v>968</v>
      </c>
      <c r="G93" s="1892">
        <v>46054</v>
      </c>
      <c r="H93" s="1892">
        <v>46082</v>
      </c>
      <c r="I93" s="1894">
        <v>19309</v>
      </c>
      <c r="J93" s="1896">
        <v>46113</v>
      </c>
      <c r="K93" s="1898">
        <f t="shared" ref="K93" si="101">IF(J93="", "", 12 - MONTH(J93) + 1)</f>
        <v>9</v>
      </c>
      <c r="L93" s="1894"/>
      <c r="M93" s="1900" t="s">
        <v>308</v>
      </c>
      <c r="N93" s="1902">
        <v>15889.550999999999</v>
      </c>
      <c r="O93" s="1904" t="s">
        <v>81</v>
      </c>
      <c r="P93" s="1906" t="s">
        <v>990</v>
      </c>
      <c r="Q93" s="1908"/>
      <c r="R93" s="1904"/>
      <c r="S93" s="1210" t="s">
        <v>116</v>
      </c>
      <c r="T93" s="1211">
        <f>AVERAGE([24]Estrutura!$I$18:$I$22)</f>
        <v>1</v>
      </c>
      <c r="U93" s="1195">
        <f>IFERROR(IF(AND(U$54&gt;=EOMONTH($J93,-1)+1,U$54&lt;=EOMONTH(EOMONTH($J93,-1)+1,$K93-1)),IF(NOT(ISBLANK($N93)),$N93/$K93,$I93/$K93),0),0)</f>
        <v>0</v>
      </c>
      <c r="V93" s="1195">
        <f>IFERROR(IF(AND(V$54&gt;=EOMONTH($J93,-1)+1,V$54&lt;=EOMONTH(EOMONTH($J93,-1)+1,$K93-1)),IF(NOT(ISBLANK($N93)),$N93/$K93,$I93/$K93),0),0)</f>
        <v>0</v>
      </c>
      <c r="W93" s="1195">
        <f>IFERROR(IF(AND(W$54&gt;=EOMONTH($J93,-1)+1,W$54&lt;=EOMONTH(EOMONTH($J93,-1)+1,$K93-1)),IF(NOT(ISBLANK($N93)),$N93/$K93,$I93/$K93),0),0)</f>
        <v>0</v>
      </c>
      <c r="X93" s="1196">
        <f t="shared" ref="X93" si="102">SUM(U93:W93)</f>
        <v>0</v>
      </c>
      <c r="Y93" s="1195">
        <f>IFERROR(IF(AND(Y$54&gt;=EOMONTH($J93,-1)+1,Y$54&lt;=EOMONTH(EOMONTH($J93,-1)+1,$K93-1)),IF(NOT(ISBLANK($N93)),$N93/$K93,$I93/$K93),0),0)</f>
        <v>1765.5056666666667</v>
      </c>
      <c r="Z93" s="1195">
        <f>IFERROR(IF(AND(Z$54&gt;=EOMONTH($J93,-1)+1,Z$54&lt;=EOMONTH(EOMONTH($J93,-1)+1,$K93-1)),IF(NOT(ISBLANK($N93)),$N93/$K93,$I93/$K93),0),0)</f>
        <v>1765.5056666666667</v>
      </c>
      <c r="AA93" s="1195">
        <f>IFERROR(IF(AND(AA$54&gt;=EOMONTH($J93,-1)+1,AA$54&lt;=EOMONTH(EOMONTH($J93,-1)+1,$K93-1)),IF(NOT(ISBLANK($N93)),$N93/$K93,$I93/$K93),0),0)</f>
        <v>1765.5056666666667</v>
      </c>
      <c r="AB93" s="1196">
        <f t="shared" ref="AB93" si="103">SUM(Y93:AA93)</f>
        <v>5296.5169999999998</v>
      </c>
      <c r="AC93" s="1195">
        <f>IFERROR(IF(AND(AC$54&gt;=EOMONTH($J93,-1)+1,AC$54&lt;=EOMONTH(EOMONTH($J93,-1)+1,$K93-1)),IF(NOT(ISBLANK($N93)),$N93/$K93,$I93/$K93),0),0)</f>
        <v>1765.5056666666667</v>
      </c>
      <c r="AD93" s="1195">
        <f>IFERROR(IF(AND(AD$54&gt;=EOMONTH($J93,-1)+1,AD$54&lt;=EOMONTH(EOMONTH($J93,-1)+1,$K93-1)),IF(NOT(ISBLANK($N93)),$N93/$K93,$I93/$K93),0),0)</f>
        <v>1765.5056666666667</v>
      </c>
      <c r="AE93" s="1195">
        <f>IFERROR(IF(AND(AE$54&gt;=EOMONTH($J93,-1)+1,AE$54&lt;=EOMONTH(EOMONTH($J93,-1)+1,$K93-1)),IF(NOT(ISBLANK($N93)),$N93/$K93,$I93/$K93),0),0)</f>
        <v>1765.5056666666667</v>
      </c>
      <c r="AF93" s="1196">
        <f t="shared" ref="AF93" si="104">SUM(AC93:AE93)</f>
        <v>5296.5169999999998</v>
      </c>
      <c r="AG93" s="1195">
        <f>IFERROR(IF(AND(AG$54&gt;=EOMONTH($J93,-1)+1,AG$54&lt;=EOMONTH(EOMONTH($J93,-1)+1,$K93-1)),IF(NOT(ISBLANK($N93)),$N93/$K93,$I93/$K93),0),0)</f>
        <v>1765.5056666666667</v>
      </c>
      <c r="AH93" s="1195">
        <f>IFERROR(IF(AND(AH$54&gt;=EOMONTH($J93,-1)+1,AH$54&lt;=EOMONTH(EOMONTH($J93,-1)+1,$K93-1)),IF(NOT(ISBLANK($N93)),$N93/$K93,$I93/$K93),0),0)</f>
        <v>1765.5056666666667</v>
      </c>
      <c r="AI93" s="1195">
        <f>IFERROR(IF(AND(AI$54&gt;=EOMONTH($J93,-1)+1,AI$54&lt;=EOMONTH(EOMONTH($J93,-1)+1,$K93-1)),IF(NOT(ISBLANK($N93)),$N93/$K93,$I93/$K93),0),0)</f>
        <v>1765.5056666666667</v>
      </c>
      <c r="AJ93" s="1196">
        <f t="shared" ref="AJ93" si="105">SUM(AG93:AI93)</f>
        <v>5296.5169999999998</v>
      </c>
      <c r="AK93" s="1212">
        <f t="shared" si="16"/>
        <v>15889.550999999999</v>
      </c>
      <c r="AL93" s="1213"/>
      <c r="AM93" s="1890"/>
      <c r="AN93" s="1971"/>
      <c r="AO93" s="1973">
        <f>N93*AN93</f>
        <v>0</v>
      </c>
      <c r="AP93" s="1041" t="str">
        <f>C93</f>
        <v>23 - Redução do consumo de MTP VW000938AB (- 3 mm no passo)</v>
      </c>
      <c r="AQ93" s="1041" t="s">
        <v>311</v>
      </c>
      <c r="AR93" s="1063" cm="1">
        <f t="array" aca="1" ref="AR93" ca="1">IF(OR(AP93="",AP93=0),"",IF(SUMPRODUCT(($C$55:$C$144=AP93)*(U$54:$AI$54&lt;EOMONTH(TODAY(),-1)+1)*(ISNUMBER(U$55:$AI$144)),U$55:$AI$144)=0,"",SUMPRODUCT(($C$55:$C$144=AP93)*(U$54:$AI$54&lt;EOMONTH(TODAY(),-1)+1)*(ISNUMBER(U$55:$AI$144)),U$55:$AI$144)))</f>
        <v>7062.0226666666667</v>
      </c>
      <c r="AS93" s="1041" t="str">
        <f>A93</f>
        <v>Redução de custo</v>
      </c>
      <c r="AT93" s="2111">
        <f>IF(OR(I93="",K93=""),0,(I93/12)*K93)</f>
        <v>14481.75</v>
      </c>
      <c r="AU93" s="2111">
        <f>IF(OR(N93="",K93="",K93=0),0,(N93/K93)*12)</f>
        <v>21186.067999999999</v>
      </c>
    </row>
    <row r="94" spans="1:47" ht="29.1" customHeight="1" x14ac:dyDescent="0.3">
      <c r="A94" s="1881"/>
      <c r="B94" s="1929"/>
      <c r="C94" s="2104"/>
      <c r="D94" s="1887"/>
      <c r="E94" s="1889"/>
      <c r="F94" s="1891"/>
      <c r="G94" s="1893"/>
      <c r="H94" s="1893"/>
      <c r="I94" s="1895"/>
      <c r="J94" s="1897"/>
      <c r="K94" s="1899"/>
      <c r="L94" s="1895"/>
      <c r="M94" s="1993"/>
      <c r="N94" s="1966"/>
      <c r="O94" s="1905"/>
      <c r="P94" s="1907"/>
      <c r="Q94" s="1909"/>
      <c r="R94" s="1905"/>
      <c r="S94" s="1210" t="s">
        <v>117</v>
      </c>
      <c r="T94" s="1211">
        <f>AVERAGE([24]Estrutura!$J$18:$J$22)</f>
        <v>1</v>
      </c>
      <c r="U94" s="1214" t="s">
        <v>959</v>
      </c>
      <c r="V94" s="1214" t="s">
        <v>959</v>
      </c>
      <c r="W94" s="1214">
        <v>0</v>
      </c>
      <c r="X94" s="1208">
        <f t="shared" si="12"/>
        <v>0</v>
      </c>
      <c r="Y94" s="1214">
        <v>1184.4375065712063</v>
      </c>
      <c r="Z94" s="1214">
        <v>1908.7338235392103</v>
      </c>
      <c r="AA94" s="1214">
        <v>1376.1630022392073</v>
      </c>
      <c r="AB94" s="1208">
        <f t="shared" si="13"/>
        <v>4469.3343323496238</v>
      </c>
      <c r="AC94" s="1214">
        <v>1785.1773929976096</v>
      </c>
      <c r="AD94" s="1214" t="s">
        <v>959</v>
      </c>
      <c r="AE94" s="1214" t="s">
        <v>959</v>
      </c>
      <c r="AF94" s="1208">
        <f t="shared" si="14"/>
        <v>1785.1773929976096</v>
      </c>
      <c r="AG94" s="1214" t="s">
        <v>959</v>
      </c>
      <c r="AH94" s="1214" t="s">
        <v>959</v>
      </c>
      <c r="AI94" s="1214" t="s">
        <v>959</v>
      </c>
      <c r="AJ94" s="1208">
        <f t="shared" si="15"/>
        <v>0</v>
      </c>
      <c r="AK94" s="1215">
        <f t="shared" si="16"/>
        <v>6254.5117253472336</v>
      </c>
      <c r="AL94" s="1216" t="s">
        <v>1037</v>
      </c>
      <c r="AM94" s="1891"/>
      <c r="AN94" s="1972"/>
      <c r="AO94" s="1974"/>
      <c r="AP94" s="1041" t="str">
        <f>C93</f>
        <v>23 - Redução do consumo de MTP VW000938AB (- 3 mm no passo)</v>
      </c>
      <c r="AQ94" s="1041" t="s">
        <v>313</v>
      </c>
      <c r="AR94" s="1063" cm="1">
        <f t="array" aca="1" ref="AR94" ca="1">IF(OR(AP94="",AP94=0),"",IF(SUMPRODUCT(($C$55:$C$159=AP94)*($U$54:AI$54&lt;=TODAY())*(ISNUMBER($U$56:AI$160)),$U$56:AI$160)=0,"",SUMPRODUCT(($C$55:$C$159=AP94)*($U$54:AI$54&lt;=TODAY())*(ISNUMBER($U$56:AI$160)),$U$56:AI$160)))</f>
        <v>6254.5117253472336</v>
      </c>
      <c r="AS94" s="1041" t="str">
        <f>A93</f>
        <v>Redução de custo</v>
      </c>
      <c r="AT94" s="2112"/>
      <c r="AU94" s="2112"/>
    </row>
    <row r="95" spans="1:47" ht="28.35" customHeight="1" x14ac:dyDescent="0.3">
      <c r="A95" s="1928" t="s">
        <v>91</v>
      </c>
      <c r="B95" s="1882" t="s">
        <v>97</v>
      </c>
      <c r="C95" s="1930" t="s">
        <v>1038</v>
      </c>
      <c r="D95" s="1939" t="s">
        <v>1039</v>
      </c>
      <c r="E95" s="1932" t="s">
        <v>1040</v>
      </c>
      <c r="F95" s="1934" t="s">
        <v>968</v>
      </c>
      <c r="G95" s="1936">
        <v>46054</v>
      </c>
      <c r="H95" s="1936">
        <v>46235</v>
      </c>
      <c r="I95" s="1938">
        <v>90850</v>
      </c>
      <c r="J95" s="1936">
        <v>46235</v>
      </c>
      <c r="K95" s="1912">
        <f t="shared" ref="K95" si="106">IF(J95="", "", 12 - MONTH(J95) + 1)</f>
        <v>5</v>
      </c>
      <c r="L95" s="1914"/>
      <c r="M95" s="2004" t="s">
        <v>308</v>
      </c>
      <c r="N95" s="1998">
        <v>165883.51999999999</v>
      </c>
      <c r="O95" s="1878" t="s">
        <v>83</v>
      </c>
      <c r="P95" s="1920" t="s">
        <v>26</v>
      </c>
      <c r="Q95" s="1922" t="s">
        <v>980</v>
      </c>
      <c r="R95" s="1878"/>
      <c r="S95" s="1204" t="s">
        <v>116</v>
      </c>
      <c r="T95" s="1234" t="e">
        <f>AVERAGE(#REF!)</f>
        <v>#REF!</v>
      </c>
      <c r="U95" s="1195">
        <f>IFERROR(IF(AND(U$54&gt;=EOMONTH($J95,-1)+1,U$54&lt;=EOMONTH(EOMONTH($J95,-1)+1,$K95-1)),IF(NOT(ISBLANK($N95)),$N95/$K95,$I95/$K95),0),0)</f>
        <v>0</v>
      </c>
      <c r="V95" s="1195">
        <f>IFERROR(IF(AND(V$54&gt;=EOMONTH($J95,-1)+1,V$54&lt;=EOMONTH(EOMONTH($J95,-1)+1,$K95-1)),IF(NOT(ISBLANK($N95)),$N95/$K95,$I95/$K95),0),0)</f>
        <v>0</v>
      </c>
      <c r="W95" s="1195">
        <f>IFERROR(IF(AND(W$54&gt;=EOMONTH($J95,-1)+1,W$54&lt;=EOMONTH(EOMONTH($J95,-1)+1,$K95-1)),IF(NOT(ISBLANK($N95)),$N95/$K95,$I95/$K95),0),0)</f>
        <v>0</v>
      </c>
      <c r="X95" s="1196">
        <f t="shared" ref="X95" si="107">SUM(U95:W95)</f>
        <v>0</v>
      </c>
      <c r="Y95" s="1195">
        <f>IFERROR(IF(AND(Y$54&gt;=EOMONTH($J95,-1)+1,Y$54&lt;=EOMONTH(EOMONTH($J95,-1)+1,$K95-1)),IF(NOT(ISBLANK($N95)),$N95/$K95,$I95/$K95),0),0)</f>
        <v>0</v>
      </c>
      <c r="Z95" s="1195">
        <f>IFERROR(IF(AND(Z$54&gt;=EOMONTH($J95,-1)+1,Z$54&lt;=EOMONTH(EOMONTH($J95,-1)+1,$K95-1)),IF(NOT(ISBLANK($N95)),$N95/$K95,$I95/$K95),0),0)</f>
        <v>0</v>
      </c>
      <c r="AA95" s="1195">
        <f>IFERROR(IF(AND(AA$54&gt;=EOMONTH($J95,-1)+1,AA$54&lt;=EOMONTH(EOMONTH($J95,-1)+1,$K95-1)),IF(NOT(ISBLANK($N95)),$N95/$K95,$I95/$K95),0),0)</f>
        <v>0</v>
      </c>
      <c r="AB95" s="1196">
        <f t="shared" ref="AB95" si="108">SUM(Y95:AA95)</f>
        <v>0</v>
      </c>
      <c r="AC95" s="1195">
        <f>IFERROR(IF(AND(AC$54&gt;=EOMONTH($J95,-1)+1,AC$54&lt;=EOMONTH(EOMONTH($J95,-1)+1,$K95-1)),IF(NOT(ISBLANK($N95)),$N95/$K95,$I95/$K95),0),0)</f>
        <v>0</v>
      </c>
      <c r="AD95" s="1195">
        <f>IFERROR(IF(AND(AD$54&gt;=EOMONTH($J95,-1)+1,AD$54&lt;=EOMONTH(EOMONTH($J95,-1)+1,$K95-1)),IF(NOT(ISBLANK($N95)),$N95/$K95,$I95/$K95),0),0)</f>
        <v>33176.703999999998</v>
      </c>
      <c r="AE95" s="1195">
        <f>IFERROR(IF(AND(AE$54&gt;=EOMONTH($J95,-1)+1,AE$54&lt;=EOMONTH(EOMONTH($J95,-1)+1,$K95-1)),IF(NOT(ISBLANK($N95)),$N95/$K95,$I95/$K95),0),0)</f>
        <v>33176.703999999998</v>
      </c>
      <c r="AF95" s="1196">
        <f t="shared" ref="AF95" si="109">SUM(AC95:AE95)</f>
        <v>66353.407999999996</v>
      </c>
      <c r="AG95" s="1195">
        <f>IFERROR(IF(AND(AG$54&gt;=EOMONTH($J95,-1)+1,AG$54&lt;=EOMONTH(EOMONTH($J95,-1)+1,$K95-1)),IF(NOT(ISBLANK($N95)),$N95/$K95,$I95/$K95),0),0)</f>
        <v>33176.703999999998</v>
      </c>
      <c r="AH95" s="1195">
        <f>IFERROR(IF(AND(AH$54&gt;=EOMONTH($J95,-1)+1,AH$54&lt;=EOMONTH(EOMONTH($J95,-1)+1,$K95-1)),IF(NOT(ISBLANK($N95)),$N95/$K95,$I95/$K95),0),0)</f>
        <v>33176.703999999998</v>
      </c>
      <c r="AI95" s="1195">
        <f>IFERROR(IF(AND(AI$54&gt;=EOMONTH($J95,-1)+1,AI$54&lt;=EOMONTH(EOMONTH($J95,-1)+1,$K95-1)),IF(NOT(ISBLANK($N95)),$N95/$K95,$I95/$K95),0),0)</f>
        <v>33176.703999999998</v>
      </c>
      <c r="AJ95" s="1196">
        <f t="shared" ref="AJ95" si="110">SUM(AG95:AI95)</f>
        <v>99530.111999999994</v>
      </c>
      <c r="AK95" s="1206">
        <f t="shared" si="16"/>
        <v>165883.51999999999</v>
      </c>
      <c r="AL95" s="1131" t="s">
        <v>1041</v>
      </c>
      <c r="AM95" s="1928"/>
      <c r="AN95" s="1878"/>
      <c r="AO95" s="1969">
        <f>N95*AN95</f>
        <v>0</v>
      </c>
      <c r="AP95" s="1041" t="str">
        <f>C95</f>
        <v>24 - Redução de consumo de MTP China 1 porca (-10 mm)</v>
      </c>
      <c r="AQ95" s="1041" t="s">
        <v>311</v>
      </c>
      <c r="AR95" s="1063" t="str" cm="1">
        <f t="array" aca="1" ref="AR95" ca="1">IF(OR(AP95="",AP95=0),"",IF(SUMPRODUCT(($C$55:$C$144=AP95)*(U$54:$AI$54&lt;EOMONTH(TODAY(),-1)+1)*(ISNUMBER(U$55:$AI$144)),U$55:$AI$144)=0,"",SUMPRODUCT(($C$55:$C$144=AP95)*(U$54:$AI$54&lt;EOMONTH(TODAY(),-1)+1)*(ISNUMBER(U$55:$AI$144)),U$55:$AI$144)))</f>
        <v/>
      </c>
      <c r="AS95" s="1041" t="str">
        <f>A95</f>
        <v>BSW</v>
      </c>
      <c r="AT95" s="2111">
        <f>IF(OR(I95="",K95=""),0,(I95/12)*K95)</f>
        <v>37854.166666666664</v>
      </c>
      <c r="AU95" s="2111">
        <f>IF(OR(N95="",K95="",K95=0),0,(N95/K95)*12)</f>
        <v>398120.44799999997</v>
      </c>
    </row>
    <row r="96" spans="1:47" ht="29.1" customHeight="1" x14ac:dyDescent="0.3">
      <c r="A96" s="1929"/>
      <c r="B96" s="1883"/>
      <c r="C96" s="1931"/>
      <c r="D96" s="1940"/>
      <c r="E96" s="1933"/>
      <c r="F96" s="1935"/>
      <c r="G96" s="1937"/>
      <c r="H96" s="1937"/>
      <c r="I96" s="1937"/>
      <c r="J96" s="1937"/>
      <c r="K96" s="1913"/>
      <c r="L96" s="1915"/>
      <c r="M96" s="2005"/>
      <c r="N96" s="1999"/>
      <c r="O96" s="1879"/>
      <c r="P96" s="1921"/>
      <c r="Q96" s="1923"/>
      <c r="R96" s="1879"/>
      <c r="S96" s="1204" t="s">
        <v>117</v>
      </c>
      <c r="T96" s="1234" t="e">
        <f>AVERAGE(#REF!)</f>
        <v>#REF!</v>
      </c>
      <c r="U96" s="1207" t="s">
        <v>959</v>
      </c>
      <c r="V96" s="1207" t="s">
        <v>959</v>
      </c>
      <c r="W96" s="1207" t="s">
        <v>959</v>
      </c>
      <c r="X96" s="1208">
        <f t="shared" si="12"/>
        <v>0</v>
      </c>
      <c r="Y96" s="1207" t="s">
        <v>959</v>
      </c>
      <c r="Z96" s="1207" t="s">
        <v>959</v>
      </c>
      <c r="AA96" s="1207" t="s">
        <v>959</v>
      </c>
      <c r="AB96" s="1208">
        <f t="shared" si="13"/>
        <v>0</v>
      </c>
      <c r="AC96" s="1207" t="s">
        <v>959</v>
      </c>
      <c r="AD96" s="1207" t="s">
        <v>959</v>
      </c>
      <c r="AE96" s="1207" t="s">
        <v>959</v>
      </c>
      <c r="AF96" s="1208">
        <f t="shared" si="14"/>
        <v>0</v>
      </c>
      <c r="AG96" s="1207" t="s">
        <v>959</v>
      </c>
      <c r="AH96" s="1207" t="s">
        <v>959</v>
      </c>
      <c r="AI96" s="1207" t="s">
        <v>959</v>
      </c>
      <c r="AJ96" s="1208">
        <f t="shared" si="15"/>
        <v>0</v>
      </c>
      <c r="AK96" s="1209">
        <f t="shared" si="16"/>
        <v>0</v>
      </c>
      <c r="AL96" s="1131"/>
      <c r="AM96" s="1929"/>
      <c r="AN96" s="1879"/>
      <c r="AO96" s="1970"/>
      <c r="AP96" s="1041" t="str">
        <f>C95</f>
        <v>24 - Redução de consumo de MTP China 1 porca (-10 mm)</v>
      </c>
      <c r="AQ96" s="1041" t="s">
        <v>313</v>
      </c>
      <c r="AR96" s="1063" t="str" cm="1">
        <f t="array" aca="1" ref="AR96" ca="1">IF(OR(AP96="",AP96=0),"",IF(SUMPRODUCT(($C$55:$C$159=AP96)*($U$54:AI$54&lt;=TODAY())*(ISNUMBER($U$56:AI$160)),$U$56:AI$160)=0,"",SUMPRODUCT(($C$55:$C$159=AP96)*($U$54:AI$54&lt;=TODAY())*(ISNUMBER($U$56:AI$160)),$U$56:AI$160)))</f>
        <v/>
      </c>
      <c r="AS96" s="1041" t="str">
        <f>A95</f>
        <v>BSW</v>
      </c>
      <c r="AT96" s="2112"/>
      <c r="AU96" s="2112"/>
    </row>
    <row r="97" spans="1:47" ht="29.1" customHeight="1" x14ac:dyDescent="0.3">
      <c r="A97" s="1880" t="s">
        <v>91</v>
      </c>
      <c r="B97" s="1928" t="s">
        <v>97</v>
      </c>
      <c r="C97" s="1884" t="s">
        <v>1042</v>
      </c>
      <c r="D97" s="1886" t="s">
        <v>1043</v>
      </c>
      <c r="E97" s="1888" t="s">
        <v>1040</v>
      </c>
      <c r="F97" s="1890" t="s">
        <v>968</v>
      </c>
      <c r="G97" s="1892">
        <v>46054</v>
      </c>
      <c r="H97" s="1892">
        <v>46235</v>
      </c>
      <c r="I97" s="1894">
        <v>47086</v>
      </c>
      <c r="J97" s="1892">
        <v>46235</v>
      </c>
      <c r="K97" s="1898">
        <f t="shared" ref="K97" si="111">IF(J97="", "", 12 - MONTH(J97) + 1)</f>
        <v>5</v>
      </c>
      <c r="L97" s="1894"/>
      <c r="M97" s="1900" t="s">
        <v>308</v>
      </c>
      <c r="N97" s="1902">
        <v>60984.11</v>
      </c>
      <c r="O97" s="1904" t="s">
        <v>83</v>
      </c>
      <c r="P97" s="1906" t="s">
        <v>26</v>
      </c>
      <c r="Q97" s="1908" t="s">
        <v>980</v>
      </c>
      <c r="R97" s="1904"/>
      <c r="S97" s="1210" t="s">
        <v>116</v>
      </c>
      <c r="T97" s="1194" t="e">
        <f>AVERAGE(#REF!)</f>
        <v>#REF!</v>
      </c>
      <c r="U97" s="1195">
        <f>IFERROR(IF(AND(U$54&gt;=EOMONTH($J97,-1)+1,U$54&lt;=EOMONTH(EOMONTH($J97,-1)+1,$K97-1)),IF(NOT(ISBLANK($N97)),$N97/$K97,$I97/$K97),0),0)</f>
        <v>0</v>
      </c>
      <c r="V97" s="1195">
        <f>IFERROR(IF(AND(V$54&gt;=EOMONTH($J97,-1)+1,V$54&lt;=EOMONTH(EOMONTH($J97,-1)+1,$K97-1)),IF(NOT(ISBLANK($N97)),$N97/$K97,$I97/$K97),0),0)</f>
        <v>0</v>
      </c>
      <c r="W97" s="1195">
        <f>IFERROR(IF(AND(W$54&gt;=EOMONTH($J97,-1)+1,W$54&lt;=EOMONTH(EOMONTH($J97,-1)+1,$K97-1)),IF(NOT(ISBLANK($N97)),$N97/$K97,$I97/$K97),0),0)</f>
        <v>0</v>
      </c>
      <c r="X97" s="1196">
        <f t="shared" ref="X97" si="112">SUM(U97:W97)</f>
        <v>0</v>
      </c>
      <c r="Y97" s="1195">
        <f>IFERROR(IF(AND(Y$54&gt;=EOMONTH($J97,-1)+1,Y$54&lt;=EOMONTH(EOMONTH($J97,-1)+1,$K97-1)),IF(NOT(ISBLANK($N97)),$N97/$K97,$I97/$K97),0),0)</f>
        <v>0</v>
      </c>
      <c r="Z97" s="1195">
        <f>IFERROR(IF(AND(Z$54&gt;=EOMONTH($J97,-1)+1,Z$54&lt;=EOMONTH(EOMONTH($J97,-1)+1,$K97-1)),IF(NOT(ISBLANK($N97)),$N97/$K97,$I97/$K97),0),0)</f>
        <v>0</v>
      </c>
      <c r="AA97" s="1195">
        <f>IFERROR(IF(AND(AA$54&gt;=EOMONTH($J97,-1)+1,AA$54&lt;=EOMONTH(EOMONTH($J97,-1)+1,$K97-1)),IF(NOT(ISBLANK($N97)),$N97/$K97,$I97/$K97),0),0)</f>
        <v>0</v>
      </c>
      <c r="AB97" s="1196">
        <f t="shared" ref="AB97" si="113">SUM(Y97:AA97)</f>
        <v>0</v>
      </c>
      <c r="AC97" s="1195">
        <f>IFERROR(IF(AND(AC$54&gt;=EOMONTH($J97,-1)+1,AC$54&lt;=EOMONTH(EOMONTH($J97,-1)+1,$K97-1)),IF(NOT(ISBLANK($N97)),$N97/$K97,$I97/$K97),0),0)</f>
        <v>0</v>
      </c>
      <c r="AD97" s="1195">
        <f>IFERROR(IF(AND(AD$54&gt;=EOMONTH($J97,-1)+1,AD$54&lt;=EOMONTH(EOMONTH($J97,-1)+1,$K97-1)),IF(NOT(ISBLANK($N97)),$N97/$K97,$I97/$K97),0),0)</f>
        <v>12196.822</v>
      </c>
      <c r="AE97" s="1195">
        <f>IFERROR(IF(AND(AE$54&gt;=EOMONTH($J97,-1)+1,AE$54&lt;=EOMONTH(EOMONTH($J97,-1)+1,$K97-1)),IF(NOT(ISBLANK($N97)),$N97/$K97,$I97/$K97),0),0)</f>
        <v>12196.822</v>
      </c>
      <c r="AF97" s="1196">
        <f t="shared" ref="AF97" si="114">SUM(AC97:AE97)</f>
        <v>24393.644</v>
      </c>
      <c r="AG97" s="1195">
        <f>IFERROR(IF(AND(AG$54&gt;=EOMONTH($J97,-1)+1,AG$54&lt;=EOMONTH(EOMONTH($J97,-1)+1,$K97-1)),IF(NOT(ISBLANK($N97)),$N97/$K97,$I97/$K97),0),0)</f>
        <v>12196.822</v>
      </c>
      <c r="AH97" s="1195">
        <f>IFERROR(IF(AND(AH$54&gt;=EOMONTH($J97,-1)+1,AH$54&lt;=EOMONTH(EOMONTH($J97,-1)+1,$K97-1)),IF(NOT(ISBLANK($N97)),$N97/$K97,$I97/$K97),0),0)</f>
        <v>12196.822</v>
      </c>
      <c r="AI97" s="1195">
        <f>IFERROR(IF(AND(AI$54&gt;=EOMONTH($J97,-1)+1,AI$54&lt;=EOMONTH(EOMONTH($J97,-1)+1,$K97-1)),IF(NOT(ISBLANK($N97)),$N97/$K97,$I97/$K97),0),0)</f>
        <v>12196.822</v>
      </c>
      <c r="AJ97" s="1196">
        <f t="shared" ref="AJ97" si="115">SUM(AG97:AI97)</f>
        <v>36590.466</v>
      </c>
      <c r="AK97" s="1212">
        <f t="shared" ref="AK97:AK100" si="116">SUM(X97,AB97,AF97,AJ97)</f>
        <v>60984.11</v>
      </c>
      <c r="AL97" s="1213" t="s">
        <v>1044</v>
      </c>
      <c r="AM97" s="1890"/>
      <c r="AN97" s="1971"/>
      <c r="AO97" s="1973">
        <f>N97*AN97</f>
        <v>0</v>
      </c>
      <c r="AP97" s="1041" t="str">
        <f>C97</f>
        <v>25 - Redução de consumo de MTP China 2 porca (-10 mm)</v>
      </c>
      <c r="AQ97" s="1041" t="s">
        <v>311</v>
      </c>
      <c r="AR97" s="1063" t="str" cm="1">
        <f t="array" aca="1" ref="AR97" ca="1">IF(OR(AP97="",AP97=0),"",IF(SUMPRODUCT(($C$55:$C$144=AP97)*(U$54:$AI$54&lt;EOMONTH(TODAY(),-1)+1)*(ISNUMBER(U$55:$AI$144)),U$55:$AI$144)=0,"",SUMPRODUCT(($C$55:$C$144=AP97)*(U$54:$AI$54&lt;EOMONTH(TODAY(),-1)+1)*(ISNUMBER(U$55:$AI$144)),U$55:$AI$144)))</f>
        <v/>
      </c>
      <c r="AS97" s="1041" t="str">
        <f>A97</f>
        <v>BSW</v>
      </c>
      <c r="AT97" s="2111">
        <f>IF(OR(I97="",K97=""),0,(I97/12)*K97)</f>
        <v>19619.166666666668</v>
      </c>
      <c r="AU97" s="2111">
        <f>IF(OR(N97="",K97="",K97=0),0,(N97/K97)*12)</f>
        <v>146361.864</v>
      </c>
    </row>
    <row r="98" spans="1:47" ht="29.1" customHeight="1" x14ac:dyDescent="0.3">
      <c r="A98" s="1881"/>
      <c r="B98" s="1929"/>
      <c r="C98" s="1885"/>
      <c r="D98" s="1887"/>
      <c r="E98" s="1889"/>
      <c r="F98" s="1891"/>
      <c r="G98" s="1893"/>
      <c r="H98" s="1893"/>
      <c r="I98" s="1895"/>
      <c r="J98" s="1893"/>
      <c r="K98" s="1899"/>
      <c r="L98" s="1895"/>
      <c r="M98" s="1993"/>
      <c r="N98" s="1966"/>
      <c r="O98" s="1905"/>
      <c r="P98" s="1907"/>
      <c r="Q98" s="1909"/>
      <c r="R98" s="1905"/>
      <c r="S98" s="1210" t="s">
        <v>117</v>
      </c>
      <c r="T98" s="1194" t="e">
        <f>AVERAGE(#REF!)</f>
        <v>#REF!</v>
      </c>
      <c r="U98" s="1214" t="s">
        <v>959</v>
      </c>
      <c r="V98" s="1214" t="s">
        <v>959</v>
      </c>
      <c r="W98" s="1214" t="s">
        <v>959</v>
      </c>
      <c r="X98" s="1208">
        <f t="shared" si="12"/>
        <v>0</v>
      </c>
      <c r="Y98" s="1214" t="s">
        <v>959</v>
      </c>
      <c r="Z98" s="1214" t="s">
        <v>959</v>
      </c>
      <c r="AA98" s="1214" t="s">
        <v>959</v>
      </c>
      <c r="AB98" s="1208">
        <f t="shared" si="13"/>
        <v>0</v>
      </c>
      <c r="AC98" s="1214" t="s">
        <v>959</v>
      </c>
      <c r="AD98" s="1214" t="s">
        <v>959</v>
      </c>
      <c r="AE98" s="1214" t="s">
        <v>959</v>
      </c>
      <c r="AF98" s="1208">
        <f t="shared" si="14"/>
        <v>0</v>
      </c>
      <c r="AG98" s="1214" t="s">
        <v>959</v>
      </c>
      <c r="AH98" s="1214" t="s">
        <v>959</v>
      </c>
      <c r="AI98" s="1214" t="s">
        <v>959</v>
      </c>
      <c r="AJ98" s="1208">
        <f t="shared" si="15"/>
        <v>0</v>
      </c>
      <c r="AK98" s="1215">
        <f t="shared" si="116"/>
        <v>0</v>
      </c>
      <c r="AL98" s="1216"/>
      <c r="AM98" s="1891"/>
      <c r="AN98" s="1972"/>
      <c r="AO98" s="1974"/>
      <c r="AP98" s="1041" t="str">
        <f>C97</f>
        <v>25 - Redução de consumo de MTP China 2 porca (-10 mm)</v>
      </c>
      <c r="AQ98" s="1041" t="s">
        <v>313</v>
      </c>
      <c r="AR98" s="1063" t="str" cm="1">
        <f t="array" aca="1" ref="AR98" ca="1">IF(OR(AP98="",AP98=0),"",IF(SUMPRODUCT(($C$55:$C$159=AP98)*($U$54:AI$54&lt;=TODAY())*(ISNUMBER($U$56:AI$160)),$U$56:AI$160)=0,"",SUMPRODUCT(($C$55:$C$159=AP98)*($U$54:AI$54&lt;=TODAY())*(ISNUMBER($U$56:AI$160)),$U$56:AI$160)))</f>
        <v/>
      </c>
      <c r="AS98" s="1041" t="str">
        <f>A97</f>
        <v>BSW</v>
      </c>
      <c r="AT98" s="2112"/>
      <c r="AU98" s="2112"/>
    </row>
    <row r="99" spans="1:47" ht="29.1" customHeight="1" x14ac:dyDescent="0.3">
      <c r="A99" s="1928" t="s">
        <v>61</v>
      </c>
      <c r="B99" s="1882" t="s">
        <v>97</v>
      </c>
      <c r="C99" s="1930" t="s">
        <v>1045</v>
      </c>
      <c r="D99" s="1939" t="s">
        <v>1046</v>
      </c>
      <c r="E99" s="1932" t="s">
        <v>1047</v>
      </c>
      <c r="F99" s="1934" t="s">
        <v>1048</v>
      </c>
      <c r="G99" s="1936">
        <v>46023</v>
      </c>
      <c r="H99" s="1936">
        <v>46082</v>
      </c>
      <c r="I99" s="1938">
        <v>359000</v>
      </c>
      <c r="J99" s="1936">
        <v>46082</v>
      </c>
      <c r="K99" s="1912">
        <f t="shared" ref="K99" si="117">IF(J99="", "", 12 - MONTH(J99) + 1)</f>
        <v>10</v>
      </c>
      <c r="L99" s="2008"/>
      <c r="M99" s="2006"/>
      <c r="N99" s="2108"/>
      <c r="O99" s="1975" t="s">
        <v>81</v>
      </c>
      <c r="P99" s="1920" t="s">
        <v>990</v>
      </c>
      <c r="Q99" s="1922"/>
      <c r="R99" s="1975">
        <v>1</v>
      </c>
      <c r="S99" s="1235" t="s">
        <v>116</v>
      </c>
      <c r="T99" s="1236">
        <f ca="1">IF(OR(G99="", H99=""), "", IF(TODAY()&lt;G99, 0, IF(TODAY()&gt;H99, 1, (TODAY()-G99+1)/(H99-G99+1))))</f>
        <v>1</v>
      </c>
      <c r="U99" s="1195">
        <f>IFERROR(IF(AND(U$54&gt;=EOMONTH($J99,-1)+1,U$54&lt;=EOMONTH(EOMONTH($J99,-1)+1,$K99-1)),IF(NOT(ISBLANK($N99)),$N99/$K99,$I99/$K99),0),0)</f>
        <v>0</v>
      </c>
      <c r="V99" s="1195">
        <f>IFERROR(IF(AND(V$54&gt;=EOMONTH($J99,-1)+1,V$54&lt;=EOMONTH(EOMONTH($J99,-1)+1,$K99-1)),IF(NOT(ISBLANK($N99)),$N99/$K99,$I99/$K99),0),0)</f>
        <v>0</v>
      </c>
      <c r="W99" s="1195">
        <f>IFERROR(IF(AND(W$54&gt;=EOMONTH($J99,-1)+1,W$54&lt;=EOMONTH(EOMONTH($J99,-1)+1,$K99-1)),IF(NOT(ISBLANK($N99)),$N99/$K99,$I99/$K99),0),0)</f>
        <v>35900</v>
      </c>
      <c r="X99" s="1196">
        <f t="shared" ref="X99" si="118">SUM(U99:W99)</f>
        <v>35900</v>
      </c>
      <c r="Y99" s="1195">
        <f>IFERROR(IF(AND(Y$54&gt;=EOMONTH($J99,-1)+1,Y$54&lt;=EOMONTH(EOMONTH($J99,-1)+1,$K99-1)),IF(NOT(ISBLANK($N99)),$N99/$K99,$I99/$K99),0),0)</f>
        <v>35900</v>
      </c>
      <c r="Z99" s="1195">
        <f>IFERROR(IF(AND(Z$54&gt;=EOMONTH($J99,-1)+1,Z$54&lt;=EOMONTH(EOMONTH($J99,-1)+1,$K99-1)),IF(NOT(ISBLANK($N99)),$N99/$K99,$I99/$K99),0),0)</f>
        <v>35900</v>
      </c>
      <c r="AA99" s="1195">
        <f>IFERROR(IF(AND(AA$54&gt;=EOMONTH($J99,-1)+1,AA$54&lt;=EOMONTH(EOMONTH($J99,-1)+1,$K99-1)),IF(NOT(ISBLANK($N99)),$N99/$K99,$I99/$K99),0),0)</f>
        <v>35900</v>
      </c>
      <c r="AB99" s="1196">
        <f t="shared" ref="AB99" si="119">SUM(Y99:AA99)</f>
        <v>107700</v>
      </c>
      <c r="AC99" s="1195">
        <f>IFERROR(IF(AND(AC$54&gt;=EOMONTH($J99,-1)+1,AC$54&lt;=EOMONTH(EOMONTH($J99,-1)+1,$K99-1)),IF(NOT(ISBLANK($N99)),$N99/$K99,$I99/$K99),0),0)</f>
        <v>35900</v>
      </c>
      <c r="AD99" s="1195">
        <f>IFERROR(IF(AND(AD$54&gt;=EOMONTH($J99,-1)+1,AD$54&lt;=EOMONTH(EOMONTH($J99,-1)+1,$K99-1)),IF(NOT(ISBLANK($N99)),$N99/$K99,$I99/$K99),0),0)</f>
        <v>35900</v>
      </c>
      <c r="AE99" s="1195">
        <f>IFERROR(IF(AND(AE$54&gt;=EOMONTH($J99,-1)+1,AE$54&lt;=EOMONTH(EOMONTH($J99,-1)+1,$K99-1)),IF(NOT(ISBLANK($N99)),$N99/$K99,$I99/$K99),0),0)</f>
        <v>35900</v>
      </c>
      <c r="AF99" s="1196">
        <f t="shared" ref="AF99" si="120">SUM(AC99:AE99)</f>
        <v>107700</v>
      </c>
      <c r="AG99" s="1195">
        <f>IFERROR(IF(AND(AG$54&gt;=EOMONTH($J99,-1)+1,AG$54&lt;=EOMONTH(EOMONTH($J99,-1)+1,$K99-1)),IF(NOT(ISBLANK($N99)),$N99/$K99,$I99/$K99),0),0)</f>
        <v>35900</v>
      </c>
      <c r="AH99" s="1195">
        <f>IFERROR(IF(AND(AH$54&gt;=EOMONTH($J99,-1)+1,AH$54&lt;=EOMONTH(EOMONTH($J99,-1)+1,$K99-1)),IF(NOT(ISBLANK($N99)),$N99/$K99,$I99/$K99),0),0)</f>
        <v>35900</v>
      </c>
      <c r="AI99" s="1195">
        <f>IFERROR(IF(AND(AI$54&gt;=EOMONTH($J99,-1)+1,AI$54&lt;=EOMONTH(EOMONTH($J99,-1)+1,$K99-1)),IF(NOT(ISBLANK($N99)),$N99/$K99,$I99/$K99),0),0)</f>
        <v>35900</v>
      </c>
      <c r="AJ99" s="1196">
        <f t="shared" ref="AJ99" si="121">SUM(AG99:AI99)</f>
        <v>107700</v>
      </c>
      <c r="AK99" s="1237">
        <f t="shared" si="116"/>
        <v>359000</v>
      </c>
      <c r="AL99" s="1131"/>
      <c r="AM99" s="1928"/>
      <c r="AN99" s="1975"/>
      <c r="AO99" s="1977">
        <f>N99*AN99</f>
        <v>0</v>
      </c>
      <c r="AP99" s="1041" t="str">
        <f>C99</f>
        <v>26 - Redução de gastos com HE</v>
      </c>
      <c r="AQ99" s="1041" t="s">
        <v>311</v>
      </c>
      <c r="AR99" s="1063" cm="1">
        <f t="array" aca="1" ref="AR99" ca="1">IF(OR(AP99="",AP99=0),"",IF(SUMPRODUCT(($C$55:$C$144=AP99)*(U$54:$AI$54&lt;EOMONTH(TODAY(),-1)+1)*(ISNUMBER(U$55:$AI$144)),U$55:$AI$144)=0,"",SUMPRODUCT(($C$55:$C$144=AP99)*(U$54:$AI$54&lt;EOMONTH(TODAY(),-1)+1)*(ISNUMBER(U$55:$AI$144)),U$55:$AI$144)))</f>
        <v>179500</v>
      </c>
      <c r="AS99" s="1041" t="str">
        <f>A99</f>
        <v>Kaizen - Custo Evitado</v>
      </c>
      <c r="AT99" s="2111">
        <f>IF(OR(I99="",K99=""),0,(I99/12)*K99)</f>
        <v>299166.66666666669</v>
      </c>
      <c r="AU99" s="2111">
        <f>IF(OR(N99="",K99="",K99=0),0,(N99/K99)*12)</f>
        <v>0</v>
      </c>
    </row>
    <row r="100" spans="1:47" ht="29.1" customHeight="1" x14ac:dyDescent="0.3">
      <c r="A100" s="1929"/>
      <c r="B100" s="1883"/>
      <c r="C100" s="1931"/>
      <c r="D100" s="1940"/>
      <c r="E100" s="1933"/>
      <c r="F100" s="1935"/>
      <c r="G100" s="1937"/>
      <c r="H100" s="1937"/>
      <c r="I100" s="1937"/>
      <c r="J100" s="1937"/>
      <c r="K100" s="1913"/>
      <c r="L100" s="2009"/>
      <c r="M100" s="2007"/>
      <c r="N100" s="2109"/>
      <c r="O100" s="1976"/>
      <c r="P100" s="1921"/>
      <c r="Q100" s="1923"/>
      <c r="R100" s="1976"/>
      <c r="S100" s="1235" t="s">
        <v>117</v>
      </c>
      <c r="T100" s="1236">
        <v>1</v>
      </c>
      <c r="U100" s="1229" t="s">
        <v>959</v>
      </c>
      <c r="V100" s="1229" t="s">
        <v>959</v>
      </c>
      <c r="W100" s="1229" t="s">
        <v>959</v>
      </c>
      <c r="X100" s="1230">
        <f t="shared" si="12"/>
        <v>0</v>
      </c>
      <c r="Y100" s="1229" t="s">
        <v>959</v>
      </c>
      <c r="Z100" s="1229" t="s">
        <v>959</v>
      </c>
      <c r="AA100" s="1229" t="s">
        <v>959</v>
      </c>
      <c r="AB100" s="1230">
        <f t="shared" si="13"/>
        <v>0</v>
      </c>
      <c r="AC100" s="1229" t="s">
        <v>959</v>
      </c>
      <c r="AD100" s="1229" t="s">
        <v>959</v>
      </c>
      <c r="AE100" s="1229" t="s">
        <v>959</v>
      </c>
      <c r="AF100" s="1230">
        <f t="shared" si="14"/>
        <v>0</v>
      </c>
      <c r="AG100" s="1229" t="s">
        <v>959</v>
      </c>
      <c r="AH100" s="1229" t="s">
        <v>959</v>
      </c>
      <c r="AI100" s="1229" t="s">
        <v>959</v>
      </c>
      <c r="AJ100" s="1230">
        <f t="shared" si="15"/>
        <v>0</v>
      </c>
      <c r="AK100" s="1231">
        <f t="shared" si="116"/>
        <v>0</v>
      </c>
      <c r="AL100" s="1233"/>
      <c r="AM100" s="1929"/>
      <c r="AN100" s="1976"/>
      <c r="AO100" s="1978"/>
      <c r="AP100" s="1041" t="str">
        <f>C99</f>
        <v>26 - Redução de gastos com HE</v>
      </c>
      <c r="AQ100" s="1041" t="s">
        <v>313</v>
      </c>
      <c r="AR100" s="1063" t="str" cm="1">
        <f t="array" aca="1" ref="AR100" ca="1">IF(OR(AP100="",AP100=0),"",IF(SUMPRODUCT(($C$55:$C$159=AP100)*($U$54:AI$54&lt;=TODAY())*(ISNUMBER($U$56:AI$160)),$U$56:AI$160)=0,"",SUMPRODUCT(($C$55:$C$159=AP100)*($U$54:AI$54&lt;=TODAY())*(ISNUMBER($U$56:AI$160)),$U$56:AI$160)))</f>
        <v/>
      </c>
      <c r="AS100" s="1041" t="str">
        <f>A99</f>
        <v>Kaizen - Custo Evitado</v>
      </c>
      <c r="AT100" s="2112"/>
      <c r="AU100" s="2112"/>
    </row>
    <row r="101" spans="1:47" ht="29.1" customHeight="1" x14ac:dyDescent="0.3">
      <c r="A101" s="1880" t="s">
        <v>91</v>
      </c>
      <c r="B101" s="1928" t="s">
        <v>95</v>
      </c>
      <c r="C101" s="1884" t="s">
        <v>1049</v>
      </c>
      <c r="D101" s="1886" t="s">
        <v>1050</v>
      </c>
      <c r="E101" s="1888" t="s">
        <v>1051</v>
      </c>
      <c r="F101" s="1890" t="s">
        <v>968</v>
      </c>
      <c r="G101" s="1892">
        <v>46082</v>
      </c>
      <c r="H101" s="1892">
        <v>46235</v>
      </c>
      <c r="I101" s="1894">
        <v>435138</v>
      </c>
      <c r="J101" s="1960">
        <v>46233</v>
      </c>
      <c r="K101" s="1898">
        <f t="shared" ref="K101" si="122">IF(J101="", "", 12 - MONTH(J101) + 1)</f>
        <v>6</v>
      </c>
      <c r="L101" s="1894"/>
      <c r="M101" s="1900" t="s">
        <v>308</v>
      </c>
      <c r="N101" s="1994">
        <v>442663.07</v>
      </c>
      <c r="O101" s="1904" t="s">
        <v>83</v>
      </c>
      <c r="P101" s="1941" t="s">
        <v>26</v>
      </c>
      <c r="Q101" s="2010" t="s">
        <v>980</v>
      </c>
      <c r="R101" s="1904"/>
      <c r="S101" s="1210" t="s">
        <v>116</v>
      </c>
      <c r="T101" s="1211">
        <f>AVERAGE([25]Estrutura!$I$5:$I$24)</f>
        <v>0.2</v>
      </c>
      <c r="U101" s="1195">
        <f>IFERROR(IF(AND(U$54&gt;=EOMONTH($J101,-1)+1,U$54&lt;=EOMONTH(EOMONTH($J101,-1)+1,$K101-1)),IF(NOT(ISBLANK($N101)),$N101/$K101,$I101/$K101),0),0)</f>
        <v>0</v>
      </c>
      <c r="V101" s="1195">
        <f>IFERROR(IF(AND(V$54&gt;=EOMONTH($J101,-1)+1,V$54&lt;=EOMONTH(EOMONTH($J101,-1)+1,$K101-1)),IF(NOT(ISBLANK($N101)),$N101/$K101,$I101/$K101),0),0)</f>
        <v>0</v>
      </c>
      <c r="W101" s="1195">
        <f>IFERROR(IF(AND(W$54&gt;=EOMONTH($J101,-1)+1,W$54&lt;=EOMONTH(EOMONTH($J101,-1)+1,$K101-1)),IF(NOT(ISBLANK($N101)),$N101/$K101,$I101/$K101),0),0)</f>
        <v>0</v>
      </c>
      <c r="X101" s="1196">
        <f t="shared" ref="X101" si="123">SUM(U101:W101)</f>
        <v>0</v>
      </c>
      <c r="Y101" s="1195">
        <f>IFERROR(IF(AND(Y$54&gt;=EOMONTH($J101,-1)+1,Y$54&lt;=EOMONTH(EOMONTH($J101,-1)+1,$K101-1)),IF(NOT(ISBLANK($N101)),$N101/$K101,$I101/$K101),0),0)</f>
        <v>0</v>
      </c>
      <c r="Z101" s="1195">
        <f>IFERROR(IF(AND(Z$54&gt;=EOMONTH($J101,-1)+1,Z$54&lt;=EOMONTH(EOMONTH($J101,-1)+1,$K101-1)),IF(NOT(ISBLANK($N101)),$N101/$K101,$I101/$K101),0),0)</f>
        <v>0</v>
      </c>
      <c r="AA101" s="1195">
        <f>IFERROR(IF(AND(AA$54&gt;=EOMONTH($J101,-1)+1,AA$54&lt;=EOMONTH(EOMONTH($J101,-1)+1,$K101-1)),IF(NOT(ISBLANK($N101)),$N101/$K101,$I101/$K101),0),0)</f>
        <v>0</v>
      </c>
      <c r="AB101" s="1196">
        <f t="shared" ref="AB101" si="124">SUM(Y101:AA101)</f>
        <v>0</v>
      </c>
      <c r="AC101" s="1318">
        <f>IFERROR(IF(AND(AC$54&gt;=EOMONTH($J101,-1)+1,AC$54&lt;=EOMONTH(EOMONTH($J101,-1)+1,$K101-1)),IF(NOT(ISBLANK($N101)),$N101/$K101,$I101/$K101),0),0)</f>
        <v>73777.17833333333</v>
      </c>
      <c r="AD101" s="1195">
        <f>IFERROR(IF(AND(AD$54&gt;=EOMONTH($J101,-1)+1,AD$54&lt;=EOMONTH(EOMONTH($J101,-1)+1,$K101-1)),IF(NOT(ISBLANK($N101)),$N101/$K101,$I101/$K101),0),0)</f>
        <v>73777.17833333333</v>
      </c>
      <c r="AE101" s="1195">
        <f>IFERROR(IF(AND(AE$54&gt;=EOMONTH($J101,-1)+1,AE$54&lt;=EOMONTH(EOMONTH($J101,-1)+1,$K101-1)),IF(NOT(ISBLANK($N101)),$N101/$K101,$I101/$K101),0),0)</f>
        <v>73777.17833333333</v>
      </c>
      <c r="AF101" s="1196">
        <f t="shared" ref="AF101" si="125">SUM(AC101:AE101)</f>
        <v>221331.53499999997</v>
      </c>
      <c r="AG101" s="1195">
        <f>IFERROR(IF(AND(AG$54&gt;=EOMONTH($J101,-1)+1,AG$54&lt;=EOMONTH(EOMONTH($J101,-1)+1,$K101-1)),IF(NOT(ISBLANK($N101)),$N101/$K101,$I101/$K101),0),0)</f>
        <v>73777.17833333333</v>
      </c>
      <c r="AH101" s="1195">
        <f>IFERROR(IF(AND(AH$54&gt;=EOMONTH($J101,-1)+1,AH$54&lt;=EOMONTH(EOMONTH($J101,-1)+1,$K101-1)),IF(NOT(ISBLANK($N101)),$N101/$K101,$I101/$K101),0),0)</f>
        <v>73777.17833333333</v>
      </c>
      <c r="AI101" s="1195">
        <f>IFERROR(IF(AND(AI$54&gt;=EOMONTH($J101,-1)+1,AI$54&lt;=EOMONTH(EOMONTH($J101,-1)+1,$K101-1)),IF(NOT(ISBLANK($N101)),$N101/$K101,$I101/$K101),0),0)</f>
        <v>73777.17833333333</v>
      </c>
      <c r="AJ101" s="1196">
        <f t="shared" ref="AJ101" si="126">SUM(AG101:AI101)</f>
        <v>221331.53499999997</v>
      </c>
      <c r="AK101" s="1212">
        <f t="shared" si="16"/>
        <v>442663.06999999995</v>
      </c>
      <c r="AL101" s="1213"/>
      <c r="AM101" s="1890"/>
      <c r="AN101" s="1971"/>
      <c r="AO101" s="1973">
        <f>N101*AN101</f>
        <v>0</v>
      </c>
      <c r="AP101" s="1041" t="str">
        <f>C101</f>
        <v>27 - Redução consumo MTP aplicando tolerância mínima curva B</v>
      </c>
      <c r="AQ101" s="1041" t="s">
        <v>311</v>
      </c>
      <c r="AR101" s="1063" cm="1">
        <f t="array" aca="1" ref="AR101" ca="1">IF(OR(AP101="",AP101=0),"",IF(SUMPRODUCT(($C$55:$C$144=AP101)*(U$54:$AI$54&lt;EOMONTH(TODAY(),-1)+1)*(ISNUMBER(U$55:$AI$144)),U$55:$AI$144)=0,"",SUMPRODUCT(($C$55:$C$144=AP101)*(U$54:$AI$54&lt;EOMONTH(TODAY(),-1)+1)*(ISNUMBER(U$55:$AI$144)),U$55:$AI$144)))</f>
        <v>73777.17833333333</v>
      </c>
      <c r="AS101" s="1041" t="str">
        <f>A101</f>
        <v>BSW</v>
      </c>
      <c r="AT101" s="2111">
        <f>IF(OR(I101="",K101=""),0,(I101/12)*K101)</f>
        <v>217569</v>
      </c>
      <c r="AU101" s="2111">
        <f>IF(OR(N101="",K101="",K101=0),0,(N101/K101)*12)</f>
        <v>885326.1399999999</v>
      </c>
    </row>
    <row r="102" spans="1:47" ht="29.1" customHeight="1" x14ac:dyDescent="0.3">
      <c r="A102" s="1881"/>
      <c r="B102" s="1929"/>
      <c r="C102" s="1885"/>
      <c r="D102" s="2106"/>
      <c r="E102" s="1889"/>
      <c r="F102" s="1891"/>
      <c r="G102" s="1893"/>
      <c r="H102" s="1893"/>
      <c r="I102" s="1895"/>
      <c r="J102" s="1961"/>
      <c r="K102" s="1899"/>
      <c r="L102" s="1895"/>
      <c r="M102" s="1993"/>
      <c r="N102" s="1995"/>
      <c r="O102" s="1905"/>
      <c r="P102" s="1942"/>
      <c r="Q102" s="2011"/>
      <c r="R102" s="1905"/>
      <c r="S102" s="1210" t="s">
        <v>117</v>
      </c>
      <c r="T102" s="1211">
        <f>AVERAGE([25]Estrutura!$J$5:$J$24)</f>
        <v>0</v>
      </c>
      <c r="U102" s="1214" t="s">
        <v>959</v>
      </c>
      <c r="V102" s="1214" t="s">
        <v>959</v>
      </c>
      <c r="W102" s="1214" t="s">
        <v>959</v>
      </c>
      <c r="X102" s="1208">
        <f t="shared" si="12"/>
        <v>0</v>
      </c>
      <c r="Y102" s="1214" t="s">
        <v>959</v>
      </c>
      <c r="Z102" s="1214" t="s">
        <v>959</v>
      </c>
      <c r="AA102" s="1214" t="s">
        <v>959</v>
      </c>
      <c r="AB102" s="1208">
        <f t="shared" si="13"/>
        <v>0</v>
      </c>
      <c r="AC102" s="1214" t="s">
        <v>959</v>
      </c>
      <c r="AD102" s="1214" t="s">
        <v>959</v>
      </c>
      <c r="AE102" s="1214" t="s">
        <v>959</v>
      </c>
      <c r="AF102" s="1208">
        <f t="shared" si="14"/>
        <v>0</v>
      </c>
      <c r="AG102" s="1214" t="s">
        <v>959</v>
      </c>
      <c r="AH102" s="1214" t="s">
        <v>959</v>
      </c>
      <c r="AI102" s="1214" t="s">
        <v>959</v>
      </c>
      <c r="AJ102" s="1208">
        <f t="shared" si="15"/>
        <v>0</v>
      </c>
      <c r="AK102" s="1215">
        <f t="shared" si="16"/>
        <v>0</v>
      </c>
      <c r="AL102" s="1216" t="s">
        <v>985</v>
      </c>
      <c r="AM102" s="1891"/>
      <c r="AN102" s="1972"/>
      <c r="AO102" s="1974"/>
      <c r="AP102" s="1041" t="str">
        <f>C101</f>
        <v>27 - Redução consumo MTP aplicando tolerância mínima curva B</v>
      </c>
      <c r="AQ102" s="1041" t="s">
        <v>313</v>
      </c>
      <c r="AR102" s="1063" t="str" cm="1">
        <f t="array" aca="1" ref="AR102" ca="1">IF(OR(AP102="",AP102=0),"",IF(SUMPRODUCT(($C$55:$C$159=AP102)*($U$54:AI$54&lt;=TODAY())*(ISNUMBER($U$56:AI$160)),$U$56:AI$160)=0,"",SUMPRODUCT(($C$55:$C$159=AP102)*($U$54:AI$54&lt;=TODAY())*(ISNUMBER($U$56:AI$160)),$U$56:AI$160)))</f>
        <v/>
      </c>
      <c r="AS102" s="1041" t="str">
        <f>A101</f>
        <v>BSW</v>
      </c>
      <c r="AT102" s="2112"/>
      <c r="AU102" s="2112"/>
    </row>
    <row r="103" spans="1:47" ht="29.1" customHeight="1" x14ac:dyDescent="0.3">
      <c r="A103" s="1928" t="s">
        <v>91</v>
      </c>
      <c r="B103" s="1882" t="s">
        <v>95</v>
      </c>
      <c r="C103" s="1930" t="s">
        <v>1052</v>
      </c>
      <c r="D103" s="1939" t="s">
        <v>1053</v>
      </c>
      <c r="E103" s="1932" t="s">
        <v>1054</v>
      </c>
      <c r="F103" s="1934" t="s">
        <v>968</v>
      </c>
      <c r="G103" s="1936">
        <v>46082</v>
      </c>
      <c r="H103" s="1936">
        <v>46235</v>
      </c>
      <c r="I103" s="1938">
        <v>308498</v>
      </c>
      <c r="J103" s="1962">
        <v>46233</v>
      </c>
      <c r="K103" s="1912">
        <f t="shared" ref="K103" si="127">IF(J103="", "", 12 - MONTH(J103) + 1)</f>
        <v>6</v>
      </c>
      <c r="L103" s="1914"/>
      <c r="M103" s="2004" t="s">
        <v>308</v>
      </c>
      <c r="N103" s="1994">
        <v>209476.06</v>
      </c>
      <c r="O103" s="1878" t="s">
        <v>83</v>
      </c>
      <c r="P103" s="1943" t="s">
        <v>26</v>
      </c>
      <c r="Q103" s="2010" t="s">
        <v>980</v>
      </c>
      <c r="R103" s="1878"/>
      <c r="S103" s="1204" t="s">
        <v>116</v>
      </c>
      <c r="T103" s="1205">
        <f>AVERAGE([26]Estrutura!$I$5:$I$24)</f>
        <v>0.2</v>
      </c>
      <c r="U103" s="1195">
        <f>IFERROR(IF(AND(U$54&gt;=EOMONTH($J103,-1)+1,U$54&lt;=EOMONTH(EOMONTH($J103,-1)+1,$K103-1)),IF(NOT(ISBLANK($N103)),$N103/$K103,$I103/$K103),0),0)</f>
        <v>0</v>
      </c>
      <c r="V103" s="1195">
        <f>IFERROR(IF(AND(V$54&gt;=EOMONTH($J103,-1)+1,V$54&lt;=EOMONTH(EOMONTH($J103,-1)+1,$K103-1)),IF(NOT(ISBLANK($N103)),$N103/$K103,$I103/$K103),0),0)</f>
        <v>0</v>
      </c>
      <c r="W103" s="1195">
        <f>IFERROR(IF(AND(W$54&gt;=EOMONTH($J103,-1)+1,W$54&lt;=EOMONTH(EOMONTH($J103,-1)+1,$K103-1)),IF(NOT(ISBLANK($N103)),$N103/$K103,$I103/$K103),0),0)</f>
        <v>0</v>
      </c>
      <c r="X103" s="1196">
        <f t="shared" ref="X103" si="128">SUM(U103:W103)</f>
        <v>0</v>
      </c>
      <c r="Y103" s="1195">
        <f>IFERROR(IF(AND(Y$54&gt;=EOMONTH($J103,-1)+1,Y$54&lt;=EOMONTH(EOMONTH($J103,-1)+1,$K103-1)),IF(NOT(ISBLANK($N103)),$N103/$K103,$I103/$K103),0),0)</f>
        <v>0</v>
      </c>
      <c r="Z103" s="1195">
        <f>IFERROR(IF(AND(Z$54&gt;=EOMONTH($J103,-1)+1,Z$54&lt;=EOMONTH(EOMONTH($J103,-1)+1,$K103-1)),IF(NOT(ISBLANK($N103)),$N103/$K103,$I103/$K103),0),0)</f>
        <v>0</v>
      </c>
      <c r="AA103" s="1195">
        <f>IFERROR(IF(AND(AA$54&gt;=EOMONTH($J103,-1)+1,AA$54&lt;=EOMONTH(EOMONTH($J103,-1)+1,$K103-1)),IF(NOT(ISBLANK($N103)),$N103/$K103,$I103/$K103),0),0)</f>
        <v>0</v>
      </c>
      <c r="AB103" s="1196">
        <f t="shared" ref="AB103" si="129">SUM(Y103:AA103)</f>
        <v>0</v>
      </c>
      <c r="AC103" s="1318">
        <f>IFERROR(IF(AND(AC$54&gt;=EOMONTH($J103,-1)+1,AC$54&lt;=EOMONTH(EOMONTH($J103,-1)+1,$K103-1)),IF(NOT(ISBLANK($N103)),$N103/$K103,$I103/$K103),0),0)</f>
        <v>34912.676666666666</v>
      </c>
      <c r="AD103" s="1195">
        <f>IFERROR(IF(AND(AD$54&gt;=EOMONTH($J103,-1)+1,AD$54&lt;=EOMONTH(EOMONTH($J103,-1)+1,$K103-1)),IF(NOT(ISBLANK($N103)),$N103/$K103,$I103/$K103),0),0)</f>
        <v>34912.676666666666</v>
      </c>
      <c r="AE103" s="1195">
        <f>IFERROR(IF(AND(AE$54&gt;=EOMONTH($J103,-1)+1,AE$54&lt;=EOMONTH(EOMONTH($J103,-1)+1,$K103-1)),IF(NOT(ISBLANK($N103)),$N103/$K103,$I103/$K103),0),0)</f>
        <v>34912.676666666666</v>
      </c>
      <c r="AF103" s="1196">
        <f t="shared" ref="AF103" si="130">SUM(AC103:AE103)</f>
        <v>104738.03</v>
      </c>
      <c r="AG103" s="1195">
        <f>IFERROR(IF(AND(AG$54&gt;=EOMONTH($J103,-1)+1,AG$54&lt;=EOMONTH(EOMONTH($J103,-1)+1,$K103-1)),IF(NOT(ISBLANK($N103)),$N103/$K103,$I103/$K103),0),0)</f>
        <v>34912.676666666666</v>
      </c>
      <c r="AH103" s="1195">
        <f>IFERROR(IF(AND(AH$54&gt;=EOMONTH($J103,-1)+1,AH$54&lt;=EOMONTH(EOMONTH($J103,-1)+1,$K103-1)),IF(NOT(ISBLANK($N103)),$N103/$K103,$I103/$K103),0),0)</f>
        <v>34912.676666666666</v>
      </c>
      <c r="AI103" s="1195">
        <f>IFERROR(IF(AND(AI$54&gt;=EOMONTH($J103,-1)+1,AI$54&lt;=EOMONTH(EOMONTH($J103,-1)+1,$K103-1)),IF(NOT(ISBLANK($N103)),$N103/$K103,$I103/$K103),0),0)</f>
        <v>34912.676666666666</v>
      </c>
      <c r="AJ103" s="1196">
        <f t="shared" ref="AJ103" si="131">SUM(AG103:AI103)</f>
        <v>104738.03</v>
      </c>
      <c r="AK103" s="1206">
        <f t="shared" si="16"/>
        <v>209476.06</v>
      </c>
      <c r="AL103" s="1131"/>
      <c r="AM103" s="1928"/>
      <c r="AN103" s="1878"/>
      <c r="AO103" s="1969">
        <f>N103*AN103</f>
        <v>0</v>
      </c>
      <c r="AP103" s="1041" t="str">
        <f>C103</f>
        <v>28 -  Redução consumo MTP aplicando tolerância mínima curva C</v>
      </c>
      <c r="AQ103" s="1041" t="s">
        <v>311</v>
      </c>
      <c r="AR103" s="1063" cm="1">
        <f t="array" aca="1" ref="AR103" ca="1">IF(OR(AP103="",AP103=0),"",IF(SUMPRODUCT(($C$55:$C$144=AP103)*(U$54:$AI$54&lt;EOMONTH(TODAY(),-1)+1)*(ISNUMBER(U$55:$AI$144)),U$55:$AI$144)=0,"",SUMPRODUCT(($C$55:$C$144=AP103)*(U$54:$AI$54&lt;EOMONTH(TODAY(),-1)+1)*(ISNUMBER(U$55:$AI$144)),U$55:$AI$144)))</f>
        <v>34912.676666666666</v>
      </c>
      <c r="AS103" s="1041" t="str">
        <f>A103</f>
        <v>BSW</v>
      </c>
      <c r="AT103" s="2111">
        <f>IF(OR(I103="",K103=""),0,(I103/12)*K103)</f>
        <v>154249</v>
      </c>
      <c r="AU103" s="2111">
        <f>IF(OR(N103="",K103="",K103=0),0,(N103/K103)*12)</f>
        <v>418952.12</v>
      </c>
    </row>
    <row r="104" spans="1:47" ht="29.1" customHeight="1" x14ac:dyDescent="0.3">
      <c r="A104" s="1929"/>
      <c r="B104" s="1883"/>
      <c r="C104" s="1931"/>
      <c r="D104" s="1940"/>
      <c r="E104" s="1933"/>
      <c r="F104" s="1935"/>
      <c r="G104" s="1937"/>
      <c r="H104" s="1937"/>
      <c r="I104" s="1937"/>
      <c r="J104" s="1963"/>
      <c r="K104" s="1913"/>
      <c r="L104" s="1915"/>
      <c r="M104" s="2005"/>
      <c r="N104" s="1995"/>
      <c r="O104" s="1879"/>
      <c r="P104" s="1944"/>
      <c r="Q104" s="2011"/>
      <c r="R104" s="1879"/>
      <c r="S104" s="1204" t="s">
        <v>117</v>
      </c>
      <c r="T104" s="1205">
        <f>AVERAGE([26]Estrutura!$J$5:$J$24)</f>
        <v>0.21052631578947367</v>
      </c>
      <c r="U104" s="1207" t="s">
        <v>959</v>
      </c>
      <c r="V104" s="1207" t="s">
        <v>959</v>
      </c>
      <c r="W104" s="1207" t="s">
        <v>959</v>
      </c>
      <c r="X104" s="1208">
        <f t="shared" si="12"/>
        <v>0</v>
      </c>
      <c r="Y104" s="1207" t="s">
        <v>959</v>
      </c>
      <c r="Z104" s="1207" t="s">
        <v>959</v>
      </c>
      <c r="AA104" s="1207" t="s">
        <v>959</v>
      </c>
      <c r="AB104" s="1208">
        <f t="shared" si="13"/>
        <v>0</v>
      </c>
      <c r="AC104" s="1207" t="s">
        <v>959</v>
      </c>
      <c r="AD104" s="1207" t="s">
        <v>959</v>
      </c>
      <c r="AE104" s="1207" t="s">
        <v>959</v>
      </c>
      <c r="AF104" s="1208">
        <f t="shared" si="14"/>
        <v>0</v>
      </c>
      <c r="AG104" s="1207" t="s">
        <v>959</v>
      </c>
      <c r="AH104" s="1207" t="s">
        <v>959</v>
      </c>
      <c r="AI104" s="1207" t="s">
        <v>959</v>
      </c>
      <c r="AJ104" s="1208">
        <f t="shared" si="15"/>
        <v>0</v>
      </c>
      <c r="AK104" s="1209">
        <f t="shared" si="16"/>
        <v>0</v>
      </c>
      <c r="AL104" s="1131"/>
      <c r="AM104" s="1929"/>
      <c r="AN104" s="1879"/>
      <c r="AO104" s="1970"/>
      <c r="AP104" s="1041" t="str">
        <f>C103</f>
        <v>28 -  Redução consumo MTP aplicando tolerância mínima curva C</v>
      </c>
      <c r="AQ104" s="1041" t="s">
        <v>313</v>
      </c>
      <c r="AR104" s="1063" t="str" cm="1">
        <f t="array" aca="1" ref="AR104" ca="1">IF(OR(AP104="",AP104=0),"",IF(SUMPRODUCT(($C$55:$C$159=AP104)*($U$54:AI$54&lt;=TODAY())*(ISNUMBER($U$56:AI$160)),$U$56:AI$160)=0,"",SUMPRODUCT(($C$55:$C$159=AP104)*($U$54:AI$54&lt;=TODAY())*(ISNUMBER($U$56:AI$160)),$U$56:AI$160)))</f>
        <v/>
      </c>
      <c r="AS104" s="1041" t="str">
        <f>A103</f>
        <v>BSW</v>
      </c>
      <c r="AT104" s="2112"/>
      <c r="AU104" s="2112"/>
    </row>
    <row r="105" spans="1:47" ht="29.1" customHeight="1" x14ac:dyDescent="0.3">
      <c r="A105" s="1880" t="s">
        <v>91</v>
      </c>
      <c r="B105" s="1928" t="s">
        <v>95</v>
      </c>
      <c r="C105" s="1884" t="s">
        <v>1055</v>
      </c>
      <c r="D105" s="1886" t="s">
        <v>1056</v>
      </c>
      <c r="E105" s="1888" t="s">
        <v>1057</v>
      </c>
      <c r="F105" s="1890" t="s">
        <v>968</v>
      </c>
      <c r="G105" s="1892">
        <v>46082</v>
      </c>
      <c r="H105" s="1892">
        <v>46264</v>
      </c>
      <c r="I105" s="1894">
        <v>9639</v>
      </c>
      <c r="J105" s="1892">
        <v>46264</v>
      </c>
      <c r="K105" s="1898">
        <f t="shared" ref="K105:K109" si="132">IF(J105="", "", 12 - MONTH(J105) + 1)</f>
        <v>5</v>
      </c>
      <c r="L105" s="1894"/>
      <c r="M105" s="1900" t="s">
        <v>308</v>
      </c>
      <c r="N105" s="1902">
        <v>22604.71</v>
      </c>
      <c r="O105" s="1904" t="s">
        <v>83</v>
      </c>
      <c r="P105" s="1906" t="s">
        <v>26</v>
      </c>
      <c r="Q105" s="1908" t="s">
        <v>980</v>
      </c>
      <c r="R105" s="1904"/>
      <c r="S105" s="1210" t="s">
        <v>116</v>
      </c>
      <c r="T105" s="1211">
        <f>AVERAGE([27]Estrutura!$I$5:$I$22)</f>
        <v>0.88888888888888884</v>
      </c>
      <c r="U105" s="1195">
        <f>IFERROR(IF(AND(U$54&gt;=EOMONTH($J105,-1)+1,U$54&lt;=EOMONTH(EOMONTH($J105,-1)+1,$K105-1)),IF(NOT(ISBLANK($N105)),$N105/$K105,$I105/$K105),0),0)</f>
        <v>0</v>
      </c>
      <c r="V105" s="1195">
        <f>IFERROR(IF(AND(V$54&gt;=EOMONTH($J105,-1)+1,V$54&lt;=EOMONTH(EOMONTH($J105,-1)+1,$K105-1)),IF(NOT(ISBLANK($N105)),$N105/$K105,$I105/$K105),0),0)</f>
        <v>0</v>
      </c>
      <c r="W105" s="1195">
        <f>IFERROR(IF(AND(W$54&gt;=EOMONTH($J105,-1)+1,W$54&lt;=EOMONTH(EOMONTH($J105,-1)+1,$K105-1)),IF(NOT(ISBLANK($N105)),$N105/$K105,$I105/$K105),0),0)</f>
        <v>0</v>
      </c>
      <c r="X105" s="1196">
        <f t="shared" ref="X105" si="133">SUM(U105:W105)</f>
        <v>0</v>
      </c>
      <c r="Y105" s="1195">
        <f>IFERROR(IF(AND(Y$54&gt;=EOMONTH($J105,-1)+1,Y$54&lt;=EOMONTH(EOMONTH($J105,-1)+1,$K105-1)),IF(NOT(ISBLANK($N105)),$N105/$K105,$I105/$K105),0),0)</f>
        <v>0</v>
      </c>
      <c r="Z105" s="1195">
        <f>IFERROR(IF(AND(Z$54&gt;=EOMONTH($J105,-1)+1,Z$54&lt;=EOMONTH(EOMONTH($J105,-1)+1,$K105-1)),IF(NOT(ISBLANK($N105)),$N105/$K105,$I105/$K105),0),0)</f>
        <v>0</v>
      </c>
      <c r="AA105" s="1195">
        <f>IFERROR(IF(AND(AA$54&gt;=EOMONTH($J105,-1)+1,AA$54&lt;=EOMONTH(EOMONTH($J105,-1)+1,$K105-1)),IF(NOT(ISBLANK($N105)),$N105/$K105,$I105/$K105),0),0)</f>
        <v>0</v>
      </c>
      <c r="AB105" s="1196">
        <f t="shared" ref="AB105" si="134">SUM(Y105:AA105)</f>
        <v>0</v>
      </c>
      <c r="AC105" s="1195">
        <f>IFERROR(IF(AND(AC$54&gt;=EOMONTH($J105,-1)+1,AC$54&lt;=EOMONTH(EOMONTH($J105,-1)+1,$K105-1)),IF(NOT(ISBLANK($N105)),$N105/$K105,$I105/$K105),0),0)</f>
        <v>0</v>
      </c>
      <c r="AD105" s="1195">
        <f>IFERROR(IF(AND(AD$54&gt;=EOMONTH($J105,-1)+1,AD$54&lt;=EOMONTH(EOMONTH($J105,-1)+1,$K105-1)),IF(NOT(ISBLANK($N105)),$N105/$K105,$I105/$K105),0),0)</f>
        <v>4520.942</v>
      </c>
      <c r="AE105" s="1195">
        <f>IFERROR(IF(AND(AE$54&gt;=EOMONTH($J105,-1)+1,AE$54&lt;=EOMONTH(EOMONTH($J105,-1)+1,$K105-1)),IF(NOT(ISBLANK($N105)),$N105/$K105,$I105/$K105),0),0)</f>
        <v>4520.942</v>
      </c>
      <c r="AF105" s="1196">
        <f t="shared" ref="AF105" si="135">SUM(AC105:AE105)</f>
        <v>9041.884</v>
      </c>
      <c r="AG105" s="1195">
        <f>IFERROR(IF(AND(AG$54&gt;=EOMONTH($J105,-1)+1,AG$54&lt;=EOMONTH(EOMONTH($J105,-1)+1,$K105-1)),IF(NOT(ISBLANK($N105)),$N105/$K105,$I105/$K105),0),0)</f>
        <v>4520.942</v>
      </c>
      <c r="AH105" s="1195">
        <f>IFERROR(IF(AND(AH$54&gt;=EOMONTH($J105,-1)+1,AH$54&lt;=EOMONTH(EOMONTH($J105,-1)+1,$K105-1)),IF(NOT(ISBLANK($N105)),$N105/$K105,$I105/$K105),0),0)</f>
        <v>4520.942</v>
      </c>
      <c r="AI105" s="1195">
        <f>IFERROR(IF(AND(AI$54&gt;=EOMONTH($J105,-1)+1,AI$54&lt;=EOMONTH(EOMONTH($J105,-1)+1,$K105-1)),IF(NOT(ISBLANK($N105)),$N105/$K105,$I105/$K105),0),0)</f>
        <v>4520.942</v>
      </c>
      <c r="AJ105" s="1196">
        <f t="shared" ref="AJ105" si="136">SUM(AG105:AI105)</f>
        <v>13562.826000000001</v>
      </c>
      <c r="AK105" s="1212">
        <f t="shared" si="16"/>
        <v>22604.71</v>
      </c>
      <c r="AL105" s="1213"/>
      <c r="AM105" s="1890"/>
      <c r="AN105" s="1971"/>
      <c r="AO105" s="1973">
        <f>N105*AN105</f>
        <v>0</v>
      </c>
      <c r="AP105" s="1041" t="str">
        <f>C105</f>
        <v>29 - Redução do consumo MTP no passo do Blank VW000942AB / 943AB -5MM</v>
      </c>
      <c r="AQ105" s="1041" t="s">
        <v>311</v>
      </c>
      <c r="AR105" s="1063" t="str" cm="1">
        <f t="array" aca="1" ref="AR105" ca="1">IF(OR(AP105="",AP105=0),"",IF(SUMPRODUCT(($C$55:$C$144=AP105)*(U$54:$AI$54&lt;EOMONTH(TODAY(),-1)+1)*(ISNUMBER(U$55:$AI$144)),U$55:$AI$144)=0,"",SUMPRODUCT(($C$55:$C$144=AP105)*(U$54:$AI$54&lt;EOMONTH(TODAY(),-1)+1)*(ISNUMBER(U$55:$AI$144)),U$55:$AI$144)))</f>
        <v/>
      </c>
      <c r="AS105" s="1041" t="str">
        <f>A105</f>
        <v>BSW</v>
      </c>
      <c r="AT105" s="2111">
        <f>IF(OR(I105="",K105=""),0,(I105/12)*K105)</f>
        <v>4016.25</v>
      </c>
      <c r="AU105" s="2111">
        <f>IF(OR(N105="",K105="",K105=0),0,(N105/K105)*12)</f>
        <v>54251.304000000004</v>
      </c>
    </row>
    <row r="106" spans="1:47" ht="29.1" customHeight="1" x14ac:dyDescent="0.3">
      <c r="A106" s="1881"/>
      <c r="B106" s="1929"/>
      <c r="C106" s="1885"/>
      <c r="D106" s="1887"/>
      <c r="E106" s="1889"/>
      <c r="F106" s="1891"/>
      <c r="G106" s="1893"/>
      <c r="H106" s="1893"/>
      <c r="I106" s="1895"/>
      <c r="J106" s="1893"/>
      <c r="K106" s="1899"/>
      <c r="L106" s="1895"/>
      <c r="M106" s="1993"/>
      <c r="N106" s="1966"/>
      <c r="O106" s="1905"/>
      <c r="P106" s="1907"/>
      <c r="Q106" s="1909"/>
      <c r="R106" s="1905"/>
      <c r="S106" s="1210" t="s">
        <v>117</v>
      </c>
      <c r="T106" s="1211">
        <f>AVERAGE([27]Estrutura!$J$5:$J$22)</f>
        <v>0.33333333333333331</v>
      </c>
      <c r="U106" s="1214" t="s">
        <v>959</v>
      </c>
      <c r="V106" s="1214" t="s">
        <v>959</v>
      </c>
      <c r="W106" s="1214" t="s">
        <v>959</v>
      </c>
      <c r="X106" s="1208">
        <f t="shared" si="12"/>
        <v>0</v>
      </c>
      <c r="Y106" s="1214" t="s">
        <v>959</v>
      </c>
      <c r="Z106" s="1214" t="s">
        <v>959</v>
      </c>
      <c r="AA106" s="1214" t="s">
        <v>959</v>
      </c>
      <c r="AB106" s="1208">
        <f t="shared" si="13"/>
        <v>0</v>
      </c>
      <c r="AC106" s="1214" t="s">
        <v>959</v>
      </c>
      <c r="AD106" s="1214" t="s">
        <v>959</v>
      </c>
      <c r="AE106" s="1214" t="s">
        <v>959</v>
      </c>
      <c r="AF106" s="1208">
        <f t="shared" si="14"/>
        <v>0</v>
      </c>
      <c r="AG106" s="1214" t="s">
        <v>959</v>
      </c>
      <c r="AH106" s="1214" t="s">
        <v>959</v>
      </c>
      <c r="AI106" s="1214" t="s">
        <v>959</v>
      </c>
      <c r="AJ106" s="1208">
        <f t="shared" si="15"/>
        <v>0</v>
      </c>
      <c r="AK106" s="1215">
        <f t="shared" si="16"/>
        <v>0</v>
      </c>
      <c r="AL106" s="1216" t="s">
        <v>1058</v>
      </c>
      <c r="AM106" s="1891"/>
      <c r="AN106" s="1972"/>
      <c r="AO106" s="1974"/>
      <c r="AP106" s="1041" t="str">
        <f>C105</f>
        <v>29 - Redução do consumo MTP no passo do Blank VW000942AB / 943AB -5MM</v>
      </c>
      <c r="AQ106" s="1041" t="s">
        <v>313</v>
      </c>
      <c r="AR106" s="1063" t="str" cm="1">
        <f t="array" aca="1" ref="AR106" ca="1">IF(OR(AP106="",AP106=0),"",IF(SUMPRODUCT(($C$55:$C$159=AP106)*($U$54:AI$54&lt;=TODAY())*(ISNUMBER($U$56:AI$160)),$U$56:AI$160)=0,"",SUMPRODUCT(($C$55:$C$159=AP106)*($U$54:AI$54&lt;=TODAY())*(ISNUMBER($U$56:AI$160)),$U$56:AI$160)))</f>
        <v/>
      </c>
      <c r="AS106" s="1041" t="str">
        <f>A105</f>
        <v>BSW</v>
      </c>
      <c r="AT106" s="2112"/>
      <c r="AU106" s="2112"/>
    </row>
    <row r="107" spans="1:47" ht="29.1" customHeight="1" x14ac:dyDescent="0.3">
      <c r="A107" s="1928" t="s">
        <v>953</v>
      </c>
      <c r="B107" s="1882" t="s">
        <v>97</v>
      </c>
      <c r="C107" s="1930" t="s">
        <v>1059</v>
      </c>
      <c r="D107" s="1939" t="s">
        <v>1060</v>
      </c>
      <c r="E107" s="1932" t="s">
        <v>1061</v>
      </c>
      <c r="F107" s="1934" t="s">
        <v>1062</v>
      </c>
      <c r="G107" s="1936">
        <v>46082</v>
      </c>
      <c r="H107" s="1936">
        <v>46264</v>
      </c>
      <c r="I107" s="1938">
        <v>306000</v>
      </c>
      <c r="J107" s="1910">
        <v>46143</v>
      </c>
      <c r="K107" s="1912">
        <f t="shared" ref="K107:K111" si="137">IF(J107="", "", 12 - MONTH(J107) + 1)</f>
        <v>8</v>
      </c>
      <c r="L107" s="1894"/>
      <c r="M107" s="2002" t="s">
        <v>308</v>
      </c>
      <c r="N107" s="1902">
        <v>306000</v>
      </c>
      <c r="O107" s="1904" t="s">
        <v>83</v>
      </c>
      <c r="P107" s="1920" t="s">
        <v>1007</v>
      </c>
      <c r="Q107" s="1945">
        <v>46233</v>
      </c>
      <c r="R107" s="1904"/>
      <c r="S107" s="1210" t="s">
        <v>116</v>
      </c>
      <c r="T107" s="1211">
        <v>0.8</v>
      </c>
      <c r="U107" s="1195">
        <f>IFERROR(IF(AND(U$54&gt;=EOMONTH($J107,-1)+1,U$54&lt;=EOMONTH(EOMONTH($J107,-1)+1,$K107-1)),IF(NOT(ISBLANK($N107)),$N107/$K107,$I107/$K107),0),0)</f>
        <v>0</v>
      </c>
      <c r="V107" s="1195">
        <f>IFERROR(IF(AND(V$54&gt;=EOMONTH($J107,-1)+1,V$54&lt;=EOMONTH(EOMONTH($J107,-1)+1,$K107-1)),IF(NOT(ISBLANK($N107)),$N107/$K107,$I107/$K107),0),0)</f>
        <v>0</v>
      </c>
      <c r="W107" s="1195">
        <f>IFERROR(IF(AND(W$54&gt;=EOMONTH($J107,-1)+1,W$54&lt;=EOMONTH(EOMONTH($J107,-1)+1,$K107-1)),IF(NOT(ISBLANK($N107)),$N107/$K107,$I107/$K107),0),0)</f>
        <v>0</v>
      </c>
      <c r="X107" s="1196">
        <f t="shared" ref="X107" si="138">SUM(U107:W107)</f>
        <v>0</v>
      </c>
      <c r="Y107" s="1195">
        <f>IFERROR(IF(AND(Y$54&gt;=EOMONTH($J107,-1)+1,Y$54&lt;=EOMONTH(EOMONTH($J107,-1)+1,$K107-1)),IF(NOT(ISBLANK($N107)),$N107/$K107,$I107/$K107),0),0)</f>
        <v>0</v>
      </c>
      <c r="Z107" s="1195">
        <f>IFERROR(IF(AND(Z$54&gt;=EOMONTH($J107,-1)+1,Z$54&lt;=EOMONTH(EOMONTH($J107,-1)+1,$K107-1)),IF(NOT(ISBLANK($N107)),$N107/$K107,$I107/$K107),0),0)</f>
        <v>38250</v>
      </c>
      <c r="AA107" s="1195">
        <f>IFERROR(IF(AND(AA$54&gt;=EOMONTH($J107,-1)+1,AA$54&lt;=EOMONTH(EOMONTH($J107,-1)+1,$K107-1)),IF(NOT(ISBLANK($N107)),$N107/$K107,$I107/$K107),0),0)</f>
        <v>38250</v>
      </c>
      <c r="AB107" s="1196">
        <f t="shared" ref="AB107" si="139">SUM(Y107:AA107)</f>
        <v>76500</v>
      </c>
      <c r="AC107" s="1195">
        <f>IFERROR(IF(AND(AC$54&gt;=EOMONTH($J107,-1)+1,AC$54&lt;=EOMONTH(EOMONTH($J107,-1)+1,$K107-1)),IF(NOT(ISBLANK($N107)),$N107/$K107,$I107/$K107),0),0)</f>
        <v>38250</v>
      </c>
      <c r="AD107" s="1195">
        <f>IFERROR(IF(AND(AD$54&gt;=EOMONTH($J107,-1)+1,AD$54&lt;=EOMONTH(EOMONTH($J107,-1)+1,$K107-1)),IF(NOT(ISBLANK($N107)),$N107/$K107,$I107/$K107),0),0)</f>
        <v>38250</v>
      </c>
      <c r="AE107" s="1195">
        <f>IFERROR(IF(AND(AE$54&gt;=EOMONTH($J107,-1)+1,AE$54&lt;=EOMONTH(EOMONTH($J107,-1)+1,$K107-1)),IF(NOT(ISBLANK($N107)),$N107/$K107,$I107/$K107),0),0)</f>
        <v>38250</v>
      </c>
      <c r="AF107" s="1196">
        <f t="shared" ref="AF107" si="140">SUM(AC107:AE107)</f>
        <v>114750</v>
      </c>
      <c r="AG107" s="1195">
        <f>IFERROR(IF(AND(AG$54&gt;=EOMONTH($J107,-1)+1,AG$54&lt;=EOMONTH(EOMONTH($J107,-1)+1,$K107-1)),IF(NOT(ISBLANK($N107)),$N107/$K107,$I107/$K107),0),0)</f>
        <v>38250</v>
      </c>
      <c r="AH107" s="1195">
        <f>IFERROR(IF(AND(AH$54&gt;=EOMONTH($J107,-1)+1,AH$54&lt;=EOMONTH(EOMONTH($J107,-1)+1,$K107-1)),IF(NOT(ISBLANK($N107)),$N107/$K107,$I107/$K107),0),0)</f>
        <v>38250</v>
      </c>
      <c r="AI107" s="1195">
        <f>IFERROR(IF(AND(AI$54&gt;=EOMONTH($J107,-1)+1,AI$54&lt;=EOMONTH(EOMONTH($J107,-1)+1,$K107-1)),IF(NOT(ISBLANK($N107)),$N107/$K107,$I107/$K107),0),0)</f>
        <v>38250</v>
      </c>
      <c r="AJ107" s="1196">
        <f t="shared" ref="AJ107" si="141">SUM(AG107:AI107)</f>
        <v>114750</v>
      </c>
      <c r="AK107" s="1212">
        <f t="shared" si="16"/>
        <v>306000</v>
      </c>
      <c r="AL107" s="1213"/>
      <c r="AM107" s="1890"/>
      <c r="AN107" s="1971"/>
      <c r="AO107" s="1973">
        <f>N107*AN107</f>
        <v>0</v>
      </c>
      <c r="AP107" s="1041" t="str">
        <f>C107</f>
        <v>30 - Redução de Refugo</v>
      </c>
      <c r="AQ107" s="1041" t="s">
        <v>311</v>
      </c>
      <c r="AR107" s="1063" cm="1">
        <f t="array" aca="1" ref="AR107" ca="1">IF(OR(AP107="",AP107=0),"",IF(SUMPRODUCT(($C$55:$C$144=AP107)*(U$54:$AI$54&lt;EOMONTH(TODAY(),-1)+1)*(ISNUMBER(U$55:$AI$144)),U$55:$AI$144)=0,"",SUMPRODUCT(($C$55:$C$144=AP107)*(U$54:$AI$54&lt;EOMONTH(TODAY(),-1)+1)*(ISNUMBER(U$55:$AI$144)),U$55:$AI$144)))</f>
        <v>114750</v>
      </c>
      <c r="AS107" s="1041" t="str">
        <f>A107</f>
        <v>Redução de custo</v>
      </c>
      <c r="AT107" s="2111">
        <f>IF(OR(I107="",K107=""),0,(I107/12)*K107)</f>
        <v>204000</v>
      </c>
      <c r="AU107" s="2111">
        <f>IF(OR(N107="",K107="",K107=0),0,(N107/K107)*12)</f>
        <v>459000</v>
      </c>
    </row>
    <row r="108" spans="1:47" ht="29.1" customHeight="1" x14ac:dyDescent="0.3">
      <c r="A108" s="1929"/>
      <c r="B108" s="1883"/>
      <c r="C108" s="1931"/>
      <c r="D108" s="1940"/>
      <c r="E108" s="1933"/>
      <c r="F108" s="1935"/>
      <c r="G108" s="1937"/>
      <c r="H108" s="1937"/>
      <c r="I108" s="1937"/>
      <c r="J108" s="1911"/>
      <c r="K108" s="1913"/>
      <c r="L108" s="1895"/>
      <c r="M108" s="2003"/>
      <c r="N108" s="1966"/>
      <c r="O108" s="1905"/>
      <c r="P108" s="1921"/>
      <c r="Q108" s="1946"/>
      <c r="R108" s="1905"/>
      <c r="S108" s="1210" t="s">
        <v>117</v>
      </c>
      <c r="T108" s="1211">
        <v>0.8</v>
      </c>
      <c r="U108" s="1214" t="s">
        <v>959</v>
      </c>
      <c r="V108" s="1214" t="s">
        <v>959</v>
      </c>
      <c r="W108" s="1214" t="s">
        <v>959</v>
      </c>
      <c r="X108" s="1208">
        <f t="shared" si="12"/>
        <v>0</v>
      </c>
      <c r="Y108" s="1227" t="s">
        <v>959</v>
      </c>
      <c r="Z108" s="1238" t="s">
        <v>959</v>
      </c>
      <c r="AA108" s="1238" t="s">
        <v>959</v>
      </c>
      <c r="AB108" s="1208">
        <f t="shared" si="13"/>
        <v>0</v>
      </c>
      <c r="AC108" s="1238" t="s">
        <v>959</v>
      </c>
      <c r="AD108" s="1214" t="s">
        <v>959</v>
      </c>
      <c r="AE108" s="1214" t="s">
        <v>959</v>
      </c>
      <c r="AF108" s="1208">
        <f t="shared" si="14"/>
        <v>0</v>
      </c>
      <c r="AG108" s="1214" t="s">
        <v>959</v>
      </c>
      <c r="AH108" s="1214" t="s">
        <v>959</v>
      </c>
      <c r="AI108" s="1214" t="s">
        <v>959</v>
      </c>
      <c r="AJ108" s="1208">
        <f t="shared" si="15"/>
        <v>0</v>
      </c>
      <c r="AK108" s="1215">
        <f t="shared" si="16"/>
        <v>0</v>
      </c>
      <c r="AL108" s="1216"/>
      <c r="AM108" s="1891"/>
      <c r="AN108" s="1972"/>
      <c r="AO108" s="1974"/>
      <c r="AP108" s="1041" t="str">
        <f>C107</f>
        <v>30 - Redução de Refugo</v>
      </c>
      <c r="AQ108" s="1041" t="s">
        <v>313</v>
      </c>
      <c r="AR108" s="1063" t="str" cm="1">
        <f t="array" aca="1" ref="AR108" ca="1">IF(OR(AP108="",AP108=0),"",IF(SUMPRODUCT(($C$55:$C$159=AP108)*($U$54:AI$54&lt;=TODAY())*(ISNUMBER($U$56:AI$160)),$U$56:AI$160)=0,"",SUMPRODUCT(($C$55:$C$159=AP108)*($U$54:AI$54&lt;=TODAY())*(ISNUMBER($U$56:AI$160)),$U$56:AI$160)))</f>
        <v/>
      </c>
      <c r="AS108" s="1041" t="str">
        <f>A107</f>
        <v>Redução de custo</v>
      </c>
      <c r="AT108" s="2112"/>
      <c r="AU108" s="2112"/>
    </row>
    <row r="109" spans="1:47" ht="29.1" customHeight="1" x14ac:dyDescent="0.3">
      <c r="A109" s="1880" t="s">
        <v>953</v>
      </c>
      <c r="B109" s="1928" t="s">
        <v>97</v>
      </c>
      <c r="C109" s="1884" t="s">
        <v>1063</v>
      </c>
      <c r="D109" s="1886" t="s">
        <v>1064</v>
      </c>
      <c r="E109" s="1888" t="s">
        <v>1065</v>
      </c>
      <c r="F109" s="1890" t="s">
        <v>1066</v>
      </c>
      <c r="G109" s="1892">
        <v>46113</v>
      </c>
      <c r="H109" s="1892">
        <v>46142</v>
      </c>
      <c r="I109" s="1894">
        <v>1224</v>
      </c>
      <c r="J109" s="1896">
        <v>46113</v>
      </c>
      <c r="K109" s="1898">
        <f t="shared" si="132"/>
        <v>9</v>
      </c>
      <c r="L109" s="1914"/>
      <c r="M109" s="2004" t="s">
        <v>308</v>
      </c>
      <c r="N109" s="1998">
        <v>1224</v>
      </c>
      <c r="O109" s="1878" t="s">
        <v>81</v>
      </c>
      <c r="P109" s="1906" t="s">
        <v>990</v>
      </c>
      <c r="Q109" s="1908"/>
      <c r="R109" s="1878"/>
      <c r="S109" s="1204" t="s">
        <v>116</v>
      </c>
      <c r="T109" s="1205">
        <v>1</v>
      </c>
      <c r="U109" s="1195">
        <f>IFERROR(IF(AND(U$54&gt;=EOMONTH($J109,-1)+1,U$54&lt;=EOMONTH(EOMONTH($J109,-1)+1,$K109-1)),IF(NOT(ISBLANK($N109)),$N109/$K109,$I109/$K109),0),0)</f>
        <v>0</v>
      </c>
      <c r="V109" s="1195">
        <f>IFERROR(IF(AND(V$54&gt;=EOMONTH($J109,-1)+1,V$54&lt;=EOMONTH(EOMONTH($J109,-1)+1,$K109-1)),IF(NOT(ISBLANK($N109)),$N109/$K109,$I109/$K109),0),0)</f>
        <v>0</v>
      </c>
      <c r="W109" s="1195">
        <f>IFERROR(IF(AND(W$54&gt;=EOMONTH($J109,-1)+1,W$54&lt;=EOMONTH(EOMONTH($J109,-1)+1,$K109-1)),IF(NOT(ISBLANK($N109)),$N109/$K109,$I109/$K109),0),0)</f>
        <v>0</v>
      </c>
      <c r="X109" s="1196">
        <f t="shared" ref="X109" si="142">SUM(U109:W109)</f>
        <v>0</v>
      </c>
      <c r="Y109" s="1195">
        <f>IFERROR(IF(AND(Y$54&gt;=EOMONTH($J109,-1)+1,Y$54&lt;=EOMONTH(EOMONTH($J109,-1)+1,$K109-1)),IF(NOT(ISBLANK($N109)),$N109/$K109,$I109/$K109),0),0)</f>
        <v>136</v>
      </c>
      <c r="Z109" s="1195">
        <f>IFERROR(IF(AND(Z$54&gt;=EOMONTH($J109,-1)+1,Z$54&lt;=EOMONTH(EOMONTH($J109,-1)+1,$K109-1)),IF(NOT(ISBLANK($N109)),$N109/$K109,$I109/$K109),0),0)</f>
        <v>136</v>
      </c>
      <c r="AA109" s="1195">
        <f>IFERROR(IF(AND(AA$54&gt;=EOMONTH($J109,-1)+1,AA$54&lt;=EOMONTH(EOMONTH($J109,-1)+1,$K109-1)),IF(NOT(ISBLANK($N109)),$N109/$K109,$I109/$K109),0),0)</f>
        <v>136</v>
      </c>
      <c r="AB109" s="1196">
        <f t="shared" ref="AB109" si="143">SUM(Y109:AA109)</f>
        <v>408</v>
      </c>
      <c r="AC109" s="1195">
        <f>IFERROR(IF(AND(AC$54&gt;=EOMONTH($J109,-1)+1,AC$54&lt;=EOMONTH(EOMONTH($J109,-1)+1,$K109-1)),IF(NOT(ISBLANK($N109)),$N109/$K109,$I109/$K109),0),0)</f>
        <v>136</v>
      </c>
      <c r="AD109" s="1195">
        <f>IFERROR(IF(AND(AD$54&gt;=EOMONTH($J109,-1)+1,AD$54&lt;=EOMONTH(EOMONTH($J109,-1)+1,$K109-1)),IF(NOT(ISBLANK($N109)),$N109/$K109,$I109/$K109),0),0)</f>
        <v>136</v>
      </c>
      <c r="AE109" s="1195">
        <f>IFERROR(IF(AND(AE$54&gt;=EOMONTH($J109,-1)+1,AE$54&lt;=EOMONTH(EOMONTH($J109,-1)+1,$K109-1)),IF(NOT(ISBLANK($N109)),$N109/$K109,$I109/$K109),0),0)</f>
        <v>136</v>
      </c>
      <c r="AF109" s="1196">
        <f t="shared" ref="AF109" si="144">SUM(AC109:AE109)</f>
        <v>408</v>
      </c>
      <c r="AG109" s="1195">
        <f>IFERROR(IF(AND(AG$54&gt;=EOMONTH($J109,-1)+1,AG$54&lt;=EOMONTH(EOMONTH($J109,-1)+1,$K109-1)),IF(NOT(ISBLANK($N109)),$N109/$K109,$I109/$K109),0),0)</f>
        <v>136</v>
      </c>
      <c r="AH109" s="1195">
        <f>IFERROR(IF(AND(AH$54&gt;=EOMONTH($J109,-1)+1,AH$54&lt;=EOMONTH(EOMONTH($J109,-1)+1,$K109-1)),IF(NOT(ISBLANK($N109)),$N109/$K109,$I109/$K109),0),0)</f>
        <v>136</v>
      </c>
      <c r="AI109" s="1195">
        <f>IFERROR(IF(AND(AI$54&gt;=EOMONTH($J109,-1)+1,AI$54&lt;=EOMONTH(EOMONTH($J109,-1)+1,$K109-1)),IF(NOT(ISBLANK($N109)),$N109/$K109,$I109/$K109),0),0)</f>
        <v>136</v>
      </c>
      <c r="AJ109" s="1196">
        <f t="shared" ref="AJ109" si="145">SUM(AG109:AI109)</f>
        <v>408</v>
      </c>
      <c r="AK109" s="1206">
        <f t="shared" si="16"/>
        <v>1224</v>
      </c>
      <c r="AL109" s="1131"/>
      <c r="AM109" s="1928"/>
      <c r="AN109" s="1878"/>
      <c r="AO109" s="1969">
        <f>N109*AN109</f>
        <v>0</v>
      </c>
      <c r="AP109" s="1041" t="str">
        <f>C109</f>
        <v>31 - Redução impressora Backup</v>
      </c>
      <c r="AQ109" s="1041" t="s">
        <v>311</v>
      </c>
      <c r="AR109" s="1063" cm="1">
        <f t="array" aca="1" ref="AR109" ca="1">IF(OR(AP109="",AP109=0),"",IF(SUMPRODUCT(($C$55:$C$144=AP109)*(U$54:$AI$54&lt;EOMONTH(TODAY(),-1)+1)*(ISNUMBER(U$55:$AI$144)),U$55:$AI$144)=0,"",SUMPRODUCT(($C$55:$C$144=AP109)*(U$54:$AI$54&lt;EOMONTH(TODAY(),-1)+1)*(ISNUMBER(U$55:$AI$144)),U$55:$AI$144)))</f>
        <v>544</v>
      </c>
      <c r="AS109" s="1041" t="str">
        <f>A109</f>
        <v>Redução de custo</v>
      </c>
      <c r="AT109" s="2111">
        <f>IF(OR(I109="",K109=""),0,(I109/12)*K109)</f>
        <v>918</v>
      </c>
      <c r="AU109" s="2111">
        <f>IF(OR(N109="",K109="",K109=0),0,(N109/K109)*12)</f>
        <v>1632</v>
      </c>
    </row>
    <row r="110" spans="1:47" ht="29.1" customHeight="1" x14ac:dyDescent="0.3">
      <c r="A110" s="1881"/>
      <c r="B110" s="1929"/>
      <c r="C110" s="1885"/>
      <c r="D110" s="1887"/>
      <c r="E110" s="1889"/>
      <c r="F110" s="1891"/>
      <c r="G110" s="1893"/>
      <c r="H110" s="1893"/>
      <c r="I110" s="1895"/>
      <c r="J110" s="1897"/>
      <c r="K110" s="1899"/>
      <c r="L110" s="1915"/>
      <c r="M110" s="2005"/>
      <c r="N110" s="1999"/>
      <c r="O110" s="1879"/>
      <c r="P110" s="1907"/>
      <c r="Q110" s="1909"/>
      <c r="R110" s="1879"/>
      <c r="S110" s="1204" t="s">
        <v>117</v>
      </c>
      <c r="T110" s="1205">
        <v>1</v>
      </c>
      <c r="U110" s="1207" t="s">
        <v>959</v>
      </c>
      <c r="V110" s="1207" t="s">
        <v>959</v>
      </c>
      <c r="W110" s="1207" t="s">
        <v>959</v>
      </c>
      <c r="X110" s="1208">
        <f t="shared" si="12"/>
        <v>0</v>
      </c>
      <c r="Y110" s="1207">
        <v>102</v>
      </c>
      <c r="Z110" s="1207">
        <v>102</v>
      </c>
      <c r="AA110" s="1207">
        <v>102</v>
      </c>
      <c r="AB110" s="1208">
        <f t="shared" si="13"/>
        <v>306</v>
      </c>
      <c r="AC110" s="1207">
        <f>AC109</f>
        <v>136</v>
      </c>
      <c r="AD110" s="1207" t="s">
        <v>959</v>
      </c>
      <c r="AE110" s="1207" t="s">
        <v>959</v>
      </c>
      <c r="AF110" s="1208">
        <f t="shared" si="14"/>
        <v>136</v>
      </c>
      <c r="AG110" s="1207" t="s">
        <v>959</v>
      </c>
      <c r="AH110" s="1207" t="s">
        <v>959</v>
      </c>
      <c r="AI110" s="1207" t="s">
        <v>959</v>
      </c>
      <c r="AJ110" s="1208">
        <f t="shared" si="15"/>
        <v>0</v>
      </c>
      <c r="AK110" s="1209">
        <f t="shared" si="16"/>
        <v>442</v>
      </c>
      <c r="AL110" s="1131"/>
      <c r="AM110" s="1929"/>
      <c r="AN110" s="1879"/>
      <c r="AO110" s="1970"/>
      <c r="AP110" s="1041" t="str">
        <f>C109</f>
        <v>31 - Redução impressora Backup</v>
      </c>
      <c r="AQ110" s="1041" t="s">
        <v>313</v>
      </c>
      <c r="AR110" s="1063" cm="1">
        <f t="array" aca="1" ref="AR110" ca="1">IF(OR(AP110="",AP110=0),"",IF(SUMPRODUCT(($C$55:$C$159=AP110)*($U$54:AI$54&lt;=TODAY())*(ISNUMBER($U$56:AI$160)),$U$56:AI$160)=0,"",SUMPRODUCT(($C$55:$C$159=AP110)*($U$54:AI$54&lt;=TODAY())*(ISNUMBER($U$56:AI$160)),$U$56:AI$160)))</f>
        <v>442</v>
      </c>
      <c r="AS110" s="1041" t="str">
        <f>A109</f>
        <v>Redução de custo</v>
      </c>
      <c r="AT110" s="2112"/>
      <c r="AU110" s="2112"/>
    </row>
    <row r="111" spans="1:47" ht="29.1" customHeight="1" x14ac:dyDescent="0.3">
      <c r="A111" s="1928" t="s">
        <v>59</v>
      </c>
      <c r="B111" s="1882" t="s">
        <v>99</v>
      </c>
      <c r="C111" s="1930" t="s">
        <v>1067</v>
      </c>
      <c r="D111" s="1939" t="s">
        <v>1068</v>
      </c>
      <c r="E111" s="1932" t="s">
        <v>1069</v>
      </c>
      <c r="F111" s="1934" t="s">
        <v>1070</v>
      </c>
      <c r="G111" s="1936" t="s">
        <v>1071</v>
      </c>
      <c r="H111" s="1936">
        <v>46264</v>
      </c>
      <c r="I111" s="1938">
        <v>301000</v>
      </c>
      <c r="J111" s="1910">
        <v>46235</v>
      </c>
      <c r="K111" s="1912">
        <f t="shared" si="137"/>
        <v>5</v>
      </c>
      <c r="L111" s="1894"/>
      <c r="M111" s="1900" t="s">
        <v>308</v>
      </c>
      <c r="N111" s="1902">
        <v>89081.02</v>
      </c>
      <c r="O111" s="1904" t="s">
        <v>83</v>
      </c>
      <c r="P111" s="1920" t="s">
        <v>26</v>
      </c>
      <c r="Q111" s="1945">
        <v>46233</v>
      </c>
      <c r="R111" s="1904"/>
      <c r="S111" s="1210" t="s">
        <v>116</v>
      </c>
      <c r="T111" s="1211">
        <f ca="1">IF(OR(G111="", H111=""), "", IF(TODAY()&lt;G111, 0, IF(TODAY()&gt;H111, 1, (TODAY()-G111+1)/(H111-G111+1))))</f>
        <v>0</v>
      </c>
      <c r="U111" s="1195">
        <f>IFERROR(IF(AND(U$54&gt;=EOMONTH($J111,-1)+1,U$54&lt;=EOMONTH(EOMONTH($J111,-1)+1,$K111-1)),IF(NOT(ISBLANK($N111)),$N111/$K111,$I111/$K111),0),0)</f>
        <v>0</v>
      </c>
      <c r="V111" s="1195">
        <f>IFERROR(IF(AND(V$54&gt;=EOMONTH($J111,-1)+1,V$54&lt;=EOMONTH(EOMONTH($J111,-1)+1,$K111-1)),IF(NOT(ISBLANK($N111)),$N111/$K111,$I111/$K111),0),0)</f>
        <v>0</v>
      </c>
      <c r="W111" s="1195">
        <f>IFERROR(IF(AND(W$54&gt;=EOMONTH($J111,-1)+1,W$54&lt;=EOMONTH(EOMONTH($J111,-1)+1,$K111-1)),IF(NOT(ISBLANK($N111)),$N111/$K111,$I111/$K111),0),0)</f>
        <v>0</v>
      </c>
      <c r="X111" s="1196">
        <f t="shared" ref="X111" si="146">SUM(U111:W111)</f>
        <v>0</v>
      </c>
      <c r="Y111" s="1195">
        <f>IFERROR(IF(AND(Y$54&gt;=EOMONTH($J111,-1)+1,Y$54&lt;=EOMONTH(EOMONTH($J111,-1)+1,$K111-1)),IF(NOT(ISBLANK($N111)),$N111/$K111,$I111/$K111),0),0)</f>
        <v>0</v>
      </c>
      <c r="Z111" s="1195">
        <f>IFERROR(IF(AND(Z$54&gt;=EOMONTH($J111,-1)+1,Z$54&lt;=EOMONTH(EOMONTH($J111,-1)+1,$K111-1)),IF(NOT(ISBLANK($N111)),$N111/$K111,$I111/$K111),0),0)</f>
        <v>0</v>
      </c>
      <c r="AA111" s="1195">
        <f>IFERROR(IF(AND(AA$54&gt;=EOMONTH($J111,-1)+1,AA$54&lt;=EOMONTH(EOMONTH($J111,-1)+1,$K111-1)),IF(NOT(ISBLANK($N111)),$N111/$K111,$I111/$K111),0),0)</f>
        <v>0</v>
      </c>
      <c r="AB111" s="1196">
        <f t="shared" ref="AB111" si="147">SUM(Y111:AA111)</f>
        <v>0</v>
      </c>
      <c r="AC111" s="1195">
        <f>IFERROR(IF(AND(AC$54&gt;=EOMONTH($J111,-1)+1,AC$54&lt;=EOMONTH(EOMONTH($J111,-1)+1,$K111-1)),IF(NOT(ISBLANK($N111)),$N111/$K111,$I111/$K111),0),0)</f>
        <v>0</v>
      </c>
      <c r="AD111" s="1195">
        <f>IFERROR(IF(AND(AD$54&gt;=EOMONTH($J111,-1)+1,AD$54&lt;=EOMONTH(EOMONTH($J111,-1)+1,$K111-1)),IF(NOT(ISBLANK($N111)),$N111/$K111,$I111/$K111),0),0)</f>
        <v>17816.204000000002</v>
      </c>
      <c r="AE111" s="1195">
        <f>IFERROR(IF(AND(AE$54&gt;=EOMONTH($J111,-1)+1,AE$54&lt;=EOMONTH(EOMONTH($J111,-1)+1,$K111-1)),IF(NOT(ISBLANK($N111)),$N111/$K111,$I111/$K111),0),0)</f>
        <v>17816.204000000002</v>
      </c>
      <c r="AF111" s="1196">
        <f t="shared" ref="AF111" si="148">SUM(AC111:AE111)</f>
        <v>35632.408000000003</v>
      </c>
      <c r="AG111" s="1195">
        <f>IFERROR(IF(AND(AG$54&gt;=EOMONTH($J111,-1)+1,AG$54&lt;=EOMONTH(EOMONTH($J111,-1)+1,$K111-1)),IF(NOT(ISBLANK($N111)),$N111/$K111,$I111/$K111),0),0)</f>
        <v>17816.204000000002</v>
      </c>
      <c r="AH111" s="1195">
        <f>IFERROR(IF(AND(AH$54&gt;=EOMONTH($J111,-1)+1,AH$54&lt;=EOMONTH(EOMONTH($J111,-1)+1,$K111-1)),IF(NOT(ISBLANK($N111)),$N111/$K111,$I111/$K111),0),0)</f>
        <v>17816.204000000002</v>
      </c>
      <c r="AI111" s="1195">
        <f>IFERROR(IF(AND(AI$54&gt;=EOMONTH($J111,-1)+1,AI$54&lt;=EOMONTH(EOMONTH($J111,-1)+1,$K111-1)),IF(NOT(ISBLANK($N111)),$N111/$K111,$I111/$K111),0),0)</f>
        <v>17816.204000000002</v>
      </c>
      <c r="AJ111" s="1196">
        <f t="shared" ref="AJ111" si="149">SUM(AG111:AI111)</f>
        <v>53448.612000000008</v>
      </c>
      <c r="AK111" s="1212">
        <f t="shared" ref="AK111:AK140" si="150">SUM(X111,AB111,AF111,AJ111)</f>
        <v>89081.020000000019</v>
      </c>
      <c r="AL111" s="1213"/>
      <c r="AM111" s="1890"/>
      <c r="AN111" s="1971"/>
      <c r="AO111" s="1973">
        <f>N111*AN111</f>
        <v>0</v>
      </c>
      <c r="AP111" s="1041" t="str">
        <f>C111</f>
        <v>32 - Empilhadeiras Elétricas</v>
      </c>
      <c r="AQ111" s="1041" t="s">
        <v>311</v>
      </c>
      <c r="AR111" s="1063" t="str" cm="1">
        <f t="array" aca="1" ref="AR111" ca="1">IF(OR(AP111="",AP111=0),"",IF(SUMPRODUCT(($C$55:$C$144=AP111)*(U$54:$AI$54&lt;EOMONTH(TODAY(),-1)+1)*(ISNUMBER(U$55:$AI$144)),U$55:$AI$144)=0,"",SUMPRODUCT(($C$55:$C$144=AP111)*(U$54:$AI$54&lt;EOMONTH(TODAY(),-1)+1)*(ISNUMBER(U$55:$AI$144)),U$55:$AI$144)))</f>
        <v/>
      </c>
      <c r="AS111" s="1041" t="str">
        <f>A111</f>
        <v>Kaizen - Ganho Recorrente</v>
      </c>
      <c r="AT111" s="2111">
        <f>IF(OR(I111="",K111=""),0,(I111/12)*K111)</f>
        <v>125416.66666666666</v>
      </c>
      <c r="AU111" s="2111">
        <f>IF(OR(N111="",K111="",K111=0),0,(N111/K111)*12)</f>
        <v>213794.44800000003</v>
      </c>
    </row>
    <row r="112" spans="1:47" ht="29.1" customHeight="1" x14ac:dyDescent="0.3">
      <c r="A112" s="1929"/>
      <c r="B112" s="1883"/>
      <c r="C112" s="1931"/>
      <c r="D112" s="1940"/>
      <c r="E112" s="1933"/>
      <c r="F112" s="1935"/>
      <c r="G112" s="1937"/>
      <c r="H112" s="1937"/>
      <c r="I112" s="1937"/>
      <c r="J112" s="1911"/>
      <c r="K112" s="1913"/>
      <c r="L112" s="1895"/>
      <c r="M112" s="1993"/>
      <c r="N112" s="1966"/>
      <c r="O112" s="1905"/>
      <c r="P112" s="1921"/>
      <c r="Q112" s="1946"/>
      <c r="R112" s="1905"/>
      <c r="S112" s="1210" t="s">
        <v>117</v>
      </c>
      <c r="T112" s="1211"/>
      <c r="U112" s="1214" t="s">
        <v>959</v>
      </c>
      <c r="V112" s="1214" t="s">
        <v>959</v>
      </c>
      <c r="W112" s="1214" t="s">
        <v>959</v>
      </c>
      <c r="X112" s="1208">
        <f t="shared" si="12"/>
        <v>0</v>
      </c>
      <c r="Y112" s="1214" t="s">
        <v>959</v>
      </c>
      <c r="Z112" s="1214" t="s">
        <v>959</v>
      </c>
      <c r="AA112" s="1227" t="s">
        <v>959</v>
      </c>
      <c r="AB112" s="1208">
        <f t="shared" si="13"/>
        <v>0</v>
      </c>
      <c r="AC112" s="1214" t="s">
        <v>959</v>
      </c>
      <c r="AD112" s="1214" t="s">
        <v>959</v>
      </c>
      <c r="AE112" s="1214" t="s">
        <v>959</v>
      </c>
      <c r="AF112" s="1208">
        <f t="shared" si="14"/>
        <v>0</v>
      </c>
      <c r="AG112" s="1214" t="s">
        <v>959</v>
      </c>
      <c r="AH112" s="1214" t="s">
        <v>959</v>
      </c>
      <c r="AI112" s="1214" t="s">
        <v>959</v>
      </c>
      <c r="AJ112" s="1208">
        <f t="shared" si="15"/>
        <v>0</v>
      </c>
      <c r="AK112" s="1215">
        <f t="shared" si="150"/>
        <v>0</v>
      </c>
      <c r="AL112" s="1216"/>
      <c r="AM112" s="1891"/>
      <c r="AN112" s="1972"/>
      <c r="AO112" s="1974"/>
      <c r="AP112" s="1041" t="str">
        <f>C111</f>
        <v>32 - Empilhadeiras Elétricas</v>
      </c>
      <c r="AQ112" s="1041" t="s">
        <v>313</v>
      </c>
      <c r="AR112" s="1063" t="str" cm="1">
        <f t="array" aca="1" ref="AR112" ca="1">IF(OR(AP112="",AP112=0),"",IF(SUMPRODUCT(($C$55:$C$159=AP112)*($U$54:AI$54&lt;=TODAY())*(ISNUMBER($U$56:AI$160)),$U$56:AI$160)=0,"",SUMPRODUCT(($C$55:$C$159=AP112)*($U$54:AI$54&lt;=TODAY())*(ISNUMBER($U$56:AI$160)),$U$56:AI$160)))</f>
        <v/>
      </c>
      <c r="AS112" s="1041" t="str">
        <f>A111</f>
        <v>Kaizen - Ganho Recorrente</v>
      </c>
      <c r="AT112" s="2112"/>
      <c r="AU112" s="2112"/>
    </row>
    <row r="113" spans="1:47" ht="29.1" customHeight="1" x14ac:dyDescent="0.3">
      <c r="A113" s="1880" t="s">
        <v>953</v>
      </c>
      <c r="B113" s="1928" t="s">
        <v>97</v>
      </c>
      <c r="C113" s="1884" t="s">
        <v>1072</v>
      </c>
      <c r="D113" s="1886" t="s">
        <v>1073</v>
      </c>
      <c r="E113" s="1888" t="s">
        <v>1074</v>
      </c>
      <c r="F113" s="1890" t="s">
        <v>1066</v>
      </c>
      <c r="G113" s="1892">
        <v>46113</v>
      </c>
      <c r="H113" s="1892">
        <v>46235</v>
      </c>
      <c r="I113" s="1894">
        <v>2500</v>
      </c>
      <c r="J113" s="1896">
        <v>46235</v>
      </c>
      <c r="K113" s="1898">
        <f t="shared" ref="K113:K115" si="151">IF(J113="", "", 12 - MONTH(J113) + 1)</f>
        <v>5</v>
      </c>
      <c r="L113" s="1926"/>
      <c r="M113" s="2004"/>
      <c r="N113" s="1998"/>
      <c r="O113" s="1878" t="s">
        <v>83</v>
      </c>
      <c r="P113" s="1906" t="s">
        <v>1075</v>
      </c>
      <c r="Q113" s="1947">
        <v>46233</v>
      </c>
      <c r="R113" s="1878"/>
      <c r="S113" s="1204" t="s">
        <v>116</v>
      </c>
      <c r="T113" s="1205">
        <f>AVERAGE([28]Estrutura!$I$5:$I$7)</f>
        <v>0.5</v>
      </c>
      <c r="U113" s="1195">
        <f>IFERROR(IF(AND(U$54&gt;=EOMONTH($J113,-1)+1,U$54&lt;=EOMONTH(EOMONTH($J113,-1)+1,$K113-1)),IF(NOT(ISBLANK($N113)),$N113/$K113,$I113/$K113),0),0)</f>
        <v>0</v>
      </c>
      <c r="V113" s="1195">
        <f>IFERROR(IF(AND(V$54&gt;=EOMONTH($J113,-1)+1,V$54&lt;=EOMONTH(EOMONTH($J113,-1)+1,$K113-1)),IF(NOT(ISBLANK($N113)),$N113/$K113,$I113/$K113),0),0)</f>
        <v>0</v>
      </c>
      <c r="W113" s="1195">
        <f>IFERROR(IF(AND(W$54&gt;=EOMONTH($J113,-1)+1,W$54&lt;=EOMONTH(EOMONTH($J113,-1)+1,$K113-1)),IF(NOT(ISBLANK($N113)),$N113/$K113,$I113/$K113),0),0)</f>
        <v>0</v>
      </c>
      <c r="X113" s="1196">
        <f t="shared" ref="X113" si="152">SUM(U113:W113)</f>
        <v>0</v>
      </c>
      <c r="Y113" s="1195">
        <f>IFERROR(IF(AND(Y$54&gt;=EOMONTH($J113,-1)+1,Y$54&lt;=EOMONTH(EOMONTH($J113,-1)+1,$K113-1)),IF(NOT(ISBLANK($N113)),$N113/$K113,$I113/$K113),0),0)</f>
        <v>0</v>
      </c>
      <c r="Z113" s="1195">
        <f>IFERROR(IF(AND(Z$54&gt;=EOMONTH($J113,-1)+1,Z$54&lt;=EOMONTH(EOMONTH($J113,-1)+1,$K113-1)),IF(NOT(ISBLANK($N113)),$N113/$K113,$I113/$K113),0),0)</f>
        <v>0</v>
      </c>
      <c r="AA113" s="1195">
        <f>IFERROR(IF(AND(AA$54&gt;=EOMONTH($J113,-1)+1,AA$54&lt;=EOMONTH(EOMONTH($J113,-1)+1,$K113-1)),IF(NOT(ISBLANK($N113)),$N113/$K113,$I113/$K113),0),0)</f>
        <v>0</v>
      </c>
      <c r="AB113" s="1196">
        <f t="shared" ref="AB113" si="153">SUM(Y113:AA113)</f>
        <v>0</v>
      </c>
      <c r="AC113" s="1195">
        <f>IFERROR(IF(AND(AC$54&gt;=EOMONTH($J113,-1)+1,AC$54&lt;=EOMONTH(EOMONTH($J113,-1)+1,$K113-1)),IF(NOT(ISBLANK($N113)),$N113/$K113,$I113/$K113),0),0)</f>
        <v>0</v>
      </c>
      <c r="AD113" s="1195">
        <f>IFERROR(IF(AND(AD$54&gt;=EOMONTH($J113,-1)+1,AD$54&lt;=EOMONTH(EOMONTH($J113,-1)+1,$K113-1)),IF(NOT(ISBLANK($N113)),$N113/$K113,$I113/$K113),0),0)</f>
        <v>500</v>
      </c>
      <c r="AE113" s="1195">
        <f>IFERROR(IF(AND(AE$54&gt;=EOMONTH($J113,-1)+1,AE$54&lt;=EOMONTH(EOMONTH($J113,-1)+1,$K113-1)),IF(NOT(ISBLANK($N113)),$N113/$K113,$I113/$K113),0),0)</f>
        <v>500</v>
      </c>
      <c r="AF113" s="1196">
        <f t="shared" ref="AF113" si="154">SUM(AC113:AE113)</f>
        <v>1000</v>
      </c>
      <c r="AG113" s="1195">
        <f>IFERROR(IF(AND(AG$54&gt;=EOMONTH($J113,-1)+1,AG$54&lt;=EOMONTH(EOMONTH($J113,-1)+1,$K113-1)),IF(NOT(ISBLANK($N113)),$N113/$K113,$I113/$K113),0),0)</f>
        <v>500</v>
      </c>
      <c r="AH113" s="1195">
        <f>IFERROR(IF(AND(AH$54&gt;=EOMONTH($J113,-1)+1,AH$54&lt;=EOMONTH(EOMONTH($J113,-1)+1,$K113-1)),IF(NOT(ISBLANK($N113)),$N113/$K113,$I113/$K113),0),0)</f>
        <v>500</v>
      </c>
      <c r="AI113" s="1195">
        <f>IFERROR(IF(AND(AI$54&gt;=EOMONTH($J113,-1)+1,AI$54&lt;=EOMONTH(EOMONTH($J113,-1)+1,$K113-1)),IF(NOT(ISBLANK($N113)),$N113/$K113,$I113/$K113),0),0)</f>
        <v>500</v>
      </c>
      <c r="AJ113" s="1196">
        <f t="shared" ref="AJ113" si="155">SUM(AG113:AI113)</f>
        <v>1500</v>
      </c>
      <c r="AK113" s="1206">
        <f t="shared" si="150"/>
        <v>2500</v>
      </c>
      <c r="AL113" s="1131"/>
      <c r="AM113" s="1928"/>
      <c r="AN113" s="1878"/>
      <c r="AO113" s="1969">
        <f>N113*AN113</f>
        <v>0</v>
      </c>
      <c r="AP113" s="1041" t="str">
        <f>C113</f>
        <v>33- Rollout impressora Administrativo</v>
      </c>
      <c r="AQ113" s="1041" t="s">
        <v>311</v>
      </c>
      <c r="AR113" s="1063" t="str" cm="1">
        <f t="array" aca="1" ref="AR113" ca="1">IF(OR(AP113="",AP113=0),"",IF(SUMPRODUCT(($C$55:$C$144=AP113)*(U$54:$AI$54&lt;EOMONTH(TODAY(),-1)+1)*(ISNUMBER(U$55:$AI$144)),U$55:$AI$144)=0,"",SUMPRODUCT(($C$55:$C$144=AP113)*(U$54:$AI$54&lt;EOMONTH(TODAY(),-1)+1)*(ISNUMBER(U$55:$AI$144)),U$55:$AI$144)))</f>
        <v/>
      </c>
      <c r="AS113" s="1041" t="str">
        <f>A113</f>
        <v>Redução de custo</v>
      </c>
      <c r="AT113" s="2111">
        <f>IF(OR(I113="",K113=""),0,(I113/12)*K113)</f>
        <v>1041.6666666666667</v>
      </c>
      <c r="AU113" s="2111">
        <f>IF(OR(N113="",K113="",K113=0),0,(N113/K113)*12)</f>
        <v>0</v>
      </c>
    </row>
    <row r="114" spans="1:47" ht="29.1" customHeight="1" x14ac:dyDescent="0.3">
      <c r="A114" s="1881"/>
      <c r="B114" s="1929"/>
      <c r="C114" s="1885"/>
      <c r="D114" s="1887"/>
      <c r="E114" s="1889"/>
      <c r="F114" s="1891"/>
      <c r="G114" s="1893"/>
      <c r="H114" s="1893"/>
      <c r="I114" s="1895"/>
      <c r="J114" s="1897"/>
      <c r="K114" s="1899"/>
      <c r="L114" s="1927"/>
      <c r="M114" s="2005"/>
      <c r="N114" s="1999"/>
      <c r="O114" s="1879"/>
      <c r="P114" s="1907"/>
      <c r="Q114" s="1948"/>
      <c r="R114" s="1879"/>
      <c r="S114" s="1204" t="s">
        <v>117</v>
      </c>
      <c r="T114" s="1205">
        <f>AVERAGE([28]Estrutura!$J$5:$J$7)</f>
        <v>0.66666666666666663</v>
      </c>
      <c r="U114" s="1207" t="s">
        <v>959</v>
      </c>
      <c r="V114" s="1207" t="s">
        <v>959</v>
      </c>
      <c r="W114" s="1207" t="s">
        <v>959</v>
      </c>
      <c r="X114" s="1208">
        <f t="shared" si="12"/>
        <v>0</v>
      </c>
      <c r="Y114" s="1207" t="s">
        <v>959</v>
      </c>
      <c r="Z114" s="1207" t="s">
        <v>959</v>
      </c>
      <c r="AA114" s="1207" t="s">
        <v>959</v>
      </c>
      <c r="AB114" s="1208">
        <f t="shared" si="13"/>
        <v>0</v>
      </c>
      <c r="AC114" s="1207" t="s">
        <v>959</v>
      </c>
      <c r="AD114" s="1207" t="s">
        <v>959</v>
      </c>
      <c r="AE114" s="1207" t="s">
        <v>959</v>
      </c>
      <c r="AF114" s="1208">
        <f t="shared" si="14"/>
        <v>0</v>
      </c>
      <c r="AG114" s="1207" t="s">
        <v>959</v>
      </c>
      <c r="AH114" s="1207" t="s">
        <v>959</v>
      </c>
      <c r="AI114" s="1207" t="s">
        <v>959</v>
      </c>
      <c r="AJ114" s="1208">
        <f t="shared" si="15"/>
        <v>0</v>
      </c>
      <c r="AK114" s="1209">
        <f t="shared" si="150"/>
        <v>0</v>
      </c>
      <c r="AL114" s="1131"/>
      <c r="AM114" s="1929"/>
      <c r="AN114" s="1879"/>
      <c r="AO114" s="1970"/>
      <c r="AP114" s="1041" t="str">
        <f>C113</f>
        <v>33- Rollout impressora Administrativo</v>
      </c>
      <c r="AQ114" s="1041" t="s">
        <v>313</v>
      </c>
      <c r="AR114" s="1063" t="str" cm="1">
        <f t="array" aca="1" ref="AR114" ca="1">IF(OR(AP114="",AP114=0),"",IF(SUMPRODUCT(($C$55:$C$159=AP114)*($U$54:AI$54&lt;=TODAY())*(ISNUMBER($U$56:AI$160)),$U$56:AI$160)=0,"",SUMPRODUCT(($C$55:$C$159=AP114)*($U$54:AI$54&lt;=TODAY())*(ISNUMBER($U$56:AI$160)),$U$56:AI$160)))</f>
        <v/>
      </c>
      <c r="AS114" s="1041" t="str">
        <f>A113</f>
        <v>Redução de custo</v>
      </c>
      <c r="AT114" s="2112"/>
      <c r="AU114" s="2112"/>
    </row>
    <row r="115" spans="1:47" ht="29.1" customHeight="1" x14ac:dyDescent="0.3">
      <c r="A115" s="1928" t="s">
        <v>61</v>
      </c>
      <c r="B115" s="1882" t="s">
        <v>97</v>
      </c>
      <c r="C115" s="1930" t="s">
        <v>1076</v>
      </c>
      <c r="D115" s="2105" t="s">
        <v>1077</v>
      </c>
      <c r="E115" s="1932" t="s">
        <v>1078</v>
      </c>
      <c r="F115" s="1934" t="s">
        <v>1070</v>
      </c>
      <c r="G115" s="1936">
        <v>46023</v>
      </c>
      <c r="H115" s="1936">
        <v>46388</v>
      </c>
      <c r="I115" s="1938">
        <v>50000</v>
      </c>
      <c r="J115" s="1910">
        <v>46264</v>
      </c>
      <c r="K115" s="1912">
        <f t="shared" si="151"/>
        <v>5</v>
      </c>
      <c r="L115" s="1996"/>
      <c r="M115" s="1996"/>
      <c r="N115" s="1996"/>
      <c r="O115" s="1904" t="s">
        <v>83</v>
      </c>
      <c r="P115" s="1920" t="s">
        <v>1079</v>
      </c>
      <c r="Q115" s="1925">
        <v>46264</v>
      </c>
      <c r="R115" s="1904"/>
      <c r="S115" s="1210" t="s">
        <v>116</v>
      </c>
      <c r="T115" s="1194" t="e">
        <f>AVERAGE(#REF!)</f>
        <v>#REF!</v>
      </c>
      <c r="U115" s="1195">
        <f>IFERROR(IF(AND(U$54&gt;=EOMONTH($J115,-1)+1,U$54&lt;=EOMONTH(EOMONTH($J115,-1)+1,$K115-1)),IF(NOT(ISBLANK($N115)),$N115/$K115,$I115/$K115),0),0)</f>
        <v>0</v>
      </c>
      <c r="V115" s="1195">
        <f>IFERROR(IF(AND(V$54&gt;=EOMONTH($J115,-1)+1,V$54&lt;=EOMONTH(EOMONTH($J115,-1)+1,$K115-1)),IF(NOT(ISBLANK($N115)),$N115/$K115,$I115/$K115),0),0)</f>
        <v>0</v>
      </c>
      <c r="W115" s="1195">
        <f>IFERROR(IF(AND(W$54&gt;=EOMONTH($J115,-1)+1,W$54&lt;=EOMONTH(EOMONTH($J115,-1)+1,$K115-1)),IF(NOT(ISBLANK($N115)),$N115/$K115,$I115/$K115),0),0)</f>
        <v>0</v>
      </c>
      <c r="X115" s="1196">
        <f t="shared" ref="X115" si="156">SUM(U115:W115)</f>
        <v>0</v>
      </c>
      <c r="Y115" s="1195">
        <f>IFERROR(IF(AND(Y$54&gt;=EOMONTH($J115,-1)+1,Y$54&lt;=EOMONTH(EOMONTH($J115,-1)+1,$K115-1)),IF(NOT(ISBLANK($N115)),$N115/$K115,$I115/$K115),0),0)</f>
        <v>0</v>
      </c>
      <c r="Z115" s="1195">
        <f>IFERROR(IF(AND(Z$54&gt;=EOMONTH($J115,-1)+1,Z$54&lt;=EOMONTH(EOMONTH($J115,-1)+1,$K115-1)),IF(NOT(ISBLANK($N115)),$N115/$K115,$I115/$K115),0),0)</f>
        <v>0</v>
      </c>
      <c r="AA115" s="1195">
        <f>IFERROR(IF(AND(AA$54&gt;=EOMONTH($J115,-1)+1,AA$54&lt;=EOMONTH(EOMONTH($J115,-1)+1,$K115-1)),IF(NOT(ISBLANK($N115)),$N115/$K115,$I115/$K115),0),0)</f>
        <v>0</v>
      </c>
      <c r="AB115" s="1196">
        <f t="shared" ref="AB115" si="157">SUM(Y115:AA115)</f>
        <v>0</v>
      </c>
      <c r="AC115" s="1195">
        <f>IFERROR(IF(AND(AC$54&gt;=EOMONTH($J115,-1)+1,AC$54&lt;=EOMONTH(EOMONTH($J115,-1)+1,$K115-1)),IF(NOT(ISBLANK($N115)),$N115/$K115,$I115/$K115),0),0)</f>
        <v>0</v>
      </c>
      <c r="AD115" s="1195">
        <f>IFERROR(IF(AND(AD$54&gt;=EOMONTH($J115,-1)+1,AD$54&lt;=EOMONTH(EOMONTH($J115,-1)+1,$K115-1)),IF(NOT(ISBLANK($N115)),$N115/$K115,$I115/$K115),0),0)</f>
        <v>10000</v>
      </c>
      <c r="AE115" s="1195">
        <f>IFERROR(IF(AND(AE$54&gt;=EOMONTH($J115,-1)+1,AE$54&lt;=EOMONTH(EOMONTH($J115,-1)+1,$K115-1)),IF(NOT(ISBLANK($N115)),$N115/$K115,$I115/$K115),0),0)</f>
        <v>10000</v>
      </c>
      <c r="AF115" s="1196">
        <f t="shared" ref="AF115" si="158">SUM(AC115:AE115)</f>
        <v>20000</v>
      </c>
      <c r="AG115" s="1195">
        <f>IFERROR(IF(AND(AG$54&gt;=EOMONTH($J115,-1)+1,AG$54&lt;=EOMONTH(EOMONTH($J115,-1)+1,$K115-1)),IF(NOT(ISBLANK($N115)),$N115/$K115,$I115/$K115),0),0)</f>
        <v>10000</v>
      </c>
      <c r="AH115" s="1195">
        <f>IFERROR(IF(AND(AH$54&gt;=EOMONTH($J115,-1)+1,AH$54&lt;=EOMONTH(EOMONTH($J115,-1)+1,$K115-1)),IF(NOT(ISBLANK($N115)),$N115/$K115,$I115/$K115),0),0)</f>
        <v>10000</v>
      </c>
      <c r="AI115" s="1195">
        <f>IFERROR(IF(AND(AI$54&gt;=EOMONTH($J115,-1)+1,AI$54&lt;=EOMONTH(EOMONTH($J115,-1)+1,$K115-1)),IF(NOT(ISBLANK($N115)),$N115/$K115,$I115/$K115),0),0)</f>
        <v>10000</v>
      </c>
      <c r="AJ115" s="1196">
        <f t="shared" ref="AJ115" si="159">SUM(AG115:AI115)</f>
        <v>30000</v>
      </c>
      <c r="AK115" s="1212">
        <f t="shared" si="150"/>
        <v>50000</v>
      </c>
      <c r="AL115" s="1213"/>
      <c r="AM115" s="1890"/>
      <c r="AN115" s="1971"/>
      <c r="AO115" s="1973">
        <f>N115*AN115</f>
        <v>0</v>
      </c>
      <c r="AP115" s="1041" t="str">
        <f>C115</f>
        <v>34 - Iluminação em LED</v>
      </c>
      <c r="AQ115" s="1041" t="s">
        <v>311</v>
      </c>
      <c r="AR115" s="1063" t="str" cm="1">
        <f t="array" aca="1" ref="AR115" ca="1">IF(OR(AP115="",AP115=0),"",IF(SUMPRODUCT(($C$55:$C$144=AP115)*(U$54:$AI$54&lt;EOMONTH(TODAY(),-1)+1)*(ISNUMBER(U$55:$AI$144)),U$55:$AI$144)=0,"",SUMPRODUCT(($C$55:$C$144=AP115)*(U$54:$AI$54&lt;EOMONTH(TODAY(),-1)+1)*(ISNUMBER(U$55:$AI$144)),U$55:$AI$144)))</f>
        <v/>
      </c>
      <c r="AS115" s="1041" t="str">
        <f>A115</f>
        <v>Kaizen - Custo Evitado</v>
      </c>
      <c r="AT115" s="2111">
        <f>IF(OR(I115="",K115=""),0,(I115/12)*K115)</f>
        <v>20833.333333333336</v>
      </c>
      <c r="AU115" s="2111">
        <f>IF(OR(N115="",K115="",K115=0),0,(N115/K115)*12)</f>
        <v>0</v>
      </c>
    </row>
    <row r="116" spans="1:47" ht="29.1" customHeight="1" x14ac:dyDescent="0.3">
      <c r="A116" s="1929"/>
      <c r="B116" s="1883"/>
      <c r="C116" s="1931"/>
      <c r="D116" s="1940"/>
      <c r="E116" s="1933"/>
      <c r="F116" s="1935"/>
      <c r="G116" s="1937"/>
      <c r="H116" s="1937"/>
      <c r="I116" s="1937"/>
      <c r="J116" s="1911"/>
      <c r="K116" s="1913"/>
      <c r="L116" s="2110"/>
      <c r="M116" s="1997"/>
      <c r="N116" s="1997"/>
      <c r="O116" s="1905"/>
      <c r="P116" s="1921"/>
      <c r="Q116" s="1923"/>
      <c r="R116" s="1905"/>
      <c r="S116" s="1210" t="s">
        <v>117</v>
      </c>
      <c r="T116" s="1194" t="e">
        <f>AVERAGE(#REF!)</f>
        <v>#REF!</v>
      </c>
      <c r="U116" s="1229" t="s">
        <v>959</v>
      </c>
      <c r="V116" s="1229" t="s">
        <v>959</v>
      </c>
      <c r="W116" s="1229" t="s">
        <v>959</v>
      </c>
      <c r="X116" s="1230">
        <f t="shared" si="12"/>
        <v>0</v>
      </c>
      <c r="Y116" s="1229" t="s">
        <v>959</v>
      </c>
      <c r="Z116" s="1229" t="s">
        <v>959</v>
      </c>
      <c r="AA116" s="1229" t="s">
        <v>959</v>
      </c>
      <c r="AB116" s="1230">
        <f t="shared" si="13"/>
        <v>0</v>
      </c>
      <c r="AC116" s="1229" t="s">
        <v>959</v>
      </c>
      <c r="AD116" s="1229" t="s">
        <v>959</v>
      </c>
      <c r="AE116" s="1229" t="s">
        <v>959</v>
      </c>
      <c r="AF116" s="1230">
        <f t="shared" si="14"/>
        <v>0</v>
      </c>
      <c r="AG116" s="1229" t="s">
        <v>959</v>
      </c>
      <c r="AH116" s="1229" t="s">
        <v>959</v>
      </c>
      <c r="AI116" s="1229" t="s">
        <v>959</v>
      </c>
      <c r="AJ116" s="1230">
        <f t="shared" si="15"/>
        <v>0</v>
      </c>
      <c r="AK116" s="1231">
        <f t="shared" si="150"/>
        <v>0</v>
      </c>
      <c r="AL116" s="1216"/>
      <c r="AM116" s="1891"/>
      <c r="AN116" s="1972"/>
      <c r="AO116" s="1974"/>
      <c r="AP116" s="1041" t="str">
        <f>C115</f>
        <v>34 - Iluminação em LED</v>
      </c>
      <c r="AQ116" s="1041" t="s">
        <v>313</v>
      </c>
      <c r="AR116" s="1063" t="str" cm="1">
        <f t="array" aca="1" ref="AR116" ca="1">IF(OR(AP116="",AP116=0),"",IF(SUMPRODUCT(($C$55:$C$159=AP116)*($U$54:AI$54&lt;=TODAY())*(ISNUMBER($U$56:AI$160)),$U$56:AI$160)=0,"",SUMPRODUCT(($C$55:$C$159=AP116)*($U$54:AI$54&lt;=TODAY())*(ISNUMBER($U$56:AI$160)),$U$56:AI$160)))</f>
        <v/>
      </c>
      <c r="AS116" s="1041" t="str">
        <f>A115</f>
        <v>Kaizen - Custo Evitado</v>
      </c>
      <c r="AT116" s="2112"/>
      <c r="AU116" s="2112"/>
    </row>
    <row r="117" spans="1:47" ht="29.1" customHeight="1" x14ac:dyDescent="0.3">
      <c r="A117" s="1880" t="s">
        <v>953</v>
      </c>
      <c r="B117" s="1928" t="s">
        <v>97</v>
      </c>
      <c r="C117" s="1884" t="s">
        <v>1080</v>
      </c>
      <c r="D117" s="1886" t="s">
        <v>1081</v>
      </c>
      <c r="E117" s="1888"/>
      <c r="F117" s="1890" t="s">
        <v>968</v>
      </c>
      <c r="G117" s="1892">
        <v>46235</v>
      </c>
      <c r="H117" s="1892">
        <v>46266</v>
      </c>
      <c r="I117" s="1894">
        <v>1000.00023232</v>
      </c>
      <c r="J117" s="1896">
        <v>46235</v>
      </c>
      <c r="K117" s="1898">
        <f t="shared" ref="K117" si="160">IF(J117="", "", 12 - MONTH(J117) + 1)</f>
        <v>5</v>
      </c>
      <c r="L117" s="1926"/>
      <c r="M117" s="1916"/>
      <c r="N117" s="1918"/>
      <c r="O117" s="1878" t="s">
        <v>83</v>
      </c>
      <c r="P117" s="1906" t="s">
        <v>998</v>
      </c>
      <c r="Q117" s="1924">
        <v>46264</v>
      </c>
      <c r="R117" s="1878"/>
      <c r="S117" s="1204" t="s">
        <v>116</v>
      </c>
      <c r="T117" s="1205">
        <f ca="1">IF(OR(G117="", H117=""), "", IF(TODAY()&lt;G117, 0, IF(TODAY()&gt;H117, 1, (TODAY()-G117+1)/(H117-G117+1))))</f>
        <v>0.53125</v>
      </c>
      <c r="U117" s="1195">
        <f>IFERROR(IF(AND(U$54&gt;=EOMONTH($J117,-1)+1,U$54&lt;=EOMONTH(EOMONTH($J117,-1)+1,$K117-1)),IF(NOT(ISBLANK($N117)),$N117/$K117,$I117/$K117),0),0)</f>
        <v>0</v>
      </c>
      <c r="V117" s="1195">
        <f>IFERROR(IF(AND(V$54&gt;=EOMONTH($J117,-1)+1,V$54&lt;=EOMONTH(EOMONTH($J117,-1)+1,$K117-1)),IF(NOT(ISBLANK($N117)),$N117/$K117,$I117/$K117),0),0)</f>
        <v>0</v>
      </c>
      <c r="W117" s="1195">
        <f>IFERROR(IF(AND(W$54&gt;=EOMONTH($J117,-1)+1,W$54&lt;=EOMONTH(EOMONTH($J117,-1)+1,$K117-1)),IF(NOT(ISBLANK($N117)),$N117/$K117,$I117/$K117),0),0)</f>
        <v>0</v>
      </c>
      <c r="X117" s="1196">
        <f t="shared" ref="X117" si="161">SUM(U117:W117)</f>
        <v>0</v>
      </c>
      <c r="Y117" s="1195">
        <f>IFERROR(IF(AND(Y$54&gt;=EOMONTH($J117,-1)+1,Y$54&lt;=EOMONTH(EOMONTH($J117,-1)+1,$K117-1)),IF(NOT(ISBLANK($N117)),$N117/$K117,$I117/$K117),0),0)</f>
        <v>0</v>
      </c>
      <c r="Z117" s="1195">
        <f>IFERROR(IF(AND(Z$54&gt;=EOMONTH($J117,-1)+1,Z$54&lt;=EOMONTH(EOMONTH($J117,-1)+1,$K117-1)),IF(NOT(ISBLANK($N117)),$N117/$K117,$I117/$K117),0),0)</f>
        <v>0</v>
      </c>
      <c r="AA117" s="1195">
        <f>IFERROR(IF(AND(AA$54&gt;=EOMONTH($J117,-1)+1,AA$54&lt;=EOMONTH(EOMONTH($J117,-1)+1,$K117-1)),IF(NOT(ISBLANK($N117)),$N117/$K117,$I117/$K117),0),0)</f>
        <v>0</v>
      </c>
      <c r="AB117" s="1196">
        <f t="shared" ref="AB117" si="162">SUM(Y117:AA117)</f>
        <v>0</v>
      </c>
      <c r="AC117" s="1195">
        <f>IFERROR(IF(AND(AC$54&gt;=EOMONTH($J117,-1)+1,AC$54&lt;=EOMONTH(EOMONTH($J117,-1)+1,$K117-1)),IF(NOT(ISBLANK($N117)),$N117/$K117,$I117/$K117),0),0)</f>
        <v>0</v>
      </c>
      <c r="AD117" s="1195">
        <f>IFERROR(IF(AND(AD$54&gt;=EOMONTH($J117,-1)+1,AD$54&lt;=EOMONTH(EOMONTH($J117,-1)+1,$K117-1)),IF(NOT(ISBLANK($N117)),$N117/$K117,$I117/$K117),0),0)</f>
        <v>200.00004646400001</v>
      </c>
      <c r="AE117" s="1195">
        <f>IFERROR(IF(AND(AE$54&gt;=EOMONTH($J117,-1)+1,AE$54&lt;=EOMONTH(EOMONTH($J117,-1)+1,$K117-1)),IF(NOT(ISBLANK($N117)),$N117/$K117,$I117/$K117),0),0)</f>
        <v>200.00004646400001</v>
      </c>
      <c r="AF117" s="1196">
        <f t="shared" ref="AF117" si="163">SUM(AC117:AE117)</f>
        <v>400.00009292800002</v>
      </c>
      <c r="AG117" s="1195">
        <f>IFERROR(IF(AND(AG$54&gt;=EOMONTH($J117,-1)+1,AG$54&lt;=EOMONTH(EOMONTH($J117,-1)+1,$K117-1)),IF(NOT(ISBLANK($N117)),$N117/$K117,$I117/$K117),0),0)</f>
        <v>200.00004646400001</v>
      </c>
      <c r="AH117" s="1195">
        <f>IFERROR(IF(AND(AH$54&gt;=EOMONTH($J117,-1)+1,AH$54&lt;=EOMONTH(EOMONTH($J117,-1)+1,$K117-1)),IF(NOT(ISBLANK($N117)),$N117/$K117,$I117/$K117),0),0)</f>
        <v>200.00004646400001</v>
      </c>
      <c r="AI117" s="1195">
        <f>IFERROR(IF(AND(AI$54&gt;=EOMONTH($J117,-1)+1,AI$54&lt;=EOMONTH(EOMONTH($J117,-1)+1,$K117-1)),IF(NOT(ISBLANK($N117)),$N117/$K117,$I117/$K117),0),0)</f>
        <v>200.00004646400001</v>
      </c>
      <c r="AJ117" s="1196">
        <f t="shared" ref="AJ117" si="164">SUM(AG117:AI117)</f>
        <v>600.00013939200005</v>
      </c>
      <c r="AK117" s="1206">
        <f t="shared" si="150"/>
        <v>1000.0002323200001</v>
      </c>
      <c r="AL117" s="1131"/>
      <c r="AM117" s="1928"/>
      <c r="AN117" s="1878"/>
      <c r="AO117" s="1969">
        <f>N117*AN117</f>
        <v>0</v>
      </c>
      <c r="AP117" s="1041" t="str">
        <f>C117</f>
        <v>35 - Redução do consumo MTP no passo do Blank VW000942AA -15MM</v>
      </c>
      <c r="AQ117" s="1041" t="s">
        <v>311</v>
      </c>
      <c r="AR117" s="1063" t="str" cm="1">
        <f t="array" aca="1" ref="AR117" ca="1">IF(OR(AP117="",AP117=0),"",IF(SUMPRODUCT(($C$55:$C$144=AP117)*(U$54:$AI$54&lt;EOMONTH(TODAY(),-1)+1)*(ISNUMBER(U$55:$AI$144)),U$55:$AI$144)=0,"",SUMPRODUCT(($C$55:$C$144=AP117)*(U$54:$AI$54&lt;EOMONTH(TODAY(),-1)+1)*(ISNUMBER(U$55:$AI$144)),U$55:$AI$144)))</f>
        <v/>
      </c>
      <c r="AS117" s="1041" t="str">
        <f>A117</f>
        <v>Redução de custo</v>
      </c>
      <c r="AT117" s="2111">
        <f>IF(OR(I117="",K117=""),0,(I117/12)*K117)</f>
        <v>416.66676346666668</v>
      </c>
      <c r="AU117" s="2111">
        <f>IF(OR(N117="",K117="",K117=0),0,(N117/K117)*12)</f>
        <v>0</v>
      </c>
    </row>
    <row r="118" spans="1:47" ht="29.1" customHeight="1" x14ac:dyDescent="0.3">
      <c r="A118" s="1881"/>
      <c r="B118" s="1929"/>
      <c r="C118" s="1885"/>
      <c r="D118" s="1887"/>
      <c r="E118" s="1889"/>
      <c r="F118" s="1891"/>
      <c r="G118" s="1893"/>
      <c r="H118" s="1893"/>
      <c r="I118" s="1895"/>
      <c r="J118" s="1897"/>
      <c r="K118" s="1899"/>
      <c r="L118" s="1927"/>
      <c r="M118" s="1917"/>
      <c r="N118" s="1919"/>
      <c r="O118" s="1879"/>
      <c r="P118" s="1907"/>
      <c r="Q118" s="1909"/>
      <c r="R118" s="1879"/>
      <c r="S118" s="1204" t="s">
        <v>117</v>
      </c>
      <c r="T118" s="1205"/>
      <c r="U118" s="1207" t="s">
        <v>959</v>
      </c>
      <c r="V118" s="1207" t="s">
        <v>959</v>
      </c>
      <c r="W118" s="1207" t="s">
        <v>959</v>
      </c>
      <c r="X118" s="1208">
        <f t="shared" si="12"/>
        <v>0</v>
      </c>
      <c r="Y118" s="1207" t="s">
        <v>959</v>
      </c>
      <c r="Z118" s="1207" t="s">
        <v>959</v>
      </c>
      <c r="AA118" s="1207" t="s">
        <v>959</v>
      </c>
      <c r="AB118" s="1208">
        <f t="shared" si="13"/>
        <v>0</v>
      </c>
      <c r="AC118" s="1207" t="s">
        <v>959</v>
      </c>
      <c r="AD118" s="1207" t="s">
        <v>959</v>
      </c>
      <c r="AE118" s="1207" t="s">
        <v>959</v>
      </c>
      <c r="AF118" s="1208">
        <f t="shared" si="14"/>
        <v>0</v>
      </c>
      <c r="AG118" s="1207" t="s">
        <v>959</v>
      </c>
      <c r="AH118" s="1207" t="s">
        <v>959</v>
      </c>
      <c r="AI118" s="1207" t="s">
        <v>959</v>
      </c>
      <c r="AJ118" s="1208">
        <f t="shared" si="15"/>
        <v>0</v>
      </c>
      <c r="AK118" s="1209">
        <f t="shared" si="150"/>
        <v>0</v>
      </c>
      <c r="AL118" s="1131"/>
      <c r="AM118" s="1929"/>
      <c r="AN118" s="1879"/>
      <c r="AO118" s="1970"/>
      <c r="AP118" s="1041" t="str">
        <f>C117</f>
        <v>35 - Redução do consumo MTP no passo do Blank VW000942AA -15MM</v>
      </c>
      <c r="AQ118" s="1041" t="s">
        <v>313</v>
      </c>
      <c r="AR118" s="1063" t="str" cm="1">
        <f t="array" aca="1" ref="AR118" ca="1">IF(OR(AP118="",AP118=0),"",IF(SUMPRODUCT(($C$55:$C$159=AP118)*($U$54:AI$54&lt;=TODAY())*(ISNUMBER($U$56:AI$160)),$U$56:AI$160)=0,"",SUMPRODUCT(($C$55:$C$159=AP118)*($U$54:AI$54&lt;=TODAY())*(ISNUMBER($U$56:AI$160)),$U$56:AI$160)))</f>
        <v/>
      </c>
      <c r="AS118" s="1041" t="str">
        <f>A117</f>
        <v>Redução de custo</v>
      </c>
      <c r="AT118" s="2112"/>
      <c r="AU118" s="2112"/>
    </row>
    <row r="119" spans="1:47" ht="29.1" customHeight="1" x14ac:dyDescent="0.3">
      <c r="A119" s="1928" t="s">
        <v>953</v>
      </c>
      <c r="B119" s="1882" t="s">
        <v>101</v>
      </c>
      <c r="C119" s="1930" t="s">
        <v>1082</v>
      </c>
      <c r="D119" s="1939" t="s">
        <v>1083</v>
      </c>
      <c r="E119" s="1932" t="s">
        <v>1084</v>
      </c>
      <c r="F119" s="1934" t="s">
        <v>1048</v>
      </c>
      <c r="G119" s="1936">
        <v>46029</v>
      </c>
      <c r="H119" s="1936">
        <v>46029</v>
      </c>
      <c r="I119" s="1938">
        <v>390000.00300000003</v>
      </c>
      <c r="J119" s="1910">
        <v>46023</v>
      </c>
      <c r="K119" s="1912">
        <f t="shared" ref="K119:K127" si="165">IF(J119="", "", 12 - MONTH(J119) + 1)</f>
        <v>12</v>
      </c>
      <c r="L119" s="1894"/>
      <c r="M119" s="1900" t="s">
        <v>308</v>
      </c>
      <c r="N119" s="1902">
        <v>390000</v>
      </c>
      <c r="O119" s="1904" t="s">
        <v>81</v>
      </c>
      <c r="P119" s="1920" t="s">
        <v>990</v>
      </c>
      <c r="Q119" s="1922"/>
      <c r="R119" s="1904"/>
      <c r="S119" s="1210" t="s">
        <v>116</v>
      </c>
      <c r="T119" s="1211">
        <v>1</v>
      </c>
      <c r="U119" s="1214">
        <f>I119</f>
        <v>390000.00300000003</v>
      </c>
      <c r="V119" s="1214"/>
      <c r="W119" s="1214"/>
      <c r="X119" s="1208">
        <f>SUM(U119:W119)</f>
        <v>390000.00300000003</v>
      </c>
      <c r="Y119" s="1214"/>
      <c r="Z119" s="1214"/>
      <c r="AA119" s="1214"/>
      <c r="AB119" s="1208"/>
      <c r="AC119" s="1214"/>
      <c r="AD119" s="1214"/>
      <c r="AE119" s="1214"/>
      <c r="AF119" s="1208"/>
      <c r="AG119" s="1214"/>
      <c r="AH119" s="1214"/>
      <c r="AI119" s="1214"/>
      <c r="AJ119" s="1208">
        <f>SUM(AG119:AI119)</f>
        <v>0</v>
      </c>
      <c r="AK119" s="1206">
        <f>SUM(X119,AB119,AF119,AJ119)</f>
        <v>390000.00300000003</v>
      </c>
      <c r="AL119" s="1213"/>
      <c r="AM119" s="1890"/>
      <c r="AN119" s="1971"/>
      <c r="AO119" s="1973">
        <f>N119*AN119</f>
        <v>0</v>
      </c>
      <c r="AP119" s="1041" t="str">
        <f>C119</f>
        <v>36 - Venda Robos</v>
      </c>
      <c r="AQ119" s="1041" t="s">
        <v>311</v>
      </c>
      <c r="AR119" s="1063" cm="1">
        <f t="array" aca="1" ref="AR119" ca="1">IF(OR(AP119="",AP119=0),"",IF(SUMPRODUCT(($C$55:$C$144=AP119)*(U$54:$AI$54&lt;EOMONTH(TODAY(),-1)+1)*(ISNUMBER(U$55:$AI$144)),U$55:$AI$144)=0,"",SUMPRODUCT(($C$55:$C$144=AP119)*(U$54:$AI$54&lt;EOMONTH(TODAY(),-1)+1)*(ISNUMBER(U$55:$AI$144)),U$55:$AI$144)))</f>
        <v>390000.00300000003</v>
      </c>
      <c r="AS119" s="1041" t="str">
        <f>A119</f>
        <v>Redução de custo</v>
      </c>
      <c r="AT119" s="2111">
        <f>I119</f>
        <v>390000.00300000003</v>
      </c>
      <c r="AU119" s="2111">
        <f>N119</f>
        <v>390000</v>
      </c>
    </row>
    <row r="120" spans="1:47" ht="29.1" customHeight="1" x14ac:dyDescent="0.3">
      <c r="A120" s="1929"/>
      <c r="B120" s="1883"/>
      <c r="C120" s="1931"/>
      <c r="D120" s="1940"/>
      <c r="E120" s="1933"/>
      <c r="F120" s="1935"/>
      <c r="G120" s="1937"/>
      <c r="H120" s="1937"/>
      <c r="I120" s="1937"/>
      <c r="J120" s="1911"/>
      <c r="K120" s="1913"/>
      <c r="L120" s="1895"/>
      <c r="M120" s="1901"/>
      <c r="N120" s="1903"/>
      <c r="O120" s="1905"/>
      <c r="P120" s="1921"/>
      <c r="Q120" s="1923"/>
      <c r="R120" s="1905"/>
      <c r="S120" s="1210" t="s">
        <v>117</v>
      </c>
      <c r="T120" s="1211">
        <v>1</v>
      </c>
      <c r="U120" s="1239">
        <v>390000</v>
      </c>
      <c r="V120" s="1214" t="s">
        <v>959</v>
      </c>
      <c r="W120" s="1214" t="s">
        <v>959</v>
      </c>
      <c r="X120" s="1208">
        <f t="shared" si="12"/>
        <v>390000</v>
      </c>
      <c r="Y120" s="1214" t="s">
        <v>959</v>
      </c>
      <c r="Z120" s="1214" t="s">
        <v>959</v>
      </c>
      <c r="AA120" s="1214" t="s">
        <v>959</v>
      </c>
      <c r="AB120" s="1208">
        <f t="shared" si="13"/>
        <v>0</v>
      </c>
      <c r="AC120" s="1214" t="s">
        <v>959</v>
      </c>
      <c r="AD120" s="1214" t="s">
        <v>959</v>
      </c>
      <c r="AE120" s="1214" t="s">
        <v>959</v>
      </c>
      <c r="AF120" s="1208">
        <f t="shared" si="14"/>
        <v>0</v>
      </c>
      <c r="AG120" s="1214" t="s">
        <v>959</v>
      </c>
      <c r="AH120" s="1214" t="s">
        <v>959</v>
      </c>
      <c r="AI120" s="1214" t="s">
        <v>959</v>
      </c>
      <c r="AJ120" s="1208">
        <f t="shared" si="15"/>
        <v>0</v>
      </c>
      <c r="AK120" s="1215">
        <f t="shared" si="150"/>
        <v>390000</v>
      </c>
      <c r="AL120" s="1216"/>
      <c r="AM120" s="1891"/>
      <c r="AN120" s="1972"/>
      <c r="AO120" s="1974"/>
      <c r="AP120" s="1041" t="str">
        <f>C119</f>
        <v>36 - Venda Robos</v>
      </c>
      <c r="AQ120" s="1041" t="s">
        <v>313</v>
      </c>
      <c r="AR120" s="1063" cm="1">
        <f t="array" aca="1" ref="AR120" ca="1">IF(OR(AP120="",AP120=0),"",IF(SUMPRODUCT(($C$55:$C$159=AP120)*($U$54:AI$54&lt;=TODAY())*(ISNUMBER($U$56:AI$160)),$U$56:AI$160)=0,"",SUMPRODUCT(($C$55:$C$159=AP120)*($U$54:AI$54&lt;=TODAY())*(ISNUMBER($U$56:AI$160)),$U$56:AI$160)))</f>
        <v>390000</v>
      </c>
      <c r="AS120" s="1041" t="str">
        <f>A119</f>
        <v>Redução de custo</v>
      </c>
      <c r="AT120" s="2112"/>
      <c r="AU120" s="2112"/>
    </row>
    <row r="121" spans="1:47" ht="29.1" customHeight="1" x14ac:dyDescent="0.3">
      <c r="A121" s="1880" t="s">
        <v>953</v>
      </c>
      <c r="B121" s="1928" t="s">
        <v>97</v>
      </c>
      <c r="C121" s="1884" t="s">
        <v>1085</v>
      </c>
      <c r="D121" s="1886"/>
      <c r="E121" s="1888" t="s">
        <v>1086</v>
      </c>
      <c r="F121" s="1890" t="s">
        <v>1070</v>
      </c>
      <c r="G121" s="1892">
        <v>46143</v>
      </c>
      <c r="H121" s="1892">
        <v>46174</v>
      </c>
      <c r="I121" s="1894">
        <v>44856</v>
      </c>
      <c r="J121" s="1896">
        <v>46174</v>
      </c>
      <c r="K121" s="1898">
        <f t="shared" ref="K121:K125" si="166">IF(J121="", "", 12 - MONTH(J121) + 1)</f>
        <v>7</v>
      </c>
      <c r="L121" s="1894"/>
      <c r="M121" s="1900" t="s">
        <v>308</v>
      </c>
      <c r="N121" s="1902">
        <f>44856+7868+9716</f>
        <v>62440</v>
      </c>
      <c r="O121" s="1904" t="s">
        <v>83</v>
      </c>
      <c r="P121" s="1906" t="s">
        <v>1079</v>
      </c>
      <c r="Q121" s="1924">
        <v>46264</v>
      </c>
      <c r="R121" s="1904"/>
      <c r="S121" s="1210" t="s">
        <v>116</v>
      </c>
      <c r="T121" s="1211"/>
      <c r="U121" s="1240">
        <f>IFERROR(IF(U$54&gt;=EOMONTH($J121,-1)+1,IF(NOT(ISBLANK($N121)),$N121/12,$I121/12),0),0)</f>
        <v>0</v>
      </c>
      <c r="V121" s="1240">
        <f>IFERROR(IF(V$54&gt;=EOMONTH($J121,-1)+1,IF(NOT(ISBLANK($N121)),$N121/12,$I121/12),0),0)</f>
        <v>0</v>
      </c>
      <c r="W121" s="1240">
        <f>IFERROR(IF(W$54&gt;=EOMONTH($J121,-1)+1,IF(NOT(ISBLANK($N121)),$N121/12,$I121/12),0),0)</f>
        <v>0</v>
      </c>
      <c r="X121" s="1208">
        <f t="shared" si="12"/>
        <v>0</v>
      </c>
      <c r="Y121" s="1240">
        <f>IFERROR(IF(Y$54&gt;=EOMONTH($J121,-1)+1,IF(NOT(ISBLANK($N121)),$N121/12,$I121/12),0),0)</f>
        <v>0</v>
      </c>
      <c r="Z121" s="1240">
        <f>IFERROR(IF(Z$54&gt;=EOMONTH($J121,-1)+1,IF(NOT(ISBLANK($N121)),$N121/12,$I121/12),0),0)</f>
        <v>0</v>
      </c>
      <c r="AA121" s="1240">
        <v>14000</v>
      </c>
      <c r="AB121" s="1208">
        <f t="shared" si="13"/>
        <v>14000</v>
      </c>
      <c r="AC121" s="1214">
        <v>30836</v>
      </c>
      <c r="AD121" s="1240">
        <f>9716+7868</f>
        <v>17584</v>
      </c>
      <c r="AE121" s="1240"/>
      <c r="AF121" s="1208">
        <f t="shared" si="14"/>
        <v>48420</v>
      </c>
      <c r="AG121" s="1240"/>
      <c r="AH121" s="1240"/>
      <c r="AI121" s="1240"/>
      <c r="AJ121" s="1208">
        <f t="shared" si="15"/>
        <v>0</v>
      </c>
      <c r="AK121" s="1212">
        <f t="shared" si="150"/>
        <v>62420</v>
      </c>
      <c r="AL121" s="1213"/>
      <c r="AM121" s="1890"/>
      <c r="AN121" s="1971"/>
      <c r="AO121" s="1973">
        <f>N121*AN121</f>
        <v>0</v>
      </c>
      <c r="AP121" s="1041" t="str">
        <f>C121</f>
        <v xml:space="preserve">38 - Venda de sucata </v>
      </c>
      <c r="AQ121" s="1041" t="s">
        <v>311</v>
      </c>
      <c r="AR121" s="1063" cm="1">
        <f t="array" aca="1" ref="AR121" ca="1">IF(OR(AP121="",AP121=0),"",IF(SUMPRODUCT(($C$55:$C$144=AP121)*(U$54:$AI$54&lt;EOMONTH(TODAY(),-1)+1)*(ISNUMBER(U$55:$AI$144)),U$55:$AI$144)=0,"",SUMPRODUCT(($C$55:$C$144=AP121)*(U$54:$AI$54&lt;EOMONTH(TODAY(),-1)+1)*(ISNUMBER(U$55:$AI$144)),U$55:$AI$144)))</f>
        <v>44836</v>
      </c>
      <c r="AS121" s="1041" t="str">
        <f>A121</f>
        <v>Redução de custo</v>
      </c>
      <c r="AT121" s="2111">
        <f>I119</f>
        <v>390000.00300000003</v>
      </c>
      <c r="AU121" s="2111">
        <f>IF(OR(N121="",K121="",K121=0),0,(N121/K121)*12)</f>
        <v>107040</v>
      </c>
    </row>
    <row r="122" spans="1:47" ht="29.1" customHeight="1" x14ac:dyDescent="0.3">
      <c r="A122" s="1881"/>
      <c r="B122" s="1929"/>
      <c r="C122" s="1885"/>
      <c r="D122" s="1887"/>
      <c r="E122" s="1889"/>
      <c r="F122" s="1891"/>
      <c r="G122" s="1893"/>
      <c r="H122" s="1893"/>
      <c r="I122" s="1895"/>
      <c r="J122" s="1897"/>
      <c r="K122" s="1899"/>
      <c r="L122" s="1895"/>
      <c r="M122" s="1901"/>
      <c r="N122" s="1903"/>
      <c r="O122" s="1905"/>
      <c r="P122" s="1907"/>
      <c r="Q122" s="1909"/>
      <c r="R122" s="1905"/>
      <c r="S122" s="1210" t="s">
        <v>117</v>
      </c>
      <c r="T122" s="1211"/>
      <c r="U122" s="1214" t="s">
        <v>959</v>
      </c>
      <c r="V122" s="1214" t="s">
        <v>959</v>
      </c>
      <c r="W122" s="1214" t="s">
        <v>959</v>
      </c>
      <c r="X122" s="1208">
        <f t="shared" si="12"/>
        <v>0</v>
      </c>
      <c r="Y122" s="1214">
        <v>0</v>
      </c>
      <c r="Z122" s="1214" t="s">
        <v>959</v>
      </c>
      <c r="AA122" s="1214">
        <v>14280</v>
      </c>
      <c r="AB122" s="1208">
        <f t="shared" si="13"/>
        <v>14280</v>
      </c>
      <c r="AC122" s="1214">
        <v>30836</v>
      </c>
      <c r="AD122" s="1214">
        <v>17584</v>
      </c>
      <c r="AE122" s="1214" t="s">
        <v>959</v>
      </c>
      <c r="AF122" s="1208">
        <f t="shared" si="14"/>
        <v>48420</v>
      </c>
      <c r="AG122" s="1214" t="s">
        <v>959</v>
      </c>
      <c r="AH122" s="1214" t="s">
        <v>959</v>
      </c>
      <c r="AI122" s="1214" t="s">
        <v>959</v>
      </c>
      <c r="AJ122" s="1208">
        <f t="shared" si="15"/>
        <v>0</v>
      </c>
      <c r="AK122" s="1215">
        <f>SUM(X122,AB122,AF122,AJ122)</f>
        <v>62700</v>
      </c>
      <c r="AL122" s="1216"/>
      <c r="AM122" s="1891"/>
      <c r="AN122" s="1972"/>
      <c r="AO122" s="1974"/>
      <c r="AP122" s="1041" t="str">
        <f>C121</f>
        <v xml:space="preserve">38 - Venda de sucata </v>
      </c>
      <c r="AQ122" s="1041" t="s">
        <v>313</v>
      </c>
      <c r="AR122" s="1063" cm="1">
        <f t="array" aca="1" ref="AR122" ca="1">IF(OR(AP122="",AP122=0),"",IF(SUMPRODUCT(($C$55:$C$159=AP122)*($U$54:AI$54&lt;=TODAY())*(ISNUMBER($U$56:AI$160)),$U$56:AI$160)=0,"",SUMPRODUCT(($C$55:$C$159=AP122)*($U$54:AI$54&lt;=TODAY())*(ISNUMBER($U$56:AI$160)),$U$56:AI$160)))</f>
        <v>62700</v>
      </c>
      <c r="AS122" s="1041" t="str">
        <f>A121</f>
        <v>Redução de custo</v>
      </c>
      <c r="AT122" s="2112"/>
      <c r="AU122" s="2112"/>
    </row>
    <row r="123" spans="1:47" ht="29.1" customHeight="1" x14ac:dyDescent="0.3">
      <c r="A123" s="1928" t="s">
        <v>925</v>
      </c>
      <c r="B123" s="1882" t="s">
        <v>101</v>
      </c>
      <c r="C123" s="1930" t="s">
        <v>1087</v>
      </c>
      <c r="D123" s="1886" t="s">
        <v>1081</v>
      </c>
      <c r="E123" s="1932" t="s">
        <v>1088</v>
      </c>
      <c r="F123" s="1934" t="s">
        <v>957</v>
      </c>
      <c r="G123" s="1936">
        <v>46143</v>
      </c>
      <c r="H123" s="1936">
        <v>46235</v>
      </c>
      <c r="I123" s="1938">
        <v>40000.00088</v>
      </c>
      <c r="J123" s="1936">
        <v>46235</v>
      </c>
      <c r="K123" s="1912">
        <f t="shared" si="165"/>
        <v>5</v>
      </c>
      <c r="L123" s="2008"/>
      <c r="M123" s="2113"/>
      <c r="N123" s="2107"/>
      <c r="O123" s="1878" t="s">
        <v>83</v>
      </c>
      <c r="P123" s="1920" t="s">
        <v>1089</v>
      </c>
      <c r="Q123" s="1925">
        <v>46264</v>
      </c>
      <c r="R123" s="1878"/>
      <c r="S123" s="1204" t="s">
        <v>116</v>
      </c>
      <c r="T123" s="1205"/>
      <c r="U123" s="1195">
        <f>IFERROR(IF(AND(U$54&gt;=EOMONTH($J123,-1)+1,U$54&lt;=EOMONTH(EOMONTH($J123,-1)+1,$K123-1)),IF(NOT(ISBLANK($N123)),$N123/$K123,$I123/$K123),0),0)</f>
        <v>0</v>
      </c>
      <c r="V123" s="1195">
        <f>IFERROR(IF(AND(V$54&gt;=EOMONTH($J123,-1)+1,V$54&lt;=EOMONTH(EOMONTH($J123,-1)+1,$K123-1)),IF(NOT(ISBLANK($N123)),$N123/$K123,$I123/$K123),0),0)</f>
        <v>0</v>
      </c>
      <c r="W123" s="1195">
        <f>IFERROR(IF(AND(W$54&gt;=EOMONTH($J123,-1)+1,W$54&lt;=EOMONTH(EOMONTH($J123,-1)+1,$K123-1)),IF(NOT(ISBLANK($N123)),$N123/$K123,$I123/$K123),0),0)</f>
        <v>0</v>
      </c>
      <c r="X123" s="1196">
        <f t="shared" ref="X123" si="167">SUM(U123:W123)</f>
        <v>0</v>
      </c>
      <c r="Y123" s="1195">
        <f>IFERROR(IF(AND(Y$54&gt;=EOMONTH($J123,-1)+1,Y$54&lt;=EOMONTH(EOMONTH($J123,-1)+1,$K123-1)),IF(NOT(ISBLANK($N123)),$N123/$K123,$I123/$K123),0),0)</f>
        <v>0</v>
      </c>
      <c r="Z123" s="1195">
        <f>IFERROR(IF(AND(Z$54&gt;=EOMONTH($J123,-1)+1,Z$54&lt;=EOMONTH(EOMONTH($J123,-1)+1,$K123-1)),IF(NOT(ISBLANK($N123)),$N123/$K123,$I123/$K123),0),0)</f>
        <v>0</v>
      </c>
      <c r="AA123" s="1195">
        <f>IFERROR(IF(AND(AA$54&gt;=EOMONTH($J123,-1)+1,AA$54&lt;=EOMONTH(EOMONTH($J123,-1)+1,$K123-1)),IF(NOT(ISBLANK($N123)),$N123/$K123,$I123/$K123),0),0)</f>
        <v>0</v>
      </c>
      <c r="AB123" s="1196">
        <f t="shared" ref="AB123" si="168">SUM(Y123:AA123)</f>
        <v>0</v>
      </c>
      <c r="AC123" s="1195">
        <f>IFERROR(IF(AND(AC$54&gt;=EOMONTH($J123,-1)+1,AC$54&lt;=EOMONTH(EOMONTH($J123,-1)+1,$K123-1)),IF(NOT(ISBLANK($N123)),$N123/$K123,$I123/$K123),0),0)</f>
        <v>0</v>
      </c>
      <c r="AD123" s="1195">
        <f>IFERROR(IF(AND(AD$54&gt;=EOMONTH($J123,-1)+1,AD$54&lt;=EOMONTH(EOMONTH($J123,-1)+1,$K123-1)),IF(NOT(ISBLANK($N123)),$N123/$K123,$I123/$K123),0),0)</f>
        <v>8000.0001759999996</v>
      </c>
      <c r="AE123" s="1195">
        <f>IFERROR(IF(AND(AE$54&gt;=EOMONTH($J123,-1)+1,AE$54&lt;=EOMONTH(EOMONTH($J123,-1)+1,$K123-1)),IF(NOT(ISBLANK($N123)),$N123/$K123,$I123/$K123),0),0)</f>
        <v>8000.0001759999996</v>
      </c>
      <c r="AF123" s="1196">
        <f t="shared" ref="AF123" si="169">SUM(AC123:AE123)</f>
        <v>16000.000351999999</v>
      </c>
      <c r="AG123" s="1195">
        <f>IFERROR(IF(AND(AG$54&gt;=EOMONTH($J123,-1)+1,AG$54&lt;=EOMONTH(EOMONTH($J123,-1)+1,$K123-1)),IF(NOT(ISBLANK($N123)),$N123/$K123,$I123/$K123),0),0)</f>
        <v>8000.0001759999996</v>
      </c>
      <c r="AH123" s="1195">
        <f>IFERROR(IF(AND(AH$54&gt;=EOMONTH($J123,-1)+1,AH$54&lt;=EOMONTH(EOMONTH($J123,-1)+1,$K123-1)),IF(NOT(ISBLANK($N123)),$N123/$K123,$I123/$K123),0),0)</f>
        <v>8000.0001759999996</v>
      </c>
      <c r="AI123" s="1195">
        <f>IFERROR(IF(AND(AI$54&gt;=EOMONTH($J123,-1)+1,AI$54&lt;=EOMONTH(EOMONTH($J123,-1)+1,$K123-1)),IF(NOT(ISBLANK($N123)),$N123/$K123,$I123/$K123),0),0)</f>
        <v>8000.0001759999996</v>
      </c>
      <c r="AJ123" s="1196">
        <f t="shared" ref="AJ123" si="170">SUM(AG123:AI123)</f>
        <v>24000.000527999997</v>
      </c>
      <c r="AK123" s="1206">
        <f t="shared" si="150"/>
        <v>40000.000879999992</v>
      </c>
      <c r="AL123" s="1131"/>
      <c r="AM123" s="1928"/>
      <c r="AN123" s="1878"/>
      <c r="AO123" s="1969">
        <f>N123*AN123</f>
        <v>0</v>
      </c>
      <c r="AP123" s="1041" t="str">
        <f>C123</f>
        <v>39 - Venda de sucata de cobre</v>
      </c>
      <c r="AQ123" s="1041" t="s">
        <v>311</v>
      </c>
      <c r="AR123" s="1063" t="str" cm="1">
        <f t="array" aca="1" ref="AR123" ca="1">IF(OR(AP123="",AP123=0),"",IF(SUMPRODUCT(($C$55:$C$144=AP123)*(U$54:$AI$54&lt;EOMONTH(TODAY(),-1)+1)*(ISNUMBER(U$55:$AI$144)),U$55:$AI$144)=0,"",SUMPRODUCT(($C$55:$C$144=AP123)*(U$54:$AI$54&lt;EOMONTH(TODAY(),-1)+1)*(ISNUMBER(U$55:$AI$144)),U$55:$AI$144)))</f>
        <v/>
      </c>
      <c r="AS123" s="1041" t="str">
        <f>A123</f>
        <v>Kaizen</v>
      </c>
      <c r="AT123" s="2111">
        <f>I121</f>
        <v>44856</v>
      </c>
      <c r="AU123" s="2111">
        <f>IF(OR(N123="",K123="",K123=0),0,(N123/K123)*12)</f>
        <v>0</v>
      </c>
    </row>
    <row r="124" spans="1:47" ht="29.1" customHeight="1" x14ac:dyDescent="0.3">
      <c r="A124" s="1929"/>
      <c r="B124" s="1883"/>
      <c r="C124" s="1931"/>
      <c r="D124" s="1887"/>
      <c r="E124" s="1933"/>
      <c r="F124" s="1935"/>
      <c r="G124" s="1937"/>
      <c r="H124" s="1937"/>
      <c r="I124" s="1937"/>
      <c r="J124" s="1937"/>
      <c r="K124" s="1913"/>
      <c r="L124" s="1927"/>
      <c r="M124" s="1917"/>
      <c r="N124" s="1919"/>
      <c r="O124" s="1879"/>
      <c r="P124" s="1921"/>
      <c r="Q124" s="1923"/>
      <c r="R124" s="1879"/>
      <c r="S124" s="1204" t="s">
        <v>117</v>
      </c>
      <c r="T124" s="1205"/>
      <c r="U124" s="1229" t="s">
        <v>959</v>
      </c>
      <c r="V124" s="1229" t="s">
        <v>959</v>
      </c>
      <c r="W124" s="1229" t="s">
        <v>959</v>
      </c>
      <c r="X124" s="1230">
        <f t="shared" si="12"/>
        <v>0</v>
      </c>
      <c r="Y124" s="1229" t="s">
        <v>959</v>
      </c>
      <c r="Z124" s="1229" t="s">
        <v>959</v>
      </c>
      <c r="AA124" s="1229" t="s">
        <v>959</v>
      </c>
      <c r="AB124" s="1230">
        <f t="shared" si="13"/>
        <v>0</v>
      </c>
      <c r="AC124" s="1229" t="s">
        <v>959</v>
      </c>
      <c r="AD124" s="1229" t="s">
        <v>959</v>
      </c>
      <c r="AE124" s="1229" t="s">
        <v>959</v>
      </c>
      <c r="AF124" s="1230">
        <f t="shared" si="14"/>
        <v>0</v>
      </c>
      <c r="AG124" s="1229" t="s">
        <v>959</v>
      </c>
      <c r="AH124" s="1229" t="s">
        <v>959</v>
      </c>
      <c r="AI124" s="1229" t="s">
        <v>959</v>
      </c>
      <c r="AJ124" s="1230">
        <f t="shared" si="15"/>
        <v>0</v>
      </c>
      <c r="AK124" s="1231">
        <f t="shared" si="150"/>
        <v>0</v>
      </c>
      <c r="AL124" s="1131"/>
      <c r="AM124" s="1929"/>
      <c r="AN124" s="1879"/>
      <c r="AO124" s="1970"/>
      <c r="AP124" s="1041" t="str">
        <f>C123</f>
        <v>39 - Venda de sucata de cobre</v>
      </c>
      <c r="AQ124" s="1041" t="s">
        <v>313</v>
      </c>
      <c r="AR124" s="1063" t="str" cm="1">
        <f t="array" aca="1" ref="AR124" ca="1">IF(OR(AP124="",AP124=0),"",IF(SUMPRODUCT(($C$55:$C$159=AP124)*($U$54:AI$54&lt;=TODAY())*(ISNUMBER($U$56:AI$160)),$U$56:AI$160)=0,"",SUMPRODUCT(($C$55:$C$159=AP124)*($U$54:AI$54&lt;=TODAY())*(ISNUMBER($U$56:AI$160)),$U$56:AI$160)))</f>
        <v/>
      </c>
      <c r="AS124" s="1041" t="str">
        <f>A123</f>
        <v>Kaizen</v>
      </c>
      <c r="AT124" s="2112"/>
      <c r="AU124" s="2112"/>
    </row>
    <row r="125" spans="1:47" ht="29.1" customHeight="1" x14ac:dyDescent="0.3">
      <c r="A125" s="1880" t="s">
        <v>91</v>
      </c>
      <c r="B125" s="1928" t="s">
        <v>99</v>
      </c>
      <c r="C125" s="1884" t="s">
        <v>1090</v>
      </c>
      <c r="D125" s="1886" t="s">
        <v>1081</v>
      </c>
      <c r="E125" s="1888" t="s">
        <v>1091</v>
      </c>
      <c r="F125" s="1890" t="s">
        <v>968</v>
      </c>
      <c r="G125" s="1892">
        <v>46235</v>
      </c>
      <c r="H125" s="1892">
        <v>46235</v>
      </c>
      <c r="I125" s="1894">
        <v>74000</v>
      </c>
      <c r="J125" s="1896">
        <v>46266</v>
      </c>
      <c r="K125" s="1898">
        <f t="shared" si="166"/>
        <v>4</v>
      </c>
      <c r="L125" s="1926"/>
      <c r="M125" s="1900"/>
      <c r="N125" s="1902"/>
      <c r="O125" s="1904" t="s">
        <v>83</v>
      </c>
      <c r="P125" s="1906" t="s">
        <v>998</v>
      </c>
      <c r="Q125" s="1924">
        <v>46233</v>
      </c>
      <c r="R125" s="1904"/>
      <c r="S125" s="1210" t="s">
        <v>116</v>
      </c>
      <c r="T125" s="1211"/>
      <c r="U125" s="1195">
        <f>IFERROR(IF(AND(U$54&gt;=EOMONTH($J125,-1)+1,U$54&lt;=EOMONTH(EOMONTH($J125,-1)+1,$K125-1)),IF(NOT(ISBLANK($N125)),$N125/$K125,$I125/$K125),0),0)</f>
        <v>0</v>
      </c>
      <c r="V125" s="1195">
        <f>IFERROR(IF(AND(V$54&gt;=EOMONTH($J125,-1)+1,V$54&lt;=EOMONTH(EOMONTH($J125,-1)+1,$K125-1)),IF(NOT(ISBLANK($N125)),$N125/$K125,$I125/$K125),0),0)</f>
        <v>0</v>
      </c>
      <c r="W125" s="1195">
        <f>IFERROR(IF(AND(W$54&gt;=EOMONTH($J125,-1)+1,W$54&lt;=EOMONTH(EOMONTH($J125,-1)+1,$K125-1)),IF(NOT(ISBLANK($N125)),$N125/$K125,$I125/$K125),0),0)</f>
        <v>0</v>
      </c>
      <c r="X125" s="1196">
        <f t="shared" ref="X125" si="171">SUM(U125:W125)</f>
        <v>0</v>
      </c>
      <c r="Y125" s="1195">
        <f>IFERROR(IF(AND(Y$54&gt;=EOMONTH($J125,-1)+1,Y$54&lt;=EOMONTH(EOMONTH($J125,-1)+1,$K125-1)),IF(NOT(ISBLANK($N125)),$N125/$K125,$I125/$K125),0),0)</f>
        <v>0</v>
      </c>
      <c r="Z125" s="1195">
        <f>IFERROR(IF(AND(Z$54&gt;=EOMONTH($J125,-1)+1,Z$54&lt;=EOMONTH(EOMONTH($J125,-1)+1,$K125-1)),IF(NOT(ISBLANK($N125)),$N125/$K125,$I125/$K125),0),0)</f>
        <v>0</v>
      </c>
      <c r="AA125" s="1195">
        <f>IFERROR(IF(AND(AA$54&gt;=EOMONTH($J125,-1)+1,AA$54&lt;=EOMONTH(EOMONTH($J125,-1)+1,$K125-1)),IF(NOT(ISBLANK($N125)),$N125/$K125,$I125/$K125),0),0)</f>
        <v>0</v>
      </c>
      <c r="AB125" s="1196">
        <f t="shared" ref="AB125" si="172">SUM(Y125:AA125)</f>
        <v>0</v>
      </c>
      <c r="AC125" s="1195">
        <f>IFERROR(IF(AND(AC$54&gt;=EOMONTH($J125,-1)+1,AC$54&lt;=EOMONTH(EOMONTH($J125,-1)+1,$K125-1)),IF(NOT(ISBLANK($N125)),$N125/$K125,$I125/$K125),0),0)</f>
        <v>0</v>
      </c>
      <c r="AD125" s="1195">
        <f>IFERROR(IF(AND(AD$54&gt;=EOMONTH($J125,-1)+1,AD$54&lt;=EOMONTH(EOMONTH($J125,-1)+1,$K125-1)),IF(NOT(ISBLANK($N125)),$N125/$K125,$I125/$K125),0),0)</f>
        <v>0</v>
      </c>
      <c r="AE125" s="1195">
        <f>IFERROR(IF(AND(AE$54&gt;=EOMONTH($J125,-1)+1,AE$54&lt;=EOMONTH(EOMONTH($J125,-1)+1,$K125-1)),IF(NOT(ISBLANK($N125)),$N125/$K125,$I125/$K125),0),0)</f>
        <v>18500</v>
      </c>
      <c r="AF125" s="1196">
        <f t="shared" ref="AF125" si="173">SUM(AC125:AE125)</f>
        <v>18500</v>
      </c>
      <c r="AG125" s="1195">
        <f>IFERROR(IF(AND(AG$54&gt;=EOMONTH($J125,-1)+1,AG$54&lt;=EOMONTH(EOMONTH($J125,-1)+1,$K125-1)),IF(NOT(ISBLANK($N125)),$N125/$K125,$I125/$K125),0),0)</f>
        <v>18500</v>
      </c>
      <c r="AH125" s="1195">
        <f>IFERROR(IF(AND(AH$54&gt;=EOMONTH($J125,-1)+1,AH$54&lt;=EOMONTH(EOMONTH($J125,-1)+1,$K125-1)),IF(NOT(ISBLANK($N125)),$N125/$K125,$I125/$K125),0),0)</f>
        <v>18500</v>
      </c>
      <c r="AI125" s="1195">
        <f>IFERROR(IF(AND(AI$54&gt;=EOMONTH($J125,-1)+1,AI$54&lt;=EOMONTH(EOMONTH($J125,-1)+1,$K125-1)),IF(NOT(ISBLANK($N125)),$N125/$K125,$I125/$K125),0),0)</f>
        <v>18500</v>
      </c>
      <c r="AJ125" s="1196">
        <f t="shared" ref="AJ125" si="174">SUM(AG125:AI125)</f>
        <v>55500</v>
      </c>
      <c r="AK125" s="1212">
        <f t="shared" si="150"/>
        <v>74000</v>
      </c>
      <c r="AL125" s="1213"/>
      <c r="AM125" s="1890"/>
      <c r="AN125" s="1971"/>
      <c r="AO125" s="1973">
        <f>N125*AN125</f>
        <v>0</v>
      </c>
      <c r="AP125" s="1041" t="str">
        <f>C125</f>
        <v>40 - Redução de disperdicio bobina.</v>
      </c>
      <c r="AQ125" s="1041" t="s">
        <v>311</v>
      </c>
      <c r="AR125" s="1063" t="str" cm="1">
        <f t="array" aca="1" ref="AR125" ca="1">IF(OR(AP125="",AP125=0),"",IF(SUMPRODUCT(($C$55:$C$144=AP125)*(U$54:$AI$54&lt;EOMONTH(TODAY(),-1)+1)*(ISNUMBER(U$55:$AI$144)),U$55:$AI$144)=0,"",SUMPRODUCT(($C$55:$C$144=AP125)*(U$54:$AI$54&lt;EOMONTH(TODAY(),-1)+1)*(ISNUMBER(U$55:$AI$144)),U$55:$AI$144)))</f>
        <v/>
      </c>
      <c r="AS125" s="1041" t="str">
        <f>A125</f>
        <v>BSW</v>
      </c>
      <c r="AT125" s="2111">
        <f>I123</f>
        <v>40000.00088</v>
      </c>
      <c r="AU125" s="2111">
        <f>IF(OR(N125="",K125="",K125=0),0,(N125/K125)*12)</f>
        <v>0</v>
      </c>
    </row>
    <row r="126" spans="1:47" ht="29.1" customHeight="1" x14ac:dyDescent="0.3">
      <c r="A126" s="1881"/>
      <c r="B126" s="1929"/>
      <c r="C126" s="1885"/>
      <c r="D126" s="1887"/>
      <c r="E126" s="1889"/>
      <c r="F126" s="1891"/>
      <c r="G126" s="1893"/>
      <c r="H126" s="1893"/>
      <c r="I126" s="1895"/>
      <c r="J126" s="1897"/>
      <c r="K126" s="1899"/>
      <c r="L126" s="1927"/>
      <c r="M126" s="1901"/>
      <c r="N126" s="1903"/>
      <c r="O126" s="1905"/>
      <c r="P126" s="1907"/>
      <c r="Q126" s="1909"/>
      <c r="R126" s="1905"/>
      <c r="S126" s="1210" t="s">
        <v>117</v>
      </c>
      <c r="T126" s="1211"/>
      <c r="U126" s="1214" t="s">
        <v>959</v>
      </c>
      <c r="V126" s="1214" t="s">
        <v>959</v>
      </c>
      <c r="W126" s="1214" t="s">
        <v>959</v>
      </c>
      <c r="X126" s="1208">
        <f t="shared" ref="X126:X141" si="175">SUM(U126:W126)</f>
        <v>0</v>
      </c>
      <c r="Y126" s="1214" t="s">
        <v>959</v>
      </c>
      <c r="Z126" s="1214" t="s">
        <v>959</v>
      </c>
      <c r="AA126" s="1214" t="s">
        <v>959</v>
      </c>
      <c r="AB126" s="1208">
        <f t="shared" ref="AB126:AB141" si="176">SUM(Y126:AA126)</f>
        <v>0</v>
      </c>
      <c r="AC126" s="1214" t="s">
        <v>959</v>
      </c>
      <c r="AD126" s="1214" t="s">
        <v>959</v>
      </c>
      <c r="AE126" s="1214" t="s">
        <v>959</v>
      </c>
      <c r="AF126" s="1208">
        <f t="shared" ref="AF126:AF141" si="177">SUM(AC126:AE126)</f>
        <v>0</v>
      </c>
      <c r="AG126" s="1214" t="s">
        <v>959</v>
      </c>
      <c r="AH126" s="1214" t="s">
        <v>959</v>
      </c>
      <c r="AI126" s="1214" t="s">
        <v>959</v>
      </c>
      <c r="AJ126" s="1208">
        <f t="shared" ref="AJ126:AJ141" si="178">SUM(AG126:AI126)</f>
        <v>0</v>
      </c>
      <c r="AK126" s="1215">
        <f t="shared" si="150"/>
        <v>0</v>
      </c>
      <c r="AL126" s="1216"/>
      <c r="AM126" s="1891"/>
      <c r="AN126" s="1972"/>
      <c r="AO126" s="1974"/>
      <c r="AP126" s="1041" t="str">
        <f>C125</f>
        <v>40 - Redução de disperdicio bobina.</v>
      </c>
      <c r="AQ126" s="1041" t="s">
        <v>313</v>
      </c>
      <c r="AR126" s="1063" t="str" cm="1">
        <f t="array" aca="1" ref="AR126" ca="1">IF(OR(AP126="",AP126=0),"",IF(SUMPRODUCT(($C$55:$C$159=AP126)*($U$54:AI$54&lt;=TODAY())*(ISNUMBER($U$56:AI$160)),$U$56:AI$160)=0,"",SUMPRODUCT(($C$55:$C$159=AP126)*($U$54:AI$54&lt;=TODAY())*(ISNUMBER($U$56:AI$160)),$U$56:AI$160)))</f>
        <v/>
      </c>
      <c r="AS126" s="1041" t="str">
        <f>A125</f>
        <v>BSW</v>
      </c>
      <c r="AT126" s="2112"/>
      <c r="AU126" s="2112"/>
    </row>
    <row r="127" spans="1:47" ht="29.1" customHeight="1" x14ac:dyDescent="0.3">
      <c r="A127" s="1928" t="s">
        <v>91</v>
      </c>
      <c r="B127" s="1882" t="s">
        <v>99</v>
      </c>
      <c r="C127" s="1930" t="s">
        <v>1092</v>
      </c>
      <c r="D127" s="1886" t="s">
        <v>1081</v>
      </c>
      <c r="E127" s="1932" t="s">
        <v>1093</v>
      </c>
      <c r="F127" s="1934" t="s">
        <v>968</v>
      </c>
      <c r="G127" s="1936">
        <v>46235</v>
      </c>
      <c r="H127" s="1936">
        <v>46266</v>
      </c>
      <c r="I127" s="1938">
        <v>1000</v>
      </c>
      <c r="J127" s="1910">
        <v>46266</v>
      </c>
      <c r="K127" s="1912">
        <f t="shared" si="165"/>
        <v>4</v>
      </c>
      <c r="L127" s="1926"/>
      <c r="M127" s="1916"/>
      <c r="N127" s="1918"/>
      <c r="O127" s="1878" t="s">
        <v>83</v>
      </c>
      <c r="P127" s="1920" t="s">
        <v>998</v>
      </c>
      <c r="Q127" s="1925">
        <v>46233</v>
      </c>
      <c r="R127" s="1878"/>
      <c r="S127" s="1204" t="s">
        <v>116</v>
      </c>
      <c r="T127" s="1205">
        <f ca="1">IF(OR(G127="", H127=""), "", IF(TODAY()&lt;G127, 0, IF(TODAY()&gt;H127, 1, (TODAY()-G127+1)/(H127-G127+1))))</f>
        <v>0.53125</v>
      </c>
      <c r="U127" s="1195">
        <f>IFERROR(IF(AND(U$54&gt;=EOMONTH($J127,-1)+1,U$54&lt;=EOMONTH(EOMONTH($J127,-1)+1,$K127-1)),IF(NOT(ISBLANK($N127)),$N127/$K127,$I127/$K127),0),0)</f>
        <v>0</v>
      </c>
      <c r="V127" s="1195">
        <f>IFERROR(IF(AND(V$54&gt;=EOMONTH($J127,-1)+1,V$54&lt;=EOMONTH(EOMONTH($J127,-1)+1,$K127-1)),IF(NOT(ISBLANK($N127)),$N127/$K127,$I127/$K127),0),0)</f>
        <v>0</v>
      </c>
      <c r="W127" s="1195">
        <f>IFERROR(IF(AND(W$54&gt;=EOMONTH($J127,-1)+1,W$54&lt;=EOMONTH(EOMONTH($J127,-1)+1,$K127-1)),IF(NOT(ISBLANK($N127)),$N127/$K127,$I127/$K127),0),0)</f>
        <v>0</v>
      </c>
      <c r="X127" s="1196">
        <f t="shared" si="175"/>
        <v>0</v>
      </c>
      <c r="Y127" s="1195">
        <f>IFERROR(IF(AND(Y$54&gt;=EOMONTH($J127,-1)+1,Y$54&lt;=EOMONTH(EOMONTH($J127,-1)+1,$K127-1)),IF(NOT(ISBLANK($N127)),$N127/$K127,$I127/$K127),0),0)</f>
        <v>0</v>
      </c>
      <c r="Z127" s="1195">
        <f>IFERROR(IF(AND(Z$54&gt;=EOMONTH($J127,-1)+1,Z$54&lt;=EOMONTH(EOMONTH($J127,-1)+1,$K127-1)),IF(NOT(ISBLANK($N127)),$N127/$K127,$I127/$K127),0),0)</f>
        <v>0</v>
      </c>
      <c r="AA127" s="1195">
        <f>IFERROR(IF(AND(AA$54&gt;=EOMONTH($J127,-1)+1,AA$54&lt;=EOMONTH(EOMONTH($J127,-1)+1,$K127-1)),IF(NOT(ISBLANK($N127)),$N127/$K127,$I127/$K127),0),0)</f>
        <v>0</v>
      </c>
      <c r="AB127" s="1196">
        <f t="shared" si="176"/>
        <v>0</v>
      </c>
      <c r="AC127" s="1195">
        <f>IFERROR(IF(AND(AC$54&gt;=EOMONTH($J127,-1)+1,AC$54&lt;=EOMONTH(EOMONTH($J127,-1)+1,$K127-1)),IF(NOT(ISBLANK($N127)),$N127/$K127,$I127/$K127),0),0)</f>
        <v>0</v>
      </c>
      <c r="AD127" s="1195">
        <f>IFERROR(IF(AND(AD$54&gt;=EOMONTH($J127,-1)+1,AD$54&lt;=EOMONTH(EOMONTH($J127,-1)+1,$K127-1)),IF(NOT(ISBLANK($N127)),$N127/$K127,$I127/$K127),0),0)</f>
        <v>0</v>
      </c>
      <c r="AE127" s="1195">
        <f>IFERROR(IF(AND(AE$54&gt;=EOMONTH($J127,-1)+1,AE$54&lt;=EOMONTH(EOMONTH($J127,-1)+1,$K127-1)),IF(NOT(ISBLANK($N127)),$N127/$K127,$I127/$K127),0),0)</f>
        <v>250</v>
      </c>
      <c r="AF127" s="1196">
        <f t="shared" si="177"/>
        <v>250</v>
      </c>
      <c r="AG127" s="1195">
        <f>IFERROR(IF(AND(AG$54&gt;=EOMONTH($J127,-1)+1,AG$54&lt;=EOMONTH(EOMONTH($J127,-1)+1,$K127-1)),IF(NOT(ISBLANK($N127)),$N127/$K127,$I127/$K127),0),0)</f>
        <v>250</v>
      </c>
      <c r="AH127" s="1195">
        <f>IFERROR(IF(AND(AH$54&gt;=EOMONTH($J127,-1)+1,AH$54&lt;=EOMONTH(EOMONTH($J127,-1)+1,$K127-1)),IF(NOT(ISBLANK($N127)),$N127/$K127,$I127/$K127),0),0)</f>
        <v>250</v>
      </c>
      <c r="AI127" s="1195">
        <f>IFERROR(IF(AND(AI$54&gt;=EOMONTH($J127,-1)+1,AI$54&lt;=EOMONTH(EOMONTH($J127,-1)+1,$K127-1)),IF(NOT(ISBLANK($N127)),$N127/$K127,$I127/$K127),0),0)</f>
        <v>250</v>
      </c>
      <c r="AJ127" s="1196">
        <f t="shared" si="178"/>
        <v>750</v>
      </c>
      <c r="AK127" s="1206">
        <f t="shared" si="150"/>
        <v>1000</v>
      </c>
      <c r="AL127" s="1131"/>
      <c r="AM127" s="1928"/>
      <c r="AN127" s="1878"/>
      <c r="AO127" s="1969">
        <f>N127*AN127</f>
        <v>0</v>
      </c>
      <c r="AP127" s="1041" t="str">
        <f>C127</f>
        <v>41 - Redução de largura bobinas.</v>
      </c>
      <c r="AQ127" s="1041" t="s">
        <v>311</v>
      </c>
      <c r="AR127" s="1063" t="str" cm="1">
        <f t="array" aca="1" ref="AR127" ca="1">IF(OR(AP127="",AP127=0),"",IF(SUMPRODUCT(($C$55:$C$144=AP127)*(U$54:$AI$54&lt;EOMONTH(TODAY(),-1)+1)*(ISNUMBER(U$55:$AI$144)),U$55:$AI$144)=0,"",SUMPRODUCT(($C$55:$C$144=AP127)*(U$54:$AI$54&lt;EOMONTH(TODAY(),-1)+1)*(ISNUMBER(U$55:$AI$144)),U$55:$AI$144)))</f>
        <v/>
      </c>
      <c r="AS127" s="1041" t="str">
        <f>A127</f>
        <v>BSW</v>
      </c>
      <c r="AT127" s="2111">
        <f>IF(OR(I127="",K127=""),0,(I127/12)*K127)</f>
        <v>333.33333333333331</v>
      </c>
      <c r="AU127" s="2111">
        <f>IF(OR(N127="",K127="",K127=0),0,(N127/K127)*12)</f>
        <v>0</v>
      </c>
    </row>
    <row r="128" spans="1:47" ht="29.1" customHeight="1" x14ac:dyDescent="0.3">
      <c r="A128" s="1929"/>
      <c r="B128" s="1883"/>
      <c r="C128" s="1931"/>
      <c r="D128" s="1887"/>
      <c r="E128" s="1933"/>
      <c r="F128" s="1935"/>
      <c r="G128" s="1937"/>
      <c r="H128" s="1937"/>
      <c r="I128" s="1937"/>
      <c r="J128" s="1911"/>
      <c r="K128" s="1913"/>
      <c r="L128" s="1927"/>
      <c r="M128" s="1917"/>
      <c r="N128" s="1919"/>
      <c r="O128" s="1879"/>
      <c r="P128" s="1921"/>
      <c r="Q128" s="1923"/>
      <c r="R128" s="1879"/>
      <c r="S128" s="1204" t="s">
        <v>117</v>
      </c>
      <c r="T128" s="1211"/>
      <c r="U128" s="1207" t="s">
        <v>959</v>
      </c>
      <c r="V128" s="1207" t="s">
        <v>959</v>
      </c>
      <c r="W128" s="1207" t="s">
        <v>959</v>
      </c>
      <c r="X128" s="1208">
        <f t="shared" si="175"/>
        <v>0</v>
      </c>
      <c r="Y128" s="1207" t="s">
        <v>959</v>
      </c>
      <c r="Z128" s="1207" t="s">
        <v>959</v>
      </c>
      <c r="AA128" s="1207" t="s">
        <v>959</v>
      </c>
      <c r="AB128" s="1208">
        <f t="shared" si="176"/>
        <v>0</v>
      </c>
      <c r="AC128" s="1207" t="s">
        <v>959</v>
      </c>
      <c r="AD128" s="1207" t="s">
        <v>959</v>
      </c>
      <c r="AE128" s="1207" t="s">
        <v>959</v>
      </c>
      <c r="AF128" s="1208">
        <f t="shared" si="177"/>
        <v>0</v>
      </c>
      <c r="AG128" s="1207" t="s">
        <v>959</v>
      </c>
      <c r="AH128" s="1207" t="s">
        <v>959</v>
      </c>
      <c r="AI128" s="1207" t="s">
        <v>959</v>
      </c>
      <c r="AJ128" s="1208">
        <f t="shared" si="178"/>
        <v>0</v>
      </c>
      <c r="AK128" s="1209">
        <f t="shared" si="150"/>
        <v>0</v>
      </c>
      <c r="AL128" s="1131"/>
      <c r="AM128" s="1929"/>
      <c r="AN128" s="1879"/>
      <c r="AO128" s="1970"/>
      <c r="AP128" s="1041" t="str">
        <f>C127</f>
        <v>41 - Redução de largura bobinas.</v>
      </c>
      <c r="AQ128" s="1041" t="s">
        <v>313</v>
      </c>
      <c r="AR128" s="1063" t="str" cm="1">
        <f t="array" aca="1" ref="AR128" ca="1">IF(OR(AP128="",AP128=0),"",IF(SUMPRODUCT(($C$55:$C$159=AP128)*($U$54:AI$54&lt;=TODAY())*(ISNUMBER($U$56:AI$160)),$U$56:AI$160)=0,"",SUMPRODUCT(($C$55:$C$159=AP128)*($U$54:AI$54&lt;=TODAY())*(ISNUMBER($U$56:AI$160)),$U$56:AI$160)))</f>
        <v/>
      </c>
      <c r="AS128" s="1041" t="str">
        <f>A127</f>
        <v>BSW</v>
      </c>
      <c r="AT128" s="2112"/>
      <c r="AU128" s="2112"/>
    </row>
    <row r="129" spans="1:47" ht="29.1" customHeight="1" x14ac:dyDescent="0.3">
      <c r="A129" s="1880"/>
      <c r="B129" s="1882"/>
      <c r="C129" s="1884" t="s">
        <v>1094</v>
      </c>
      <c r="D129" s="1886"/>
      <c r="E129" s="1888"/>
      <c r="F129" s="1890" t="s">
        <v>1070</v>
      </c>
      <c r="G129" s="1892"/>
      <c r="H129" s="1892"/>
      <c r="I129" s="1894"/>
      <c r="J129" s="1896"/>
      <c r="K129" s="1898" t="str">
        <f t="shared" ref="K129" si="179">IF(J129="", "", 12 - MONTH(J129) + 1)</f>
        <v/>
      </c>
      <c r="L129" s="1894"/>
      <c r="M129" s="1900"/>
      <c r="N129" s="1902"/>
      <c r="O129" s="1904"/>
      <c r="P129" s="1906"/>
      <c r="Q129" s="1908"/>
      <c r="R129" s="1904"/>
      <c r="S129" s="1210" t="s">
        <v>116</v>
      </c>
      <c r="T129" s="1211"/>
      <c r="U129" s="1195">
        <f>IFERROR(IF(AND(U$54&gt;=EOMONTH($J129,-1)+1,U$54&lt;=EOMONTH(EOMONTH($J129,-1)+1,$K129-1)),IF(NOT(ISBLANK($N129)),$N129/$K129,$I129/$K129),0),0)</f>
        <v>0</v>
      </c>
      <c r="V129" s="1195">
        <f>IFERROR(IF(AND(V$54&gt;=EOMONTH($J129,-1)+1,V$54&lt;=EOMONTH(EOMONTH($J129,-1)+1,$K129-1)),IF(NOT(ISBLANK($N129)),$N129/$K129,$I129/$K129),0),0)</f>
        <v>0</v>
      </c>
      <c r="W129" s="1195">
        <f>IFERROR(IF(AND(W$54&gt;=EOMONTH($J129,-1)+1,W$54&lt;=EOMONTH(EOMONTH($J129,-1)+1,$K129-1)),IF(NOT(ISBLANK($N129)),$N129/$K129,$I129/$K129),0),0)</f>
        <v>0</v>
      </c>
      <c r="X129" s="1196">
        <f t="shared" si="175"/>
        <v>0</v>
      </c>
      <c r="Y129" s="1195">
        <f>IFERROR(IF(AND(Y$54&gt;=EOMONTH($J129,-1)+1,Y$54&lt;=EOMONTH(EOMONTH($J129,-1)+1,$K129-1)),IF(NOT(ISBLANK($N129)),$N129/$K129,$I129/$K129),0),0)</f>
        <v>0</v>
      </c>
      <c r="Z129" s="1195">
        <f>IFERROR(IF(AND(Z$54&gt;=EOMONTH($J129,-1)+1,Z$54&lt;=EOMONTH(EOMONTH($J129,-1)+1,$K129-1)),IF(NOT(ISBLANK($N129)),$N129/$K129,$I129/$K129),0),0)</f>
        <v>0</v>
      </c>
      <c r="AA129" s="1195">
        <f>IFERROR(IF(AND(AA$54&gt;=EOMONTH($J129,-1)+1,AA$54&lt;=EOMONTH(EOMONTH($J129,-1)+1,$K129-1)),IF(NOT(ISBLANK($N129)),$N129/$K129,$I129/$K129),0),0)</f>
        <v>0</v>
      </c>
      <c r="AB129" s="1196">
        <f t="shared" si="176"/>
        <v>0</v>
      </c>
      <c r="AC129" s="1195">
        <f>IFERROR(IF(AND(AC$54&gt;=EOMONTH($J129,-1)+1,AC$54&lt;=EOMONTH(EOMONTH($J129,-1)+1,$K129-1)),IF(NOT(ISBLANK($N129)),$N129/$K129,$I129/$K129),0),0)</f>
        <v>0</v>
      </c>
      <c r="AD129" s="1195">
        <f>IFERROR(IF(AND(AD$54&gt;=EOMONTH($J129,-1)+1,AD$54&lt;=EOMONTH(EOMONTH($J129,-1)+1,$K129-1)),IF(NOT(ISBLANK($N129)),$N129/$K129,$I129/$K129),0),0)</f>
        <v>0</v>
      </c>
      <c r="AE129" s="1195">
        <f>IFERROR(IF(AND(AE$54&gt;=EOMONTH($J129,-1)+1,AE$54&lt;=EOMONTH(EOMONTH($J129,-1)+1,$K129-1)),IF(NOT(ISBLANK($N129)),$N129/$K129,$I129/$K129),0),0)</f>
        <v>0</v>
      </c>
      <c r="AF129" s="1196">
        <f t="shared" si="177"/>
        <v>0</v>
      </c>
      <c r="AG129" s="1195">
        <f>IFERROR(IF(AND(AG$54&gt;=EOMONTH($J129,-1)+1,AG$54&lt;=EOMONTH(EOMONTH($J129,-1)+1,$K129-1)),IF(NOT(ISBLANK($N129)),$N129/$K129,$I129/$K129),0),0)</f>
        <v>0</v>
      </c>
      <c r="AH129" s="1195">
        <f>IFERROR(IF(AND(AH$54&gt;=EOMONTH($J129,-1)+1,AH$54&lt;=EOMONTH(EOMONTH($J129,-1)+1,$K129-1)),IF(NOT(ISBLANK($N129)),$N129/$K129,$I129/$K129),0),0)</f>
        <v>0</v>
      </c>
      <c r="AI129" s="1195">
        <f>IFERROR(IF(AND(AI$54&gt;=EOMONTH($J129,-1)+1,AI$54&lt;=EOMONTH(EOMONTH($J129,-1)+1,$K129-1)),IF(NOT(ISBLANK($N129)),$N129/$K129,$I129/$K129),0),0)</f>
        <v>0</v>
      </c>
      <c r="AJ129" s="1196">
        <f t="shared" si="178"/>
        <v>0</v>
      </c>
      <c r="AK129" s="1212">
        <f t="shared" ref="AK129:AK136" si="180">SUM(X129,AB129,AF129,AJ129)</f>
        <v>0</v>
      </c>
      <c r="AL129" s="1213"/>
      <c r="AM129" s="1890"/>
      <c r="AN129" s="1971"/>
      <c r="AO129" s="1973">
        <f>N129*AN129</f>
        <v>0</v>
      </c>
      <c r="AP129" s="1041" t="str">
        <f>C129</f>
        <v>42 - "cachorrão para set up"</v>
      </c>
      <c r="AQ129" s="1041" t="s">
        <v>311</v>
      </c>
      <c r="AR129" s="1063" t="str" cm="1">
        <f t="array" aca="1" ref="AR129" ca="1">IF(OR(AP129="",AP129=0),"",IF(SUMPRODUCT(($C$55:$C$144=AP129)*(U$54:$AI$54&lt;EOMONTH(TODAY(),-1)+1)*(ISNUMBER(U$55:$AI$144)),U$55:$AI$144)=0,"",SUMPRODUCT(($C$55:$C$144=AP129)*(U$54:$AI$54&lt;EOMONTH(TODAY(),-1)+1)*(ISNUMBER(U$55:$AI$144)),U$55:$AI$144)))</f>
        <v/>
      </c>
      <c r="AS129" s="1041">
        <f>A129</f>
        <v>0</v>
      </c>
      <c r="AT129" s="2111">
        <f>IF(OR(I129="",K129=""),0,(I129/12)*K129)</f>
        <v>0</v>
      </c>
      <c r="AU129" s="2111">
        <f>IF(OR(N129="",K129="",K129=0),0,(N129/K129)*12)</f>
        <v>0</v>
      </c>
    </row>
    <row r="130" spans="1:47" ht="29.1" customHeight="1" x14ac:dyDescent="0.3">
      <c r="A130" s="1881"/>
      <c r="B130" s="1883"/>
      <c r="C130" s="1885"/>
      <c r="D130" s="1887"/>
      <c r="E130" s="1889"/>
      <c r="F130" s="1891"/>
      <c r="G130" s="1893"/>
      <c r="H130" s="1893"/>
      <c r="I130" s="1895"/>
      <c r="J130" s="1897"/>
      <c r="K130" s="1899"/>
      <c r="L130" s="1895"/>
      <c r="M130" s="1901"/>
      <c r="N130" s="1903"/>
      <c r="O130" s="1905"/>
      <c r="P130" s="1907"/>
      <c r="Q130" s="1909"/>
      <c r="R130" s="1905"/>
      <c r="S130" s="1210" t="s">
        <v>117</v>
      </c>
      <c r="T130" s="1211"/>
      <c r="U130" s="1214" t="s">
        <v>959</v>
      </c>
      <c r="V130" s="1214" t="s">
        <v>959</v>
      </c>
      <c r="W130" s="1214" t="s">
        <v>959</v>
      </c>
      <c r="X130" s="1208">
        <f t="shared" ref="X130:X137" si="181">SUM(U130:W130)</f>
        <v>0</v>
      </c>
      <c r="Y130" s="1214" t="s">
        <v>959</v>
      </c>
      <c r="Z130" s="1214" t="s">
        <v>959</v>
      </c>
      <c r="AA130" s="1214" t="s">
        <v>959</v>
      </c>
      <c r="AB130" s="1208">
        <f t="shared" ref="AB130:AB137" si="182">SUM(Y130:AA130)</f>
        <v>0</v>
      </c>
      <c r="AC130" s="1214" t="s">
        <v>959</v>
      </c>
      <c r="AD130" s="1214" t="s">
        <v>959</v>
      </c>
      <c r="AE130" s="1214" t="s">
        <v>959</v>
      </c>
      <c r="AF130" s="1208">
        <f t="shared" ref="AF130:AF137" si="183">SUM(AC130:AE130)</f>
        <v>0</v>
      </c>
      <c r="AG130" s="1214" t="s">
        <v>959</v>
      </c>
      <c r="AH130" s="1214" t="s">
        <v>959</v>
      </c>
      <c r="AI130" s="1214" t="s">
        <v>959</v>
      </c>
      <c r="AJ130" s="1208">
        <f t="shared" ref="AJ130:AJ137" si="184">SUM(AG130:AI130)</f>
        <v>0</v>
      </c>
      <c r="AK130" s="1215">
        <f t="shared" si="180"/>
        <v>0</v>
      </c>
      <c r="AL130" s="1216"/>
      <c r="AM130" s="1891"/>
      <c r="AN130" s="1972"/>
      <c r="AO130" s="1974"/>
      <c r="AP130" s="1041" t="str">
        <f>C129</f>
        <v>42 - "cachorrão para set up"</v>
      </c>
      <c r="AQ130" s="1041" t="s">
        <v>313</v>
      </c>
      <c r="AR130" s="1063" t="str" cm="1">
        <f t="array" aca="1" ref="AR130" ca="1">IF(OR(AP130="",AP130=0),"",IF(SUMPRODUCT(($C$55:$C$159=AP130)*($U$54:AI$54&lt;=TODAY())*(ISNUMBER($U$56:AI$160)),$U$56:AI$160)=0,"",SUMPRODUCT(($C$55:$C$159=AP130)*($U$54:AI$54&lt;=TODAY())*(ISNUMBER($U$56:AI$160)),$U$56:AI$160)))</f>
        <v/>
      </c>
      <c r="AS130" s="1041">
        <f>A129</f>
        <v>0</v>
      </c>
      <c r="AT130" s="2112"/>
      <c r="AU130" s="2112"/>
    </row>
    <row r="131" spans="1:47" ht="29.1" customHeight="1" x14ac:dyDescent="0.3">
      <c r="A131" s="1928"/>
      <c r="B131" s="1928"/>
      <c r="C131" s="1930"/>
      <c r="D131" s="1939"/>
      <c r="E131" s="1932"/>
      <c r="F131" s="1934"/>
      <c r="G131" s="1936"/>
      <c r="H131" s="1936"/>
      <c r="I131" s="1938"/>
      <c r="J131" s="1910"/>
      <c r="K131" s="1912" t="str">
        <f t="shared" ref="K131" si="185">IF(J131="", "", 12 - MONTH(J131) + 1)</f>
        <v/>
      </c>
      <c r="L131" s="1914"/>
      <c r="M131" s="1916"/>
      <c r="N131" s="1918"/>
      <c r="O131" s="1878"/>
      <c r="P131" s="1920"/>
      <c r="Q131" s="1922"/>
      <c r="R131" s="1878"/>
      <c r="S131" s="1204" t="s">
        <v>116</v>
      </c>
      <c r="T131" s="1205" t="str">
        <f ca="1">IF(OR(G131="", H131=""), "", IF(TODAY()&lt;G131, 0, IF(TODAY()&gt;H131, 1, (TODAY()-G131+1)/(H131-G131+1))))</f>
        <v/>
      </c>
      <c r="U131" s="1195">
        <f>IFERROR(IF(AND(U$54&gt;=EOMONTH($J131,-1)+1,U$54&lt;=EOMONTH(EOMONTH($J131,-1)+1,$K131-1)),IF(NOT(ISBLANK($N131)),$N131/$K131,$I131/$K131),0),0)</f>
        <v>0</v>
      </c>
      <c r="V131" s="1195">
        <f>IFERROR(IF(AND(V$54&gt;=EOMONTH($J131,-1)+1,V$54&lt;=EOMONTH(EOMONTH($J131,-1)+1,$K131-1)),IF(NOT(ISBLANK($N131)),$N131/$K131,$I131/$K131),0),0)</f>
        <v>0</v>
      </c>
      <c r="W131" s="1195">
        <f>IFERROR(IF(AND(W$54&gt;=EOMONTH($J131,-1)+1,W$54&lt;=EOMONTH(EOMONTH($J131,-1)+1,$K131-1)),IF(NOT(ISBLANK($N131)),$N131/$K131,$I131/$K131),0),0)</f>
        <v>0</v>
      </c>
      <c r="X131" s="1196">
        <f t="shared" si="181"/>
        <v>0</v>
      </c>
      <c r="Y131" s="1195">
        <f>IFERROR(IF(AND(Y$54&gt;=EOMONTH($J131,-1)+1,Y$54&lt;=EOMONTH(EOMONTH($J131,-1)+1,$K131-1)),IF(NOT(ISBLANK($N131)),$N131/$K131,$I131/$K131),0),0)</f>
        <v>0</v>
      </c>
      <c r="Z131" s="1195">
        <f>IFERROR(IF(AND(Z$54&gt;=EOMONTH($J131,-1)+1,Z$54&lt;=EOMONTH(EOMONTH($J131,-1)+1,$K131-1)),IF(NOT(ISBLANK($N131)),$N131/$K131,$I131/$K131),0),0)</f>
        <v>0</v>
      </c>
      <c r="AA131" s="1195">
        <f>IFERROR(IF(AND(AA$54&gt;=EOMONTH($J131,-1)+1,AA$54&lt;=EOMONTH(EOMONTH($J131,-1)+1,$K131-1)),IF(NOT(ISBLANK($N131)),$N131/$K131,$I131/$K131),0),0)</f>
        <v>0</v>
      </c>
      <c r="AB131" s="1196">
        <f t="shared" si="182"/>
        <v>0</v>
      </c>
      <c r="AC131" s="1195">
        <f>IFERROR(IF(AND(AC$54&gt;=EOMONTH($J131,-1)+1,AC$54&lt;=EOMONTH(EOMONTH($J131,-1)+1,$K131-1)),IF(NOT(ISBLANK($N131)),$N131/$K131,$I131/$K131),0),0)</f>
        <v>0</v>
      </c>
      <c r="AD131" s="1195">
        <f>IFERROR(IF(AND(AD$54&gt;=EOMONTH($J131,-1)+1,AD$54&lt;=EOMONTH(EOMONTH($J131,-1)+1,$K131-1)),IF(NOT(ISBLANK($N131)),$N131/$K131,$I131/$K131),0),0)</f>
        <v>0</v>
      </c>
      <c r="AE131" s="1195">
        <f>IFERROR(IF(AND(AE$54&gt;=EOMONTH($J131,-1)+1,AE$54&lt;=EOMONTH(EOMONTH($J131,-1)+1,$K131-1)),IF(NOT(ISBLANK($N131)),$N131/$K131,$I131/$K131),0),0)</f>
        <v>0</v>
      </c>
      <c r="AF131" s="1196">
        <f t="shared" si="183"/>
        <v>0</v>
      </c>
      <c r="AG131" s="1195">
        <f>IFERROR(IF(AND(AG$54&gt;=EOMONTH($J131,-1)+1,AG$54&lt;=EOMONTH(EOMONTH($J131,-1)+1,$K131-1)),IF(NOT(ISBLANK($N131)),$N131/$K131,$I131/$K131),0),0)</f>
        <v>0</v>
      </c>
      <c r="AH131" s="1195">
        <f>IFERROR(IF(AND(AH$54&gt;=EOMONTH($J131,-1)+1,AH$54&lt;=EOMONTH(EOMONTH($J131,-1)+1,$K131-1)),IF(NOT(ISBLANK($N131)),$N131/$K131,$I131/$K131),0),0)</f>
        <v>0</v>
      </c>
      <c r="AI131" s="1195">
        <f>IFERROR(IF(AND(AI$54&gt;=EOMONTH($J131,-1)+1,AI$54&lt;=EOMONTH(EOMONTH($J131,-1)+1,$K131-1)),IF(NOT(ISBLANK($N131)),$N131/$K131,$I131/$K131),0),0)</f>
        <v>0</v>
      </c>
      <c r="AJ131" s="1196">
        <f t="shared" si="184"/>
        <v>0</v>
      </c>
      <c r="AK131" s="1206">
        <f t="shared" si="180"/>
        <v>0</v>
      </c>
      <c r="AL131" s="1131"/>
      <c r="AM131" s="1928"/>
      <c r="AN131" s="1878"/>
      <c r="AO131" s="1969">
        <f>N131*AN131</f>
        <v>0</v>
      </c>
      <c r="AP131" s="1041">
        <f>C131</f>
        <v>0</v>
      </c>
      <c r="AQ131" s="1041" t="s">
        <v>311</v>
      </c>
      <c r="AR131" s="1063" t="str" cm="1">
        <f t="array" aca="1" ref="AR131" ca="1">IF(OR(AP131="",AP131=0),"",IF(SUMPRODUCT(($C$55:$C$144=AP131)*(U$54:$AI$54&lt;EOMONTH(TODAY(),-1)+1)*(ISNUMBER(U$55:$AI$144)),U$55:$AI$144)=0,"",SUMPRODUCT(($C$55:$C$144=AP131)*(U$54:$AI$54&lt;EOMONTH(TODAY(),-1)+1)*(ISNUMBER(U$55:$AI$144)),U$55:$AI$144)))</f>
        <v/>
      </c>
      <c r="AS131" s="1041">
        <f>A131</f>
        <v>0</v>
      </c>
      <c r="AT131" s="2111">
        <f>IF(OR(I131="",K131=""),0,(I131/12)*K131)</f>
        <v>0</v>
      </c>
      <c r="AU131" s="2111">
        <f>IF(OR(N131="",K131="",K131=0),0,(N131/K131)*12)</f>
        <v>0</v>
      </c>
    </row>
    <row r="132" spans="1:47" ht="29.1" customHeight="1" x14ac:dyDescent="0.3">
      <c r="A132" s="1929"/>
      <c r="B132" s="1929"/>
      <c r="C132" s="1931"/>
      <c r="D132" s="1940"/>
      <c r="E132" s="1933"/>
      <c r="F132" s="1935"/>
      <c r="G132" s="1937"/>
      <c r="H132" s="1937"/>
      <c r="I132" s="1937"/>
      <c r="J132" s="1911"/>
      <c r="K132" s="1913"/>
      <c r="L132" s="1915"/>
      <c r="M132" s="1917"/>
      <c r="N132" s="1919"/>
      <c r="O132" s="1879"/>
      <c r="P132" s="1921"/>
      <c r="Q132" s="1923"/>
      <c r="R132" s="1879"/>
      <c r="S132" s="1204" t="s">
        <v>117</v>
      </c>
      <c r="T132" s="1211"/>
      <c r="U132" s="1207" t="s">
        <v>959</v>
      </c>
      <c r="V132" s="1207" t="s">
        <v>959</v>
      </c>
      <c r="W132" s="1207" t="s">
        <v>959</v>
      </c>
      <c r="X132" s="1208">
        <f t="shared" si="181"/>
        <v>0</v>
      </c>
      <c r="Y132" s="1207" t="s">
        <v>959</v>
      </c>
      <c r="Z132" s="1207" t="s">
        <v>959</v>
      </c>
      <c r="AA132" s="1207" t="s">
        <v>959</v>
      </c>
      <c r="AB132" s="1208">
        <f t="shared" si="182"/>
        <v>0</v>
      </c>
      <c r="AC132" s="1207" t="s">
        <v>959</v>
      </c>
      <c r="AD132" s="1207" t="s">
        <v>959</v>
      </c>
      <c r="AE132" s="1207" t="s">
        <v>959</v>
      </c>
      <c r="AF132" s="1208">
        <f t="shared" si="183"/>
        <v>0</v>
      </c>
      <c r="AG132" s="1207" t="s">
        <v>959</v>
      </c>
      <c r="AH132" s="1207" t="s">
        <v>959</v>
      </c>
      <c r="AI132" s="1207" t="s">
        <v>959</v>
      </c>
      <c r="AJ132" s="1208">
        <f t="shared" si="184"/>
        <v>0</v>
      </c>
      <c r="AK132" s="1209">
        <f t="shared" si="180"/>
        <v>0</v>
      </c>
      <c r="AL132" s="1131"/>
      <c r="AM132" s="1929"/>
      <c r="AN132" s="1879"/>
      <c r="AO132" s="1970"/>
      <c r="AP132" s="1041">
        <f>C131</f>
        <v>0</v>
      </c>
      <c r="AQ132" s="1041" t="s">
        <v>313</v>
      </c>
      <c r="AR132" s="1063" t="str" cm="1">
        <f t="array" aca="1" ref="AR132" ca="1">IF(OR(AP132="",AP132=0),"",IF(SUMPRODUCT(($C$55:$C$159=AP132)*($U$54:AI$54&lt;=TODAY())*(ISNUMBER($U$56:AI$160)),$U$56:AI$160)=0,"",SUMPRODUCT(($C$55:$C$159=AP132)*($U$54:AI$54&lt;=TODAY())*(ISNUMBER($U$56:AI$160)),$U$56:AI$160)))</f>
        <v/>
      </c>
      <c r="AS132" s="1041">
        <f>A131</f>
        <v>0</v>
      </c>
      <c r="AT132" s="2112"/>
      <c r="AU132" s="2112"/>
    </row>
    <row r="133" spans="1:47" ht="29.1" customHeight="1" x14ac:dyDescent="0.3">
      <c r="A133" s="1880"/>
      <c r="B133" s="1882"/>
      <c r="C133" s="1884"/>
      <c r="D133" s="1886"/>
      <c r="E133" s="1888"/>
      <c r="F133" s="1890"/>
      <c r="G133" s="1892"/>
      <c r="H133" s="1892"/>
      <c r="I133" s="1894"/>
      <c r="J133" s="1896"/>
      <c r="K133" s="1898" t="str">
        <f t="shared" ref="K133" si="186">IF(J133="", "", 12 - MONTH(J133) + 1)</f>
        <v/>
      </c>
      <c r="L133" s="1894"/>
      <c r="M133" s="1900"/>
      <c r="N133" s="1902"/>
      <c r="O133" s="1904"/>
      <c r="P133" s="1906"/>
      <c r="Q133" s="1908"/>
      <c r="R133" s="1904"/>
      <c r="S133" s="1210" t="s">
        <v>116</v>
      </c>
      <c r="T133" s="1211"/>
      <c r="U133" s="1195">
        <f>IFERROR(IF(AND(U$54&gt;=EOMONTH($J133,-1)+1,U$54&lt;=EOMONTH(EOMONTH($J133,-1)+1,$K133-1)),IF(NOT(ISBLANK($N133)),$N133/$K133,$I133/$K133),0),0)</f>
        <v>0</v>
      </c>
      <c r="V133" s="1195">
        <f>IFERROR(IF(AND(V$54&gt;=EOMONTH($J133,-1)+1,V$54&lt;=EOMONTH(EOMONTH($J133,-1)+1,$K133-1)),IF(NOT(ISBLANK($N133)),$N133/$K133,$I133/$K133),0),0)</f>
        <v>0</v>
      </c>
      <c r="W133" s="1195">
        <f>IFERROR(IF(AND(W$54&gt;=EOMONTH($J133,-1)+1,W$54&lt;=EOMONTH(EOMONTH($J133,-1)+1,$K133-1)),IF(NOT(ISBLANK($N133)),$N133/$K133,$I133/$K133),0),0)</f>
        <v>0</v>
      </c>
      <c r="X133" s="1196">
        <f t="shared" si="181"/>
        <v>0</v>
      </c>
      <c r="Y133" s="1195">
        <f>IFERROR(IF(AND(Y$54&gt;=EOMONTH($J133,-1)+1,Y$54&lt;=EOMONTH(EOMONTH($J133,-1)+1,$K133-1)),IF(NOT(ISBLANK($N133)),$N133/$K133,$I133/$K133),0),0)</f>
        <v>0</v>
      </c>
      <c r="Z133" s="1195">
        <f>IFERROR(IF(AND(Z$54&gt;=EOMONTH($J133,-1)+1,Z$54&lt;=EOMONTH(EOMONTH($J133,-1)+1,$K133-1)),IF(NOT(ISBLANK($N133)),$N133/$K133,$I133/$K133),0),0)</f>
        <v>0</v>
      </c>
      <c r="AA133" s="1195">
        <f>IFERROR(IF(AND(AA$54&gt;=EOMONTH($J133,-1)+1,AA$54&lt;=EOMONTH(EOMONTH($J133,-1)+1,$K133-1)),IF(NOT(ISBLANK($N133)),$N133/$K133,$I133/$K133),0),0)</f>
        <v>0</v>
      </c>
      <c r="AB133" s="1196">
        <f t="shared" si="182"/>
        <v>0</v>
      </c>
      <c r="AC133" s="1195">
        <f>IFERROR(IF(AND(AC$54&gt;=EOMONTH($J133,-1)+1,AC$54&lt;=EOMONTH(EOMONTH($J133,-1)+1,$K133-1)),IF(NOT(ISBLANK($N133)),$N133/$K133,$I133/$K133),0),0)</f>
        <v>0</v>
      </c>
      <c r="AD133" s="1195">
        <f>IFERROR(IF(AND(AD$54&gt;=EOMONTH($J133,-1)+1,AD$54&lt;=EOMONTH(EOMONTH($J133,-1)+1,$K133-1)),IF(NOT(ISBLANK($N133)),$N133/$K133,$I133/$K133),0),0)</f>
        <v>0</v>
      </c>
      <c r="AE133" s="1195">
        <f>IFERROR(IF(AND(AE$54&gt;=EOMONTH($J133,-1)+1,AE$54&lt;=EOMONTH(EOMONTH($J133,-1)+1,$K133-1)),IF(NOT(ISBLANK($N133)),$N133/$K133,$I133/$K133),0),0)</f>
        <v>0</v>
      </c>
      <c r="AF133" s="1196">
        <f t="shared" si="183"/>
        <v>0</v>
      </c>
      <c r="AG133" s="1195">
        <f>IFERROR(IF(AND(AG$54&gt;=EOMONTH($J133,-1)+1,AG$54&lt;=EOMONTH(EOMONTH($J133,-1)+1,$K133-1)),IF(NOT(ISBLANK($N133)),$N133/$K133,$I133/$K133),0),0)</f>
        <v>0</v>
      </c>
      <c r="AH133" s="1195">
        <f>IFERROR(IF(AND(AH$54&gt;=EOMONTH($J133,-1)+1,AH$54&lt;=EOMONTH(EOMONTH($J133,-1)+1,$K133-1)),IF(NOT(ISBLANK($N133)),$N133/$K133,$I133/$K133),0),0)</f>
        <v>0</v>
      </c>
      <c r="AI133" s="1195">
        <f>IFERROR(IF(AND(AI$54&gt;=EOMONTH($J133,-1)+1,AI$54&lt;=EOMONTH(EOMONTH($J133,-1)+1,$K133-1)),IF(NOT(ISBLANK($N133)),$N133/$K133,$I133/$K133),0),0)</f>
        <v>0</v>
      </c>
      <c r="AJ133" s="1196">
        <f t="shared" si="184"/>
        <v>0</v>
      </c>
      <c r="AK133" s="1212">
        <f t="shared" si="180"/>
        <v>0</v>
      </c>
      <c r="AL133" s="1213"/>
      <c r="AM133" s="1890"/>
      <c r="AN133" s="1971"/>
      <c r="AO133" s="1973">
        <f>N133*AN133</f>
        <v>0</v>
      </c>
      <c r="AP133" s="1041">
        <f>C133</f>
        <v>0</v>
      </c>
      <c r="AQ133" s="1041" t="s">
        <v>311</v>
      </c>
      <c r="AR133" s="1063" t="str" cm="1">
        <f t="array" aca="1" ref="AR133" ca="1">IF(OR(AP133="",AP133=0),"",IF(SUMPRODUCT(($C$55:$C$144=AP133)*(U$54:$AI$54&lt;EOMONTH(TODAY(),-1)+1)*(ISNUMBER(U$55:$AI$144)),U$55:$AI$144)=0,"",SUMPRODUCT(($C$55:$C$144=AP133)*(U$54:$AI$54&lt;EOMONTH(TODAY(),-1)+1)*(ISNUMBER(U$55:$AI$144)),U$55:$AI$144)))</f>
        <v/>
      </c>
      <c r="AS133" s="1041">
        <f>A133</f>
        <v>0</v>
      </c>
      <c r="AT133" s="2111">
        <f>IF(OR(I133="",K133=""),0,(I133/12)*K133)</f>
        <v>0</v>
      </c>
      <c r="AU133" s="2111">
        <f>IF(OR(N133="",K133="",K133=0),0,(N133/K133)*12)</f>
        <v>0</v>
      </c>
    </row>
    <row r="134" spans="1:47" ht="29.1" customHeight="1" x14ac:dyDescent="0.3">
      <c r="A134" s="1881"/>
      <c r="B134" s="1883"/>
      <c r="C134" s="1885"/>
      <c r="D134" s="1887"/>
      <c r="E134" s="1889"/>
      <c r="F134" s="1891"/>
      <c r="G134" s="1893"/>
      <c r="H134" s="1893"/>
      <c r="I134" s="1895"/>
      <c r="J134" s="1897"/>
      <c r="K134" s="1899"/>
      <c r="L134" s="1895"/>
      <c r="M134" s="1901"/>
      <c r="N134" s="1903"/>
      <c r="O134" s="1905"/>
      <c r="P134" s="1907"/>
      <c r="Q134" s="1909"/>
      <c r="R134" s="1905"/>
      <c r="S134" s="1210" t="s">
        <v>117</v>
      </c>
      <c r="T134" s="1211"/>
      <c r="U134" s="1214" t="s">
        <v>959</v>
      </c>
      <c r="V134" s="1214" t="s">
        <v>959</v>
      </c>
      <c r="W134" s="1214" t="s">
        <v>959</v>
      </c>
      <c r="X134" s="1208">
        <f t="shared" si="181"/>
        <v>0</v>
      </c>
      <c r="Y134" s="1214" t="s">
        <v>959</v>
      </c>
      <c r="Z134" s="1214" t="s">
        <v>959</v>
      </c>
      <c r="AA134" s="1214" t="s">
        <v>959</v>
      </c>
      <c r="AB134" s="1208">
        <f t="shared" si="182"/>
        <v>0</v>
      </c>
      <c r="AC134" s="1214" t="s">
        <v>959</v>
      </c>
      <c r="AD134" s="1214" t="s">
        <v>959</v>
      </c>
      <c r="AE134" s="1214" t="s">
        <v>959</v>
      </c>
      <c r="AF134" s="1208">
        <f t="shared" si="183"/>
        <v>0</v>
      </c>
      <c r="AG134" s="1214" t="s">
        <v>959</v>
      </c>
      <c r="AH134" s="1214" t="s">
        <v>959</v>
      </c>
      <c r="AI134" s="1214" t="s">
        <v>959</v>
      </c>
      <c r="AJ134" s="1208">
        <f t="shared" si="184"/>
        <v>0</v>
      </c>
      <c r="AK134" s="1215">
        <f t="shared" si="180"/>
        <v>0</v>
      </c>
      <c r="AL134" s="1216"/>
      <c r="AM134" s="1891"/>
      <c r="AN134" s="1972"/>
      <c r="AO134" s="1974"/>
      <c r="AP134" s="1041">
        <f>C133</f>
        <v>0</v>
      </c>
      <c r="AQ134" s="1041" t="s">
        <v>313</v>
      </c>
      <c r="AR134" s="1063" t="str" cm="1">
        <f t="array" aca="1" ref="AR134" ca="1">IF(OR(AP134="",AP134=0),"",IF(SUMPRODUCT(($C$55:$C$159=AP134)*($U$54:AI$54&lt;=TODAY())*(ISNUMBER($U$56:AI$160)),$U$56:AI$160)=0,"",SUMPRODUCT(($C$55:$C$159=AP134)*($U$54:AI$54&lt;=TODAY())*(ISNUMBER($U$56:AI$160)),$U$56:AI$160)))</f>
        <v/>
      </c>
      <c r="AS134" s="1041">
        <f>A133</f>
        <v>0</v>
      </c>
      <c r="AT134" s="2112"/>
      <c r="AU134" s="2112"/>
    </row>
    <row r="135" spans="1:47" ht="29.1" customHeight="1" x14ac:dyDescent="0.3">
      <c r="A135" s="1928"/>
      <c r="B135" s="1928"/>
      <c r="C135" s="1930"/>
      <c r="D135" s="1939"/>
      <c r="E135" s="1932"/>
      <c r="F135" s="1934"/>
      <c r="G135" s="1936"/>
      <c r="H135" s="1936"/>
      <c r="I135" s="1938"/>
      <c r="J135" s="1910"/>
      <c r="K135" s="1912" t="str">
        <f t="shared" ref="K135" si="187">IF(J135="", "", 12 - MONTH(J135) + 1)</f>
        <v/>
      </c>
      <c r="L135" s="1914"/>
      <c r="M135" s="1916"/>
      <c r="N135" s="1918"/>
      <c r="O135" s="1878"/>
      <c r="P135" s="1920"/>
      <c r="Q135" s="1922"/>
      <c r="R135" s="1878"/>
      <c r="S135" s="1204" t="s">
        <v>116</v>
      </c>
      <c r="T135" s="1205" t="str">
        <f ca="1">IF(OR(G135="", H135=""), "", IF(TODAY()&lt;G135, 0, IF(TODAY()&gt;H135, 1, (TODAY()-G135+1)/(H135-G135+1))))</f>
        <v/>
      </c>
      <c r="U135" s="1195">
        <f>IFERROR(IF(AND(U$54&gt;=EOMONTH($J135,-1)+1,U$54&lt;=EOMONTH(EOMONTH($J135,-1)+1,$K135-1)),IF(NOT(ISBLANK($N135)),$N135/$K135,$I135/$K135),0),0)</f>
        <v>0</v>
      </c>
      <c r="V135" s="1195">
        <f>IFERROR(IF(AND(V$54&gt;=EOMONTH($J135,-1)+1,V$54&lt;=EOMONTH(EOMONTH($J135,-1)+1,$K135-1)),IF(NOT(ISBLANK($N135)),$N135/$K135,$I135/$K135),0),0)</f>
        <v>0</v>
      </c>
      <c r="W135" s="1195">
        <f>IFERROR(IF(AND(W$54&gt;=EOMONTH($J135,-1)+1,W$54&lt;=EOMONTH(EOMONTH($J135,-1)+1,$K135-1)),IF(NOT(ISBLANK($N135)),$N135/$K135,$I135/$K135),0),0)</f>
        <v>0</v>
      </c>
      <c r="X135" s="1196">
        <f t="shared" si="181"/>
        <v>0</v>
      </c>
      <c r="Y135" s="1195">
        <f>IFERROR(IF(AND(Y$54&gt;=EOMONTH($J135,-1)+1,Y$54&lt;=EOMONTH(EOMONTH($J135,-1)+1,$K135-1)),IF(NOT(ISBLANK($N135)),$N135/$K135,$I135/$K135),0),0)</f>
        <v>0</v>
      </c>
      <c r="Z135" s="1195">
        <f>IFERROR(IF(AND(Z$54&gt;=EOMONTH($J135,-1)+1,Z$54&lt;=EOMONTH(EOMONTH($J135,-1)+1,$K135-1)),IF(NOT(ISBLANK($N135)),$N135/$K135,$I135/$K135),0),0)</f>
        <v>0</v>
      </c>
      <c r="AA135" s="1195">
        <f>IFERROR(IF(AND(AA$54&gt;=EOMONTH($J135,-1)+1,AA$54&lt;=EOMONTH(EOMONTH($J135,-1)+1,$K135-1)),IF(NOT(ISBLANK($N135)),$N135/$K135,$I135/$K135),0),0)</f>
        <v>0</v>
      </c>
      <c r="AB135" s="1196">
        <f t="shared" si="182"/>
        <v>0</v>
      </c>
      <c r="AC135" s="1195">
        <f>IFERROR(IF(AND(AC$54&gt;=EOMONTH($J135,-1)+1,AC$54&lt;=EOMONTH(EOMONTH($J135,-1)+1,$K135-1)),IF(NOT(ISBLANK($N135)),$N135/$K135,$I135/$K135),0),0)</f>
        <v>0</v>
      </c>
      <c r="AD135" s="1195">
        <f>IFERROR(IF(AND(AD$54&gt;=EOMONTH($J135,-1)+1,AD$54&lt;=EOMONTH(EOMONTH($J135,-1)+1,$K135-1)),IF(NOT(ISBLANK($N135)),$N135/$K135,$I135/$K135),0),0)</f>
        <v>0</v>
      </c>
      <c r="AE135" s="1195">
        <f>IFERROR(IF(AND(AE$54&gt;=EOMONTH($J135,-1)+1,AE$54&lt;=EOMONTH(EOMONTH($J135,-1)+1,$K135-1)),IF(NOT(ISBLANK($N135)),$N135/$K135,$I135/$K135),0),0)</f>
        <v>0</v>
      </c>
      <c r="AF135" s="1196">
        <f t="shared" si="183"/>
        <v>0</v>
      </c>
      <c r="AG135" s="1195">
        <f>IFERROR(IF(AND(AG$54&gt;=EOMONTH($J135,-1)+1,AG$54&lt;=EOMONTH(EOMONTH($J135,-1)+1,$K135-1)),IF(NOT(ISBLANK($N135)),$N135/$K135,$I135/$K135),0),0)</f>
        <v>0</v>
      </c>
      <c r="AH135" s="1195">
        <f>IFERROR(IF(AND(AH$54&gt;=EOMONTH($J135,-1)+1,AH$54&lt;=EOMONTH(EOMONTH($J135,-1)+1,$K135-1)),IF(NOT(ISBLANK($N135)),$N135/$K135,$I135/$K135),0),0)</f>
        <v>0</v>
      </c>
      <c r="AI135" s="1195">
        <f>IFERROR(IF(AND(AI$54&gt;=EOMONTH($J135,-1)+1,AI$54&lt;=EOMONTH(EOMONTH($J135,-1)+1,$K135-1)),IF(NOT(ISBLANK($N135)),$N135/$K135,$I135/$K135),0),0)</f>
        <v>0</v>
      </c>
      <c r="AJ135" s="1196">
        <f t="shared" si="184"/>
        <v>0</v>
      </c>
      <c r="AK135" s="1206">
        <f t="shared" si="180"/>
        <v>0</v>
      </c>
      <c r="AL135" s="1131"/>
      <c r="AM135" s="1928"/>
      <c r="AN135" s="1878"/>
      <c r="AO135" s="1969">
        <f>N135*AN135</f>
        <v>0</v>
      </c>
      <c r="AP135" s="1041">
        <f>C135</f>
        <v>0</v>
      </c>
      <c r="AQ135" s="1041" t="s">
        <v>311</v>
      </c>
      <c r="AR135" s="1063" t="str" cm="1">
        <f t="array" aca="1" ref="AR135" ca="1">IF(OR(AP135="",AP135=0),"",IF(SUMPRODUCT(($C$55:$C$144=AP135)*(U$54:$AI$54&lt;EOMONTH(TODAY(),-1)+1)*(ISNUMBER(U$55:$AI$144)),U$55:$AI$144)=0,"",SUMPRODUCT(($C$55:$C$144=AP135)*(U$54:$AI$54&lt;EOMONTH(TODAY(),-1)+1)*(ISNUMBER(U$55:$AI$144)),U$55:$AI$144)))</f>
        <v/>
      </c>
      <c r="AS135" s="1041">
        <f>A135</f>
        <v>0</v>
      </c>
      <c r="AT135" s="2111">
        <f>IF(OR(I135="",K135=""),0,(I135/12)*K135)</f>
        <v>0</v>
      </c>
      <c r="AU135" s="2111">
        <f>IF(OR(N135="",K135="",K135=0),0,(N135/K135)*12)</f>
        <v>0</v>
      </c>
    </row>
    <row r="136" spans="1:47" ht="29.1" customHeight="1" x14ac:dyDescent="0.3">
      <c r="A136" s="1929"/>
      <c r="B136" s="1929"/>
      <c r="C136" s="1931"/>
      <c r="D136" s="1940"/>
      <c r="E136" s="1933"/>
      <c r="F136" s="1935"/>
      <c r="G136" s="1937"/>
      <c r="H136" s="1937"/>
      <c r="I136" s="1937"/>
      <c r="J136" s="1911"/>
      <c r="K136" s="1913"/>
      <c r="L136" s="1915"/>
      <c r="M136" s="1917"/>
      <c r="N136" s="1919"/>
      <c r="O136" s="1879"/>
      <c r="P136" s="1921"/>
      <c r="Q136" s="1923"/>
      <c r="R136" s="1879"/>
      <c r="S136" s="1204" t="s">
        <v>117</v>
      </c>
      <c r="T136" s="1211"/>
      <c r="U136" s="1207" t="s">
        <v>959</v>
      </c>
      <c r="V136" s="1207" t="s">
        <v>959</v>
      </c>
      <c r="W136" s="1207" t="s">
        <v>959</v>
      </c>
      <c r="X136" s="1208">
        <f t="shared" si="181"/>
        <v>0</v>
      </c>
      <c r="Y136" s="1207" t="s">
        <v>959</v>
      </c>
      <c r="Z136" s="1207" t="s">
        <v>959</v>
      </c>
      <c r="AA136" s="1207" t="s">
        <v>959</v>
      </c>
      <c r="AB136" s="1208">
        <f t="shared" si="182"/>
        <v>0</v>
      </c>
      <c r="AC136" s="1207" t="s">
        <v>959</v>
      </c>
      <c r="AD136" s="1207" t="s">
        <v>959</v>
      </c>
      <c r="AE136" s="1207" t="s">
        <v>959</v>
      </c>
      <c r="AF136" s="1208">
        <f t="shared" si="183"/>
        <v>0</v>
      </c>
      <c r="AG136" s="1207" t="s">
        <v>959</v>
      </c>
      <c r="AH136" s="1207" t="s">
        <v>959</v>
      </c>
      <c r="AI136" s="1207" t="s">
        <v>959</v>
      </c>
      <c r="AJ136" s="1208">
        <f t="shared" si="184"/>
        <v>0</v>
      </c>
      <c r="AK136" s="1209">
        <f t="shared" si="180"/>
        <v>0</v>
      </c>
      <c r="AL136" s="1131"/>
      <c r="AM136" s="1929"/>
      <c r="AN136" s="1879"/>
      <c r="AO136" s="1970"/>
      <c r="AP136" s="1041">
        <f>C135</f>
        <v>0</v>
      </c>
      <c r="AQ136" s="1041" t="s">
        <v>313</v>
      </c>
      <c r="AR136" s="1063" t="str" cm="1">
        <f t="array" aca="1" ref="AR136" ca="1">IF(OR(AP136="",AP136=0),"",IF(SUMPRODUCT(($C$55:$C$159=AP136)*($U$54:AI$54&lt;=TODAY())*(ISNUMBER($U$56:AI$160)),$U$56:AI$160)=0,"",SUMPRODUCT(($C$55:$C$159=AP136)*($U$54:AI$54&lt;=TODAY())*(ISNUMBER($U$56:AI$160)),$U$56:AI$160)))</f>
        <v/>
      </c>
      <c r="AS136" s="1041">
        <f>A135</f>
        <v>0</v>
      </c>
      <c r="AT136" s="2112"/>
      <c r="AU136" s="2112"/>
    </row>
    <row r="137" spans="1:47" ht="29.1" customHeight="1" x14ac:dyDescent="0.3">
      <c r="A137" s="1880"/>
      <c r="B137" s="1882"/>
      <c r="C137" s="1884"/>
      <c r="D137" s="1886"/>
      <c r="E137" s="1888"/>
      <c r="F137" s="1890"/>
      <c r="G137" s="1892"/>
      <c r="H137" s="1892"/>
      <c r="I137" s="1894"/>
      <c r="J137" s="1896"/>
      <c r="K137" s="1898" t="str">
        <f t="shared" ref="K137" si="188">IF(J137="", "", 12 - MONTH(J137) + 1)</f>
        <v/>
      </c>
      <c r="L137" s="1894"/>
      <c r="M137" s="1900"/>
      <c r="N137" s="1902"/>
      <c r="O137" s="1904"/>
      <c r="P137" s="1906"/>
      <c r="Q137" s="1908"/>
      <c r="R137" s="1904"/>
      <c r="S137" s="1210" t="s">
        <v>116</v>
      </c>
      <c r="T137" s="1211"/>
      <c r="U137" s="1195">
        <f>IFERROR(IF(AND(U$54&gt;=EOMONTH($J137,-1)+1,U$54&lt;=EOMONTH(EOMONTH($J137,-1)+1,$K137-1)),IF(NOT(ISBLANK($N137)),$N137/$K137,$I137/$K137),0),0)</f>
        <v>0</v>
      </c>
      <c r="V137" s="1195">
        <f>IFERROR(IF(AND(V$54&gt;=EOMONTH($J137,-1)+1,V$54&lt;=EOMONTH(EOMONTH($J137,-1)+1,$K137-1)),IF(NOT(ISBLANK($N137)),$N137/$K137,$I137/$K137),0),0)</f>
        <v>0</v>
      </c>
      <c r="W137" s="1195">
        <f>IFERROR(IF(AND(W$54&gt;=EOMONTH($J137,-1)+1,W$54&lt;=EOMONTH(EOMONTH($J137,-1)+1,$K137-1)),IF(NOT(ISBLANK($N137)),$N137/$K137,$I137/$K137),0),0)</f>
        <v>0</v>
      </c>
      <c r="X137" s="1196">
        <f t="shared" si="181"/>
        <v>0</v>
      </c>
      <c r="Y137" s="1195">
        <f>IFERROR(IF(AND(Y$54&gt;=EOMONTH($J137,-1)+1,Y$54&lt;=EOMONTH(EOMONTH($J137,-1)+1,$K137-1)),IF(NOT(ISBLANK($N137)),$N137/$K137,$I137/$K137),0),0)</f>
        <v>0</v>
      </c>
      <c r="Z137" s="1195">
        <f>IFERROR(IF(AND(Z$54&gt;=EOMONTH($J137,-1)+1,Z$54&lt;=EOMONTH(EOMONTH($J137,-1)+1,$K137-1)),IF(NOT(ISBLANK($N137)),$N137/$K137,$I137/$K137),0),0)</f>
        <v>0</v>
      </c>
      <c r="AA137" s="1195">
        <f>IFERROR(IF(AND(AA$54&gt;=EOMONTH($J137,-1)+1,AA$54&lt;=EOMONTH(EOMONTH($J137,-1)+1,$K137-1)),IF(NOT(ISBLANK($N137)),$N137/$K137,$I137/$K137),0),0)</f>
        <v>0</v>
      </c>
      <c r="AB137" s="1196">
        <f t="shared" si="182"/>
        <v>0</v>
      </c>
      <c r="AC137" s="1195">
        <f>IFERROR(IF(AND(AC$54&gt;=EOMONTH($J137,-1)+1,AC$54&lt;=EOMONTH(EOMONTH($J137,-1)+1,$K137-1)),IF(NOT(ISBLANK($N137)),$N137/$K137,$I137/$K137),0),0)</f>
        <v>0</v>
      </c>
      <c r="AD137" s="1195">
        <f>IFERROR(IF(AND(AD$54&gt;=EOMONTH($J137,-1)+1,AD$54&lt;=EOMONTH(EOMONTH($J137,-1)+1,$K137-1)),IF(NOT(ISBLANK($N137)),$N137/$K137,$I137/$K137),0),0)</f>
        <v>0</v>
      </c>
      <c r="AE137" s="1195">
        <f>IFERROR(IF(AND(AE$54&gt;=EOMONTH($J137,-1)+1,AE$54&lt;=EOMONTH(EOMONTH($J137,-1)+1,$K137-1)),IF(NOT(ISBLANK($N137)),$N137/$K137,$I137/$K137),0),0)</f>
        <v>0</v>
      </c>
      <c r="AF137" s="1196">
        <f t="shared" si="183"/>
        <v>0</v>
      </c>
      <c r="AG137" s="1195">
        <f>IFERROR(IF(AND(AG$54&gt;=EOMONTH($J137,-1)+1,AG$54&lt;=EOMONTH(EOMONTH($J137,-1)+1,$K137-1)),IF(NOT(ISBLANK($N137)),$N137/$K137,$I137/$K137),0),0)</f>
        <v>0</v>
      </c>
      <c r="AH137" s="1195">
        <f>IFERROR(IF(AND(AH$54&gt;=EOMONTH($J137,-1)+1,AH$54&lt;=EOMONTH(EOMONTH($J137,-1)+1,$K137-1)),IF(NOT(ISBLANK($N137)),$N137/$K137,$I137/$K137),0),0)</f>
        <v>0</v>
      </c>
      <c r="AI137" s="1195">
        <f>IFERROR(IF(AND(AI$54&gt;=EOMONTH($J137,-1)+1,AI$54&lt;=EOMONTH(EOMONTH($J137,-1)+1,$K137-1)),IF(NOT(ISBLANK($N137)),$N137/$K137,$I137/$K137),0),0)</f>
        <v>0</v>
      </c>
      <c r="AJ137" s="1196">
        <f t="shared" si="184"/>
        <v>0</v>
      </c>
      <c r="AK137" s="1212">
        <f t="shared" si="150"/>
        <v>0</v>
      </c>
      <c r="AL137" s="1213"/>
      <c r="AM137" s="1890"/>
      <c r="AN137" s="1971"/>
      <c r="AO137" s="1973">
        <f>N137*AN137</f>
        <v>0</v>
      </c>
      <c r="AP137" s="1041">
        <f>C137</f>
        <v>0</v>
      </c>
      <c r="AQ137" s="1041" t="s">
        <v>311</v>
      </c>
      <c r="AR137" s="1063" t="str" cm="1">
        <f t="array" aca="1" ref="AR137" ca="1">IF(OR(AP137="",AP137=0),"",IF(SUMPRODUCT(($C$55:$C$144=AP137)*(U$54:$AI$54&lt;EOMONTH(TODAY(),-1)+1)*(ISNUMBER(U$55:$AI$144)),U$55:$AI$144)=0,"",SUMPRODUCT(($C$55:$C$144=AP137)*(U$54:$AI$54&lt;EOMONTH(TODAY(),-1)+1)*(ISNUMBER(U$55:$AI$144)),U$55:$AI$144)))</f>
        <v/>
      </c>
      <c r="AS137" s="1041">
        <f>A137</f>
        <v>0</v>
      </c>
      <c r="AT137" s="2111">
        <f>IF(OR(I137="",K137=""),0,(I137/12)*K137)</f>
        <v>0</v>
      </c>
      <c r="AU137" s="2111">
        <f>IF(OR(N137="",K137="",K137=0),0,(N137/K137)*12)</f>
        <v>0</v>
      </c>
    </row>
    <row r="138" spans="1:47" ht="29.1" customHeight="1" x14ac:dyDescent="0.3">
      <c r="A138" s="1881"/>
      <c r="B138" s="1883"/>
      <c r="C138" s="1885"/>
      <c r="D138" s="1887"/>
      <c r="E138" s="1889"/>
      <c r="F138" s="1891"/>
      <c r="G138" s="1893"/>
      <c r="H138" s="1893"/>
      <c r="I138" s="1895"/>
      <c r="J138" s="1897"/>
      <c r="K138" s="1899"/>
      <c r="L138" s="1895"/>
      <c r="M138" s="1901"/>
      <c r="N138" s="1903"/>
      <c r="O138" s="1905"/>
      <c r="P138" s="1907"/>
      <c r="Q138" s="1909"/>
      <c r="R138" s="1905"/>
      <c r="S138" s="1210" t="s">
        <v>117</v>
      </c>
      <c r="T138" s="1211"/>
      <c r="U138" s="1214" t="s">
        <v>959</v>
      </c>
      <c r="V138" s="1214" t="s">
        <v>959</v>
      </c>
      <c r="W138" s="1214" t="s">
        <v>959</v>
      </c>
      <c r="X138" s="1208">
        <f t="shared" si="175"/>
        <v>0</v>
      </c>
      <c r="Y138" s="1214" t="s">
        <v>959</v>
      </c>
      <c r="Z138" s="1214" t="s">
        <v>959</v>
      </c>
      <c r="AA138" s="1214" t="s">
        <v>959</v>
      </c>
      <c r="AB138" s="1208">
        <f t="shared" si="176"/>
        <v>0</v>
      </c>
      <c r="AC138" s="1214" t="s">
        <v>959</v>
      </c>
      <c r="AD138" s="1214" t="s">
        <v>959</v>
      </c>
      <c r="AE138" s="1214" t="s">
        <v>959</v>
      </c>
      <c r="AF138" s="1208">
        <f t="shared" si="177"/>
        <v>0</v>
      </c>
      <c r="AG138" s="1214" t="s">
        <v>959</v>
      </c>
      <c r="AH138" s="1214" t="s">
        <v>959</v>
      </c>
      <c r="AI138" s="1214" t="s">
        <v>959</v>
      </c>
      <c r="AJ138" s="1208">
        <f t="shared" si="178"/>
        <v>0</v>
      </c>
      <c r="AK138" s="1215">
        <f t="shared" si="150"/>
        <v>0</v>
      </c>
      <c r="AL138" s="1216"/>
      <c r="AM138" s="1891"/>
      <c r="AN138" s="1972"/>
      <c r="AO138" s="1974"/>
      <c r="AP138" s="1041">
        <f>C137</f>
        <v>0</v>
      </c>
      <c r="AQ138" s="1041" t="s">
        <v>313</v>
      </c>
      <c r="AR138" s="1063" t="str" cm="1">
        <f t="array" aca="1" ref="AR138" ca="1">IF(OR(AP138="",AP138=0),"",IF(SUMPRODUCT(($C$55:$C$159=AP138)*($U$54:AI$54&lt;=TODAY())*(ISNUMBER($U$56:AI$160)),$U$56:AI$160)=0,"",SUMPRODUCT(($C$55:$C$159=AP138)*($U$54:AI$54&lt;=TODAY())*(ISNUMBER($U$56:AI$160)),$U$56:AI$160)))</f>
        <v/>
      </c>
      <c r="AS138" s="1041">
        <f>A137</f>
        <v>0</v>
      </c>
      <c r="AT138" s="2112"/>
      <c r="AU138" s="2112"/>
    </row>
    <row r="139" spans="1:47" ht="29.1" customHeight="1" x14ac:dyDescent="0.3">
      <c r="A139" s="1928"/>
      <c r="B139" s="1928"/>
      <c r="C139" s="1930"/>
      <c r="D139" s="1939"/>
      <c r="E139" s="1932"/>
      <c r="F139" s="1934"/>
      <c r="G139" s="1936"/>
      <c r="H139" s="1936"/>
      <c r="I139" s="1938"/>
      <c r="J139" s="1910"/>
      <c r="K139" s="1912" t="str">
        <f t="shared" ref="K139" si="189">IF(J139="", "", 12 - MONTH(J139) + 1)</f>
        <v/>
      </c>
      <c r="L139" s="1914"/>
      <c r="M139" s="1916"/>
      <c r="N139" s="1918"/>
      <c r="O139" s="1878"/>
      <c r="P139" s="1920"/>
      <c r="Q139" s="1922"/>
      <c r="R139" s="1878"/>
      <c r="S139" s="1204" t="s">
        <v>116</v>
      </c>
      <c r="T139" s="1205" t="str">
        <f ca="1">IF(OR(G139="", H139=""), "", IF(TODAY()&lt;G139, 0, IF(TODAY()&gt;H139, 1, (TODAY()-G139+1)/(H139-G139+1))))</f>
        <v/>
      </c>
      <c r="U139" s="1195">
        <f>IFERROR(IF(AND(U$54&gt;=EOMONTH($J139,-1)+1,U$54&lt;=EOMONTH(EOMONTH($J139,-1)+1,$K139-1)),IF(NOT(ISBLANK($N139)),$N139/$K139,$I139/$K139),0),0)</f>
        <v>0</v>
      </c>
      <c r="V139" s="1195">
        <f>IFERROR(IF(AND(V$54&gt;=EOMONTH($J139,-1)+1,V$54&lt;=EOMONTH(EOMONTH($J139,-1)+1,$K139-1)),IF(NOT(ISBLANK($N139)),$N139/$K139,$I139/$K139),0),0)</f>
        <v>0</v>
      </c>
      <c r="W139" s="1195">
        <f>IFERROR(IF(AND(W$54&gt;=EOMONTH($J139,-1)+1,W$54&lt;=EOMONTH(EOMONTH($J139,-1)+1,$K139-1)),IF(NOT(ISBLANK($N139)),$N139/$K139,$I139/$K139),0),0)</f>
        <v>0</v>
      </c>
      <c r="X139" s="1196">
        <f t="shared" si="175"/>
        <v>0</v>
      </c>
      <c r="Y139" s="1195">
        <f>IFERROR(IF(AND(Y$54&gt;=EOMONTH($J139,-1)+1,Y$54&lt;=EOMONTH(EOMONTH($J139,-1)+1,$K139-1)),IF(NOT(ISBLANK($N139)),$N139/$K139,$I139/$K139),0),0)</f>
        <v>0</v>
      </c>
      <c r="Z139" s="1195">
        <f>IFERROR(IF(AND(Z$54&gt;=EOMONTH($J139,-1)+1,Z$54&lt;=EOMONTH(EOMONTH($J139,-1)+1,$K139-1)),IF(NOT(ISBLANK($N139)),$N139/$K139,$I139/$K139),0),0)</f>
        <v>0</v>
      </c>
      <c r="AA139" s="1195">
        <f>IFERROR(IF(AND(AA$54&gt;=EOMONTH($J139,-1)+1,AA$54&lt;=EOMONTH(EOMONTH($J139,-1)+1,$K139-1)),IF(NOT(ISBLANK($N139)),$N139/$K139,$I139/$K139),0),0)</f>
        <v>0</v>
      </c>
      <c r="AB139" s="1196">
        <f t="shared" si="176"/>
        <v>0</v>
      </c>
      <c r="AC139" s="1195">
        <f>IFERROR(IF(AND(AC$54&gt;=EOMONTH($J139,-1)+1,AC$54&lt;=EOMONTH(EOMONTH($J139,-1)+1,$K139-1)),IF(NOT(ISBLANK($N139)),$N139/$K139,$I139/$K139),0),0)</f>
        <v>0</v>
      </c>
      <c r="AD139" s="1195">
        <f>IFERROR(IF(AND(AD$54&gt;=EOMONTH($J139,-1)+1,AD$54&lt;=EOMONTH(EOMONTH($J139,-1)+1,$K139-1)),IF(NOT(ISBLANK($N139)),$N139/$K139,$I139/$K139),0),0)</f>
        <v>0</v>
      </c>
      <c r="AE139" s="1195">
        <f>IFERROR(IF(AND(AE$54&gt;=EOMONTH($J139,-1)+1,AE$54&lt;=EOMONTH(EOMONTH($J139,-1)+1,$K139-1)),IF(NOT(ISBLANK($N139)),$N139/$K139,$I139/$K139),0),0)</f>
        <v>0</v>
      </c>
      <c r="AF139" s="1196">
        <f t="shared" si="177"/>
        <v>0</v>
      </c>
      <c r="AG139" s="1195">
        <f>IFERROR(IF(AND(AG$54&gt;=EOMONTH($J139,-1)+1,AG$54&lt;=EOMONTH(EOMONTH($J139,-1)+1,$K139-1)),IF(NOT(ISBLANK($N139)),$N139/$K139,$I139/$K139),0),0)</f>
        <v>0</v>
      </c>
      <c r="AH139" s="1195">
        <f>IFERROR(IF(AND(AH$54&gt;=EOMONTH($J139,-1)+1,AH$54&lt;=EOMONTH(EOMONTH($J139,-1)+1,$K139-1)),IF(NOT(ISBLANK($N139)),$N139/$K139,$I139/$K139),0),0)</f>
        <v>0</v>
      </c>
      <c r="AI139" s="1195">
        <f>IFERROR(IF(AND(AI$54&gt;=EOMONTH($J139,-1)+1,AI$54&lt;=EOMONTH(EOMONTH($J139,-1)+1,$K139-1)),IF(NOT(ISBLANK($N139)),$N139/$K139,$I139/$K139),0),0)</f>
        <v>0</v>
      </c>
      <c r="AJ139" s="1196">
        <f t="shared" si="178"/>
        <v>0</v>
      </c>
      <c r="AK139" s="1206">
        <f t="shared" si="150"/>
        <v>0</v>
      </c>
      <c r="AL139" s="1131"/>
      <c r="AM139" s="1928"/>
      <c r="AN139" s="1878"/>
      <c r="AO139" s="1969">
        <f>N139*AN139</f>
        <v>0</v>
      </c>
      <c r="AP139" s="1041">
        <f>C139</f>
        <v>0</v>
      </c>
      <c r="AQ139" s="1041" t="s">
        <v>311</v>
      </c>
      <c r="AR139" s="1063" t="str" cm="1">
        <f t="array" aca="1" ref="AR139" ca="1">IF(OR(AP139="",AP139=0),"",IF(SUMPRODUCT(($C$55:$C$144=AP139)*(U$54:$AI$54&lt;EOMONTH(TODAY(),-1)+1)*(ISNUMBER(U$55:$AI$144)),U$55:$AI$144)=0,"",SUMPRODUCT(($C$55:$C$144=AP139)*(U$54:$AI$54&lt;EOMONTH(TODAY(),-1)+1)*(ISNUMBER(U$55:$AI$144)),U$55:$AI$144)))</f>
        <v/>
      </c>
      <c r="AS139" s="1041">
        <f>A139</f>
        <v>0</v>
      </c>
      <c r="AT139" s="2111">
        <f>IF(OR(I139="",K139=""),0,(I139/12)*K139)</f>
        <v>0</v>
      </c>
      <c r="AU139" s="2111">
        <f>IF(OR(N139="",K139="",K139=0),0,(N139/K139)*12)</f>
        <v>0</v>
      </c>
    </row>
    <row r="140" spans="1:47" ht="29.1" customHeight="1" x14ac:dyDescent="0.3">
      <c r="A140" s="1929"/>
      <c r="B140" s="1929"/>
      <c r="C140" s="1931"/>
      <c r="D140" s="1940"/>
      <c r="E140" s="1933"/>
      <c r="F140" s="1935"/>
      <c r="G140" s="1937"/>
      <c r="H140" s="1937"/>
      <c r="I140" s="1937"/>
      <c r="J140" s="1911"/>
      <c r="K140" s="1913"/>
      <c r="L140" s="1915"/>
      <c r="M140" s="1917"/>
      <c r="N140" s="1919"/>
      <c r="O140" s="1879"/>
      <c r="P140" s="1921"/>
      <c r="Q140" s="1923"/>
      <c r="R140" s="1879"/>
      <c r="S140" s="1204" t="s">
        <v>117</v>
      </c>
      <c r="T140" s="1211"/>
      <c r="U140" s="1207" t="s">
        <v>959</v>
      </c>
      <c r="V140" s="1207" t="s">
        <v>959</v>
      </c>
      <c r="W140" s="1207" t="s">
        <v>959</v>
      </c>
      <c r="X140" s="1208">
        <f t="shared" si="175"/>
        <v>0</v>
      </c>
      <c r="Y140" s="1207" t="s">
        <v>959</v>
      </c>
      <c r="Z140" s="1207" t="s">
        <v>959</v>
      </c>
      <c r="AA140" s="1207" t="s">
        <v>959</v>
      </c>
      <c r="AB140" s="1208">
        <f t="shared" si="176"/>
        <v>0</v>
      </c>
      <c r="AC140" s="1207" t="s">
        <v>959</v>
      </c>
      <c r="AD140" s="1207" t="s">
        <v>959</v>
      </c>
      <c r="AE140" s="1207" t="s">
        <v>959</v>
      </c>
      <c r="AF140" s="1208">
        <f t="shared" si="177"/>
        <v>0</v>
      </c>
      <c r="AG140" s="1207" t="s">
        <v>959</v>
      </c>
      <c r="AH140" s="1207" t="s">
        <v>959</v>
      </c>
      <c r="AI140" s="1207" t="s">
        <v>959</v>
      </c>
      <c r="AJ140" s="1208">
        <f t="shared" si="178"/>
        <v>0</v>
      </c>
      <c r="AK140" s="1209">
        <f t="shared" si="150"/>
        <v>0</v>
      </c>
      <c r="AL140" s="1131"/>
      <c r="AM140" s="1929"/>
      <c r="AN140" s="1879"/>
      <c r="AO140" s="1970"/>
      <c r="AP140" s="1041">
        <f>C139</f>
        <v>0</v>
      </c>
      <c r="AQ140" s="1041" t="s">
        <v>313</v>
      </c>
      <c r="AR140" s="1063" t="str" cm="1">
        <f t="array" aca="1" ref="AR140" ca="1">IF(OR(AP140="",AP140=0),"",IF(SUMPRODUCT(($C$55:$C$159=AP140)*($U$54:AI$54&lt;=TODAY())*(ISNUMBER($U$56:AI$160)),$U$56:AI$160)=0,"",SUMPRODUCT(($C$55:$C$159=AP140)*($U$54:AI$54&lt;=TODAY())*(ISNUMBER($U$56:AI$160)),$U$56:AI$160)))</f>
        <v/>
      </c>
      <c r="AS140" s="1041">
        <f>A139</f>
        <v>0</v>
      </c>
      <c r="AT140" s="2112"/>
      <c r="AU140" s="2112"/>
    </row>
    <row r="141" spans="1:47" ht="29.1" customHeight="1" x14ac:dyDescent="0.3">
      <c r="A141" s="1880"/>
      <c r="B141" s="1882"/>
      <c r="C141" s="1884"/>
      <c r="D141" s="1886"/>
      <c r="E141" s="1888"/>
      <c r="F141" s="1890"/>
      <c r="G141" s="1892"/>
      <c r="H141" s="1892"/>
      <c r="I141" s="1894"/>
      <c r="J141" s="1896"/>
      <c r="K141" s="1898" t="str">
        <f t="shared" ref="K141" si="190">IF(J141="", "", 12 - MONTH(J141) + 1)</f>
        <v/>
      </c>
      <c r="L141" s="1894"/>
      <c r="M141" s="1900"/>
      <c r="N141" s="1902"/>
      <c r="O141" s="1904"/>
      <c r="P141" s="1906"/>
      <c r="Q141" s="1908"/>
      <c r="R141" s="1904"/>
      <c r="S141" s="1210" t="s">
        <v>116</v>
      </c>
      <c r="T141" s="1211"/>
      <c r="U141" s="1195">
        <f>IFERROR(IF(AND(U$54&gt;=EOMONTH($J141,-1)+1,U$54&lt;=EOMONTH(EOMONTH($J141,-1)+1,$K141-1)),IF(NOT(ISBLANK($N141)),$N141/$K141,$I141/$K141),0),0)</f>
        <v>0</v>
      </c>
      <c r="V141" s="1195">
        <f>IFERROR(IF(AND(V$54&gt;=EOMONTH($J141,-1)+1,V$54&lt;=EOMONTH(EOMONTH($J141,-1)+1,$K141-1)),IF(NOT(ISBLANK($N141)),$N141/$K141,$I141/$K141),0),0)</f>
        <v>0</v>
      </c>
      <c r="W141" s="1195">
        <f>IFERROR(IF(AND(W$54&gt;=EOMONTH($J141,-1)+1,W$54&lt;=EOMONTH(EOMONTH($J141,-1)+1,$K141-1)),IF(NOT(ISBLANK($N141)),$N141/$K141,$I141/$K141),0),0)</f>
        <v>0</v>
      </c>
      <c r="X141" s="1196">
        <f t="shared" si="175"/>
        <v>0</v>
      </c>
      <c r="Y141" s="1195">
        <f>IFERROR(IF(AND(Y$54&gt;=EOMONTH($J141,-1)+1,Y$54&lt;=EOMONTH(EOMONTH($J141,-1)+1,$K141-1)),IF(NOT(ISBLANK($N141)),$N141/$K141,$I141/$K141),0),0)</f>
        <v>0</v>
      </c>
      <c r="Z141" s="1195">
        <f>IFERROR(IF(AND(Z$54&gt;=EOMONTH($J141,-1)+1,Z$54&lt;=EOMONTH(EOMONTH($J141,-1)+1,$K141-1)),IF(NOT(ISBLANK($N141)),$N141/$K141,$I141/$K141),0),0)</f>
        <v>0</v>
      </c>
      <c r="AA141" s="1195">
        <f>IFERROR(IF(AND(AA$54&gt;=EOMONTH($J141,-1)+1,AA$54&lt;=EOMONTH(EOMONTH($J141,-1)+1,$K141-1)),IF(NOT(ISBLANK($N141)),$N141/$K141,$I141/$K141),0),0)</f>
        <v>0</v>
      </c>
      <c r="AB141" s="1196">
        <f t="shared" si="176"/>
        <v>0</v>
      </c>
      <c r="AC141" s="1195">
        <f>IFERROR(IF(AND(AC$54&gt;=EOMONTH($J141,-1)+1,AC$54&lt;=EOMONTH(EOMONTH($J141,-1)+1,$K141-1)),IF(NOT(ISBLANK($N141)),$N141/$K141,$I141/$K141),0),0)</f>
        <v>0</v>
      </c>
      <c r="AD141" s="1195">
        <f>IFERROR(IF(AND(AD$54&gt;=EOMONTH($J141,-1)+1,AD$54&lt;=EOMONTH(EOMONTH($J141,-1)+1,$K141-1)),IF(NOT(ISBLANK($N141)),$N141/$K141,$I141/$K141),0),0)</f>
        <v>0</v>
      </c>
      <c r="AE141" s="1195">
        <f>IFERROR(IF(AND(AE$54&gt;=EOMONTH($J141,-1)+1,AE$54&lt;=EOMONTH(EOMONTH($J141,-1)+1,$K141-1)),IF(NOT(ISBLANK($N141)),$N141/$K141,$I141/$K141),0),0)</f>
        <v>0</v>
      </c>
      <c r="AF141" s="1196">
        <f t="shared" si="177"/>
        <v>0</v>
      </c>
      <c r="AG141" s="1195">
        <f>IFERROR(IF(AND(AG$54&gt;=EOMONTH($J141,-1)+1,AG$54&lt;=EOMONTH(EOMONTH($J141,-1)+1,$K141-1)),IF(NOT(ISBLANK($N141)),$N141/$K141,$I141/$K141),0),0)</f>
        <v>0</v>
      </c>
      <c r="AH141" s="1195">
        <f>IFERROR(IF(AND(AH$54&gt;=EOMONTH($J141,-1)+1,AH$54&lt;=EOMONTH(EOMONTH($J141,-1)+1,$K141-1)),IF(NOT(ISBLANK($N141)),$N141/$K141,$I141/$K141),0),0)</f>
        <v>0</v>
      </c>
      <c r="AI141" s="1195">
        <f>IFERROR(IF(AND(AI$54&gt;=EOMONTH($J141,-1)+1,AI$54&lt;=EOMONTH(EOMONTH($J141,-1)+1,$K141-1)),IF(NOT(ISBLANK($N141)),$N141/$K141,$I141/$K141),0),0)</f>
        <v>0</v>
      </c>
      <c r="AJ141" s="1196">
        <f t="shared" si="178"/>
        <v>0</v>
      </c>
      <c r="AK141" s="1212">
        <f t="shared" si="16"/>
        <v>0</v>
      </c>
      <c r="AL141" s="1213"/>
      <c r="AM141" s="1890"/>
      <c r="AN141" s="1971"/>
      <c r="AO141" s="1973">
        <f>N141*AN141</f>
        <v>0</v>
      </c>
      <c r="AP141" s="1041">
        <f>C141</f>
        <v>0</v>
      </c>
      <c r="AQ141" s="1041" t="s">
        <v>311</v>
      </c>
      <c r="AR141" s="1063" t="str" cm="1">
        <f t="array" aca="1" ref="AR141" ca="1">IF(OR(AP141="",AP141=0),"",IF(SUMPRODUCT(($C$55:$C$144=AP141)*(U$54:$AI$54&lt;EOMONTH(TODAY(),-1)+1)*(ISNUMBER(U$55:$AI$144)),U$55:$AI$144)=0,"",SUMPRODUCT(($C$55:$C$144=AP141)*(U$54:$AI$54&lt;EOMONTH(TODAY(),-1)+1)*(ISNUMBER(U$55:$AI$144)),U$55:$AI$144)))</f>
        <v/>
      </c>
      <c r="AS141" s="1041">
        <f>A141</f>
        <v>0</v>
      </c>
      <c r="AT141" s="2111">
        <f>IF(OR(I141="",K141=""),0,(I141/12)*K141)</f>
        <v>0</v>
      </c>
      <c r="AU141" s="2111">
        <f>IF(OR(N141="",K141="",K141=0),0,(N141/K141)*12)</f>
        <v>0</v>
      </c>
    </row>
    <row r="142" spans="1:47" ht="29.1" customHeight="1" x14ac:dyDescent="0.3">
      <c r="A142" s="1881"/>
      <c r="B142" s="1883"/>
      <c r="C142" s="1885"/>
      <c r="D142" s="1887"/>
      <c r="E142" s="1889"/>
      <c r="F142" s="1891"/>
      <c r="G142" s="1893"/>
      <c r="H142" s="1893"/>
      <c r="I142" s="1895"/>
      <c r="J142" s="1897"/>
      <c r="K142" s="1899"/>
      <c r="L142" s="1895"/>
      <c r="M142" s="1901"/>
      <c r="N142" s="1903"/>
      <c r="O142" s="1905"/>
      <c r="P142" s="1907"/>
      <c r="Q142" s="1909"/>
      <c r="R142" s="1905"/>
      <c r="S142" s="1210" t="s">
        <v>117</v>
      </c>
      <c r="T142" s="1211"/>
      <c r="U142" s="1214" t="s">
        <v>959</v>
      </c>
      <c r="V142" s="1214" t="s">
        <v>959</v>
      </c>
      <c r="W142" s="1214" t="s">
        <v>959</v>
      </c>
      <c r="X142" s="1208">
        <f t="shared" si="12"/>
        <v>0</v>
      </c>
      <c r="Y142" s="1214" t="s">
        <v>959</v>
      </c>
      <c r="Z142" s="1214" t="s">
        <v>959</v>
      </c>
      <c r="AA142" s="1214" t="s">
        <v>959</v>
      </c>
      <c r="AB142" s="1208">
        <f t="shared" si="13"/>
        <v>0</v>
      </c>
      <c r="AC142" s="1214" t="s">
        <v>959</v>
      </c>
      <c r="AD142" s="1214" t="s">
        <v>959</v>
      </c>
      <c r="AE142" s="1214" t="s">
        <v>959</v>
      </c>
      <c r="AF142" s="1208">
        <f t="shared" si="14"/>
        <v>0</v>
      </c>
      <c r="AG142" s="1214" t="s">
        <v>959</v>
      </c>
      <c r="AH142" s="1214" t="s">
        <v>959</v>
      </c>
      <c r="AI142" s="1214" t="s">
        <v>959</v>
      </c>
      <c r="AJ142" s="1208">
        <f t="shared" si="15"/>
        <v>0</v>
      </c>
      <c r="AK142" s="1215">
        <f t="shared" si="16"/>
        <v>0</v>
      </c>
      <c r="AL142" s="1216"/>
      <c r="AM142" s="1891"/>
      <c r="AN142" s="1972"/>
      <c r="AO142" s="1974"/>
      <c r="AP142" s="1041">
        <f>C141</f>
        <v>0</v>
      </c>
      <c r="AQ142" s="1041" t="s">
        <v>313</v>
      </c>
      <c r="AR142" s="1063" t="str" cm="1">
        <f t="array" aca="1" ref="AR142" ca="1">IF(OR(AP142="",AP142=0),"",IF(SUMPRODUCT(($C$55:$C$159=AP142)*($U$54:AI$54&lt;=TODAY())*(ISNUMBER($U$56:AI$160)),$U$56:AI$160)=0,"",SUMPRODUCT(($C$55:$C$159=AP142)*($U$54:AI$54&lt;=TODAY())*(ISNUMBER($U$56:AI$160)),$U$56:AI$160)))</f>
        <v/>
      </c>
      <c r="AS142" s="1041">
        <f>A141</f>
        <v>0</v>
      </c>
      <c r="AT142" s="2112"/>
      <c r="AU142" s="2112"/>
    </row>
    <row r="143" spans="1:47" ht="29.1" customHeight="1" x14ac:dyDescent="0.3">
      <c r="A143" s="1928"/>
      <c r="B143" s="1928"/>
      <c r="C143" s="1930"/>
      <c r="D143" s="1939"/>
      <c r="E143" s="1932"/>
      <c r="F143" s="1934"/>
      <c r="G143" s="1936"/>
      <c r="H143" s="1936"/>
      <c r="I143" s="1938"/>
      <c r="J143" s="1910"/>
      <c r="K143" s="1912" t="str">
        <f t="shared" ref="K143" si="191">IF(J143="", "", 12 - MONTH(J143) + 1)</f>
        <v/>
      </c>
      <c r="L143" s="1914"/>
      <c r="M143" s="1916"/>
      <c r="N143" s="1918"/>
      <c r="O143" s="1878"/>
      <c r="P143" s="1920"/>
      <c r="Q143" s="1922"/>
      <c r="R143" s="1878"/>
      <c r="S143" s="1204" t="s">
        <v>116</v>
      </c>
      <c r="T143" s="1205" t="str">
        <f ca="1">IF(OR(G143="", H143=""), "", IF(TODAY()&lt;G143, 0, IF(TODAY()&gt;H143, 1, (TODAY()-G143+1)/(H143-G143+1))))</f>
        <v/>
      </c>
      <c r="U143" s="1195">
        <f>IFERROR(IF(AND(U$54&gt;=EOMONTH($J143,-1)+1,U$54&lt;=EOMONTH(EOMONTH($J143,-1)+1,$K143-1)),IF(NOT(ISBLANK($N143)),$N143/$K143,$I143/$K143),0),0)</f>
        <v>0</v>
      </c>
      <c r="V143" s="1195">
        <f>IFERROR(IF(AND(V$54&gt;=EOMONTH($J143,-1)+1,V$54&lt;=EOMONTH(EOMONTH($J143,-1)+1,$K143-1)),IF(NOT(ISBLANK($N143)),$N143/$K143,$I143/$K143),0),0)</f>
        <v>0</v>
      </c>
      <c r="W143" s="1195">
        <f>IFERROR(IF(AND(W$54&gt;=EOMONTH($J143,-1)+1,W$54&lt;=EOMONTH(EOMONTH($J143,-1)+1,$K143-1)),IF(NOT(ISBLANK($N143)),$N143/$K143,$I143/$K143),0),0)</f>
        <v>0</v>
      </c>
      <c r="X143" s="1196">
        <f t="shared" ref="X143" si="192">SUM(U143:W143)</f>
        <v>0</v>
      </c>
      <c r="Y143" s="1195">
        <f>IFERROR(IF(AND(Y$54&gt;=EOMONTH($J143,-1)+1,Y$54&lt;=EOMONTH(EOMONTH($J143,-1)+1,$K143-1)),IF(NOT(ISBLANK($N143)),$N143/$K143,$I143/$K143),0),0)</f>
        <v>0</v>
      </c>
      <c r="Z143" s="1195">
        <f>IFERROR(IF(AND(Z$54&gt;=EOMONTH($J143,-1)+1,Z$54&lt;=EOMONTH(EOMONTH($J143,-1)+1,$K143-1)),IF(NOT(ISBLANK($N143)),$N143/$K143,$I143/$K143),0),0)</f>
        <v>0</v>
      </c>
      <c r="AA143" s="1195">
        <f>IFERROR(IF(AND(AA$54&gt;=EOMONTH($J143,-1)+1,AA$54&lt;=EOMONTH(EOMONTH($J143,-1)+1,$K143-1)),IF(NOT(ISBLANK($N143)),$N143/$K143,$I143/$K143),0),0)</f>
        <v>0</v>
      </c>
      <c r="AB143" s="1196">
        <f t="shared" ref="AB143" si="193">SUM(Y143:AA143)</f>
        <v>0</v>
      </c>
      <c r="AC143" s="1195">
        <f>IFERROR(IF(AND(AC$54&gt;=EOMONTH($J143,-1)+1,AC$54&lt;=EOMONTH(EOMONTH($J143,-1)+1,$K143-1)),IF(NOT(ISBLANK($N143)),$N143/$K143,$I143/$K143),0),0)</f>
        <v>0</v>
      </c>
      <c r="AD143" s="1195">
        <f>IFERROR(IF(AND(AD$54&gt;=EOMONTH($J143,-1)+1,AD$54&lt;=EOMONTH(EOMONTH($J143,-1)+1,$K143-1)),IF(NOT(ISBLANK($N143)),$N143/$K143,$I143/$K143),0),0)</f>
        <v>0</v>
      </c>
      <c r="AE143" s="1195">
        <f>IFERROR(IF(AND(AE$54&gt;=EOMONTH($J143,-1)+1,AE$54&lt;=EOMONTH(EOMONTH($J143,-1)+1,$K143-1)),IF(NOT(ISBLANK($N143)),$N143/$K143,$I143/$K143),0),0)</f>
        <v>0</v>
      </c>
      <c r="AF143" s="1196">
        <f t="shared" ref="AF143" si="194">SUM(AC143:AE143)</f>
        <v>0</v>
      </c>
      <c r="AG143" s="1195">
        <f>IFERROR(IF(AND(AG$54&gt;=EOMONTH($J143,-1)+1,AG$54&lt;=EOMONTH(EOMONTH($J143,-1)+1,$K143-1)),IF(NOT(ISBLANK($N143)),$N143/$K143,$I143/$K143),0),0)</f>
        <v>0</v>
      </c>
      <c r="AH143" s="1195">
        <f>IFERROR(IF(AND(AH$54&gt;=EOMONTH($J143,-1)+1,AH$54&lt;=EOMONTH(EOMONTH($J143,-1)+1,$K143-1)),IF(NOT(ISBLANK($N143)),$N143/$K143,$I143/$K143),0),0)</f>
        <v>0</v>
      </c>
      <c r="AI143" s="1195">
        <f>IFERROR(IF(AND(AI$54&gt;=EOMONTH($J143,-1)+1,AI$54&lt;=EOMONTH(EOMONTH($J143,-1)+1,$K143-1)),IF(NOT(ISBLANK($N143)),$N143/$K143,$I143/$K143),0),0)</f>
        <v>0</v>
      </c>
      <c r="AJ143" s="1196">
        <f t="shared" ref="AJ143" si="195">SUM(AG143:AI143)</f>
        <v>0</v>
      </c>
      <c r="AK143" s="1206">
        <f t="shared" si="16"/>
        <v>0</v>
      </c>
      <c r="AL143" s="1131"/>
      <c r="AM143" s="1928"/>
      <c r="AN143" s="1878"/>
      <c r="AO143" s="1969">
        <f>N143*AN143</f>
        <v>0</v>
      </c>
      <c r="AP143" s="1041">
        <f>C143</f>
        <v>0</v>
      </c>
      <c r="AQ143" s="1041" t="s">
        <v>311</v>
      </c>
      <c r="AR143" s="1063" t="str" cm="1">
        <f t="array" aca="1" ref="AR143" ca="1">IF(OR(AP143="",AP143=0),"",IF(SUMPRODUCT(($C$55:$C$144=AP143)*(U$54:$AI$54&lt;EOMONTH(TODAY(),-1)+1)*(ISNUMBER(U$55:$AI$144)),U$55:$AI$144)=0,"",SUMPRODUCT(($C$55:$C$144=AP143)*(U$54:$AI$54&lt;EOMONTH(TODAY(),-1)+1)*(ISNUMBER(U$55:$AI$144)),U$55:$AI$144)))</f>
        <v/>
      </c>
      <c r="AS143" s="1041">
        <f>A143</f>
        <v>0</v>
      </c>
      <c r="AT143" s="2111">
        <f>IF(OR(I143="",K143=""),0,(I143/12)*K143)</f>
        <v>0</v>
      </c>
      <c r="AU143" s="2111">
        <f>IF(OR(N143="",K143="",K143=0),0,(N143/K143)*12)</f>
        <v>0</v>
      </c>
    </row>
    <row r="144" spans="1:47" ht="29.1" customHeight="1" x14ac:dyDescent="0.3">
      <c r="A144" s="1929"/>
      <c r="B144" s="1929"/>
      <c r="C144" s="1931"/>
      <c r="D144" s="1940"/>
      <c r="E144" s="1933"/>
      <c r="F144" s="1935"/>
      <c r="G144" s="1937"/>
      <c r="H144" s="1937"/>
      <c r="I144" s="1937"/>
      <c r="J144" s="1911"/>
      <c r="K144" s="1913"/>
      <c r="L144" s="1915"/>
      <c r="M144" s="1917"/>
      <c r="N144" s="1919"/>
      <c r="O144" s="1879"/>
      <c r="P144" s="1921"/>
      <c r="Q144" s="1923"/>
      <c r="R144" s="1879"/>
      <c r="S144" s="1204" t="s">
        <v>117</v>
      </c>
      <c r="T144" s="1211"/>
      <c r="U144" s="1207" t="s">
        <v>959</v>
      </c>
      <c r="V144" s="1207" t="s">
        <v>959</v>
      </c>
      <c r="W144" s="1207" t="s">
        <v>959</v>
      </c>
      <c r="X144" s="1208">
        <f t="shared" si="12"/>
        <v>0</v>
      </c>
      <c r="Y144" s="1207" t="s">
        <v>959</v>
      </c>
      <c r="Z144" s="1207" t="s">
        <v>959</v>
      </c>
      <c r="AA144" s="1207" t="s">
        <v>959</v>
      </c>
      <c r="AB144" s="1208">
        <f t="shared" si="13"/>
        <v>0</v>
      </c>
      <c r="AC144" s="1207" t="s">
        <v>959</v>
      </c>
      <c r="AD144" s="1207" t="s">
        <v>959</v>
      </c>
      <c r="AE144" s="1207" t="s">
        <v>959</v>
      </c>
      <c r="AF144" s="1208">
        <f t="shared" si="14"/>
        <v>0</v>
      </c>
      <c r="AG144" s="1207" t="s">
        <v>959</v>
      </c>
      <c r="AH144" s="1207" t="s">
        <v>959</v>
      </c>
      <c r="AI144" s="1207" t="s">
        <v>959</v>
      </c>
      <c r="AJ144" s="1208">
        <f t="shared" si="15"/>
        <v>0</v>
      </c>
      <c r="AK144" s="1209">
        <f t="shared" si="16"/>
        <v>0</v>
      </c>
      <c r="AL144" s="1131"/>
      <c r="AM144" s="1929"/>
      <c r="AN144" s="1879"/>
      <c r="AO144" s="1970"/>
      <c r="AP144" s="1041">
        <f>C143</f>
        <v>0</v>
      </c>
      <c r="AQ144" s="1041" t="s">
        <v>313</v>
      </c>
      <c r="AR144" s="1063" t="str" cm="1">
        <f t="array" aca="1" ref="AR144" ca="1">IF(OR(AP144="",AP144=0),"",IF(SUMPRODUCT(($C$55:$C$159=AP144)*($U$54:AI$54&lt;=TODAY())*(ISNUMBER($U$56:AI$160)),$U$56:AI$160)=0,"",SUMPRODUCT(($C$55:$C$159=AP144)*($U$54:AI$54&lt;=TODAY())*(ISNUMBER($U$56:AI$160)),$U$56:AI$160)))</f>
        <v/>
      </c>
      <c r="AS144" s="1041">
        <f>A143</f>
        <v>0</v>
      </c>
      <c r="AT144" s="2112"/>
      <c r="AU144" s="2112"/>
    </row>
    <row r="145" spans="1:33" x14ac:dyDescent="0.3">
      <c r="A145" s="1040"/>
      <c r="B145" s="1042"/>
      <c r="C145" s="1040"/>
      <c r="D145" s="1044"/>
      <c r="E145" s="1040"/>
      <c r="F145" s="1040"/>
      <c r="G145" s="1040"/>
      <c r="H145" s="1040"/>
      <c r="I145" s="1040"/>
      <c r="J145" s="1040"/>
      <c r="K145" s="1040"/>
      <c r="L145" s="1040"/>
      <c r="M145" s="1040"/>
      <c r="N145" s="1040"/>
      <c r="O145" s="1040"/>
      <c r="P145" s="1040"/>
      <c r="Q145" s="1040"/>
      <c r="R145" s="1040"/>
      <c r="S145" s="1040"/>
      <c r="T145" s="1040"/>
      <c r="U145" s="1040"/>
      <c r="V145" s="1040"/>
      <c r="W145" s="1040"/>
      <c r="X145" s="1040"/>
      <c r="Y145" s="1040"/>
      <c r="Z145" s="1040"/>
      <c r="AA145" s="1040"/>
      <c r="AB145" s="1040"/>
      <c r="AC145" s="1040"/>
      <c r="AD145" s="1040"/>
      <c r="AE145" s="1040"/>
      <c r="AF145" s="1040"/>
      <c r="AG145" s="1040"/>
    </row>
    <row r="146" spans="1:33" x14ac:dyDescent="0.3">
      <c r="A146" s="1241" t="s">
        <v>572</v>
      </c>
      <c r="B146" s="1241"/>
      <c r="C146" s="1241"/>
      <c r="D146" s="1242" t="s">
        <v>573</v>
      </c>
      <c r="E146" s="1242" t="s">
        <v>78</v>
      </c>
      <c r="F146" s="1242" t="s">
        <v>79</v>
      </c>
      <c r="G146" s="1040"/>
      <c r="H146" s="1955" t="s">
        <v>1095</v>
      </c>
      <c r="I146" s="1955"/>
      <c r="J146" s="1955"/>
      <c r="K146" s="1955"/>
      <c r="L146" s="1955"/>
      <c r="M146" s="1244"/>
      <c r="N146" s="1244"/>
      <c r="O146" s="1245"/>
      <c r="P146" s="1245"/>
      <c r="Q146" s="1246"/>
      <c r="R146" s="1247"/>
      <c r="S146" s="1191">
        <v>46023</v>
      </c>
      <c r="T146" s="1247">
        <v>46054</v>
      </c>
      <c r="U146" s="1247">
        <v>46082</v>
      </c>
      <c r="V146" s="1247">
        <v>46113</v>
      </c>
      <c r="W146" s="1247">
        <v>46143</v>
      </c>
      <c r="X146" s="1247">
        <v>46174</v>
      </c>
      <c r="Y146" s="1247">
        <v>46204</v>
      </c>
      <c r="Z146" s="1247">
        <v>46235</v>
      </c>
      <c r="AA146" s="1247">
        <v>46266</v>
      </c>
      <c r="AB146" s="1247">
        <v>46296</v>
      </c>
      <c r="AC146" s="1247">
        <v>46327</v>
      </c>
      <c r="AD146" s="1247">
        <v>46357</v>
      </c>
      <c r="AE146" s="1247" t="s">
        <v>115</v>
      </c>
      <c r="AF146" s="1040"/>
      <c r="AG146" s="1040"/>
    </row>
    <row r="147" spans="1:33" x14ac:dyDescent="0.3">
      <c r="A147" s="112" t="s">
        <v>575</v>
      </c>
      <c r="B147" s="112" t="s">
        <v>576</v>
      </c>
      <c r="C147" s="1248"/>
      <c r="D147" s="649">
        <v>1</v>
      </c>
      <c r="E147" s="1249">
        <v>1</v>
      </c>
      <c r="F147" s="1249">
        <v>1</v>
      </c>
      <c r="G147" s="1040"/>
      <c r="H147" s="1243" t="s">
        <v>578</v>
      </c>
      <c r="I147" s="1243" t="s">
        <v>579</v>
      </c>
      <c r="J147" s="1243" t="s">
        <v>580</v>
      </c>
      <c r="K147" s="1243" t="s">
        <v>581</v>
      </c>
      <c r="L147" s="1246" t="s">
        <v>183</v>
      </c>
      <c r="M147" s="1244" t="s">
        <v>582</v>
      </c>
      <c r="N147" s="1244"/>
      <c r="O147" s="1244"/>
      <c r="P147" s="1246" t="s">
        <v>583</v>
      </c>
      <c r="Q147" s="1250" t="s">
        <v>584</v>
      </c>
      <c r="R147" s="1251" t="s">
        <v>116</v>
      </c>
      <c r="S147" s="1252">
        <f>SUMIF($S$55:$S$144,$R$147,U55:U144)</f>
        <v>390000.00300000003</v>
      </c>
      <c r="T147" s="1252">
        <f>SUMIF($S$55:$S$144,$R$147,V55:V144)</f>
        <v>54545.454553545453</v>
      </c>
      <c r="U147" s="1252">
        <f>SUMIF($S$55:$S$144,$R$147,W55:W144)</f>
        <v>90445.454553545453</v>
      </c>
      <c r="V147" s="1252">
        <f>SUMIF($S$55:$S$144,$R$147,Y55:Y144)</f>
        <v>92346.960220212117</v>
      </c>
      <c r="W147" s="1252">
        <f>SUMIF($S$55:$S$144,$R$147,Z55:Z144)</f>
        <v>130596.96022021212</v>
      </c>
      <c r="X147" s="1252">
        <f>SUMIF($S$55:$S$144,$R$147,AA55:AA144)</f>
        <v>144596.96022021212</v>
      </c>
      <c r="Y147" s="1252">
        <f>SUMIF($S$55:$S$144,$R$147,AC55:AC144)</f>
        <v>274399.75022021215</v>
      </c>
      <c r="Z147" s="1252">
        <f>SUMIF($S$55:$S$144,$R$147,AD55:AD144)</f>
        <v>366139.02244267607</v>
      </c>
      <c r="AA147" s="1252">
        <f>SUMIF($S$55:$S$144,$R$147,AE55:AE144)</f>
        <v>503235.27244267607</v>
      </c>
      <c r="AB147" s="1252">
        <f>SUMIF($S$55:$S$144,$R$147,AG55:AG144)</f>
        <v>886512.02323058306</v>
      </c>
      <c r="AC147" s="1252">
        <f>SUMIF($S$55:$S$144,$R$147,AH55:AH144)</f>
        <v>886512.02323058306</v>
      </c>
      <c r="AD147" s="1252">
        <f>SUMIF($S$55:$S$144,$R$147,AI55:AI144)</f>
        <v>970119.73489724973</v>
      </c>
      <c r="AE147" s="1252">
        <f>SUM(S147:AD147)</f>
        <v>4789449.6192317074</v>
      </c>
      <c r="AF147" s="1040"/>
      <c r="AG147" s="1040"/>
    </row>
    <row r="148" spans="1:33" x14ac:dyDescent="0.3">
      <c r="A148" s="679" t="s">
        <v>585</v>
      </c>
      <c r="B148" s="679" t="s">
        <v>586</v>
      </c>
      <c r="C148" s="1253"/>
      <c r="D148" s="680">
        <v>1</v>
      </c>
      <c r="E148" s="1254">
        <v>0.75</v>
      </c>
      <c r="F148" s="1254">
        <v>0.75</v>
      </c>
      <c r="G148" s="1040"/>
      <c r="H148" s="1255" t="s">
        <v>1096</v>
      </c>
      <c r="I148" s="1256" t="s">
        <v>308</v>
      </c>
      <c r="J148" s="1257" t="s">
        <v>363</v>
      </c>
      <c r="K148" s="1256" t="s">
        <v>363</v>
      </c>
      <c r="L148" s="1258">
        <f t="shared" ref="L148:L157" si="196">(COUNTIF(I148:K148,"OK"))*33.333333/100</f>
        <v>0.33333333000000004</v>
      </c>
      <c r="M148" s="1259" t="s">
        <v>1097</v>
      </c>
      <c r="N148" s="322"/>
      <c r="O148" s="322"/>
      <c r="P148" s="1258" t="s">
        <v>1098</v>
      </c>
      <c r="Q148" s="1258" t="s">
        <v>1099</v>
      </c>
      <c r="R148" s="1260" t="s">
        <v>117</v>
      </c>
      <c r="S148" s="1261">
        <f>SUMIF($S$55:$S$144,$R$148,U55:U144)</f>
        <v>390000</v>
      </c>
      <c r="T148" s="1261">
        <f>SUMIF($S$55:$S$144,$R$148,V55:V144)</f>
        <v>0</v>
      </c>
      <c r="U148" s="1261">
        <f>SUMIF($S$55:$S$144,$R$148,W55:W144)</f>
        <v>0</v>
      </c>
      <c r="V148" s="1261">
        <f>SUMIF($S$55:$S$144,$R$148,Y55:Y144)</f>
        <v>1286.4375065712063</v>
      </c>
      <c r="W148" s="1261">
        <f>SUMIF($S$55:$S$144,$R$148,Z55:Z144)</f>
        <v>2010.7338235392103</v>
      </c>
      <c r="X148" s="1261">
        <f>SUMIF($S$55:$S$144,$R$148,AA55:AA144)</f>
        <v>15758.163002239207</v>
      </c>
      <c r="Y148" s="1261">
        <f>SUMIF($S$55:$S$144,$R$148,AC55:AC144)</f>
        <v>36868.114555620021</v>
      </c>
      <c r="Z148" s="1261">
        <f>SUMIF($S$55:$S$144,$R$148,AD55:AD144)</f>
        <v>17584</v>
      </c>
      <c r="AA148" s="1261">
        <f>SUMIF($S$55:$S$144,$R$148,AE55:AE144)</f>
        <v>0</v>
      </c>
      <c r="AB148" s="1261">
        <f>SUMIF($S$55:$S$144,$R$148,AG55:AG144)</f>
        <v>0</v>
      </c>
      <c r="AC148" s="1261">
        <f>SUMIF($S$55:$S$144,$R$148,AH55:AH144)</f>
        <v>0</v>
      </c>
      <c r="AD148" s="1261">
        <f>SUMIF($S$55:$S$144,$R$148,AI55:AI144)</f>
        <v>0</v>
      </c>
      <c r="AE148" s="1261">
        <f>SUM(S148:AD148)</f>
        <v>463507.4488879696</v>
      </c>
      <c r="AF148" s="1040"/>
      <c r="AG148" s="1040"/>
    </row>
    <row r="149" spans="1:33" x14ac:dyDescent="0.3">
      <c r="A149" s="112" t="s">
        <v>590</v>
      </c>
      <c r="B149" s="112" t="s">
        <v>591</v>
      </c>
      <c r="C149" s="1248"/>
      <c r="D149" s="649">
        <v>1</v>
      </c>
      <c r="E149" s="1249">
        <v>1</v>
      </c>
      <c r="F149" s="1249">
        <v>1</v>
      </c>
      <c r="G149" s="1040"/>
      <c r="H149" s="1262" t="s">
        <v>1100</v>
      </c>
      <c r="I149" s="1263" t="s">
        <v>308</v>
      </c>
      <c r="J149" s="1264" t="s">
        <v>363</v>
      </c>
      <c r="K149" s="1263" t="s">
        <v>363</v>
      </c>
      <c r="L149" s="1265">
        <f>(COUNTIF(I149:K149,"OK"))*33.333333/100</f>
        <v>0.33333333000000004</v>
      </c>
      <c r="M149" s="1266" t="s">
        <v>641</v>
      </c>
      <c r="N149" s="1267"/>
      <c r="O149" s="1267"/>
      <c r="P149" s="1265" t="s">
        <v>1101</v>
      </c>
      <c r="Q149" s="1258" t="s">
        <v>1102</v>
      </c>
      <c r="R149" s="1268" t="s">
        <v>118</v>
      </c>
      <c r="S149" s="1269" cm="1">
        <f t="array" ref="S149">SUMPRODUCT(
($G$55:$G$144&lt;&gt;"")*
($G$55:$G$144&lt;=S$146)*
(($H$55:$H$144="")+($H$55:$H$144&gt;=S$146))
)</f>
        <v>4</v>
      </c>
      <c r="T149" s="1269" cm="1">
        <f t="array" ref="T149">SUMPRODUCT(
($G$55:$G$144&lt;&gt;"")*
($G$55:$G$144&lt;=T$146)*
(($H$55:$H$144="")+($H$55:$H$144&gt;=T$146))
)</f>
        <v>19</v>
      </c>
      <c r="U149" s="1269" cm="1">
        <f t="array" ref="U149">SUMPRODUCT(
($G$55:$G$144&lt;&gt;"")*
($G$55:$G$144&lt;=U$146)*
(($H$55:$H$144="")+($H$55:$H$144&gt;=U$146))
)</f>
        <v>21</v>
      </c>
      <c r="V149" s="1269" cm="1">
        <f t="array" ref="V149">SUMPRODUCT(
($G$55:$G$144&lt;&gt;"")*
($G$55:$G$144&lt;=V$146)*
(($H$55:$H$144="")+($H$55:$H$144&gt;=V$146))
)</f>
        <v>21</v>
      </c>
      <c r="W149" s="1269" cm="1">
        <f t="array" ref="W149">SUMPRODUCT(
($G$55:$G$144&lt;&gt;"")*
($G$55:$G$144&lt;=W$146)*
(($H$55:$H$144="")+($H$55:$H$144&gt;=W$146))
)</f>
        <v>20</v>
      </c>
      <c r="X149" s="1269" cm="1">
        <f t="array" ref="X149">SUMPRODUCT(
($G$55:$G$144&lt;&gt;"")*
($G$55:$G$144&lt;=X$146)*
(($H$55:$H$144="")+($H$55:$H$144&gt;=X$146))
)</f>
        <v>20</v>
      </c>
      <c r="Y149" s="1269" cm="1">
        <f t="array" ref="Y149">SUMPRODUCT(
($G$55:$G$144&lt;&gt;"")*
($G$55:$G$144&lt;=Y$146)*
(($H$55:$H$144="")+($H$55:$H$144&gt;=Y$146))
)</f>
        <v>19</v>
      </c>
      <c r="Z149" s="1269" cm="1">
        <f t="array" ref="Z149">SUMPRODUCT(
($G$55:$G$144&lt;&gt;"")*
($G$55:$G$144&lt;=Z$146)*
(($H$55:$H$144="")+($H$55:$H$144&gt;=Z$146))
)</f>
        <v>25</v>
      </c>
      <c r="AA149" s="1269" cm="1">
        <f t="array" ref="AA149">SUMPRODUCT(
($G$55:$G$144&lt;&gt;"")*
($G$55:$G$144&lt;=AA$146)*
(($H$55:$H$144="")+($H$55:$H$144&gt;=AA$146))
)</f>
        <v>12</v>
      </c>
      <c r="AB149" s="1269" cm="1">
        <f t="array" ref="AB149">SUMPRODUCT(
($G$55:$G$144&lt;&gt;"")*
($G$55:$G$144&lt;=AB$146)*
(($H$55:$H$144="")+($H$55:$H$144&gt;=AB$146))
)</f>
        <v>7</v>
      </c>
      <c r="AC149" s="1269" cm="1">
        <f t="array" ref="AC149">SUMPRODUCT(
($G$55:$G$144&lt;&gt;"")*
($G$55:$G$144&lt;=AC$146)*
(($H$55:$H$144="")+($H$55:$H$144&gt;=AC$146))
)</f>
        <v>2</v>
      </c>
      <c r="AD149" s="1269" cm="1">
        <f t="array" ref="AD149">SUMPRODUCT(
($G$55:$G$144&lt;&gt;"")*
($G$55:$G$144&lt;=AD$146)*
(($H$55:$H$144="")+($H$55:$H$144&gt;=AD$146))
)</f>
        <v>2</v>
      </c>
      <c r="AE149" s="1269"/>
      <c r="AF149" s="1040"/>
      <c r="AG149" s="1040"/>
    </row>
    <row r="150" spans="1:33" x14ac:dyDescent="0.3">
      <c r="A150" s="679" t="s">
        <v>594</v>
      </c>
      <c r="B150" s="679" t="s">
        <v>595</v>
      </c>
      <c r="C150" s="1253"/>
      <c r="D150" s="680">
        <v>2</v>
      </c>
      <c r="E150" s="1254">
        <v>1</v>
      </c>
      <c r="F150" s="1254">
        <v>1</v>
      </c>
      <c r="G150" s="1040"/>
      <c r="H150" s="1255" t="s">
        <v>1103</v>
      </c>
      <c r="I150" s="1256" t="s">
        <v>308</v>
      </c>
      <c r="J150" s="1257" t="s">
        <v>363</v>
      </c>
      <c r="K150" s="1256" t="s">
        <v>363</v>
      </c>
      <c r="L150" s="1258">
        <f t="shared" si="196"/>
        <v>0.33333333000000004</v>
      </c>
      <c r="M150" s="1259" t="s">
        <v>641</v>
      </c>
      <c r="N150" s="322"/>
      <c r="O150" s="322"/>
      <c r="P150" s="1265" t="s">
        <v>1101</v>
      </c>
      <c r="Q150" s="1258" t="s">
        <v>1104</v>
      </c>
      <c r="R150" s="1260" t="s">
        <v>119</v>
      </c>
      <c r="S150" s="1261">
        <f>S147</f>
        <v>390000.00300000003</v>
      </c>
      <c r="T150" s="1261">
        <f>S150+T147</f>
        <v>444545.45755354548</v>
      </c>
      <c r="U150" s="1261">
        <f t="shared" ref="U150:AD150" si="197">T150+U147</f>
        <v>534990.91210709093</v>
      </c>
      <c r="V150" s="1261">
        <f t="shared" si="197"/>
        <v>627337.87232730305</v>
      </c>
      <c r="W150" s="1261">
        <f t="shared" si="197"/>
        <v>757934.83254751517</v>
      </c>
      <c r="X150" s="1261">
        <f t="shared" si="197"/>
        <v>902531.79276772728</v>
      </c>
      <c r="Y150" s="1261">
        <f t="shared" si="197"/>
        <v>1176931.5429879394</v>
      </c>
      <c r="Z150" s="1261">
        <f t="shared" si="197"/>
        <v>1543070.5654306156</v>
      </c>
      <c r="AA150" s="1261">
        <f t="shared" si="197"/>
        <v>2046305.8378732917</v>
      </c>
      <c r="AB150" s="1261">
        <f t="shared" si="197"/>
        <v>2932817.8611038746</v>
      </c>
      <c r="AC150" s="1261">
        <f t="shared" si="197"/>
        <v>3819329.8843344576</v>
      </c>
      <c r="AD150" s="1261">
        <f t="shared" si="197"/>
        <v>4789449.6192317074</v>
      </c>
      <c r="AE150" s="1261"/>
      <c r="AF150" s="1040"/>
      <c r="AG150" s="1040"/>
    </row>
    <row r="151" spans="1:33" ht="14.85" customHeight="1" x14ac:dyDescent="0.3">
      <c r="A151" s="112" t="s">
        <v>594</v>
      </c>
      <c r="B151" s="112" t="s">
        <v>599</v>
      </c>
      <c r="C151" s="1248"/>
      <c r="D151" s="649">
        <v>2</v>
      </c>
      <c r="E151" s="1249">
        <v>1</v>
      </c>
      <c r="F151" s="1249">
        <v>1</v>
      </c>
      <c r="G151" s="1040"/>
      <c r="H151" s="1262" t="s">
        <v>1105</v>
      </c>
      <c r="I151" s="1263" t="s">
        <v>308</v>
      </c>
      <c r="J151" s="1264" t="s">
        <v>363</v>
      </c>
      <c r="K151" s="1263" t="s">
        <v>363</v>
      </c>
      <c r="L151" s="1265">
        <f t="shared" si="196"/>
        <v>0.33333333000000004</v>
      </c>
      <c r="M151" s="1266" t="s">
        <v>645</v>
      </c>
      <c r="N151" s="1267"/>
      <c r="O151" s="1267"/>
      <c r="P151" s="1265" t="s">
        <v>1101</v>
      </c>
      <c r="Q151" s="1035" t="s">
        <v>1106</v>
      </c>
      <c r="R151" s="1268" t="s">
        <v>120</v>
      </c>
      <c r="S151" s="1270">
        <f>S148</f>
        <v>390000</v>
      </c>
      <c r="T151" s="1270">
        <f>S151+T148</f>
        <v>390000</v>
      </c>
      <c r="U151" s="1270">
        <f t="shared" ref="U151:AD151" si="198">T151+U148</f>
        <v>390000</v>
      </c>
      <c r="V151" s="1270">
        <f>U151+V148</f>
        <v>391286.43750657118</v>
      </c>
      <c r="W151" s="1270">
        <f>V151+W148</f>
        <v>393297.1713301104</v>
      </c>
      <c r="X151" s="1270">
        <f t="shared" si="198"/>
        <v>409055.33433234959</v>
      </c>
      <c r="Y151" s="1270">
        <f t="shared" si="198"/>
        <v>445923.4488879696</v>
      </c>
      <c r="Z151" s="1270">
        <f t="shared" si="198"/>
        <v>463507.4488879696</v>
      </c>
      <c r="AA151" s="1270">
        <f t="shared" si="198"/>
        <v>463507.4488879696</v>
      </c>
      <c r="AB151" s="1270">
        <f t="shared" si="198"/>
        <v>463507.4488879696</v>
      </c>
      <c r="AC151" s="1270">
        <f t="shared" si="198"/>
        <v>463507.4488879696</v>
      </c>
      <c r="AD151" s="1270">
        <f t="shared" si="198"/>
        <v>463507.4488879696</v>
      </c>
      <c r="AE151" s="1270"/>
      <c r="AF151" s="1271"/>
      <c r="AG151" s="1040"/>
    </row>
    <row r="152" spans="1:33" ht="14.85" customHeight="1" x14ac:dyDescent="0.3">
      <c r="A152" s="679" t="s">
        <v>594</v>
      </c>
      <c r="B152" s="679" t="s">
        <v>602</v>
      </c>
      <c r="C152" s="1253"/>
      <c r="D152" s="680">
        <v>2</v>
      </c>
      <c r="E152" s="1254">
        <v>0.75</v>
      </c>
      <c r="F152" s="1254">
        <v>0.75</v>
      </c>
      <c r="G152" s="1040"/>
      <c r="H152" s="1255" t="s">
        <v>1107</v>
      </c>
      <c r="I152" s="1256" t="s">
        <v>308</v>
      </c>
      <c r="J152" s="1257" t="s">
        <v>363</v>
      </c>
      <c r="K152" s="1256" t="s">
        <v>363</v>
      </c>
      <c r="L152" s="1258">
        <f>(COUNTIF(I152:K152,"OK"))*33.333333/100</f>
        <v>0.33333333000000004</v>
      </c>
      <c r="M152" s="1259" t="s">
        <v>647</v>
      </c>
      <c r="N152" s="322"/>
      <c r="O152" s="322"/>
      <c r="P152" s="1265" t="s">
        <v>1101</v>
      </c>
      <c r="Q152" s="1258" t="s">
        <v>1108</v>
      </c>
      <c r="R152" s="1260" t="s">
        <v>121</v>
      </c>
      <c r="S152" s="1272" cm="1">
        <f t="array" ref="S152">IF(ISNUMBER(S148),S151,IF(MAX($R152:R152,$S$151:$AD$151)=0,($A$5/(12-COUNT($S$148:$AD$148)))*(COLUNA()-COLUNA($R$152)-COUNT($S$148:$AD$148)),MAX($R152:R152,$S$151:$AD$151)+(($A$5-MAX($S$151:$AD$151))/(12-COUNT($S$148:$AD$148)))))</f>
        <v>390000</v>
      </c>
      <c r="T152" s="1272">
        <v>0</v>
      </c>
      <c r="U152" s="1272">
        <v>0</v>
      </c>
      <c r="V152" s="1272">
        <v>0</v>
      </c>
      <c r="W152" s="1272">
        <v>0</v>
      </c>
      <c r="X152" s="1272">
        <v>0</v>
      </c>
      <c r="Y152" s="1272">
        <v>0</v>
      </c>
      <c r="Z152" s="1272">
        <v>0</v>
      </c>
      <c r="AA152" s="1272">
        <f t="shared" ref="AA152:AD152" si="199">Z152+$V$156</f>
        <v>1339000</v>
      </c>
      <c r="AB152" s="1272">
        <f t="shared" si="199"/>
        <v>2678000</v>
      </c>
      <c r="AC152" s="1272">
        <f t="shared" si="199"/>
        <v>4017000</v>
      </c>
      <c r="AD152" s="1272">
        <f t="shared" si="199"/>
        <v>5356000</v>
      </c>
      <c r="AE152" s="1261"/>
      <c r="AF152" s="1040"/>
      <c r="AG152" s="1040"/>
    </row>
    <row r="153" spans="1:33" x14ac:dyDescent="0.3">
      <c r="A153" s="112"/>
      <c r="B153" s="112"/>
      <c r="C153" s="1248"/>
      <c r="D153" s="649"/>
      <c r="E153" s="1263"/>
      <c r="F153" s="1263"/>
      <c r="G153" s="1040"/>
      <c r="H153" s="1262" t="s">
        <v>1109</v>
      </c>
      <c r="I153" s="1263" t="s">
        <v>308</v>
      </c>
      <c r="J153" s="1264" t="s">
        <v>363</v>
      </c>
      <c r="K153" s="1263" t="s">
        <v>363</v>
      </c>
      <c r="L153" s="1265">
        <f t="shared" si="196"/>
        <v>0.33333333000000004</v>
      </c>
      <c r="M153" s="1266" t="s">
        <v>649</v>
      </c>
      <c r="N153" s="1267"/>
      <c r="O153" s="1267"/>
      <c r="P153" s="1265" t="s">
        <v>1101</v>
      </c>
      <c r="Q153" s="1273" t="s">
        <v>1110</v>
      </c>
      <c r="R153" s="1041" t="s">
        <v>122</v>
      </c>
      <c r="S153" s="1274">
        <f>SUMIFS(U55:U144,$S$55:$S$144,$S$55,$M$55:$M$144,"ok")</f>
        <v>390000.00300000003</v>
      </c>
      <c r="T153" s="1274">
        <f>SUMIFS(V55:V144,$S$55:$S$144,$S$55,$M$55:$M$144,"ok")</f>
        <v>0</v>
      </c>
      <c r="U153" s="1274">
        <f t="shared" ref="U153" si="200">SUMIFS(W55:W144,$S$55:$S$144,$S$55,$M$55:$M$144,"ok")</f>
        <v>0</v>
      </c>
      <c r="V153" s="1274">
        <f>SUMIFS(Y55:Y144,$S$55:$S$144,$S$55,$M$55:$M$144,"ok")</f>
        <v>1901.5056666666667</v>
      </c>
      <c r="W153" s="1274">
        <f t="shared" ref="W153:X153" si="201">SUMIFS(Z55:Z144,$S$55:$S$144,$S$55,$M$55:$M$144,"ok")</f>
        <v>40151.505666666664</v>
      </c>
      <c r="X153" s="1274">
        <f t="shared" si="201"/>
        <v>54151.505666666664</v>
      </c>
      <c r="Y153" s="1274">
        <f>SUMIFS(AC55:AC144,$S$55:$S$144,$S$55,$M$55:$M$144,"ok")</f>
        <v>183954.29566666664</v>
      </c>
      <c r="Z153" s="1274">
        <f t="shared" ref="Z153:AA153" si="202">SUMIFS(AD55:AD144,$S$55:$S$144,$S$55,$M$55:$M$144,"ok")</f>
        <v>238412.96766666666</v>
      </c>
      <c r="AA153" s="1274">
        <f t="shared" si="202"/>
        <v>220828.96766666666</v>
      </c>
      <c r="AB153" s="1274">
        <f>SUMIFS(AG55:AG144,$S$55:$S$144,$S$55,$M$55:$M$144,"ok")</f>
        <v>602772.38100000005</v>
      </c>
      <c r="AC153" s="1274">
        <f t="shared" ref="AC153" si="203">SUMIFS(AH55:AH144,$S$55:$S$144,$S$55,$M$55:$M$144,"ok")</f>
        <v>602772.38100000005</v>
      </c>
      <c r="AD153" s="1274">
        <f>SUMIFS(AI55:AI144,$S$55:$S$144,$S$55,$M$55:$M$144,"ok")</f>
        <v>610647.09266666672</v>
      </c>
      <c r="AE153" s="1261">
        <f>SUM(S153:AD153)</f>
        <v>2945592.6056666672</v>
      </c>
      <c r="AF153" s="1040"/>
      <c r="AG153" s="1040"/>
    </row>
    <row r="154" spans="1:33" x14ac:dyDescent="0.3">
      <c r="A154" s="679"/>
      <c r="B154" s="679"/>
      <c r="C154" s="1253"/>
      <c r="D154" s="680"/>
      <c r="E154" s="1275"/>
      <c r="F154" s="1275"/>
      <c r="G154" s="1040"/>
      <c r="H154" s="1255" t="s">
        <v>1111</v>
      </c>
      <c r="I154" s="1256" t="s">
        <v>308</v>
      </c>
      <c r="J154" s="1257" t="s">
        <v>363</v>
      </c>
      <c r="K154" s="1256" t="s">
        <v>363</v>
      </c>
      <c r="L154" s="1258">
        <f t="shared" si="196"/>
        <v>0.33333333000000004</v>
      </c>
      <c r="M154" s="1259" t="s">
        <v>651</v>
      </c>
      <c r="N154" s="322"/>
      <c r="O154" s="322"/>
      <c r="P154" s="1265" t="s">
        <v>1101</v>
      </c>
      <c r="Q154" s="1258" t="s">
        <v>1112</v>
      </c>
      <c r="R154" s="1040"/>
      <c r="S154" s="1040"/>
      <c r="T154" s="1040"/>
      <c r="U154" s="1040"/>
      <c r="V154" s="1040"/>
      <c r="W154" s="1040"/>
      <c r="X154" s="1040"/>
      <c r="Z154" s="1040"/>
      <c r="AA154" s="1040"/>
      <c r="AB154" s="1040"/>
      <c r="AC154" s="1040"/>
      <c r="AD154" s="1040"/>
      <c r="AE154" s="1040"/>
      <c r="AF154" s="1040"/>
      <c r="AG154" s="1040"/>
    </row>
    <row r="155" spans="1:33" x14ac:dyDescent="0.3">
      <c r="A155" s="112"/>
      <c r="B155" s="112"/>
      <c r="C155" s="1248"/>
      <c r="D155" s="649"/>
      <c r="E155" s="1264"/>
      <c r="F155" s="1264"/>
      <c r="G155" s="1276"/>
      <c r="H155" s="1262" t="s">
        <v>1113</v>
      </c>
      <c r="I155" s="1263" t="s">
        <v>308</v>
      </c>
      <c r="J155" s="1264" t="s">
        <v>308</v>
      </c>
      <c r="K155" s="1263" t="s">
        <v>363</v>
      </c>
      <c r="L155" s="1265">
        <f t="shared" si="196"/>
        <v>0.66666666000000008</v>
      </c>
      <c r="M155" s="1266" t="s">
        <v>1114</v>
      </c>
      <c r="N155" s="1267"/>
      <c r="O155" s="1267"/>
      <c r="P155" s="1265"/>
      <c r="Q155" s="1265"/>
      <c r="R155" s="1040"/>
      <c r="S155" s="1040"/>
      <c r="T155" s="1040"/>
      <c r="U155" s="1040"/>
      <c r="V155" s="1040"/>
      <c r="W155" s="1040"/>
      <c r="X155" s="1040"/>
      <c r="Y155" s="1040"/>
      <c r="Z155" s="1040"/>
      <c r="AA155" s="1040"/>
      <c r="AB155" s="1040"/>
      <c r="AC155" s="1040"/>
      <c r="AD155" s="1040"/>
      <c r="AE155" s="1040"/>
      <c r="AF155" s="1040"/>
      <c r="AG155" s="1040"/>
    </row>
    <row r="156" spans="1:33" ht="14.85" customHeight="1" x14ac:dyDescent="0.3">
      <c r="A156" s="679"/>
      <c r="B156" s="679"/>
      <c r="C156" s="1253"/>
      <c r="D156" s="680"/>
      <c r="E156" s="1277"/>
      <c r="F156" s="1277"/>
      <c r="G156" s="1278"/>
      <c r="H156" s="1255" t="s">
        <v>1115</v>
      </c>
      <c r="I156" s="1256" t="s">
        <v>308</v>
      </c>
      <c r="J156" s="1257" t="s">
        <v>308</v>
      </c>
      <c r="K156" s="1256" t="s">
        <v>363</v>
      </c>
      <c r="L156" s="1258">
        <f t="shared" si="196"/>
        <v>0.66666666000000008</v>
      </c>
      <c r="M156" s="1259" t="s">
        <v>1116</v>
      </c>
      <c r="N156" s="322"/>
      <c r="O156" s="322"/>
      <c r="P156" s="1258"/>
      <c r="Q156" s="1258"/>
      <c r="R156" s="1040"/>
      <c r="S156" s="1040"/>
      <c r="T156" s="1040"/>
      <c r="U156" s="1040"/>
      <c r="V156" s="1040">
        <f>A5/4</f>
        <v>1339000</v>
      </c>
      <c r="W156" s="1040"/>
      <c r="X156" s="1040"/>
      <c r="Y156" s="1040"/>
      <c r="Z156" s="1040"/>
      <c r="AA156" s="1040"/>
      <c r="AB156" s="1040"/>
      <c r="AC156" s="1040"/>
      <c r="AD156" s="1040"/>
      <c r="AE156" s="1040"/>
      <c r="AF156" s="1040"/>
      <c r="AG156" s="1040"/>
    </row>
    <row r="157" spans="1:33" ht="14.85" customHeight="1" x14ac:dyDescent="0.3">
      <c r="A157" s="112"/>
      <c r="B157" s="112"/>
      <c r="C157" s="1248"/>
      <c r="D157" s="649"/>
      <c r="E157" s="1263"/>
      <c r="F157" s="1263"/>
      <c r="G157" s="1278"/>
      <c r="H157" s="1262" t="s">
        <v>1117</v>
      </c>
      <c r="I157" s="1263" t="s">
        <v>308</v>
      </c>
      <c r="J157" s="1257" t="s">
        <v>308</v>
      </c>
      <c r="K157" s="1263" t="s">
        <v>363</v>
      </c>
      <c r="L157" s="1265">
        <f t="shared" si="196"/>
        <v>0.66666666000000008</v>
      </c>
      <c r="M157" s="1266" t="s">
        <v>1118</v>
      </c>
      <c r="N157" s="1267"/>
      <c r="O157" s="1267"/>
      <c r="P157" s="1265"/>
      <c r="Q157" s="1265"/>
      <c r="R157" s="1040"/>
      <c r="S157" s="1040"/>
      <c r="T157" s="1040"/>
      <c r="U157" s="1040"/>
      <c r="V157" s="1040"/>
      <c r="W157" s="1040"/>
      <c r="X157" s="1040"/>
      <c r="Y157" s="1040"/>
      <c r="Z157" s="1040"/>
      <c r="AA157" s="1040"/>
      <c r="AB157" s="1040"/>
      <c r="AC157" s="1040"/>
      <c r="AD157" s="1040"/>
      <c r="AE157" s="1040"/>
      <c r="AF157" s="1040"/>
      <c r="AG157" s="1040"/>
    </row>
    <row r="158" spans="1:33" x14ac:dyDescent="0.3">
      <c r="A158" s="679"/>
      <c r="B158" s="679"/>
      <c r="C158" s="1253"/>
      <c r="D158" s="680"/>
      <c r="E158" s="1279"/>
      <c r="F158" s="1275"/>
      <c r="G158" s="1278"/>
      <c r="H158" s="1280"/>
      <c r="I158" s="1256"/>
      <c r="J158" s="1256"/>
      <c r="K158" s="1256"/>
      <c r="L158" s="1258"/>
      <c r="M158" s="1259" t="s">
        <v>128</v>
      </c>
      <c r="N158" s="322"/>
      <c r="O158" s="322"/>
      <c r="P158" s="1258"/>
      <c r="Q158" s="1258"/>
      <c r="R158" s="1040"/>
      <c r="S158" s="1040"/>
      <c r="T158" s="1040"/>
      <c r="U158" s="1040"/>
      <c r="V158" s="1040"/>
      <c r="W158" s="1040"/>
      <c r="X158" s="1040"/>
      <c r="Y158" s="1040"/>
      <c r="Z158" s="1040"/>
      <c r="AA158" s="1040"/>
      <c r="AB158" s="1040"/>
      <c r="AC158" s="1040"/>
      <c r="AD158" s="1040"/>
      <c r="AE158" s="1040"/>
      <c r="AF158" s="1040"/>
      <c r="AG158" s="1040"/>
    </row>
    <row r="159" spans="1:33" x14ac:dyDescent="0.3">
      <c r="A159" s="112"/>
      <c r="B159" s="112"/>
      <c r="C159" s="1248"/>
      <c r="D159" s="649"/>
      <c r="E159" s="1263"/>
      <c r="F159" s="1263"/>
      <c r="G159" s="1278"/>
      <c r="H159" s="1281"/>
      <c r="I159" s="1263"/>
      <c r="J159" s="1263"/>
      <c r="K159" s="1263"/>
      <c r="L159" s="1265"/>
      <c r="M159" s="1266" t="s">
        <v>128</v>
      </c>
      <c r="N159" s="1267"/>
      <c r="O159" s="1267"/>
      <c r="P159" s="1265"/>
      <c r="Q159" s="1265"/>
      <c r="R159" s="1040"/>
      <c r="S159" s="1040"/>
      <c r="T159" s="1040"/>
      <c r="U159" s="1040"/>
      <c r="V159" s="1040"/>
      <c r="W159" s="1040"/>
      <c r="X159" s="1040"/>
      <c r="Y159" s="1040"/>
      <c r="Z159" s="1040"/>
      <c r="AA159" s="1040"/>
      <c r="AB159" s="1040"/>
      <c r="AC159" s="1040"/>
      <c r="AD159" s="1040"/>
      <c r="AE159" s="1040"/>
      <c r="AF159" s="1040"/>
      <c r="AG159" s="1040"/>
    </row>
    <row r="160" spans="1:33" x14ac:dyDescent="0.3">
      <c r="A160" s="679"/>
      <c r="B160" s="679"/>
      <c r="C160" s="1253"/>
      <c r="D160" s="680"/>
      <c r="E160" s="1277"/>
      <c r="F160" s="1277"/>
      <c r="G160" s="1278"/>
      <c r="H160" s="1280"/>
      <c r="I160" s="1256"/>
      <c r="J160" s="1256"/>
      <c r="K160" s="1256"/>
      <c r="L160" s="1258"/>
      <c r="M160" s="1259" t="s">
        <v>128</v>
      </c>
      <c r="N160" s="322"/>
      <c r="O160" s="322"/>
      <c r="P160" s="1258"/>
      <c r="Q160" s="1258"/>
      <c r="R160" s="1040"/>
      <c r="S160" s="1040"/>
      <c r="T160" s="1040"/>
      <c r="U160" s="1040"/>
      <c r="V160" s="1040"/>
      <c r="W160" s="1040"/>
      <c r="X160" s="1040"/>
      <c r="Y160" s="1040"/>
      <c r="Z160" s="1040"/>
      <c r="AA160" s="1040"/>
      <c r="AB160" s="1040"/>
      <c r="AC160" s="1040"/>
      <c r="AD160" s="1040"/>
      <c r="AE160" s="1040"/>
      <c r="AF160" s="1040"/>
      <c r="AG160" s="1040"/>
    </row>
    <row r="161" spans="1:33" x14ac:dyDescent="0.3">
      <c r="A161" s="112"/>
      <c r="B161" s="112"/>
      <c r="C161" s="1248"/>
      <c r="D161" s="649"/>
      <c r="E161" s="1263"/>
      <c r="F161" s="1263"/>
      <c r="G161" s="1278"/>
      <c r="H161" s="1281"/>
      <c r="I161" s="1263"/>
      <c r="J161" s="1263"/>
      <c r="K161" s="1263"/>
      <c r="L161" s="1265"/>
      <c r="M161" s="1266" t="s">
        <v>128</v>
      </c>
      <c r="N161" s="1267"/>
      <c r="O161" s="1267"/>
      <c r="P161" s="1265"/>
      <c r="Q161" s="1265"/>
      <c r="R161" s="1040"/>
      <c r="S161" s="1040"/>
      <c r="T161" s="1040"/>
      <c r="U161" s="1040"/>
      <c r="V161" s="1040"/>
      <c r="W161" s="1040"/>
      <c r="X161" s="1040"/>
      <c r="Y161" s="1040"/>
      <c r="Z161" s="1040"/>
      <c r="AA161" s="1040"/>
      <c r="AB161" s="1040"/>
      <c r="AC161" s="1040"/>
      <c r="AD161" s="1040"/>
      <c r="AE161" s="1040"/>
      <c r="AF161" s="1040"/>
      <c r="AG161" s="1040"/>
    </row>
    <row r="162" spans="1:33" x14ac:dyDescent="0.3">
      <c r="A162" s="679"/>
      <c r="B162" s="679"/>
      <c r="C162" s="1253"/>
      <c r="D162" s="680"/>
      <c r="E162" s="1277"/>
      <c r="F162" s="1277"/>
      <c r="G162" s="1278"/>
      <c r="H162" s="1280"/>
      <c r="I162" s="1256"/>
      <c r="J162" s="1256"/>
      <c r="K162" s="1256"/>
      <c r="L162" s="1258"/>
      <c r="M162" s="1259"/>
      <c r="N162" s="322"/>
      <c r="O162" s="322"/>
      <c r="P162" s="1258"/>
      <c r="Q162" s="1258"/>
      <c r="R162" s="1040"/>
      <c r="S162" s="1040"/>
      <c r="T162" s="1040"/>
      <c r="U162" s="1040"/>
      <c r="V162" s="1040"/>
      <c r="W162" s="1040"/>
      <c r="X162" s="1040"/>
      <c r="Y162" s="1040"/>
      <c r="Z162" s="1040"/>
      <c r="AA162" s="1040"/>
      <c r="AB162" s="1040"/>
      <c r="AC162" s="1040"/>
      <c r="AD162" s="1040"/>
      <c r="AE162" s="1040"/>
      <c r="AF162" s="1040"/>
      <c r="AG162" s="1040"/>
    </row>
    <row r="163" spans="1:33" x14ac:dyDescent="0.3">
      <c r="A163" s="112"/>
      <c r="B163" s="112"/>
      <c r="C163" s="1248"/>
      <c r="D163" s="649"/>
      <c r="E163" s="1263"/>
      <c r="F163" s="1263"/>
      <c r="G163" s="1278"/>
      <c r="H163" s="1281"/>
      <c r="I163" s="1263"/>
      <c r="J163" s="1263"/>
      <c r="K163" s="1263"/>
      <c r="L163" s="1265"/>
      <c r="M163" s="1266" t="s">
        <v>128</v>
      </c>
      <c r="N163" s="1267"/>
      <c r="O163" s="1267"/>
      <c r="P163" s="1265"/>
      <c r="Q163" s="1265"/>
      <c r="R163" s="1040"/>
      <c r="S163" s="1040"/>
      <c r="T163" s="1040"/>
      <c r="U163" s="1040"/>
      <c r="V163" s="1040"/>
      <c r="W163" s="1040"/>
      <c r="X163" s="1040"/>
      <c r="Y163" s="1040"/>
      <c r="Z163" s="1040"/>
      <c r="AA163" s="1040"/>
      <c r="AB163" s="1040"/>
      <c r="AC163" s="1040"/>
      <c r="AD163" s="1040"/>
      <c r="AE163" s="1040"/>
      <c r="AF163" s="1040"/>
      <c r="AG163" s="1040"/>
    </row>
    <row r="164" spans="1:33" x14ac:dyDescent="0.3">
      <c r="A164" s="679"/>
      <c r="B164" s="679"/>
      <c r="C164" s="1253"/>
      <c r="D164" s="680"/>
      <c r="E164" s="1277"/>
      <c r="F164" s="1277"/>
      <c r="G164" s="1278"/>
      <c r="H164" s="1280"/>
      <c r="I164" s="1256"/>
      <c r="J164" s="1256"/>
      <c r="K164" s="1256"/>
      <c r="L164" s="1258"/>
      <c r="M164" s="1259" t="s">
        <v>128</v>
      </c>
      <c r="N164" s="322"/>
      <c r="O164" s="322"/>
      <c r="P164" s="1258"/>
      <c r="Q164" s="1258"/>
      <c r="R164" s="1040"/>
      <c r="S164" s="1040"/>
      <c r="T164" s="1040"/>
      <c r="U164" s="1040"/>
      <c r="V164" s="1040"/>
      <c r="W164" s="1040"/>
      <c r="X164" s="1040"/>
      <c r="Y164" s="1040"/>
      <c r="Z164" s="1040"/>
      <c r="AA164" s="1040"/>
      <c r="AB164" s="1040"/>
      <c r="AC164" s="1040"/>
      <c r="AD164" s="1040"/>
      <c r="AE164" s="1040"/>
      <c r="AF164" s="1040"/>
      <c r="AG164" s="1040"/>
    </row>
    <row r="165" spans="1:33" x14ac:dyDescent="0.3">
      <c r="A165" s="112"/>
      <c r="B165" s="112"/>
      <c r="C165" s="1248"/>
      <c r="D165" s="649"/>
      <c r="E165" s="1263"/>
      <c r="F165" s="1263"/>
      <c r="G165" s="1278"/>
      <c r="H165" s="1281"/>
      <c r="I165" s="1263"/>
      <c r="J165" s="1263"/>
      <c r="K165" s="1263"/>
      <c r="L165" s="1265"/>
      <c r="M165" s="1266" t="s">
        <v>128</v>
      </c>
      <c r="N165" s="1267"/>
      <c r="O165" s="1267"/>
      <c r="P165" s="1265"/>
      <c r="Q165" s="1265"/>
      <c r="R165" s="1040"/>
      <c r="S165" s="1040"/>
      <c r="T165" s="1040"/>
      <c r="U165" s="1040"/>
      <c r="V165" s="1040"/>
      <c r="W165" s="1040"/>
      <c r="X165" s="1040"/>
      <c r="Y165" s="1040"/>
      <c r="Z165" s="1040"/>
      <c r="AA165" s="1040"/>
      <c r="AB165" s="1040"/>
      <c r="AC165" s="1040"/>
      <c r="AD165" s="1040"/>
      <c r="AE165" s="1040"/>
      <c r="AF165" s="1040"/>
      <c r="AG165" s="1040"/>
    </row>
    <row r="166" spans="1:33" x14ac:dyDescent="0.3">
      <c r="A166" s="679"/>
      <c r="B166" s="679"/>
      <c r="C166" s="1253"/>
      <c r="D166" s="680"/>
      <c r="E166" s="1277"/>
      <c r="F166" s="1277"/>
      <c r="G166" s="1278"/>
      <c r="H166" s="1280"/>
      <c r="I166" s="1256"/>
      <c r="J166" s="1256"/>
      <c r="K166" s="1256"/>
      <c r="L166" s="1258"/>
      <c r="M166" s="1259" t="s">
        <v>128</v>
      </c>
      <c r="N166" s="322"/>
      <c r="O166" s="322"/>
      <c r="P166" s="1258"/>
      <c r="Q166" s="1258"/>
      <c r="R166" s="1040"/>
      <c r="S166" s="1040"/>
      <c r="T166" s="1040"/>
      <c r="U166" s="1040"/>
      <c r="V166" s="1040"/>
      <c r="W166" s="1040"/>
      <c r="X166" s="1040"/>
      <c r="Y166" s="1040"/>
      <c r="Z166" s="1040"/>
      <c r="AA166" s="1040"/>
      <c r="AB166" s="1040"/>
      <c r="AC166" s="1040"/>
      <c r="AD166" s="1040"/>
      <c r="AE166" s="1040"/>
      <c r="AF166" s="1040"/>
      <c r="AG166" s="1040"/>
    </row>
    <row r="167" spans="1:33" x14ac:dyDescent="0.3">
      <c r="A167" s="112"/>
      <c r="B167" s="112"/>
      <c r="C167" s="1248"/>
      <c r="D167" s="649"/>
      <c r="E167" s="1263"/>
      <c r="F167" s="1263"/>
      <c r="G167" s="1278"/>
      <c r="H167" s="1281"/>
      <c r="I167" s="1263"/>
      <c r="J167" s="1263"/>
      <c r="K167" s="1263"/>
      <c r="L167" s="1265"/>
      <c r="M167" s="1266" t="s">
        <v>128</v>
      </c>
      <c r="N167" s="1267"/>
      <c r="O167" s="1267"/>
      <c r="P167" s="1265"/>
      <c r="Q167" s="1265"/>
      <c r="R167" s="1040"/>
      <c r="S167" s="1040"/>
      <c r="T167" s="1040"/>
      <c r="U167" s="1040"/>
      <c r="V167" s="1040"/>
      <c r="W167" s="1040"/>
      <c r="X167" s="1040"/>
      <c r="Y167" s="1040"/>
      <c r="Z167" s="1040"/>
      <c r="AA167" s="1040"/>
      <c r="AB167" s="1040"/>
      <c r="AC167" s="1040"/>
      <c r="AD167" s="1040"/>
      <c r="AE167" s="1040"/>
      <c r="AF167" s="1040"/>
      <c r="AG167" s="1040"/>
    </row>
    <row r="168" spans="1:33" x14ac:dyDescent="0.3">
      <c r="A168" s="679"/>
      <c r="B168" s="679"/>
      <c r="C168" s="1253"/>
      <c r="D168" s="680"/>
      <c r="E168" s="1277"/>
      <c r="F168" s="1277"/>
      <c r="G168" s="1278"/>
      <c r="H168" s="1280"/>
      <c r="I168" s="1256"/>
      <c r="J168" s="1256"/>
      <c r="K168" s="1256"/>
      <c r="L168" s="1258"/>
      <c r="M168" s="1259" t="s">
        <v>128</v>
      </c>
      <c r="N168" s="322"/>
      <c r="O168" s="322"/>
      <c r="P168" s="1258"/>
      <c r="Q168" s="1258"/>
      <c r="R168" s="1040"/>
      <c r="S168" s="1040"/>
      <c r="T168" s="1040"/>
      <c r="U168" s="1040"/>
      <c r="V168" s="1040"/>
      <c r="W168" s="1040"/>
      <c r="X168" s="1040"/>
      <c r="Y168" s="1040"/>
      <c r="Z168" s="1040"/>
      <c r="AA168" s="1040"/>
      <c r="AB168" s="1040"/>
      <c r="AC168" s="1040"/>
      <c r="AD168" s="1040"/>
      <c r="AE168" s="1040"/>
      <c r="AF168" s="1040"/>
      <c r="AG168" s="1040"/>
    </row>
    <row r="169" spans="1:33" x14ac:dyDescent="0.3">
      <c r="A169" s="112"/>
      <c r="B169" s="112"/>
      <c r="C169" s="1248"/>
      <c r="D169" s="649"/>
      <c r="E169" s="1263"/>
      <c r="F169" s="1263"/>
      <c r="G169" s="1278"/>
      <c r="H169" s="1281"/>
      <c r="I169" s="1263"/>
      <c r="J169" s="1263"/>
      <c r="K169" s="1263"/>
      <c r="L169" s="1265"/>
      <c r="M169" s="1266" t="s">
        <v>128</v>
      </c>
      <c r="N169" s="1267"/>
      <c r="O169" s="1267"/>
      <c r="P169" s="1265"/>
      <c r="Q169" s="1265"/>
      <c r="R169" s="1040"/>
      <c r="S169" s="1040"/>
      <c r="T169" s="1040"/>
      <c r="U169" s="1040"/>
      <c r="V169" s="1040"/>
      <c r="W169" s="1040"/>
      <c r="X169" s="1040"/>
      <c r="Y169" s="1040"/>
      <c r="Z169" s="1040"/>
      <c r="AA169" s="1040"/>
      <c r="AB169" s="1040"/>
      <c r="AC169" s="1040"/>
      <c r="AD169" s="1040"/>
      <c r="AE169" s="1040"/>
      <c r="AF169" s="1040"/>
      <c r="AG169" s="1040"/>
    </row>
    <row r="170" spans="1:33" ht="14.85" customHeight="1" x14ac:dyDescent="0.3">
      <c r="A170" s="679"/>
      <c r="B170" s="679"/>
      <c r="C170" s="1253"/>
      <c r="D170" s="680"/>
      <c r="E170" s="1277"/>
      <c r="F170" s="1277"/>
      <c r="G170" s="1278"/>
      <c r="H170" s="1282"/>
      <c r="I170" s="1246">
        <f>COUNTIF(I148:I169,"OK")/(COUNTIF(I148:I169,"OK")+COUNTIF(I148:I169,"Não OK"))</f>
        <v>1</v>
      </c>
      <c r="J170" s="1283">
        <f>COUNTIF(J148:J169,"OK")/(COUNTIF(J148:J169,"OK")+COUNTIF(J148:J169,"Não OK"))</f>
        <v>0.3</v>
      </c>
      <c r="K170" s="1283">
        <f>COUNTIF(K148:K169,"OK")/(COUNTIF(K148:K169,"OK")+COUNTIF(K148:K169,"Não OK"))</f>
        <v>0</v>
      </c>
      <c r="L170" s="1284">
        <f>AVERAGE(L148:L169)</f>
        <v>0.43333332900000004</v>
      </c>
      <c r="M170" s="1244"/>
      <c r="N170" s="1244"/>
      <c r="O170" s="1245"/>
      <c r="P170" s="1246"/>
      <c r="Q170" s="1246"/>
      <c r="R170" s="1040"/>
      <c r="S170" s="1040"/>
      <c r="T170" s="1040"/>
      <c r="U170" s="1040"/>
      <c r="V170" s="1040"/>
      <c r="W170" s="1040"/>
      <c r="X170" s="1040"/>
      <c r="Y170" s="1040"/>
      <c r="Z170" s="1040"/>
      <c r="AA170" s="1040"/>
      <c r="AB170" s="1040"/>
      <c r="AC170" s="1040"/>
      <c r="AD170" s="1040"/>
      <c r="AE170" s="1040"/>
      <c r="AF170" s="1040"/>
      <c r="AG170" s="1040"/>
    </row>
    <row r="171" spans="1:33" ht="14.85" customHeight="1" x14ac:dyDescent="0.3">
      <c r="A171" s="112"/>
      <c r="B171" s="112"/>
      <c r="C171" s="1248"/>
      <c r="D171" s="649"/>
      <c r="E171" s="1263"/>
      <c r="F171" s="1263"/>
      <c r="G171" s="1040"/>
      <c r="H171" s="1278"/>
      <c r="I171" s="1278"/>
      <c r="J171" s="1278"/>
      <c r="K171" s="1278"/>
      <c r="L171" s="1278"/>
      <c r="M171" s="1278"/>
      <c r="N171" s="1278"/>
      <c r="O171" s="1278"/>
      <c r="P171" s="1040"/>
      <c r="Q171" s="1040"/>
      <c r="R171" s="1040"/>
      <c r="S171" s="1040"/>
      <c r="T171" s="1040"/>
      <c r="U171" s="1040"/>
      <c r="V171" s="1040"/>
      <c r="W171" s="1040"/>
      <c r="X171" s="1040"/>
      <c r="Y171" s="1040"/>
      <c r="Z171" s="1040"/>
      <c r="AA171" s="1040"/>
      <c r="AB171" s="1040"/>
      <c r="AC171" s="1040"/>
      <c r="AD171" s="1040"/>
      <c r="AE171" s="1040"/>
      <c r="AF171" s="1040"/>
      <c r="AG171" s="1040"/>
    </row>
    <row r="172" spans="1:33" x14ac:dyDescent="0.3">
      <c r="A172" s="679"/>
      <c r="B172" s="679"/>
      <c r="C172" s="1253"/>
      <c r="D172" s="680"/>
      <c r="E172" s="1277"/>
      <c r="F172" s="1277"/>
      <c r="G172" s="1040"/>
      <c r="H172" s="1285" t="s">
        <v>675</v>
      </c>
      <c r="I172" s="1285"/>
      <c r="J172" s="1285"/>
      <c r="K172" s="1285"/>
      <c r="L172" s="1242"/>
      <c r="M172" s="1242"/>
      <c r="N172" s="1242"/>
      <c r="O172" s="1040"/>
      <c r="P172" s="1040"/>
      <c r="Q172" s="1040"/>
      <c r="R172" s="1040"/>
      <c r="S172" s="1040"/>
      <c r="T172" s="1040"/>
      <c r="U172" s="1040"/>
      <c r="V172" s="1040"/>
      <c r="W172" s="1040"/>
      <c r="X172" s="1040"/>
      <c r="Y172" s="1040"/>
      <c r="Z172" s="1040"/>
      <c r="AA172" s="1040"/>
      <c r="AB172" s="1040"/>
      <c r="AC172" s="1040"/>
      <c r="AD172" s="1040"/>
      <c r="AE172" s="1040"/>
      <c r="AF172" s="1040"/>
      <c r="AG172" s="1040"/>
    </row>
    <row r="173" spans="1:33" x14ac:dyDescent="0.3">
      <c r="A173" s="112"/>
      <c r="B173" s="112"/>
      <c r="C173" s="1248"/>
      <c r="D173" s="649"/>
      <c r="E173" s="1263"/>
      <c r="F173" s="1263"/>
      <c r="G173" s="1040"/>
      <c r="H173" s="1286" t="s">
        <v>77</v>
      </c>
      <c r="I173" s="1286" t="s">
        <v>78</v>
      </c>
      <c r="J173" s="1286" t="s">
        <v>80</v>
      </c>
      <c r="K173" s="1286" t="s">
        <v>79</v>
      </c>
      <c r="L173" s="1286" t="s">
        <v>78</v>
      </c>
      <c r="M173" s="1286" t="s">
        <v>79</v>
      </c>
      <c r="N173" s="1286" t="s">
        <v>80</v>
      </c>
      <c r="O173" s="1040"/>
      <c r="P173" s="1040"/>
      <c r="Q173" s="1040"/>
      <c r="R173" s="1040"/>
      <c r="S173" s="1040"/>
      <c r="T173" s="1040"/>
      <c r="U173" s="1040"/>
      <c r="V173" s="1040"/>
      <c r="W173" s="1040"/>
      <c r="X173" s="1040"/>
      <c r="Y173" s="1040"/>
      <c r="Z173" s="1040"/>
      <c r="AA173" s="1040"/>
      <c r="AB173" s="1040"/>
      <c r="AC173" s="1040"/>
      <c r="AD173" s="1040"/>
      <c r="AE173" s="1040"/>
      <c r="AF173" s="1040"/>
      <c r="AG173" s="1040"/>
    </row>
    <row r="174" spans="1:33" ht="14.85" customHeight="1" x14ac:dyDescent="0.3">
      <c r="A174" s="679"/>
      <c r="B174" s="679"/>
      <c r="C174" s="1253"/>
      <c r="D174" s="680"/>
      <c r="E174" s="1277"/>
      <c r="F174" s="1277"/>
      <c r="G174" s="1040"/>
      <c r="H174" s="1287" t="s">
        <v>82</v>
      </c>
      <c r="I174" s="1288">
        <f>E148</f>
        <v>0.75</v>
      </c>
      <c r="J174" s="1289">
        <v>1</v>
      </c>
      <c r="K174" s="1288">
        <f>F148</f>
        <v>0.75</v>
      </c>
      <c r="L174" s="1289">
        <f>IF(I174=0,"0",I174/J174)</f>
        <v>0.75</v>
      </c>
      <c r="M174" s="1289">
        <f>IF(K174=0,"0",K174/J174)</f>
        <v>0.75</v>
      </c>
      <c r="N174" s="1288">
        <v>1</v>
      </c>
      <c r="O174" s="1040"/>
      <c r="P174" s="1040"/>
      <c r="Q174" s="1040"/>
      <c r="R174" s="1040"/>
      <c r="S174" s="1040"/>
      <c r="T174" s="1040"/>
      <c r="U174" s="1040"/>
      <c r="V174" s="1040"/>
      <c r="W174" s="1040"/>
      <c r="X174" s="1040"/>
      <c r="Y174" s="1040"/>
      <c r="Z174" s="1040"/>
      <c r="AA174" s="1040"/>
      <c r="AB174" s="1040"/>
      <c r="AC174" s="1040"/>
      <c r="AD174" s="1040"/>
      <c r="AE174" s="1040"/>
      <c r="AF174" s="1040"/>
      <c r="AG174" s="1040"/>
    </row>
    <row r="175" spans="1:33" x14ac:dyDescent="0.3">
      <c r="A175" s="1241"/>
      <c r="B175" s="1241"/>
      <c r="C175" s="1241"/>
      <c r="D175" s="1246"/>
      <c r="E175" s="1290">
        <f>AVERAGE(E147:E152)</f>
        <v>0.91666666666666663</v>
      </c>
      <c r="F175" s="1246">
        <f>AVERAGE(F147:F152)</f>
        <v>0.91666666666666663</v>
      </c>
      <c r="G175" s="1040"/>
      <c r="H175" s="1291" t="s">
        <v>84</v>
      </c>
      <c r="I175" s="1292">
        <f>E147</f>
        <v>1</v>
      </c>
      <c r="J175" s="1293">
        <v>1</v>
      </c>
      <c r="K175" s="1292">
        <f>F147</f>
        <v>1</v>
      </c>
      <c r="L175" s="1293">
        <f>IF(I175=0,"0",I175/J175)</f>
        <v>1</v>
      </c>
      <c r="M175" s="1293">
        <f>IF(K175=0,"0",K175/J175)</f>
        <v>1</v>
      </c>
      <c r="N175" s="1292">
        <v>1</v>
      </c>
      <c r="O175" s="1040"/>
      <c r="P175" s="1040"/>
      <c r="Q175" s="1040"/>
      <c r="R175" s="1040"/>
      <c r="S175" s="1040"/>
      <c r="T175" s="1040"/>
      <c r="U175" s="1040"/>
      <c r="V175" s="1040"/>
      <c r="W175" s="1040"/>
      <c r="X175" s="1040"/>
      <c r="Y175" s="1040"/>
      <c r="Z175" s="1040"/>
      <c r="AA175" s="1040"/>
      <c r="AB175" s="1040"/>
      <c r="AC175" s="1040"/>
      <c r="AD175" s="1040"/>
      <c r="AE175" s="1040"/>
      <c r="AF175" s="1040"/>
      <c r="AG175" s="1040"/>
    </row>
    <row r="176" spans="1:33" x14ac:dyDescent="0.3">
      <c r="A176" s="1040"/>
      <c r="B176" s="1040"/>
      <c r="C176" s="1040"/>
      <c r="D176" s="1040"/>
      <c r="E176" s="1040"/>
      <c r="F176" s="1040"/>
      <c r="G176" s="1040"/>
      <c r="H176" s="1294" t="s">
        <v>86</v>
      </c>
      <c r="I176" s="1288">
        <f>AVERAGE(E150:E152)</f>
        <v>0.91666666666666663</v>
      </c>
      <c r="J176" s="1289">
        <v>1</v>
      </c>
      <c r="K176" s="1288">
        <f>AVERAGE(F150:F152)</f>
        <v>0.91666666666666663</v>
      </c>
      <c r="L176" s="1289">
        <f>IF(I176=0,"0",I176/J176)</f>
        <v>0.91666666666666663</v>
      </c>
      <c r="M176" s="1289">
        <f>IF(K176=0,"0",K176/J176)</f>
        <v>0.91666666666666663</v>
      </c>
      <c r="N176" s="1288">
        <v>1</v>
      </c>
      <c r="O176" s="1040"/>
      <c r="P176" s="1040"/>
      <c r="Q176" s="1040"/>
      <c r="R176" s="1040"/>
      <c r="S176" s="1040"/>
      <c r="T176" s="1040"/>
      <c r="U176" s="1040"/>
      <c r="V176" s="1040"/>
      <c r="W176" s="1040"/>
      <c r="X176" s="1040"/>
      <c r="Y176" s="1040"/>
      <c r="Z176" s="1040"/>
      <c r="AA176" s="1040"/>
      <c r="AB176" s="1040"/>
      <c r="AC176" s="1040"/>
      <c r="AD176" s="1040"/>
      <c r="AE176" s="1040"/>
      <c r="AF176" s="1040"/>
      <c r="AG176" s="1040"/>
    </row>
    <row r="177" spans="1:33" x14ac:dyDescent="0.3">
      <c r="A177" s="1040"/>
      <c r="B177" s="1040"/>
      <c r="C177" s="1040"/>
      <c r="D177" s="1040"/>
      <c r="E177" s="1040"/>
      <c r="F177" s="1040"/>
      <c r="G177" s="1040"/>
      <c r="H177" s="1291" t="s">
        <v>88</v>
      </c>
      <c r="I177" s="1292">
        <f>E149</f>
        <v>1</v>
      </c>
      <c r="J177" s="1293">
        <v>1</v>
      </c>
      <c r="K177" s="1292">
        <f>F149</f>
        <v>1</v>
      </c>
      <c r="L177" s="1293">
        <f>IF(I177=0,"0",I177/J177)</f>
        <v>1</v>
      </c>
      <c r="M177" s="1293">
        <f>IF(K177=0,"0",K177/J177)</f>
        <v>1</v>
      </c>
      <c r="N177" s="1292">
        <v>1</v>
      </c>
      <c r="O177" s="1040"/>
      <c r="P177" s="1040"/>
      <c r="Q177" s="1040"/>
      <c r="R177" s="1040"/>
      <c r="S177" s="1040"/>
      <c r="T177" s="1040"/>
      <c r="U177" s="1040"/>
      <c r="V177" s="1040"/>
      <c r="W177" s="1040"/>
      <c r="X177" s="1040"/>
      <c r="Y177" s="1040"/>
      <c r="Z177" s="1040"/>
      <c r="AA177" s="1040"/>
      <c r="AB177" s="1040"/>
      <c r="AC177" s="1040"/>
      <c r="AD177" s="1040"/>
      <c r="AE177" s="1040"/>
      <c r="AF177" s="1040"/>
      <c r="AG177" s="1040"/>
    </row>
    <row r="178" spans="1:33" x14ac:dyDescent="0.3">
      <c r="A178" s="1040"/>
      <c r="B178" s="1040"/>
      <c r="C178" s="1040"/>
      <c r="D178" s="1040"/>
      <c r="E178" s="1040"/>
      <c r="F178" s="1040"/>
      <c r="G178" s="1040"/>
      <c r="H178" s="1295"/>
      <c r="I178" s="1203"/>
      <c r="J178" s="1203"/>
      <c r="K178" s="1203"/>
      <c r="L178" s="1203"/>
      <c r="M178" s="1203"/>
      <c r="N178" s="1203"/>
      <c r="O178" s="1203"/>
      <c r="P178" s="1040"/>
      <c r="Q178" s="1040"/>
      <c r="R178" s="1040"/>
      <c r="S178" s="1040"/>
      <c r="T178" s="1040"/>
      <c r="U178" s="1040"/>
      <c r="V178" s="1040"/>
      <c r="W178" s="1040"/>
      <c r="X178" s="1040"/>
      <c r="Y178" s="1040"/>
      <c r="Z178" s="1040"/>
      <c r="AA178" s="1040"/>
      <c r="AB178" s="1040"/>
      <c r="AC178" s="1040"/>
      <c r="AD178" s="1040"/>
      <c r="AE178" s="1040"/>
      <c r="AF178" s="1040"/>
      <c r="AG178" s="1040"/>
    </row>
    <row r="179" spans="1:33" x14ac:dyDescent="0.3">
      <c r="A179" s="1040"/>
      <c r="B179" s="1040"/>
      <c r="C179" s="1040"/>
      <c r="D179" s="1040"/>
      <c r="E179" s="1040"/>
      <c r="F179" s="1040"/>
      <c r="G179" s="1040"/>
      <c r="H179" s="1286" t="s">
        <v>666</v>
      </c>
      <c r="I179" s="1286" t="s">
        <v>667</v>
      </c>
      <c r="J179" s="1286" t="s">
        <v>668</v>
      </c>
      <c r="K179" s="1286" t="s">
        <v>669</v>
      </c>
      <c r="L179" s="1286" t="s">
        <v>670</v>
      </c>
      <c r="M179" s="1286" t="s">
        <v>671</v>
      </c>
      <c r="N179" s="1286" t="s">
        <v>672</v>
      </c>
      <c r="O179" s="1286" t="s">
        <v>673</v>
      </c>
      <c r="P179" s="1286" t="s">
        <v>674</v>
      </c>
      <c r="Q179" s="1040"/>
      <c r="R179" s="1040"/>
      <c r="S179" s="1040"/>
      <c r="T179" s="1040"/>
      <c r="U179" s="1040"/>
      <c r="V179" s="1040"/>
      <c r="W179" s="1040"/>
      <c r="X179" s="1040"/>
      <c r="Y179" s="1040"/>
      <c r="Z179" s="1040"/>
      <c r="AA179" s="1040"/>
      <c r="AB179" s="1040"/>
      <c r="AC179" s="1040"/>
      <c r="AD179" s="1040"/>
      <c r="AE179" s="1040"/>
      <c r="AF179" s="1040"/>
      <c r="AG179" s="1040"/>
    </row>
    <row r="180" spans="1:33" x14ac:dyDescent="0.3">
      <c r="A180" s="1040"/>
      <c r="B180" s="1040"/>
      <c r="C180" s="1040"/>
      <c r="D180" s="1040"/>
      <c r="E180" s="1040"/>
      <c r="F180" s="1040"/>
      <c r="G180" s="1040"/>
      <c r="H180" s="1296">
        <v>1</v>
      </c>
      <c r="I180" s="1296">
        <f>COUNTIF($D$147:$D$174,H180)</f>
        <v>3</v>
      </c>
      <c r="J180" s="1296"/>
      <c r="K180" s="1297"/>
      <c r="L180" s="1289">
        <f>AVERAGE(E147:E149)</f>
        <v>0.91666666666666663</v>
      </c>
      <c r="M180" s="1296"/>
      <c r="N180" s="1296"/>
      <c r="O180" s="1289">
        <f>AVERAGE(F147:F149)</f>
        <v>0.91666666666666663</v>
      </c>
      <c r="P180" s="1298"/>
      <c r="Q180" s="1040"/>
      <c r="R180" s="1040"/>
      <c r="S180" s="1040"/>
      <c r="T180" s="1040"/>
      <c r="U180" s="1040"/>
      <c r="V180" s="1040"/>
      <c r="W180" s="1040"/>
      <c r="X180" s="1040"/>
      <c r="Y180" s="1040"/>
      <c r="Z180" s="1040"/>
      <c r="AA180" s="1040"/>
      <c r="AB180" s="1040"/>
      <c r="AC180" s="1040"/>
      <c r="AD180" s="1040"/>
      <c r="AE180" s="1040"/>
      <c r="AF180" s="1040"/>
      <c r="AG180" s="1040"/>
    </row>
    <row r="181" spans="1:33" x14ac:dyDescent="0.3">
      <c r="A181" s="1040"/>
      <c r="B181" s="1040"/>
      <c r="C181" s="1040"/>
      <c r="D181" s="1040"/>
      <c r="E181" s="1040"/>
      <c r="F181" s="1040"/>
      <c r="G181" s="1040"/>
      <c r="H181" s="1299">
        <v>2</v>
      </c>
      <c r="I181" s="1299">
        <f>COUNTIF($D$147:$D$174,H181)</f>
        <v>3</v>
      </c>
      <c r="J181" s="1299"/>
      <c r="K181" s="1299"/>
      <c r="L181" s="1293">
        <f>AVERAGE(E150:E152)</f>
        <v>0.91666666666666663</v>
      </c>
      <c r="M181" s="1299"/>
      <c r="N181" s="1299"/>
      <c r="O181" s="1293">
        <f>AVERAGE(F150:F152)</f>
        <v>0.91666666666666663</v>
      </c>
      <c r="P181" s="1300"/>
      <c r="Q181" s="1040"/>
      <c r="R181" s="1040"/>
      <c r="S181" s="1040"/>
      <c r="T181" s="1040"/>
      <c r="U181" s="1040"/>
      <c r="V181" s="1040"/>
      <c r="W181" s="1040"/>
      <c r="X181" s="1040"/>
      <c r="Y181" s="1040"/>
      <c r="Z181" s="1040"/>
      <c r="AA181" s="1040"/>
      <c r="AB181" s="1040"/>
      <c r="AC181" s="1040"/>
      <c r="AD181" s="1040"/>
      <c r="AE181" s="1040"/>
      <c r="AF181" s="1040"/>
      <c r="AG181" s="1040"/>
    </row>
    <row r="182" spans="1:33" x14ac:dyDescent="0.3">
      <c r="A182" s="1040"/>
      <c r="B182" s="1040"/>
      <c r="C182" s="1040"/>
      <c r="D182" s="1040"/>
      <c r="E182" s="1040"/>
      <c r="F182" s="1040"/>
      <c r="G182" s="1040"/>
      <c r="H182" s="1296">
        <v>3</v>
      </c>
      <c r="I182" s="1296">
        <f>COUNTIF($D$147:$D$174,H182)</f>
        <v>0</v>
      </c>
      <c r="J182" s="1296"/>
      <c r="K182" s="1297"/>
      <c r="L182" s="1289" t="e">
        <f>COUNTIFS(E147:E174,"OK",D147:D174,H182)/I182</f>
        <v>#DIV/0!</v>
      </c>
      <c r="M182" s="1296"/>
      <c r="N182" s="1296"/>
      <c r="O182" s="1289" t="e">
        <f>J182/I182</f>
        <v>#DIV/0!</v>
      </c>
      <c r="P182" s="1298"/>
      <c r="Q182" s="1040"/>
      <c r="R182" s="1040"/>
      <c r="S182" s="1040"/>
      <c r="T182" s="1040"/>
      <c r="U182" s="1040"/>
      <c r="V182" s="1040"/>
      <c r="W182" s="1040"/>
      <c r="X182" s="1040"/>
      <c r="Y182" s="1040"/>
      <c r="Z182" s="1040"/>
      <c r="AA182" s="1040"/>
      <c r="AB182" s="1040"/>
      <c r="AC182" s="1040"/>
      <c r="AD182" s="1040"/>
      <c r="AE182" s="1040"/>
      <c r="AF182" s="1040"/>
      <c r="AG182" s="1040"/>
    </row>
    <row r="183" spans="1:33" x14ac:dyDescent="0.3">
      <c r="A183" s="1040"/>
      <c r="B183" s="1040"/>
      <c r="C183" s="1040"/>
      <c r="D183" s="1040"/>
      <c r="E183" s="1040"/>
      <c r="F183" s="1040"/>
      <c r="G183" s="1040"/>
      <c r="H183" s="1286" t="s">
        <v>149</v>
      </c>
      <c r="I183" s="1286">
        <f>SUM(I180:I182)</f>
        <v>6</v>
      </c>
      <c r="J183" s="1286"/>
      <c r="K183" s="1286"/>
      <c r="L183" s="1286"/>
      <c r="M183" s="1286"/>
      <c r="N183" s="1286"/>
      <c r="O183" s="1286"/>
      <c r="P183" s="1286"/>
      <c r="Q183" s="1040"/>
      <c r="R183" s="1040"/>
      <c r="S183" s="1040"/>
      <c r="T183" s="1040"/>
      <c r="U183" s="1040"/>
      <c r="V183" s="1040"/>
      <c r="W183" s="1040"/>
      <c r="X183" s="1040"/>
      <c r="Y183" s="1040"/>
      <c r="Z183" s="1040"/>
      <c r="AA183" s="1040"/>
      <c r="AB183" s="1040"/>
      <c r="AC183" s="1040"/>
      <c r="AD183" s="1040"/>
      <c r="AE183" s="1040"/>
      <c r="AF183" s="1040"/>
      <c r="AG183" s="1040"/>
    </row>
    <row r="184" spans="1:33" x14ac:dyDescent="0.3">
      <c r="A184" s="1040"/>
      <c r="B184" s="1040"/>
      <c r="C184" s="1040"/>
      <c r="D184" s="1040"/>
      <c r="E184" s="1040"/>
      <c r="F184" s="1040"/>
      <c r="G184" s="1040"/>
      <c r="H184" s="1301" t="s">
        <v>1119</v>
      </c>
      <c r="I184" s="1040"/>
      <c r="J184" s="1040"/>
      <c r="K184" s="1040"/>
      <c r="L184" s="1040"/>
      <c r="M184" s="1040"/>
      <c r="N184" s="1040"/>
      <c r="O184" s="1040"/>
      <c r="P184" s="1040"/>
      <c r="Q184" s="1040"/>
      <c r="R184" s="1040"/>
      <c r="S184" s="1040"/>
      <c r="T184" s="1040"/>
      <c r="U184" s="1040"/>
      <c r="V184" s="1040"/>
      <c r="W184" s="1040"/>
      <c r="X184" s="1040"/>
      <c r="Y184" s="1040"/>
      <c r="Z184" s="1040"/>
      <c r="AA184" s="1040"/>
      <c r="AB184" s="1040"/>
      <c r="AC184" s="1040"/>
      <c r="AD184" s="1040"/>
      <c r="AE184" s="1040"/>
      <c r="AF184" s="1040"/>
      <c r="AG184" s="1040"/>
    </row>
    <row r="185" spans="1:33" x14ac:dyDescent="0.3">
      <c r="A185" s="1040"/>
      <c r="B185" s="1040"/>
      <c r="C185" s="1040"/>
      <c r="D185" s="1040"/>
      <c r="E185" s="1040"/>
      <c r="F185" s="1040"/>
      <c r="G185" s="1040"/>
      <c r="H185" s="1040"/>
      <c r="I185" s="1040"/>
      <c r="J185" s="1040"/>
      <c r="K185" s="1040"/>
      <c r="L185" s="1040"/>
      <c r="M185" s="1040"/>
      <c r="N185" s="1040"/>
      <c r="O185" s="1040"/>
      <c r="P185" s="1040"/>
      <c r="Q185" s="1040"/>
      <c r="R185" s="1040"/>
      <c r="S185" s="1040"/>
      <c r="T185" s="1040"/>
      <c r="U185" s="1040"/>
      <c r="V185" s="1040"/>
      <c r="W185" s="1040"/>
      <c r="X185" s="1040"/>
      <c r="Y185" s="1040"/>
      <c r="Z185" s="1040"/>
      <c r="AA185" s="1040"/>
      <c r="AB185" s="1040"/>
      <c r="AC185" s="1040"/>
      <c r="AD185" s="1040"/>
      <c r="AE185" s="1040"/>
      <c r="AF185" s="1040"/>
      <c r="AG185" s="1040"/>
    </row>
    <row r="186" spans="1:33" x14ac:dyDescent="0.3">
      <c r="A186" s="1040"/>
      <c r="B186" s="1040"/>
      <c r="C186" s="1040"/>
      <c r="D186" s="1040"/>
      <c r="E186" s="1040"/>
      <c r="F186" s="1040"/>
      <c r="G186" s="1040"/>
      <c r="H186" s="1040"/>
      <c r="I186" s="1040"/>
      <c r="J186" s="1040"/>
      <c r="K186" s="1040"/>
      <c r="L186" s="1040"/>
      <c r="M186" s="1040"/>
      <c r="N186" s="1040"/>
      <c r="O186" s="1040"/>
      <c r="P186" s="1040"/>
      <c r="Q186" s="1040"/>
      <c r="R186" s="1040"/>
      <c r="S186" s="1040"/>
      <c r="T186" s="1040"/>
      <c r="U186" s="1040"/>
      <c r="V186" s="1040"/>
      <c r="W186" s="1040"/>
      <c r="X186" s="1040"/>
      <c r="Y186" s="1040"/>
      <c r="Z186" s="1040"/>
      <c r="AA186" s="1040"/>
      <c r="AB186" s="1040"/>
      <c r="AC186" s="1040"/>
      <c r="AD186" s="1040"/>
      <c r="AE186" s="1040"/>
      <c r="AF186" s="1040"/>
      <c r="AG186" s="1040"/>
    </row>
    <row r="187" spans="1:33" x14ac:dyDescent="0.3">
      <c r="A187" s="1040"/>
      <c r="B187" s="1040"/>
      <c r="C187" s="1040"/>
      <c r="D187" s="1040"/>
      <c r="E187" s="1040"/>
      <c r="F187" s="1040"/>
      <c r="G187" s="1040"/>
      <c r="H187" s="1040"/>
      <c r="I187" s="1040"/>
      <c r="J187" s="1040"/>
      <c r="K187" s="1040"/>
      <c r="L187" s="1040"/>
      <c r="M187" s="1040"/>
      <c r="N187" s="1040"/>
      <c r="O187" s="1040"/>
      <c r="P187" s="1040"/>
      <c r="Q187" s="1040"/>
      <c r="R187" s="1040"/>
      <c r="S187" s="1040"/>
      <c r="T187" s="1040"/>
      <c r="U187" s="1040"/>
      <c r="V187" s="1040"/>
      <c r="W187" s="1040"/>
      <c r="X187" s="1040"/>
      <c r="Y187" s="1040"/>
      <c r="Z187" s="1040"/>
      <c r="AA187" s="1040"/>
      <c r="AB187" s="1040"/>
      <c r="AC187" s="1040"/>
      <c r="AD187" s="1040"/>
      <c r="AE187" s="1040"/>
      <c r="AF187" s="1040"/>
      <c r="AG187" s="1040"/>
    </row>
    <row r="188" spans="1:33" x14ac:dyDescent="0.3">
      <c r="A188" s="1040"/>
      <c r="B188" s="1040"/>
      <c r="C188" s="1040"/>
      <c r="D188" s="1040"/>
      <c r="E188" s="1040"/>
      <c r="F188" s="1040"/>
      <c r="G188" s="1040"/>
      <c r="H188" s="1040"/>
      <c r="I188" s="1040"/>
      <c r="J188" s="1040"/>
      <c r="K188" s="1040"/>
      <c r="L188" s="1040"/>
      <c r="M188" s="1040"/>
      <c r="N188" s="1040"/>
      <c r="O188" s="1040"/>
      <c r="P188" s="1040"/>
      <c r="Q188" s="1040"/>
      <c r="R188" s="1040"/>
      <c r="S188" s="1040"/>
      <c r="T188" s="1040"/>
      <c r="U188" s="1040"/>
      <c r="V188" s="1040"/>
      <c r="W188" s="1040"/>
      <c r="X188" s="1040"/>
      <c r="Y188" s="1040"/>
      <c r="Z188" s="1040"/>
      <c r="AA188" s="1040"/>
      <c r="AB188" s="1040"/>
      <c r="AC188" s="1040"/>
      <c r="AD188" s="1040"/>
      <c r="AE188" s="1040"/>
      <c r="AF188" s="1040"/>
      <c r="AG188" s="1040"/>
    </row>
    <row r="189" spans="1:33" x14ac:dyDescent="0.3">
      <c r="A189" s="1040"/>
      <c r="B189" s="1040"/>
      <c r="C189" s="1040"/>
      <c r="D189" s="1040"/>
      <c r="E189" s="1040"/>
      <c r="F189" s="1040"/>
      <c r="G189" s="1040"/>
      <c r="H189" s="1040"/>
      <c r="I189" s="1040"/>
      <c r="J189" s="1040"/>
      <c r="K189" s="1040"/>
      <c r="L189" s="1040"/>
      <c r="M189" s="1040"/>
      <c r="N189" s="1040"/>
      <c r="O189" s="1040"/>
      <c r="P189" s="1040"/>
      <c r="Q189" s="1040"/>
      <c r="R189" s="1040"/>
      <c r="S189" s="1040"/>
      <c r="T189" s="1040"/>
      <c r="U189" s="1040"/>
      <c r="V189" s="1040"/>
      <c r="W189" s="1040"/>
      <c r="X189" s="1040"/>
      <c r="Y189" s="1040"/>
      <c r="Z189" s="1040"/>
      <c r="AA189" s="1040"/>
      <c r="AB189" s="1040"/>
      <c r="AC189" s="1040"/>
      <c r="AD189" s="1040"/>
      <c r="AE189" s="1040"/>
      <c r="AF189" s="1040"/>
      <c r="AG189" s="1040"/>
    </row>
    <row r="190" spans="1:33" x14ac:dyDescent="0.3">
      <c r="A190" s="1040"/>
      <c r="B190" s="1040"/>
      <c r="C190" s="1040"/>
      <c r="D190" s="1040"/>
      <c r="E190" s="1040"/>
      <c r="F190" s="1040"/>
      <c r="G190" s="1040"/>
      <c r="H190" s="1040"/>
      <c r="I190" s="1040"/>
      <c r="J190" s="1040"/>
      <c r="K190" s="1040"/>
      <c r="L190" s="1040"/>
      <c r="M190" s="1040"/>
      <c r="N190" s="1040"/>
      <c r="O190" s="1040"/>
      <c r="P190" s="1040"/>
      <c r="Q190" s="1040"/>
      <c r="R190" s="1040"/>
      <c r="S190" s="1040"/>
      <c r="T190" s="1040"/>
      <c r="U190" s="1040"/>
      <c r="V190" s="1040"/>
      <c r="W190" s="1040"/>
      <c r="X190" s="1040"/>
      <c r="Y190" s="1040"/>
      <c r="Z190" s="1040"/>
      <c r="AA190" s="1040"/>
      <c r="AB190" s="1040"/>
      <c r="AC190" s="1040"/>
      <c r="AD190" s="1040"/>
      <c r="AE190" s="1040"/>
      <c r="AF190" s="1040"/>
      <c r="AG190" s="1040"/>
    </row>
    <row r="191" spans="1:33" x14ac:dyDescent="0.3">
      <c r="A191" s="1040"/>
      <c r="B191" s="1040"/>
      <c r="C191" s="1040"/>
      <c r="D191" s="1040"/>
      <c r="E191" s="1040"/>
      <c r="F191" s="1040"/>
      <c r="G191" s="1040"/>
      <c r="H191" s="1040"/>
      <c r="I191" s="1040"/>
      <c r="J191" s="1040"/>
      <c r="K191" s="1040"/>
      <c r="L191" s="1040"/>
      <c r="M191" s="1040"/>
      <c r="N191" s="1040"/>
      <c r="O191" s="1040"/>
      <c r="P191" s="1040"/>
      <c r="Q191" s="1040"/>
      <c r="R191" s="1040"/>
      <c r="S191" s="1040"/>
      <c r="T191" s="1040"/>
      <c r="U191" s="1040"/>
      <c r="V191" s="1040"/>
      <c r="W191" s="1040"/>
      <c r="X191" s="1040"/>
      <c r="Y191" s="1040"/>
      <c r="Z191" s="1040"/>
      <c r="AA191" s="1040"/>
      <c r="AB191" s="1040"/>
      <c r="AC191" s="1040"/>
      <c r="AD191" s="1040"/>
      <c r="AE191" s="1040"/>
      <c r="AF191" s="1040"/>
      <c r="AG191" s="1040"/>
    </row>
    <row r="192" spans="1:33" x14ac:dyDescent="0.3">
      <c r="A192" s="1040"/>
      <c r="B192" s="1040"/>
      <c r="C192" s="1040"/>
      <c r="D192" s="1040"/>
      <c r="E192" s="1040"/>
      <c r="F192" s="1040"/>
      <c r="G192" s="1040"/>
      <c r="H192" s="1040"/>
      <c r="I192" s="1040"/>
      <c r="J192" s="1040"/>
      <c r="K192" s="1040"/>
      <c r="L192" s="1040"/>
      <c r="M192" s="1040"/>
      <c r="N192" s="1040"/>
      <c r="O192" s="1040"/>
      <c r="P192" s="1040"/>
      <c r="Q192" s="1040"/>
      <c r="R192" s="1040"/>
      <c r="S192" s="1040"/>
      <c r="T192" s="1040"/>
      <c r="U192" s="1040"/>
      <c r="V192" s="1040"/>
      <c r="W192" s="1040"/>
      <c r="X192" s="1040"/>
      <c r="Y192" s="1040"/>
      <c r="Z192" s="1040"/>
      <c r="AA192" s="1040"/>
      <c r="AB192" s="1040"/>
      <c r="AC192" s="1040"/>
      <c r="AD192" s="1040"/>
      <c r="AE192" s="1040"/>
      <c r="AF192" s="1040"/>
      <c r="AG192" s="1040"/>
    </row>
    <row r="193" spans="1:33" x14ac:dyDescent="0.3">
      <c r="A193" s="1040"/>
      <c r="B193" s="1040"/>
      <c r="C193" s="1040"/>
      <c r="D193" s="1040"/>
      <c r="E193" s="1040"/>
      <c r="F193" s="1040"/>
      <c r="G193" s="1040"/>
      <c r="H193" s="1040"/>
      <c r="I193" s="1040"/>
      <c r="J193" s="1040"/>
      <c r="K193" s="1040"/>
      <c r="L193" s="1040"/>
      <c r="M193" s="1040"/>
      <c r="N193" s="1040"/>
      <c r="O193" s="1040"/>
      <c r="P193" s="1040"/>
      <c r="Q193" s="1040"/>
      <c r="R193" s="1040"/>
      <c r="S193" s="1040"/>
      <c r="T193" s="1040"/>
      <c r="U193" s="1040"/>
      <c r="V193" s="1040"/>
      <c r="W193" s="1040"/>
      <c r="X193" s="1040"/>
      <c r="Y193" s="1040"/>
      <c r="Z193" s="1040"/>
      <c r="AA193" s="1040"/>
      <c r="AB193" s="1040"/>
      <c r="AC193" s="1040"/>
      <c r="AD193" s="1040"/>
      <c r="AE193" s="1040"/>
      <c r="AF193" s="1040"/>
      <c r="AG193" s="1040"/>
    </row>
    <row r="194" spans="1:33" ht="21" customHeight="1" x14ac:dyDescent="0.3">
      <c r="A194" s="1040"/>
      <c r="B194" s="1040"/>
      <c r="C194" s="1040"/>
      <c r="D194" s="1040"/>
      <c r="E194" s="1040"/>
      <c r="F194" s="1040"/>
      <c r="G194" s="1040"/>
      <c r="H194" s="1040"/>
      <c r="I194" s="1040"/>
      <c r="J194" s="1040"/>
      <c r="K194" s="1040"/>
      <c r="L194" s="1040"/>
      <c r="M194" s="1040"/>
      <c r="N194" s="1040"/>
      <c r="O194" s="1040"/>
      <c r="P194" s="1040"/>
      <c r="Q194" s="1040"/>
      <c r="R194" s="1040"/>
      <c r="S194" s="1040"/>
      <c r="T194" s="1040"/>
      <c r="U194" s="1040"/>
      <c r="V194" s="1040"/>
      <c r="W194" s="1040"/>
      <c r="X194" s="1040"/>
      <c r="Y194" s="1040"/>
      <c r="Z194" s="1040"/>
      <c r="AA194" s="1040"/>
      <c r="AB194" s="1040"/>
      <c r="AC194" s="1040"/>
      <c r="AD194" s="1040"/>
      <c r="AE194" s="1040"/>
      <c r="AF194" s="1040"/>
      <c r="AG194" s="1040"/>
    </row>
    <row r="195" spans="1:33" x14ac:dyDescent="0.3">
      <c r="A195" s="1040"/>
      <c r="B195" s="1042"/>
      <c r="C195" s="1040"/>
      <c r="D195" s="1044"/>
      <c r="E195" s="1040"/>
      <c r="F195" s="1040"/>
      <c r="G195" s="1040"/>
      <c r="H195" s="1040"/>
      <c r="I195" s="1040"/>
      <c r="J195" s="1040"/>
      <c r="K195" s="1040"/>
      <c r="L195" s="1040"/>
      <c r="M195" s="1040"/>
      <c r="N195" s="1040"/>
      <c r="O195" s="1040"/>
      <c r="P195" s="1040"/>
      <c r="Q195" s="1040"/>
      <c r="R195" s="1040"/>
      <c r="S195" s="1040"/>
      <c r="T195" s="1040"/>
      <c r="U195" s="1040"/>
      <c r="V195" s="1040"/>
      <c r="W195" s="1040"/>
      <c r="X195" s="1040"/>
      <c r="Y195" s="1040"/>
      <c r="Z195" s="1040"/>
      <c r="AA195" s="1040"/>
      <c r="AB195" s="1040"/>
      <c r="AC195" s="1040"/>
      <c r="AD195" s="1040"/>
      <c r="AE195" s="1040"/>
      <c r="AF195" s="1040"/>
      <c r="AG195" s="1040"/>
    </row>
    <row r="196" spans="1:33" x14ac:dyDescent="0.3">
      <c r="A196" s="1243" t="s">
        <v>676</v>
      </c>
      <c r="B196" s="1243" t="s">
        <v>677</v>
      </c>
      <c r="C196" s="1243" t="s">
        <v>678</v>
      </c>
      <c r="D196" s="1243" t="s">
        <v>679</v>
      </c>
      <c r="E196" s="1243" t="s">
        <v>680</v>
      </c>
      <c r="F196" s="1302" t="s">
        <v>1120</v>
      </c>
      <c r="G196" s="1040"/>
      <c r="H196" s="1040"/>
      <c r="I196" s="1040"/>
      <c r="J196" s="1040"/>
      <c r="K196" s="1040"/>
      <c r="L196" s="1040"/>
      <c r="M196" s="1040"/>
      <c r="N196" s="1040"/>
      <c r="O196" s="1040"/>
      <c r="P196" s="1040"/>
      <c r="Q196" s="1040"/>
      <c r="R196" s="1040"/>
      <c r="S196" s="1040"/>
      <c r="T196" s="1040"/>
      <c r="U196" s="1040"/>
      <c r="V196" s="1040"/>
      <c r="W196" s="1040"/>
      <c r="X196" s="1040"/>
      <c r="Y196" s="1040"/>
      <c r="Z196" s="1040"/>
      <c r="AA196" s="1040"/>
      <c r="AB196" s="1040"/>
      <c r="AC196" s="1040"/>
      <c r="AD196" s="1040"/>
      <c r="AE196" s="1040"/>
      <c r="AF196" s="1040"/>
      <c r="AG196" s="1040"/>
    </row>
    <row r="197" spans="1:33" x14ac:dyDescent="0.3">
      <c r="A197" s="1036" t="s">
        <v>682</v>
      </c>
      <c r="B197" s="1036" t="s">
        <v>1121</v>
      </c>
      <c r="C197" s="1036" t="s">
        <v>1122</v>
      </c>
      <c r="D197" s="1036" t="s">
        <v>683</v>
      </c>
      <c r="E197" s="1037"/>
      <c r="F197" s="1040"/>
      <c r="G197" s="1040"/>
      <c r="H197" s="1040"/>
      <c r="I197" s="1040"/>
      <c r="J197" s="1040"/>
      <c r="K197" s="1040"/>
      <c r="L197" s="1040"/>
      <c r="M197" s="1040"/>
      <c r="N197" s="1040"/>
      <c r="O197" s="1040"/>
      <c r="P197" s="1040"/>
      <c r="Q197" s="1040"/>
      <c r="R197" s="1040"/>
      <c r="S197" s="1040"/>
      <c r="T197" s="1040"/>
      <c r="U197" s="1040"/>
      <c r="V197" s="1040"/>
      <c r="W197" s="1040"/>
      <c r="X197" s="1040"/>
      <c r="Y197" s="1040"/>
      <c r="Z197" s="1040"/>
      <c r="AA197" s="1040"/>
      <c r="AB197" s="1040"/>
      <c r="AC197" s="1040"/>
      <c r="AD197" s="1040"/>
      <c r="AE197" s="1040"/>
      <c r="AF197" s="1040"/>
      <c r="AG197" s="1040"/>
    </row>
    <row r="198" spans="1:33" x14ac:dyDescent="0.3">
      <c r="A198" s="1038" t="s">
        <v>682</v>
      </c>
      <c r="B198" s="1038" t="s">
        <v>1123</v>
      </c>
      <c r="C198" s="1038" t="s">
        <v>1124</v>
      </c>
      <c r="D198" s="1038" t="s">
        <v>683</v>
      </c>
      <c r="E198" s="1039"/>
      <c r="F198" s="1040"/>
      <c r="G198" s="1040"/>
      <c r="H198" s="1040"/>
      <c r="I198" s="1040"/>
      <c r="J198" s="1040"/>
      <c r="K198" s="1040"/>
      <c r="L198" s="1040"/>
      <c r="M198" s="1040"/>
      <c r="N198" s="1040"/>
      <c r="O198" s="1040"/>
      <c r="P198" s="1040"/>
      <c r="Q198" s="1040"/>
      <c r="R198" s="1040"/>
      <c r="S198" s="1040"/>
      <c r="T198" s="1040"/>
      <c r="U198" s="1040"/>
      <c r="V198" s="1040"/>
      <c r="W198" s="1040"/>
      <c r="X198" s="1040"/>
      <c r="Y198" s="1040"/>
      <c r="Z198" s="1040"/>
      <c r="AA198" s="1040"/>
      <c r="AB198" s="1040"/>
      <c r="AC198" s="1040"/>
      <c r="AD198" s="1040"/>
      <c r="AE198" s="1040"/>
      <c r="AF198" s="1040"/>
      <c r="AG198" s="1040"/>
    </row>
    <row r="199" spans="1:33" x14ac:dyDescent="0.3">
      <c r="A199" s="1036" t="s">
        <v>682</v>
      </c>
      <c r="B199" s="1036" t="s">
        <v>1125</v>
      </c>
      <c r="C199" s="1036" t="s">
        <v>1126</v>
      </c>
      <c r="D199" s="1036" t="s">
        <v>683</v>
      </c>
      <c r="E199" s="1037"/>
      <c r="F199" s="1040"/>
      <c r="G199" s="1040"/>
      <c r="H199" s="1040"/>
      <c r="I199" s="1040"/>
      <c r="J199" s="1040"/>
      <c r="K199" s="1040"/>
      <c r="L199" s="1040"/>
      <c r="M199" s="1040"/>
      <c r="N199" s="1040"/>
      <c r="O199" s="1040"/>
      <c r="P199" s="1040"/>
      <c r="Q199" s="1040"/>
      <c r="R199" s="1040"/>
      <c r="S199" s="1040"/>
      <c r="T199" s="1040"/>
      <c r="U199" s="1040"/>
      <c r="V199" s="1040"/>
      <c r="W199" s="1040"/>
      <c r="X199" s="1040"/>
      <c r="Y199" s="1040"/>
      <c r="Z199" s="1040"/>
      <c r="AA199" s="1040"/>
      <c r="AB199" s="1040"/>
      <c r="AC199" s="1040"/>
      <c r="AD199" s="1040"/>
      <c r="AE199" s="1040"/>
      <c r="AF199" s="1040"/>
      <c r="AG199" s="1040"/>
    </row>
    <row r="200" spans="1:33" x14ac:dyDescent="0.3">
      <c r="A200" s="1038" t="s">
        <v>682</v>
      </c>
      <c r="B200" s="1038" t="s">
        <v>1127</v>
      </c>
      <c r="C200" s="1038" t="s">
        <v>1128</v>
      </c>
      <c r="D200" s="1038" t="s">
        <v>683</v>
      </c>
      <c r="E200" s="1039"/>
      <c r="F200" s="1040"/>
      <c r="G200" s="1040"/>
      <c r="H200" s="1040"/>
      <c r="I200" s="1040"/>
      <c r="J200" s="1040"/>
      <c r="K200" s="1040"/>
      <c r="L200" s="1040"/>
      <c r="M200" s="1040"/>
      <c r="N200" s="1040"/>
      <c r="O200" s="1040"/>
      <c r="P200" s="1040"/>
      <c r="Q200" s="1040"/>
      <c r="R200" s="1040"/>
      <c r="S200" s="1040"/>
      <c r="T200" s="1040"/>
      <c r="U200" s="1040"/>
      <c r="V200" s="1040"/>
      <c r="W200" s="1040"/>
      <c r="X200" s="1040"/>
      <c r="Y200" s="1040"/>
      <c r="Z200" s="1040"/>
      <c r="AA200" s="1040"/>
      <c r="AB200" s="1040"/>
      <c r="AC200" s="1040"/>
      <c r="AD200" s="1040"/>
      <c r="AE200" s="1040"/>
      <c r="AF200" s="1040"/>
      <c r="AG200" s="1040"/>
    </row>
    <row r="201" spans="1:33" x14ac:dyDescent="0.3">
      <c r="A201" s="1036" t="s">
        <v>682</v>
      </c>
      <c r="B201" s="1036" t="s">
        <v>1129</v>
      </c>
      <c r="C201" s="1036" t="s">
        <v>1130</v>
      </c>
      <c r="D201" s="1036" t="s">
        <v>683</v>
      </c>
      <c r="E201" s="1037"/>
      <c r="F201" s="1040"/>
      <c r="G201" s="1040"/>
      <c r="H201" s="1040"/>
      <c r="I201" s="1040"/>
      <c r="J201" s="1040"/>
      <c r="K201" s="1040"/>
      <c r="L201" s="1040"/>
      <c r="M201" s="1040"/>
      <c r="N201" s="1040"/>
      <c r="O201" s="1040"/>
      <c r="P201" s="1040"/>
      <c r="Q201" s="1040"/>
      <c r="R201" s="1040"/>
      <c r="S201" s="1040"/>
      <c r="T201" s="1040"/>
      <c r="U201" s="1040"/>
      <c r="V201" s="1040"/>
      <c r="W201" s="1040"/>
      <c r="X201" s="1040"/>
      <c r="Y201" s="1040"/>
      <c r="Z201" s="1040"/>
      <c r="AA201" s="1040"/>
      <c r="AB201" s="1040"/>
      <c r="AC201" s="1040"/>
      <c r="AD201" s="1040"/>
      <c r="AE201" s="1040"/>
      <c r="AF201" s="1040"/>
      <c r="AG201" s="1040"/>
    </row>
    <row r="202" spans="1:33" x14ac:dyDescent="0.3">
      <c r="A202" s="1038" t="s">
        <v>682</v>
      </c>
      <c r="B202" s="1038" t="s">
        <v>1131</v>
      </c>
      <c r="C202" s="1038" t="s">
        <v>1132</v>
      </c>
      <c r="D202" s="1038" t="s">
        <v>683</v>
      </c>
      <c r="E202" s="1039"/>
      <c r="F202" s="1040"/>
      <c r="G202" s="1040"/>
      <c r="H202" s="1040"/>
      <c r="I202" s="1040"/>
      <c r="J202" s="1040"/>
      <c r="K202" s="1040"/>
      <c r="L202" s="1040"/>
      <c r="M202" s="1040"/>
      <c r="N202" s="1040"/>
      <c r="O202" s="1040"/>
      <c r="P202" s="1040"/>
      <c r="Q202" s="1040"/>
      <c r="R202" s="1040"/>
      <c r="S202" s="1040"/>
      <c r="T202" s="1040"/>
      <c r="U202" s="1040"/>
      <c r="V202" s="1040"/>
      <c r="W202" s="1040"/>
      <c r="X202" s="1040"/>
      <c r="Y202" s="1040"/>
      <c r="Z202" s="1040"/>
      <c r="AA202" s="1040"/>
      <c r="AB202" s="1040"/>
      <c r="AC202" s="1040"/>
      <c r="AD202" s="1040"/>
      <c r="AE202" s="1040"/>
      <c r="AF202" s="1040"/>
      <c r="AG202" s="1040"/>
    </row>
    <row r="203" spans="1:33" x14ac:dyDescent="0.3">
      <c r="A203" s="1036" t="s">
        <v>682</v>
      </c>
      <c r="B203" s="1036" t="s">
        <v>1133</v>
      </c>
      <c r="C203" s="1036" t="s">
        <v>1097</v>
      </c>
      <c r="D203" s="1036" t="s">
        <v>683</v>
      </c>
      <c r="E203" s="1037"/>
      <c r="F203" s="1040"/>
      <c r="G203" s="1040"/>
      <c r="H203" s="1040"/>
      <c r="I203" s="1040"/>
      <c r="J203" s="1040"/>
      <c r="K203" s="1040"/>
      <c r="L203" s="1040"/>
      <c r="M203" s="1040"/>
      <c r="N203" s="1040"/>
      <c r="O203" s="1040"/>
      <c r="P203" s="1040"/>
      <c r="Q203" s="1040"/>
      <c r="R203" s="1040"/>
      <c r="S203" s="1040"/>
      <c r="T203" s="1040"/>
      <c r="U203" s="1040"/>
      <c r="V203" s="1040"/>
      <c r="W203" s="1040"/>
      <c r="X203" s="1040"/>
      <c r="Y203" s="1040"/>
      <c r="Z203" s="1040"/>
      <c r="AA203" s="1040"/>
      <c r="AB203" s="1040"/>
      <c r="AC203" s="1040"/>
      <c r="AD203" s="1040"/>
      <c r="AE203" s="1040"/>
      <c r="AF203" s="1040"/>
      <c r="AG203" s="1040"/>
    </row>
    <row r="204" spans="1:33" x14ac:dyDescent="0.3">
      <c r="A204" s="1038" t="s">
        <v>682</v>
      </c>
      <c r="B204" s="1038" t="s">
        <v>1100</v>
      </c>
      <c r="C204" s="1038" t="s">
        <v>641</v>
      </c>
      <c r="D204" s="1038" t="s">
        <v>692</v>
      </c>
      <c r="E204" s="1039"/>
      <c r="F204" s="1040"/>
      <c r="G204" s="1040"/>
      <c r="H204" s="1040"/>
      <c r="I204" s="1040"/>
      <c r="J204" s="1040"/>
      <c r="K204" s="1040"/>
      <c r="L204" s="1040"/>
      <c r="M204" s="1040"/>
      <c r="N204" s="1040"/>
      <c r="O204" s="1040"/>
      <c r="P204" s="1040"/>
      <c r="Q204" s="1040"/>
      <c r="R204" s="1040"/>
      <c r="S204" s="1040"/>
      <c r="T204" s="1040"/>
      <c r="U204" s="1040"/>
      <c r="V204" s="1040"/>
      <c r="W204" s="1040"/>
      <c r="X204" s="1040"/>
      <c r="Y204" s="1040"/>
      <c r="Z204" s="1040"/>
      <c r="AA204" s="1040"/>
      <c r="AB204" s="1040"/>
      <c r="AC204" s="1040"/>
      <c r="AD204" s="1040"/>
      <c r="AE204" s="1040"/>
      <c r="AF204" s="1040"/>
      <c r="AG204" s="1040"/>
    </row>
    <row r="205" spans="1:33" x14ac:dyDescent="0.3">
      <c r="A205" s="1036" t="s">
        <v>682</v>
      </c>
      <c r="B205" s="1036" t="s">
        <v>1103</v>
      </c>
      <c r="C205" s="1036" t="s">
        <v>641</v>
      </c>
      <c r="D205" s="1036" t="s">
        <v>692</v>
      </c>
      <c r="E205" s="1037"/>
      <c r="F205" s="1040"/>
      <c r="G205" s="1040"/>
      <c r="H205" s="1040"/>
      <c r="I205" s="1040"/>
      <c r="J205" s="1040"/>
      <c r="K205" s="1040"/>
      <c r="L205" s="1040"/>
      <c r="M205" s="1040"/>
      <c r="N205" s="1040"/>
      <c r="O205" s="1040"/>
      <c r="P205" s="1040"/>
      <c r="Q205" s="1040"/>
      <c r="R205" s="1040"/>
      <c r="S205" s="1040"/>
      <c r="T205" s="1040"/>
      <c r="U205" s="1040"/>
      <c r="V205" s="1040"/>
      <c r="W205" s="1040"/>
      <c r="X205" s="1040"/>
      <c r="Y205" s="1040"/>
      <c r="Z205" s="1040"/>
      <c r="AA205" s="1040"/>
      <c r="AB205" s="1040"/>
      <c r="AC205" s="1040"/>
      <c r="AD205" s="1040"/>
      <c r="AE205" s="1040"/>
      <c r="AF205" s="1040"/>
      <c r="AG205" s="1040"/>
    </row>
    <row r="206" spans="1:33" x14ac:dyDescent="0.3">
      <c r="A206" s="1038" t="s">
        <v>682</v>
      </c>
      <c r="B206" s="1038" t="s">
        <v>1134</v>
      </c>
      <c r="C206" s="1038" t="s">
        <v>1135</v>
      </c>
      <c r="D206" s="1038" t="s">
        <v>683</v>
      </c>
      <c r="E206" s="1039"/>
      <c r="F206" s="1040"/>
      <c r="G206" s="1040"/>
      <c r="H206" s="1040"/>
      <c r="I206" s="1040"/>
      <c r="J206" s="1040"/>
      <c r="K206" s="1040"/>
      <c r="L206" s="1040"/>
      <c r="M206" s="1040"/>
      <c r="N206" s="1040"/>
      <c r="O206" s="1040"/>
      <c r="P206" s="1040"/>
      <c r="Q206" s="1040"/>
      <c r="R206" s="1040"/>
      <c r="S206" s="1040"/>
      <c r="T206" s="1040"/>
      <c r="U206" s="1040"/>
      <c r="V206" s="1040"/>
      <c r="W206" s="1040"/>
      <c r="X206" s="1040"/>
      <c r="Y206" s="1040"/>
      <c r="Z206" s="1040"/>
      <c r="AA206" s="1040"/>
      <c r="AB206" s="1040"/>
      <c r="AC206" s="1040"/>
      <c r="AD206" s="1040"/>
      <c r="AE206" s="1040"/>
      <c r="AF206" s="1040"/>
      <c r="AG206" s="1040"/>
    </row>
    <row r="207" spans="1:33" x14ac:dyDescent="0.3">
      <c r="A207" s="1036" t="s">
        <v>682</v>
      </c>
      <c r="B207" s="1036" t="s">
        <v>1105</v>
      </c>
      <c r="C207" s="1036" t="s">
        <v>645</v>
      </c>
      <c r="D207" s="1036" t="s">
        <v>692</v>
      </c>
      <c r="E207" s="1037"/>
      <c r="F207" s="1040"/>
      <c r="G207" s="1040"/>
      <c r="H207" s="1040"/>
      <c r="I207" s="1040"/>
      <c r="J207" s="1040"/>
      <c r="K207" s="1040"/>
      <c r="L207" s="1040"/>
      <c r="M207" s="1040"/>
      <c r="N207" s="1040"/>
      <c r="O207" s="1040"/>
      <c r="P207" s="1040"/>
      <c r="Q207" s="1040"/>
      <c r="R207" s="1040"/>
      <c r="S207" s="1040"/>
      <c r="T207" s="1040"/>
      <c r="U207" s="1040"/>
      <c r="V207" s="1040"/>
      <c r="W207" s="1040"/>
      <c r="X207" s="1040"/>
      <c r="Y207" s="1040"/>
      <c r="Z207" s="1040"/>
      <c r="AA207" s="1040"/>
      <c r="AB207" s="1040"/>
      <c r="AC207" s="1040"/>
      <c r="AD207" s="1040"/>
      <c r="AE207" s="1040"/>
      <c r="AF207" s="1040"/>
      <c r="AG207" s="1040"/>
    </row>
    <row r="208" spans="1:33" x14ac:dyDescent="0.3">
      <c r="A208" s="1038" t="s">
        <v>682</v>
      </c>
      <c r="B208" s="1038" t="s">
        <v>1107</v>
      </c>
      <c r="C208" s="1038" t="s">
        <v>647</v>
      </c>
      <c r="D208" s="1038" t="s">
        <v>692</v>
      </c>
      <c r="E208" s="1039"/>
      <c r="F208" s="1040"/>
      <c r="G208" s="1040"/>
      <c r="H208" s="1040"/>
      <c r="I208" s="1040"/>
      <c r="J208" s="1040"/>
      <c r="K208" s="1040"/>
      <c r="L208" s="1040"/>
      <c r="M208" s="1040"/>
      <c r="N208" s="1040"/>
      <c r="O208" s="1040"/>
      <c r="P208" s="1040"/>
      <c r="Q208" s="1040"/>
      <c r="R208" s="1040"/>
      <c r="S208" s="1040"/>
      <c r="T208" s="1040"/>
      <c r="U208" s="1040"/>
      <c r="V208" s="1040"/>
      <c r="W208" s="1040"/>
      <c r="X208" s="1040"/>
      <c r="Y208" s="1040"/>
      <c r="Z208" s="1040"/>
      <c r="AA208" s="1040"/>
      <c r="AB208" s="1040"/>
      <c r="AC208" s="1040"/>
      <c r="AD208" s="1040"/>
      <c r="AE208" s="1040"/>
      <c r="AF208" s="1040"/>
      <c r="AG208" s="1040"/>
    </row>
    <row r="209" spans="1:33" x14ac:dyDescent="0.3">
      <c r="A209" s="1036" t="s">
        <v>682</v>
      </c>
      <c r="B209" s="1036" t="s">
        <v>1136</v>
      </c>
      <c r="C209" s="1036" t="s">
        <v>1137</v>
      </c>
      <c r="D209" s="1036" t="s">
        <v>683</v>
      </c>
      <c r="E209" s="1037"/>
      <c r="F209" s="1040"/>
      <c r="G209" s="1040"/>
      <c r="H209" s="1040"/>
      <c r="I209" s="1040"/>
      <c r="J209" s="1040"/>
      <c r="K209" s="1040"/>
      <c r="L209" s="1040"/>
      <c r="M209" s="1040"/>
      <c r="N209" s="1040"/>
      <c r="O209" s="1040"/>
      <c r="P209" s="1040"/>
      <c r="Q209" s="1040"/>
      <c r="R209" s="1040"/>
      <c r="S209" s="1040"/>
      <c r="T209" s="1040"/>
      <c r="U209" s="1040"/>
      <c r="V209" s="1040"/>
      <c r="W209" s="1040"/>
      <c r="X209" s="1040"/>
      <c r="Y209" s="1040"/>
      <c r="Z209" s="1040"/>
      <c r="AA209" s="1040"/>
      <c r="AB209" s="1040"/>
      <c r="AC209" s="1040"/>
      <c r="AD209" s="1040"/>
      <c r="AE209" s="1040"/>
      <c r="AF209" s="1040"/>
      <c r="AG209" s="1040"/>
    </row>
    <row r="210" spans="1:33" x14ac:dyDescent="0.3">
      <c r="A210" s="1038" t="s">
        <v>682</v>
      </c>
      <c r="B210" s="1038" t="s">
        <v>1138</v>
      </c>
      <c r="C210" s="1038" t="s">
        <v>1139</v>
      </c>
      <c r="D210" s="1038" t="s">
        <v>683</v>
      </c>
      <c r="E210" s="1039"/>
      <c r="F210" s="1040"/>
      <c r="G210" s="1040"/>
      <c r="H210" s="1040"/>
      <c r="I210" s="1040"/>
      <c r="J210" s="1040"/>
      <c r="K210" s="1040"/>
      <c r="L210" s="1040"/>
      <c r="M210" s="1040"/>
      <c r="N210" s="1040"/>
      <c r="O210" s="1040"/>
      <c r="P210" s="1040"/>
      <c r="Q210" s="1040"/>
      <c r="R210" s="1040"/>
      <c r="S210" s="1040"/>
      <c r="T210" s="1040"/>
      <c r="U210" s="1040"/>
      <c r="V210" s="1040"/>
      <c r="W210" s="1040"/>
      <c r="X210" s="1040"/>
      <c r="Y210" s="1040"/>
      <c r="Z210" s="1040"/>
      <c r="AA210" s="1040"/>
      <c r="AB210" s="1040"/>
      <c r="AC210" s="1040"/>
      <c r="AD210" s="1040"/>
      <c r="AE210" s="1040"/>
      <c r="AF210" s="1040"/>
      <c r="AG210" s="1040"/>
    </row>
    <row r="211" spans="1:33" x14ac:dyDescent="0.3">
      <c r="A211" s="1036" t="s">
        <v>682</v>
      </c>
      <c r="B211" s="1036" t="s">
        <v>1140</v>
      </c>
      <c r="C211" s="1036" t="s">
        <v>1141</v>
      </c>
      <c r="D211" s="1036" t="s">
        <v>683</v>
      </c>
      <c r="E211" s="1037"/>
      <c r="F211" s="1040"/>
      <c r="G211" s="1040"/>
      <c r="H211" s="1040"/>
      <c r="I211" s="1040"/>
      <c r="J211" s="1040"/>
      <c r="K211" s="1040"/>
      <c r="L211" s="1040"/>
      <c r="M211" s="1040"/>
      <c r="N211" s="1040"/>
      <c r="O211" s="1040"/>
      <c r="P211" s="1040"/>
      <c r="Q211" s="1040"/>
      <c r="R211" s="1040"/>
      <c r="S211" s="1040"/>
      <c r="T211" s="1040"/>
      <c r="U211" s="1040"/>
      <c r="V211" s="1040"/>
      <c r="W211" s="1040"/>
      <c r="X211" s="1040"/>
      <c r="Y211" s="1040"/>
      <c r="Z211" s="1040"/>
      <c r="AA211" s="1040"/>
      <c r="AB211" s="1040"/>
      <c r="AC211" s="1040"/>
      <c r="AD211" s="1040"/>
      <c r="AE211" s="1040"/>
      <c r="AF211" s="1040"/>
      <c r="AG211" s="1040"/>
    </row>
    <row r="212" spans="1:33" x14ac:dyDescent="0.3">
      <c r="A212" s="1038" t="s">
        <v>682</v>
      </c>
      <c r="B212" s="1038" t="s">
        <v>1115</v>
      </c>
      <c r="C212" s="1038" t="s">
        <v>1142</v>
      </c>
      <c r="D212" s="1038" t="s">
        <v>683</v>
      </c>
      <c r="E212" s="1039"/>
      <c r="F212" s="1040"/>
      <c r="G212" s="1040"/>
      <c r="H212" s="1040"/>
      <c r="I212" s="1040"/>
      <c r="J212" s="1040"/>
      <c r="K212" s="1040"/>
      <c r="L212" s="1040"/>
      <c r="M212" s="1040"/>
      <c r="N212" s="1040"/>
      <c r="O212" s="1040"/>
      <c r="P212" s="1040"/>
      <c r="Q212" s="1040"/>
      <c r="R212" s="1040"/>
      <c r="S212" s="1040"/>
      <c r="T212" s="1040"/>
      <c r="U212" s="1040"/>
      <c r="V212" s="1040"/>
      <c r="W212" s="1040"/>
      <c r="X212" s="1040"/>
      <c r="Y212" s="1040"/>
      <c r="Z212" s="1040"/>
      <c r="AA212" s="1040"/>
      <c r="AB212" s="1040"/>
      <c r="AC212" s="1040"/>
      <c r="AD212" s="1040"/>
      <c r="AE212" s="1040"/>
      <c r="AF212" s="1040"/>
      <c r="AG212" s="1040"/>
    </row>
    <row r="213" spans="1:33" x14ac:dyDescent="0.3">
      <c r="A213" s="1036" t="s">
        <v>682</v>
      </c>
      <c r="B213" s="1036" t="s">
        <v>1143</v>
      </c>
      <c r="C213" s="1036" t="s">
        <v>1144</v>
      </c>
      <c r="D213" s="1036" t="s">
        <v>683</v>
      </c>
      <c r="E213" s="1037"/>
      <c r="F213" s="1040"/>
      <c r="G213" s="1040"/>
      <c r="H213" s="1040"/>
      <c r="I213" s="1040"/>
      <c r="J213" s="1040"/>
      <c r="K213" s="1040"/>
      <c r="L213" s="1040"/>
      <c r="M213" s="1040"/>
      <c r="N213" s="1040"/>
      <c r="O213" s="1040"/>
      <c r="P213" s="1040"/>
      <c r="Q213" s="1040"/>
      <c r="R213" s="1040"/>
      <c r="S213" s="1040"/>
      <c r="T213" s="1040"/>
      <c r="U213" s="1040"/>
      <c r="V213" s="1040"/>
      <c r="W213" s="1040"/>
      <c r="X213" s="1040"/>
      <c r="Y213" s="1040"/>
      <c r="Z213" s="1040"/>
      <c r="AA213" s="1040"/>
      <c r="AB213" s="1040"/>
      <c r="AC213" s="1040"/>
      <c r="AD213" s="1040"/>
      <c r="AE213" s="1040"/>
      <c r="AF213" s="1040"/>
      <c r="AG213" s="1040"/>
    </row>
    <row r="214" spans="1:33" x14ac:dyDescent="0.3">
      <c r="A214" s="1038" t="s">
        <v>682</v>
      </c>
      <c r="B214" s="1038" t="s">
        <v>1145</v>
      </c>
      <c r="C214" s="1038" t="s">
        <v>1146</v>
      </c>
      <c r="D214" s="1038" t="s">
        <v>683</v>
      </c>
      <c r="E214" s="1039"/>
      <c r="F214" s="1040"/>
      <c r="G214" s="1040"/>
      <c r="H214" s="1040"/>
      <c r="I214" s="1040"/>
      <c r="J214" s="1040"/>
      <c r="AG214" s="1040"/>
    </row>
    <row r="215" spans="1:33" x14ac:dyDescent="0.3">
      <c r="A215" s="1036" t="s">
        <v>682</v>
      </c>
      <c r="B215" s="1036" t="s">
        <v>1147</v>
      </c>
      <c r="C215" s="1036" t="s">
        <v>1148</v>
      </c>
      <c r="D215" s="1036" t="s">
        <v>683</v>
      </c>
      <c r="E215" s="1037"/>
      <c r="F215" s="1040"/>
      <c r="G215" s="1040"/>
      <c r="H215" s="1040"/>
      <c r="I215" s="1040"/>
      <c r="J215" s="1040"/>
    </row>
    <row r="216" spans="1:33" x14ac:dyDescent="0.3">
      <c r="A216" s="1038" t="s">
        <v>682</v>
      </c>
      <c r="B216" s="1038" t="s">
        <v>1149</v>
      </c>
      <c r="C216" s="1038" t="s">
        <v>1150</v>
      </c>
      <c r="D216" s="1038" t="s">
        <v>683</v>
      </c>
      <c r="E216" s="1039"/>
      <c r="F216" s="1040"/>
      <c r="G216" s="1040"/>
      <c r="H216" s="1040"/>
      <c r="I216" s="1040"/>
      <c r="J216" s="1040"/>
    </row>
    <row r="217" spans="1:33" x14ac:dyDescent="0.3">
      <c r="A217" s="1036" t="s">
        <v>682</v>
      </c>
      <c r="B217" s="1036" t="s">
        <v>1151</v>
      </c>
      <c r="C217" s="1036" t="s">
        <v>1152</v>
      </c>
      <c r="D217" s="1036" t="s">
        <v>683</v>
      </c>
      <c r="E217" s="1037"/>
      <c r="F217" s="1040"/>
      <c r="G217" s="1040"/>
      <c r="H217" s="1040"/>
      <c r="I217" s="1040"/>
      <c r="J217" s="1040"/>
    </row>
    <row r="218" spans="1:33" x14ac:dyDescent="0.3">
      <c r="A218" s="1038" t="s">
        <v>682</v>
      </c>
      <c r="B218" s="1038" t="s">
        <v>1117</v>
      </c>
      <c r="C218" s="1038" t="s">
        <v>1153</v>
      </c>
      <c r="D218" s="1038" t="s">
        <v>683</v>
      </c>
      <c r="E218" s="1039"/>
      <c r="F218" s="1040"/>
      <c r="G218" s="1040"/>
      <c r="H218" s="1040"/>
      <c r="I218" s="1040"/>
      <c r="J218" s="1040"/>
    </row>
    <row r="219" spans="1:33" x14ac:dyDescent="0.3">
      <c r="A219" s="1036" t="s">
        <v>682</v>
      </c>
      <c r="B219" s="1036" t="s">
        <v>1154</v>
      </c>
      <c r="C219" s="1036" t="s">
        <v>1155</v>
      </c>
      <c r="D219" s="1036" t="s">
        <v>683</v>
      </c>
      <c r="E219" s="1037"/>
      <c r="F219" s="1040"/>
      <c r="G219" s="1040"/>
      <c r="H219" s="1040"/>
      <c r="I219" s="1040"/>
      <c r="J219" s="1040"/>
    </row>
    <row r="220" spans="1:33" x14ac:dyDescent="0.3">
      <c r="A220" s="1038" t="s">
        <v>682</v>
      </c>
      <c r="B220" s="1038" t="s">
        <v>1156</v>
      </c>
      <c r="C220" s="1038" t="s">
        <v>1157</v>
      </c>
      <c r="D220" s="1038" t="s">
        <v>683</v>
      </c>
      <c r="E220" s="1039"/>
      <c r="F220" s="1040"/>
      <c r="G220" s="1040"/>
      <c r="H220" s="1040"/>
      <c r="I220" s="1040"/>
      <c r="J220" s="1040"/>
    </row>
    <row r="221" spans="1:33" x14ac:dyDescent="0.3">
      <c r="A221" s="1036" t="s">
        <v>682</v>
      </c>
      <c r="B221" s="1036" t="s">
        <v>1158</v>
      </c>
      <c r="C221" s="1036" t="s">
        <v>1159</v>
      </c>
      <c r="D221" s="1036" t="s">
        <v>683</v>
      </c>
      <c r="E221" s="1037"/>
      <c r="F221" s="1040"/>
      <c r="G221" s="1040"/>
      <c r="H221" s="1040"/>
      <c r="I221" s="1040"/>
      <c r="J221" s="1040"/>
    </row>
    <row r="222" spans="1:33" x14ac:dyDescent="0.3">
      <c r="A222" s="1038" t="s">
        <v>682</v>
      </c>
      <c r="B222" s="1038" t="s">
        <v>1160</v>
      </c>
      <c r="C222" s="1038" t="s">
        <v>1161</v>
      </c>
      <c r="D222" s="1038" t="s">
        <v>683</v>
      </c>
      <c r="E222" s="1039"/>
      <c r="F222" s="1040"/>
      <c r="G222" s="1040"/>
      <c r="H222" s="1040"/>
      <c r="I222" s="1040"/>
      <c r="J222" s="1040"/>
    </row>
    <row r="223" spans="1:33" x14ac:dyDescent="0.3">
      <c r="A223" s="1036" t="s">
        <v>682</v>
      </c>
      <c r="B223" s="1036" t="s">
        <v>1162</v>
      </c>
      <c r="C223" s="1036" t="s">
        <v>1163</v>
      </c>
      <c r="D223" s="1036" t="s">
        <v>683</v>
      </c>
      <c r="E223" s="1037"/>
      <c r="F223" s="1040"/>
      <c r="G223" s="1040"/>
      <c r="H223" s="1040"/>
      <c r="I223" s="1040"/>
      <c r="J223" s="1040"/>
    </row>
    <row r="224" spans="1:33" x14ac:dyDescent="0.3">
      <c r="A224" s="1038" t="s">
        <v>682</v>
      </c>
      <c r="B224" s="1038" t="s">
        <v>1164</v>
      </c>
      <c r="C224" s="1038" t="s">
        <v>1165</v>
      </c>
      <c r="D224" s="1038" t="s">
        <v>692</v>
      </c>
      <c r="E224" s="1039"/>
      <c r="F224" s="1040"/>
      <c r="G224" s="1040"/>
      <c r="H224" s="1040"/>
      <c r="I224" s="1040"/>
      <c r="J224" s="1040"/>
    </row>
    <row r="225" spans="1:10" x14ac:dyDescent="0.3">
      <c r="A225" s="1036" t="s">
        <v>682</v>
      </c>
      <c r="B225" s="1036" t="s">
        <v>1166</v>
      </c>
      <c r="C225" s="1036" t="s">
        <v>1167</v>
      </c>
      <c r="D225" s="1036" t="s">
        <v>683</v>
      </c>
      <c r="E225" s="1037"/>
      <c r="F225" s="1040"/>
      <c r="G225" s="1040"/>
      <c r="H225" s="1040"/>
      <c r="I225" s="1040"/>
      <c r="J225" s="1040"/>
    </row>
    <row r="226" spans="1:10" x14ac:dyDescent="0.3">
      <c r="A226" s="1038" t="s">
        <v>682</v>
      </c>
      <c r="B226" s="1038" t="s">
        <v>1168</v>
      </c>
      <c r="C226" s="1038" t="s">
        <v>1169</v>
      </c>
      <c r="D226" s="1038" t="s">
        <v>683</v>
      </c>
      <c r="E226" s="1039"/>
      <c r="F226" s="1040"/>
      <c r="G226" s="1040"/>
      <c r="H226" s="1040"/>
      <c r="I226" s="1040"/>
      <c r="J226" s="1040"/>
    </row>
    <row r="227" spans="1:10" x14ac:dyDescent="0.3">
      <c r="A227" s="1036" t="s">
        <v>682</v>
      </c>
      <c r="B227" s="1036" t="s">
        <v>1170</v>
      </c>
      <c r="C227" s="1036" t="s">
        <v>1171</v>
      </c>
      <c r="D227" s="1036" t="s">
        <v>692</v>
      </c>
      <c r="E227" s="1037"/>
      <c r="F227" s="1040"/>
      <c r="G227" s="1040"/>
      <c r="H227" s="1040"/>
      <c r="I227" s="1040"/>
      <c r="J227" s="1040"/>
    </row>
    <row r="228" spans="1:10" x14ac:dyDescent="0.3">
      <c r="A228" s="1038" t="s">
        <v>682</v>
      </c>
      <c r="B228" s="1038" t="s">
        <v>1100</v>
      </c>
      <c r="C228" s="1038" t="s">
        <v>641</v>
      </c>
      <c r="D228" s="1038" t="s">
        <v>1172</v>
      </c>
      <c r="E228" s="1039"/>
      <c r="F228" s="1040"/>
      <c r="G228" s="1040"/>
      <c r="H228" s="1040"/>
      <c r="I228" s="1040"/>
      <c r="J228" s="1040"/>
    </row>
    <row r="229" spans="1:10" x14ac:dyDescent="0.3">
      <c r="A229" s="1036" t="s">
        <v>682</v>
      </c>
      <c r="B229" s="1036" t="s">
        <v>1173</v>
      </c>
      <c r="C229" s="1036" t="s">
        <v>1174</v>
      </c>
      <c r="D229" s="1036" t="s">
        <v>683</v>
      </c>
      <c r="E229" s="1037"/>
      <c r="F229" s="1040"/>
      <c r="G229" s="1040"/>
      <c r="H229" s="1040"/>
      <c r="I229" s="1040"/>
      <c r="J229" s="1040"/>
    </row>
    <row r="230" spans="1:10" x14ac:dyDescent="0.3">
      <c r="A230" s="1038" t="s">
        <v>682</v>
      </c>
      <c r="B230" s="1038" t="s">
        <v>1103</v>
      </c>
      <c r="C230" s="1038" t="s">
        <v>641</v>
      </c>
      <c r="D230" s="1038" t="s">
        <v>1172</v>
      </c>
      <c r="E230" s="1039"/>
      <c r="F230" s="1040"/>
      <c r="G230" s="1040"/>
      <c r="H230" s="1040"/>
      <c r="I230" s="1040"/>
      <c r="J230" s="1040"/>
    </row>
    <row r="231" spans="1:10" x14ac:dyDescent="0.3">
      <c r="A231" s="1036" t="s">
        <v>682</v>
      </c>
      <c r="B231" s="1036" t="s">
        <v>1105</v>
      </c>
      <c r="C231" s="1036" t="s">
        <v>645</v>
      </c>
      <c r="D231" s="1036" t="s">
        <v>1172</v>
      </c>
      <c r="E231" s="1037"/>
      <c r="F231" s="1040"/>
      <c r="G231" s="1040"/>
      <c r="H231" s="1040"/>
      <c r="I231" s="1040"/>
      <c r="J231" s="1040"/>
    </row>
    <row r="232" spans="1:10" x14ac:dyDescent="0.3">
      <c r="A232" s="1038" t="s">
        <v>682</v>
      </c>
      <c r="B232" s="1038" t="s">
        <v>1107</v>
      </c>
      <c r="C232" s="1038" t="s">
        <v>647</v>
      </c>
      <c r="D232" s="1038" t="s">
        <v>1172</v>
      </c>
      <c r="E232" s="1039"/>
      <c r="F232" s="1040"/>
      <c r="G232" s="1040"/>
      <c r="H232" s="1040"/>
      <c r="I232" s="1040"/>
      <c r="J232" s="1040"/>
    </row>
    <row r="233" spans="1:10" x14ac:dyDescent="0.3">
      <c r="A233" s="1036" t="s">
        <v>682</v>
      </c>
      <c r="B233" s="1036" t="s">
        <v>1175</v>
      </c>
      <c r="C233" s="1036" t="s">
        <v>1176</v>
      </c>
      <c r="D233" s="1036" t="s">
        <v>692</v>
      </c>
      <c r="E233" s="1037"/>
      <c r="F233" s="1040"/>
      <c r="G233" s="1040"/>
      <c r="H233" s="1040"/>
      <c r="I233" s="1040"/>
      <c r="J233" s="1040"/>
    </row>
    <row r="234" spans="1:10" x14ac:dyDescent="0.3">
      <c r="A234" s="1038" t="s">
        <v>682</v>
      </c>
      <c r="B234" s="1038" t="s">
        <v>1177</v>
      </c>
      <c r="C234" s="1038" t="s">
        <v>1178</v>
      </c>
      <c r="D234" s="1038" t="s">
        <v>692</v>
      </c>
      <c r="E234" s="1039"/>
      <c r="F234" s="1040"/>
      <c r="G234" s="1040"/>
      <c r="H234" s="1040"/>
      <c r="I234" s="1040"/>
      <c r="J234" s="1040"/>
    </row>
    <row r="235" spans="1:10" x14ac:dyDescent="0.3">
      <c r="A235" s="1036" t="s">
        <v>682</v>
      </c>
      <c r="B235" s="1036" t="s">
        <v>1179</v>
      </c>
      <c r="C235" s="1036" t="s">
        <v>1180</v>
      </c>
      <c r="D235" s="1036" t="s">
        <v>683</v>
      </c>
      <c r="E235" s="1037"/>
      <c r="F235" s="1040"/>
      <c r="G235" s="1040"/>
      <c r="H235" s="1040"/>
      <c r="I235" s="1040"/>
      <c r="J235" s="1040"/>
    </row>
    <row r="236" spans="1:10" x14ac:dyDescent="0.3">
      <c r="A236" s="1038" t="s">
        <v>682</v>
      </c>
      <c r="B236" s="1038" t="s">
        <v>1181</v>
      </c>
      <c r="C236" s="1038" t="s">
        <v>1182</v>
      </c>
      <c r="D236" s="1038" t="s">
        <v>683</v>
      </c>
      <c r="E236" s="1039"/>
      <c r="F236" s="1040"/>
      <c r="G236" s="1040"/>
      <c r="H236" s="1040"/>
      <c r="I236" s="1040"/>
      <c r="J236" s="1040"/>
    </row>
    <row r="237" spans="1:10" x14ac:dyDescent="0.3">
      <c r="A237" s="1036" t="s">
        <v>682</v>
      </c>
      <c r="B237" s="1036" t="s">
        <v>1183</v>
      </c>
      <c r="C237" s="1036" t="s">
        <v>1184</v>
      </c>
      <c r="D237" s="1036" t="s">
        <v>692</v>
      </c>
      <c r="E237" s="1037"/>
      <c r="F237" s="1040"/>
      <c r="G237" s="1040"/>
      <c r="H237" s="1040"/>
      <c r="I237" s="1040"/>
      <c r="J237" s="1040"/>
    </row>
    <row r="238" spans="1:10" x14ac:dyDescent="0.3">
      <c r="A238" s="1038" t="s">
        <v>682</v>
      </c>
      <c r="B238" s="1038" t="s">
        <v>1185</v>
      </c>
      <c r="C238" s="1038" t="s">
        <v>1186</v>
      </c>
      <c r="D238" s="1038" t="s">
        <v>692</v>
      </c>
      <c r="E238" s="1039"/>
      <c r="F238" s="1040"/>
      <c r="G238" s="1040"/>
      <c r="H238" s="1040"/>
      <c r="I238" s="1040"/>
      <c r="J238" s="1040"/>
    </row>
    <row r="239" spans="1:10" x14ac:dyDescent="0.3">
      <c r="A239" s="1036" t="s">
        <v>682</v>
      </c>
      <c r="B239" s="1036" t="s">
        <v>1187</v>
      </c>
      <c r="C239" s="1036" t="s">
        <v>1188</v>
      </c>
      <c r="D239" s="1036" t="s">
        <v>683</v>
      </c>
      <c r="E239" s="1037"/>
      <c r="F239" s="1040"/>
      <c r="G239" s="1040"/>
      <c r="H239" s="1040"/>
      <c r="I239" s="1040"/>
      <c r="J239" s="1040"/>
    </row>
    <row r="240" spans="1:10" x14ac:dyDescent="0.3">
      <c r="A240" s="1038" t="s">
        <v>682</v>
      </c>
      <c r="B240" s="1038" t="s">
        <v>1189</v>
      </c>
      <c r="C240" s="1038" t="s">
        <v>1190</v>
      </c>
      <c r="D240" s="1038" t="s">
        <v>683</v>
      </c>
      <c r="E240" s="1039"/>
      <c r="F240" s="1040"/>
      <c r="G240" s="1040"/>
      <c r="H240" s="1040"/>
      <c r="I240" s="1040"/>
      <c r="J240" s="1040"/>
    </row>
    <row r="241" spans="1:10" x14ac:dyDescent="0.3">
      <c r="A241" s="1036" t="s">
        <v>682</v>
      </c>
      <c r="B241" s="1036" t="s">
        <v>1191</v>
      </c>
      <c r="C241" s="1036" t="s">
        <v>1180</v>
      </c>
      <c r="D241" s="1036" t="s">
        <v>683</v>
      </c>
      <c r="E241" s="1037"/>
      <c r="F241" s="1040"/>
      <c r="G241" s="1040"/>
      <c r="H241" s="1040"/>
      <c r="I241" s="1040"/>
      <c r="J241" s="1040"/>
    </row>
    <row r="242" spans="1:10" x14ac:dyDescent="0.3">
      <c r="A242" s="1038" t="s">
        <v>682</v>
      </c>
      <c r="B242" s="1038" t="s">
        <v>1192</v>
      </c>
      <c r="C242" s="1038" t="s">
        <v>1193</v>
      </c>
      <c r="D242" s="1038" t="s">
        <v>692</v>
      </c>
      <c r="E242" s="1039"/>
      <c r="F242" s="1040"/>
      <c r="G242" s="1040"/>
      <c r="H242" s="1040"/>
      <c r="I242" s="1040"/>
      <c r="J242" s="1040"/>
    </row>
    <row r="243" spans="1:10" x14ac:dyDescent="0.3">
      <c r="A243" s="1036" t="s">
        <v>682</v>
      </c>
      <c r="B243" s="1036" t="s">
        <v>1194</v>
      </c>
      <c r="C243" s="1036" t="s">
        <v>1195</v>
      </c>
      <c r="D243" s="1036" t="s">
        <v>692</v>
      </c>
      <c r="E243" s="1037"/>
      <c r="F243" s="1040"/>
      <c r="G243" s="1040"/>
      <c r="H243" s="1040"/>
      <c r="I243" s="1040"/>
      <c r="J243" s="1040"/>
    </row>
    <row r="244" spans="1:10" x14ac:dyDescent="0.3">
      <c r="A244" s="1038" t="s">
        <v>682</v>
      </c>
      <c r="B244" s="1038" t="s">
        <v>1196</v>
      </c>
      <c r="C244" s="1038" t="s">
        <v>1197</v>
      </c>
      <c r="D244" s="1038" t="s">
        <v>683</v>
      </c>
      <c r="E244" s="1039"/>
      <c r="F244" s="1040"/>
      <c r="G244" s="1040"/>
      <c r="H244" s="1040"/>
      <c r="I244" s="1040"/>
      <c r="J244" s="1040"/>
    </row>
    <row r="245" spans="1:10" x14ac:dyDescent="0.3">
      <c r="A245" s="1036" t="s">
        <v>682</v>
      </c>
      <c r="B245" s="1036" t="s">
        <v>1198</v>
      </c>
      <c r="C245" s="1036" t="s">
        <v>1199</v>
      </c>
      <c r="D245" s="1036" t="s">
        <v>683</v>
      </c>
      <c r="E245" s="1037"/>
      <c r="F245" s="1040"/>
      <c r="G245" s="1040"/>
      <c r="H245" s="1040"/>
      <c r="I245" s="1040"/>
      <c r="J245" s="1040"/>
    </row>
    <row r="246" spans="1:10" x14ac:dyDescent="0.3">
      <c r="A246" s="1038" t="s">
        <v>682</v>
      </c>
      <c r="B246" s="1038" t="s">
        <v>1200</v>
      </c>
      <c r="C246" s="1038" t="s">
        <v>1201</v>
      </c>
      <c r="D246" s="1038" t="s">
        <v>692</v>
      </c>
      <c r="E246" s="1039"/>
      <c r="F246" s="1040"/>
      <c r="G246" s="1040"/>
      <c r="H246" s="1040"/>
      <c r="I246" s="1040"/>
      <c r="J246" s="1040"/>
    </row>
    <row r="247" spans="1:10" x14ac:dyDescent="0.3">
      <c r="A247" s="1036" t="s">
        <v>682</v>
      </c>
      <c r="B247" s="1036" t="s">
        <v>1202</v>
      </c>
      <c r="C247" s="1036" t="s">
        <v>1153</v>
      </c>
      <c r="D247" s="1036" t="s">
        <v>683</v>
      </c>
      <c r="E247" s="1037"/>
      <c r="F247" s="1040"/>
      <c r="G247" s="1040"/>
      <c r="H247" s="1040"/>
      <c r="I247" s="1040"/>
      <c r="J247" s="1040"/>
    </row>
    <row r="248" spans="1:10" x14ac:dyDescent="0.3">
      <c r="A248" s="1038" t="s">
        <v>682</v>
      </c>
      <c r="B248" s="1038" t="s">
        <v>1203</v>
      </c>
      <c r="C248" s="1038" t="s">
        <v>1142</v>
      </c>
      <c r="D248" s="1038" t="s">
        <v>683</v>
      </c>
      <c r="E248" s="1039"/>
      <c r="F248" s="1040"/>
      <c r="G248" s="1040"/>
      <c r="H248" s="1040"/>
      <c r="I248" s="1040"/>
      <c r="J248" s="1040"/>
    </row>
    <row r="249" spans="1:10" x14ac:dyDescent="0.3">
      <c r="A249" s="1036" t="s">
        <v>682</v>
      </c>
      <c r="B249" s="1036" t="s">
        <v>1204</v>
      </c>
      <c r="C249" s="1036" t="s">
        <v>1197</v>
      </c>
      <c r="D249" s="1036" t="s">
        <v>683</v>
      </c>
      <c r="E249" s="1037"/>
      <c r="F249" s="1040"/>
      <c r="G249" s="1040"/>
      <c r="H249" s="1040"/>
      <c r="I249" s="1040"/>
      <c r="J249" s="1040"/>
    </row>
    <row r="250" spans="1:10" x14ac:dyDescent="0.3">
      <c r="A250" s="1038" t="s">
        <v>682</v>
      </c>
      <c r="B250" s="1038" t="s">
        <v>1205</v>
      </c>
      <c r="C250" s="1038" t="s">
        <v>1199</v>
      </c>
      <c r="D250" s="1038" t="s">
        <v>683</v>
      </c>
      <c r="E250" s="1039"/>
      <c r="F250" s="1040"/>
      <c r="G250" s="1040"/>
      <c r="H250" s="1040"/>
      <c r="I250" s="1040"/>
      <c r="J250" s="1040"/>
    </row>
    <row r="251" spans="1:10" x14ac:dyDescent="0.3">
      <c r="A251" s="1036" t="s">
        <v>682</v>
      </c>
      <c r="B251" s="1036" t="s">
        <v>1206</v>
      </c>
      <c r="C251" s="1036" t="s">
        <v>1207</v>
      </c>
      <c r="D251" s="1036" t="s">
        <v>692</v>
      </c>
      <c r="E251" s="1037"/>
      <c r="F251" s="1040"/>
      <c r="G251" s="1040"/>
      <c r="H251" s="1040"/>
      <c r="I251" s="1040"/>
      <c r="J251" s="1040"/>
    </row>
    <row r="252" spans="1:10" x14ac:dyDescent="0.3">
      <c r="A252" s="1038" t="s">
        <v>682</v>
      </c>
      <c r="B252" s="1038" t="s">
        <v>1208</v>
      </c>
      <c r="C252" s="1038" t="s">
        <v>1209</v>
      </c>
      <c r="D252" s="1038" t="s">
        <v>692</v>
      </c>
      <c r="E252" s="1039"/>
      <c r="F252" s="1040"/>
      <c r="G252" s="1040"/>
      <c r="H252" s="1040"/>
      <c r="I252" s="1040"/>
      <c r="J252" s="1040"/>
    </row>
    <row r="253" spans="1:10" x14ac:dyDescent="0.3">
      <c r="A253" s="1036" t="s">
        <v>682</v>
      </c>
      <c r="B253" s="1036" t="s">
        <v>1210</v>
      </c>
      <c r="C253" s="1036" t="s">
        <v>1211</v>
      </c>
      <c r="D253" s="1036" t="s">
        <v>683</v>
      </c>
      <c r="E253" s="1037"/>
      <c r="F253" s="1040"/>
      <c r="G253" s="1040"/>
      <c r="H253" s="1040"/>
      <c r="I253" s="1040"/>
      <c r="J253" s="1040"/>
    </row>
    <row r="254" spans="1:10" x14ac:dyDescent="0.3">
      <c r="A254" s="1038" t="s">
        <v>682</v>
      </c>
      <c r="B254" s="1038" t="s">
        <v>1212</v>
      </c>
      <c r="C254" s="1038" t="s">
        <v>1213</v>
      </c>
      <c r="D254" s="1038" t="s">
        <v>1214</v>
      </c>
      <c r="E254" s="1039"/>
      <c r="F254" s="1040"/>
      <c r="G254" s="1040"/>
      <c r="H254" s="1040"/>
      <c r="I254" s="1040"/>
      <c r="J254" s="1040"/>
    </row>
    <row r="255" spans="1:10" x14ac:dyDescent="0.3">
      <c r="A255" s="1036" t="s">
        <v>682</v>
      </c>
      <c r="B255" s="1036" t="s">
        <v>1215</v>
      </c>
      <c r="C255" s="1036" t="s">
        <v>1216</v>
      </c>
      <c r="D255" s="1036" t="s">
        <v>692</v>
      </c>
      <c r="E255" s="1037"/>
      <c r="F255" s="1040"/>
      <c r="G255" s="1040"/>
      <c r="H255" s="1040"/>
      <c r="I255" s="1040"/>
      <c r="J255" s="1040"/>
    </row>
    <row r="256" spans="1:10" x14ac:dyDescent="0.3">
      <c r="A256" s="1038" t="s">
        <v>682</v>
      </c>
      <c r="B256" s="1038" t="s">
        <v>1217</v>
      </c>
      <c r="C256" s="1038" t="s">
        <v>1218</v>
      </c>
      <c r="D256" s="1038" t="s">
        <v>692</v>
      </c>
      <c r="E256" s="1039"/>
      <c r="F256" s="1040"/>
      <c r="G256" s="1040"/>
      <c r="H256" s="1040"/>
      <c r="I256" s="1040"/>
      <c r="J256" s="1040"/>
    </row>
    <row r="257" spans="1:10" x14ac:dyDescent="0.3">
      <c r="A257" s="1036" t="s">
        <v>682</v>
      </c>
      <c r="B257" s="1036" t="s">
        <v>1219</v>
      </c>
      <c r="C257" s="1036" t="s">
        <v>1220</v>
      </c>
      <c r="D257" s="1036" t="s">
        <v>683</v>
      </c>
      <c r="E257" s="1037"/>
      <c r="F257" s="1040"/>
      <c r="G257" s="1040"/>
      <c r="H257" s="1040"/>
      <c r="I257" s="1040"/>
      <c r="J257" s="1040"/>
    </row>
    <row r="258" spans="1:10" x14ac:dyDescent="0.3">
      <c r="A258" s="1038" t="s">
        <v>682</v>
      </c>
      <c r="B258" s="1038" t="s">
        <v>1221</v>
      </c>
      <c r="C258" s="1038" t="s">
        <v>1222</v>
      </c>
      <c r="D258" s="1038" t="s">
        <v>683</v>
      </c>
      <c r="E258" s="1039"/>
      <c r="F258" s="1040"/>
      <c r="G258" s="1040"/>
      <c r="H258" s="1040"/>
      <c r="I258" s="1040"/>
      <c r="J258" s="1040"/>
    </row>
    <row r="259" spans="1:10" x14ac:dyDescent="0.3">
      <c r="A259" s="1036" t="s">
        <v>682</v>
      </c>
      <c r="B259" s="1036" t="s">
        <v>1223</v>
      </c>
      <c r="C259" s="1036" t="s">
        <v>1213</v>
      </c>
      <c r="D259" s="1036" t="s">
        <v>1214</v>
      </c>
      <c r="E259" s="1037"/>
      <c r="F259" s="1040"/>
      <c r="G259" s="1040"/>
      <c r="H259" s="1040"/>
      <c r="I259" s="1040"/>
      <c r="J259" s="1040"/>
    </row>
    <row r="260" spans="1:10" x14ac:dyDescent="0.3">
      <c r="A260" s="1038" t="s">
        <v>682</v>
      </c>
      <c r="B260" s="1038" t="s">
        <v>1170</v>
      </c>
      <c r="C260" s="1038" t="s">
        <v>1171</v>
      </c>
      <c r="D260" s="1038" t="s">
        <v>1172</v>
      </c>
      <c r="E260" s="1039"/>
      <c r="F260" s="1040"/>
      <c r="G260" s="1040"/>
      <c r="H260" s="1040"/>
      <c r="I260" s="1040"/>
      <c r="J260" s="1040"/>
    </row>
    <row r="261" spans="1:10" x14ac:dyDescent="0.3">
      <c r="A261" s="1036" t="s">
        <v>682</v>
      </c>
      <c r="B261" s="1036" t="s">
        <v>1224</v>
      </c>
      <c r="C261" s="1036" t="s">
        <v>1225</v>
      </c>
      <c r="D261" s="1036" t="s">
        <v>683</v>
      </c>
      <c r="E261" s="1037"/>
      <c r="F261" s="1040"/>
      <c r="G261" s="1040"/>
      <c r="H261" s="1040"/>
      <c r="I261" s="1040"/>
      <c r="J261" s="1040"/>
    </row>
    <row r="262" spans="1:10" x14ac:dyDescent="0.3">
      <c r="A262" s="1038" t="s">
        <v>682</v>
      </c>
      <c r="B262" s="1038" t="s">
        <v>1226</v>
      </c>
      <c r="C262" s="1038" t="s">
        <v>1227</v>
      </c>
      <c r="D262" s="1038" t="s">
        <v>683</v>
      </c>
      <c r="E262" s="1039"/>
      <c r="F262" s="1040"/>
      <c r="G262" s="1040"/>
      <c r="H262" s="1040"/>
      <c r="I262" s="1040"/>
      <c r="J262" s="1040"/>
    </row>
    <row r="263" spans="1:10" x14ac:dyDescent="0.3">
      <c r="A263" s="1036" t="s">
        <v>682</v>
      </c>
      <c r="B263" s="1036" t="s">
        <v>1228</v>
      </c>
      <c r="C263" s="1036" t="s">
        <v>1229</v>
      </c>
      <c r="D263" s="1036" t="s">
        <v>1230</v>
      </c>
      <c r="E263" s="1037"/>
      <c r="F263" s="1040"/>
      <c r="G263" s="1040"/>
      <c r="H263" s="1040"/>
      <c r="I263" s="1040"/>
      <c r="J263" s="1040"/>
    </row>
    <row r="264" spans="1:10" x14ac:dyDescent="0.3">
      <c r="A264" s="1038" t="s">
        <v>682</v>
      </c>
      <c r="B264" s="1038" t="s">
        <v>1231</v>
      </c>
      <c r="C264" s="1038" t="s">
        <v>1232</v>
      </c>
      <c r="D264" s="1038" t="s">
        <v>683</v>
      </c>
      <c r="E264" s="1039"/>
      <c r="F264" s="1040"/>
      <c r="G264" s="1040"/>
      <c r="H264" s="1040"/>
      <c r="I264" s="1040"/>
      <c r="J264" s="1040"/>
    </row>
    <row r="265" spans="1:10" x14ac:dyDescent="0.3">
      <c r="A265" s="1036" t="s">
        <v>682</v>
      </c>
      <c r="B265" s="1036" t="s">
        <v>1233</v>
      </c>
      <c r="C265" s="1036" t="s">
        <v>1234</v>
      </c>
      <c r="D265" s="1036" t="s">
        <v>683</v>
      </c>
      <c r="E265" s="1037"/>
      <c r="F265" s="1040"/>
      <c r="G265" s="1040"/>
      <c r="H265" s="1040"/>
      <c r="I265" s="1040"/>
      <c r="J265" s="1040"/>
    </row>
    <row r="266" spans="1:10" x14ac:dyDescent="0.3">
      <c r="A266" s="1038" t="s">
        <v>682</v>
      </c>
      <c r="B266" s="1038" t="s">
        <v>1235</v>
      </c>
      <c r="C266" s="1038" t="s">
        <v>1236</v>
      </c>
      <c r="D266" s="1038" t="s">
        <v>683</v>
      </c>
      <c r="E266" s="1039"/>
      <c r="F266" s="1040"/>
      <c r="G266" s="1040"/>
      <c r="H266" s="1040"/>
      <c r="I266" s="1040"/>
      <c r="J266" s="1040"/>
    </row>
    <row r="267" spans="1:10" x14ac:dyDescent="0.3">
      <c r="A267" s="1036" t="s">
        <v>682</v>
      </c>
      <c r="B267" s="1036" t="s">
        <v>1237</v>
      </c>
      <c r="C267" s="1036" t="s">
        <v>1238</v>
      </c>
      <c r="D267" s="1036" t="s">
        <v>683</v>
      </c>
      <c r="E267" s="1037"/>
      <c r="F267" s="1040"/>
      <c r="G267" s="1040"/>
      <c r="H267" s="1040"/>
      <c r="I267" s="1040"/>
      <c r="J267" s="1040"/>
    </row>
    <row r="268" spans="1:10" x14ac:dyDescent="0.3">
      <c r="A268" s="1038" t="s">
        <v>682</v>
      </c>
      <c r="B268" s="1038" t="s">
        <v>1239</v>
      </c>
      <c r="C268" s="1038" t="s">
        <v>1240</v>
      </c>
      <c r="D268" s="1038" t="s">
        <v>683</v>
      </c>
      <c r="E268" s="1039"/>
      <c r="F268" s="1040"/>
      <c r="G268" s="1040"/>
      <c r="H268" s="1040"/>
      <c r="I268" s="1040"/>
      <c r="J268" s="1040"/>
    </row>
    <row r="269" spans="1:10" x14ac:dyDescent="0.3">
      <c r="A269" s="1036" t="s">
        <v>682</v>
      </c>
      <c r="B269" s="1036" t="s">
        <v>1241</v>
      </c>
      <c r="C269" s="1036" t="s">
        <v>1242</v>
      </c>
      <c r="D269" s="1036" t="s">
        <v>683</v>
      </c>
      <c r="E269" s="1037"/>
      <c r="F269" s="1040"/>
      <c r="G269" s="1040"/>
      <c r="H269" s="1040"/>
      <c r="I269" s="1040"/>
      <c r="J269" s="1040"/>
    </row>
    <row r="270" spans="1:10" x14ac:dyDescent="0.3">
      <c r="A270" s="1038" t="s">
        <v>682</v>
      </c>
      <c r="B270" s="1038" t="s">
        <v>1243</v>
      </c>
      <c r="C270" s="1038" t="s">
        <v>1244</v>
      </c>
      <c r="D270" s="1038" t="s">
        <v>683</v>
      </c>
      <c r="E270" s="1039"/>
      <c r="F270" s="1040"/>
      <c r="G270" s="1040"/>
      <c r="H270" s="1040"/>
      <c r="I270" s="1040"/>
      <c r="J270" s="1040"/>
    </row>
    <row r="271" spans="1:10" x14ac:dyDescent="0.3">
      <c r="A271" s="1036" t="s">
        <v>682</v>
      </c>
      <c r="B271" s="1036" t="s">
        <v>1245</v>
      </c>
      <c r="C271" s="1036" t="s">
        <v>1246</v>
      </c>
      <c r="D271" s="1036" t="s">
        <v>683</v>
      </c>
      <c r="E271" s="1037"/>
      <c r="F271" s="1040"/>
      <c r="G271" s="1040"/>
      <c r="H271" s="1040"/>
      <c r="I271" s="1040"/>
      <c r="J271" s="1040"/>
    </row>
    <row r="272" spans="1:10" x14ac:dyDescent="0.3">
      <c r="A272" s="1038" t="s">
        <v>682</v>
      </c>
      <c r="B272" s="1038" t="s">
        <v>1247</v>
      </c>
      <c r="C272" s="1038" t="s">
        <v>1122</v>
      </c>
      <c r="D272" s="1038" t="s">
        <v>683</v>
      </c>
      <c r="E272" s="1039"/>
      <c r="F272" s="1040"/>
      <c r="G272" s="1040"/>
      <c r="H272" s="1040"/>
      <c r="I272" s="1040"/>
      <c r="J272" s="1040"/>
    </row>
    <row r="273" spans="1:10" x14ac:dyDescent="0.3">
      <c r="A273" s="1036" t="s">
        <v>682</v>
      </c>
      <c r="B273" s="1036" t="s">
        <v>1248</v>
      </c>
      <c r="C273" s="1036" t="s">
        <v>1124</v>
      </c>
      <c r="D273" s="1036" t="s">
        <v>683</v>
      </c>
      <c r="E273" s="1037"/>
      <c r="F273" s="1040"/>
      <c r="G273" s="1040"/>
      <c r="H273" s="1040"/>
      <c r="I273" s="1040"/>
      <c r="J273" s="1040"/>
    </row>
    <row r="274" spans="1:10" x14ac:dyDescent="0.3">
      <c r="A274" s="1038" t="s">
        <v>682</v>
      </c>
      <c r="B274" s="1038" t="s">
        <v>1249</v>
      </c>
      <c r="C274" s="1038" t="s">
        <v>1250</v>
      </c>
      <c r="D274" s="1038" t="s">
        <v>683</v>
      </c>
      <c r="E274" s="1039"/>
      <c r="F274" s="1040"/>
      <c r="G274" s="1040"/>
      <c r="H274" s="1040"/>
      <c r="I274" s="1040"/>
      <c r="J274" s="1040"/>
    </row>
    <row r="275" spans="1:10" x14ac:dyDescent="0.3">
      <c r="A275" s="1036" t="s">
        <v>682</v>
      </c>
      <c r="B275" s="1036" t="s">
        <v>1251</v>
      </c>
      <c r="C275" s="1036" t="s">
        <v>1252</v>
      </c>
      <c r="D275" s="1036" t="s">
        <v>683</v>
      </c>
      <c r="E275" s="1037"/>
      <c r="F275" s="1040"/>
      <c r="G275" s="1040"/>
      <c r="H275" s="1040"/>
      <c r="I275" s="1040"/>
      <c r="J275" s="1040"/>
    </row>
    <row r="276" spans="1:10" x14ac:dyDescent="0.3">
      <c r="A276" s="1038" t="s">
        <v>682</v>
      </c>
      <c r="B276" s="1038" t="s">
        <v>1111</v>
      </c>
      <c r="C276" s="1038" t="s">
        <v>651</v>
      </c>
      <c r="D276" s="1038" t="s">
        <v>683</v>
      </c>
      <c r="E276" s="1039"/>
      <c r="F276" s="1040"/>
      <c r="G276" s="1040"/>
      <c r="H276" s="1040"/>
      <c r="I276" s="1040"/>
      <c r="J276" s="1040"/>
    </row>
    <row r="277" spans="1:10" x14ac:dyDescent="0.3">
      <c r="A277" s="1036" t="s">
        <v>682</v>
      </c>
      <c r="B277" s="1036" t="s">
        <v>1109</v>
      </c>
      <c r="C277" s="1036" t="s">
        <v>649</v>
      </c>
      <c r="D277" s="1036" t="s">
        <v>683</v>
      </c>
      <c r="E277" s="1037"/>
      <c r="F277" s="1040"/>
      <c r="G277" s="1040"/>
      <c r="H277" s="1040"/>
      <c r="I277" s="1040"/>
      <c r="J277" s="1040"/>
    </row>
    <row r="278" spans="1:10" x14ac:dyDescent="0.3">
      <c r="A278" s="1038" t="s">
        <v>682</v>
      </c>
      <c r="B278" s="1038" t="s">
        <v>1113</v>
      </c>
      <c r="C278" s="1038" t="s">
        <v>1253</v>
      </c>
      <c r="D278" s="1038" t="s">
        <v>683</v>
      </c>
      <c r="E278" s="1039"/>
      <c r="F278" s="1040"/>
      <c r="G278" s="1040"/>
      <c r="H278" s="1040"/>
      <c r="I278" s="1040"/>
      <c r="J278" s="1040"/>
    </row>
    <row r="279" spans="1:10" x14ac:dyDescent="0.3">
      <c r="A279" s="1036" t="s">
        <v>682</v>
      </c>
      <c r="B279" s="1036" t="s">
        <v>1254</v>
      </c>
      <c r="C279" s="1036" t="s">
        <v>1255</v>
      </c>
      <c r="D279" s="1036" t="s">
        <v>1214</v>
      </c>
      <c r="E279" s="1037"/>
      <c r="F279" s="1040"/>
      <c r="G279" s="1040"/>
      <c r="H279" s="1040"/>
      <c r="I279" s="1040"/>
      <c r="J279" s="1040"/>
    </row>
    <row r="280" spans="1:10" x14ac:dyDescent="0.3">
      <c r="A280" s="1038" t="s">
        <v>682</v>
      </c>
      <c r="B280" s="1038" t="s">
        <v>1256</v>
      </c>
      <c r="C280" s="1038" t="s">
        <v>1257</v>
      </c>
      <c r="D280" s="1038" t="s">
        <v>683</v>
      </c>
      <c r="E280" s="1039"/>
      <c r="F280" s="1040"/>
      <c r="G280" s="1040"/>
      <c r="H280" s="1040"/>
      <c r="I280" s="1040"/>
      <c r="J280" s="1040"/>
    </row>
    <row r="281" spans="1:10" x14ac:dyDescent="0.3">
      <c r="A281" s="1036" t="s">
        <v>682</v>
      </c>
      <c r="B281" s="1036" t="s">
        <v>1258</v>
      </c>
      <c r="C281" s="1036" t="s">
        <v>1259</v>
      </c>
      <c r="D281" s="1036" t="s">
        <v>683</v>
      </c>
      <c r="E281" s="1037"/>
      <c r="F281" s="1040"/>
      <c r="G281" s="1040"/>
      <c r="H281" s="1040"/>
      <c r="I281" s="1040"/>
      <c r="J281" s="1040"/>
    </row>
    <row r="282" spans="1:10" x14ac:dyDescent="0.3">
      <c r="A282" s="1038" t="s">
        <v>682</v>
      </c>
      <c r="B282" s="1038" t="s">
        <v>1260</v>
      </c>
      <c r="C282" s="1038" t="s">
        <v>1261</v>
      </c>
      <c r="D282" s="1038" t="s">
        <v>683</v>
      </c>
      <c r="E282" s="1039"/>
      <c r="F282" s="1040"/>
      <c r="G282" s="1040"/>
      <c r="H282" s="1040"/>
      <c r="I282" s="1040"/>
      <c r="J282" s="1040"/>
    </row>
    <row r="283" spans="1:10" x14ac:dyDescent="0.3">
      <c r="A283" s="1036" t="s">
        <v>682</v>
      </c>
      <c r="B283" s="1036" t="s">
        <v>1262</v>
      </c>
      <c r="C283" s="1036" t="s">
        <v>1263</v>
      </c>
      <c r="D283" s="1036" t="s">
        <v>1214</v>
      </c>
      <c r="E283" s="1037"/>
      <c r="F283" s="1040"/>
      <c r="G283" s="1040"/>
      <c r="H283" s="1040"/>
      <c r="I283" s="1040"/>
      <c r="J283" s="1040"/>
    </row>
    <row r="284" spans="1:10" x14ac:dyDescent="0.3">
      <c r="A284" s="1038" t="s">
        <v>682</v>
      </c>
      <c r="B284" s="1038" t="s">
        <v>1264</v>
      </c>
      <c r="C284" s="1038" t="s">
        <v>1265</v>
      </c>
      <c r="D284" s="1038" t="s">
        <v>1214</v>
      </c>
      <c r="E284" s="1039"/>
      <c r="F284" s="1040"/>
      <c r="G284" s="1040"/>
      <c r="H284" s="1040"/>
      <c r="I284" s="1040"/>
      <c r="J284" s="1040"/>
    </row>
    <row r="285" spans="1:10" x14ac:dyDescent="0.3">
      <c r="A285" s="1036" t="s">
        <v>682</v>
      </c>
      <c r="B285" s="1036" t="s">
        <v>1266</v>
      </c>
      <c r="C285" s="1036" t="s">
        <v>1267</v>
      </c>
      <c r="D285" s="1036" t="s">
        <v>683</v>
      </c>
      <c r="E285" s="1037"/>
      <c r="F285" s="1040"/>
      <c r="G285" s="1040"/>
      <c r="H285" s="1040"/>
      <c r="I285" s="1040"/>
      <c r="J285" s="1040"/>
    </row>
    <row r="286" spans="1:10" x14ac:dyDescent="0.3">
      <c r="A286" s="1038" t="s">
        <v>682</v>
      </c>
      <c r="B286" s="1038" t="s">
        <v>1268</v>
      </c>
      <c r="C286" s="1038" t="s">
        <v>1142</v>
      </c>
      <c r="D286" s="1038" t="s">
        <v>683</v>
      </c>
      <c r="E286" s="1039"/>
      <c r="F286" s="1040"/>
      <c r="G286" s="1040"/>
      <c r="H286" s="1040"/>
      <c r="I286" s="1040"/>
      <c r="J286" s="1040"/>
    </row>
    <row r="287" spans="1:10" x14ac:dyDescent="0.3">
      <c r="A287" s="1036" t="s">
        <v>682</v>
      </c>
      <c r="B287" s="1036" t="s">
        <v>1269</v>
      </c>
      <c r="C287" s="1036" t="s">
        <v>1270</v>
      </c>
      <c r="D287" s="1036" t="s">
        <v>683</v>
      </c>
      <c r="E287" s="1037"/>
      <c r="F287" s="1040"/>
      <c r="G287" s="1040"/>
      <c r="H287" s="1040"/>
      <c r="I287" s="1040"/>
      <c r="J287" s="1040"/>
    </row>
    <row r="288" spans="1:10" x14ac:dyDescent="0.3">
      <c r="A288" s="1038" t="s">
        <v>682</v>
      </c>
      <c r="B288" s="1038" t="s">
        <v>1271</v>
      </c>
      <c r="C288" s="1038" t="s">
        <v>1272</v>
      </c>
      <c r="D288" s="1038" t="s">
        <v>683</v>
      </c>
      <c r="E288" s="1039"/>
      <c r="F288" s="1040"/>
      <c r="G288" s="1040"/>
      <c r="H288" s="1040"/>
      <c r="I288" s="1040"/>
      <c r="J288" s="1040"/>
    </row>
    <row r="289" spans="1:10" x14ac:dyDescent="0.3">
      <c r="A289" s="1036" t="s">
        <v>682</v>
      </c>
      <c r="B289" s="1036" t="s">
        <v>1273</v>
      </c>
      <c r="C289" s="1036" t="s">
        <v>1227</v>
      </c>
      <c r="D289" s="1036" t="s">
        <v>683</v>
      </c>
      <c r="E289" s="1037"/>
      <c r="F289" s="1040"/>
      <c r="G289" s="1040"/>
      <c r="H289" s="1040"/>
      <c r="I289" s="1040"/>
      <c r="J289" s="1040"/>
    </row>
    <row r="290" spans="1:10" x14ac:dyDescent="0.3">
      <c r="A290" s="1038" t="s">
        <v>682</v>
      </c>
      <c r="B290" s="1038" t="s">
        <v>1274</v>
      </c>
      <c r="C290" s="1038" t="s">
        <v>1225</v>
      </c>
      <c r="D290" s="1038" t="s">
        <v>683</v>
      </c>
      <c r="E290" s="1039"/>
      <c r="F290" s="1040"/>
      <c r="G290" s="1040"/>
      <c r="H290" s="1040"/>
      <c r="I290" s="1040"/>
      <c r="J290" s="1040"/>
    </row>
    <row r="291" spans="1:10" x14ac:dyDescent="0.3">
      <c r="A291" s="1036" t="s">
        <v>682</v>
      </c>
      <c r="B291" s="1036" t="s">
        <v>1275</v>
      </c>
      <c r="C291" s="1036" t="s">
        <v>1276</v>
      </c>
      <c r="D291" s="1036" t="s">
        <v>692</v>
      </c>
      <c r="E291" s="1037"/>
      <c r="F291" s="1040"/>
      <c r="G291" s="1040"/>
      <c r="H291" s="1040"/>
      <c r="I291" s="1040"/>
      <c r="J291" s="1040"/>
    </row>
    <row r="292" spans="1:10" x14ac:dyDescent="0.3">
      <c r="A292" s="1038" t="s">
        <v>682</v>
      </c>
      <c r="B292" s="1038" t="s">
        <v>1277</v>
      </c>
      <c r="C292" s="1038" t="s">
        <v>1278</v>
      </c>
      <c r="D292" s="1038" t="s">
        <v>683</v>
      </c>
      <c r="E292" s="1039"/>
      <c r="F292" s="1040"/>
      <c r="G292" s="1040"/>
      <c r="H292" s="1040"/>
      <c r="I292" s="1040"/>
      <c r="J292" s="1040"/>
    </row>
    <row r="293" spans="1:10" x14ac:dyDescent="0.3">
      <c r="A293" s="1036" t="s">
        <v>682</v>
      </c>
      <c r="B293" s="1036" t="s">
        <v>1279</v>
      </c>
      <c r="C293" s="1036" t="s">
        <v>1280</v>
      </c>
      <c r="D293" s="1036" t="s">
        <v>683</v>
      </c>
      <c r="E293" s="1037"/>
      <c r="F293" s="1040"/>
      <c r="G293" s="1040"/>
      <c r="H293" s="1040"/>
      <c r="I293" s="1040"/>
      <c r="J293" s="1040"/>
    </row>
    <row r="294" spans="1:10" x14ac:dyDescent="0.3">
      <c r="A294" s="1038" t="s">
        <v>682</v>
      </c>
      <c r="B294" s="1038" t="s">
        <v>1281</v>
      </c>
      <c r="C294" s="1038" t="s">
        <v>1282</v>
      </c>
      <c r="D294" s="1038" t="s">
        <v>683</v>
      </c>
      <c r="E294" s="1039"/>
      <c r="F294" s="1040"/>
      <c r="G294" s="1040"/>
      <c r="H294" s="1040"/>
      <c r="I294" s="1040"/>
      <c r="J294" s="1040"/>
    </row>
    <row r="295" spans="1:10" x14ac:dyDescent="0.3">
      <c r="A295" s="1036" t="s">
        <v>682</v>
      </c>
      <c r="B295" s="1036" t="s">
        <v>1283</v>
      </c>
      <c r="C295" s="1036" t="s">
        <v>1276</v>
      </c>
      <c r="D295" s="1036" t="s">
        <v>1172</v>
      </c>
      <c r="E295" s="1037"/>
      <c r="F295" s="1040"/>
      <c r="G295" s="1040"/>
      <c r="H295" s="1040"/>
      <c r="I295" s="1040"/>
      <c r="J295" s="1040"/>
    </row>
    <row r="296" spans="1:10" x14ac:dyDescent="0.3">
      <c r="A296" s="1038" t="s">
        <v>682</v>
      </c>
      <c r="B296" s="1038" t="s">
        <v>1284</v>
      </c>
      <c r="C296" s="1038" t="s">
        <v>1285</v>
      </c>
      <c r="D296" s="1038" t="s">
        <v>683</v>
      </c>
      <c r="E296" s="1039"/>
      <c r="F296" s="1040"/>
      <c r="G296" s="1040"/>
      <c r="H296" s="1040"/>
      <c r="I296" s="1040"/>
      <c r="J296" s="1040"/>
    </row>
    <row r="297" spans="1:10" x14ac:dyDescent="0.3">
      <c r="A297" s="1036" t="s">
        <v>682</v>
      </c>
      <c r="B297" s="1036" t="s">
        <v>1286</v>
      </c>
      <c r="C297" s="1036" t="s">
        <v>1287</v>
      </c>
      <c r="D297" s="1036" t="s">
        <v>692</v>
      </c>
      <c r="E297" s="1037"/>
      <c r="F297" s="1040"/>
      <c r="G297" s="1040"/>
      <c r="H297" s="1040"/>
      <c r="I297" s="1040"/>
      <c r="J297" s="1040"/>
    </row>
    <row r="298" spans="1:10" x14ac:dyDescent="0.3">
      <c r="A298" s="1038" t="s">
        <v>682</v>
      </c>
      <c r="B298" s="1038" t="s">
        <v>1288</v>
      </c>
      <c r="C298" s="1038" t="s">
        <v>1289</v>
      </c>
      <c r="D298" s="1038" t="s">
        <v>692</v>
      </c>
      <c r="E298" s="1039"/>
      <c r="F298" s="1040"/>
      <c r="G298" s="1040"/>
      <c r="H298" s="1040"/>
      <c r="I298" s="1040"/>
      <c r="J298" s="1040"/>
    </row>
    <row r="299" spans="1:10" x14ac:dyDescent="0.3">
      <c r="A299" s="1036" t="s">
        <v>682</v>
      </c>
      <c r="B299" s="1036" t="s">
        <v>1290</v>
      </c>
      <c r="C299" s="1036" t="s">
        <v>1291</v>
      </c>
      <c r="D299" s="1036" t="s">
        <v>692</v>
      </c>
      <c r="E299" s="1037"/>
      <c r="F299" s="1040"/>
      <c r="G299" s="1040"/>
      <c r="H299" s="1040"/>
      <c r="I299" s="1040"/>
      <c r="J299" s="1040"/>
    </row>
    <row r="300" spans="1:10" x14ac:dyDescent="0.3">
      <c r="A300" s="1038" t="s">
        <v>682</v>
      </c>
      <c r="B300" s="1038" t="s">
        <v>1292</v>
      </c>
      <c r="C300" s="1038" t="s">
        <v>1293</v>
      </c>
      <c r="D300" s="1038" t="s">
        <v>692</v>
      </c>
      <c r="E300" s="1039"/>
      <c r="F300" s="1040"/>
      <c r="G300" s="1040"/>
      <c r="H300" s="1040"/>
      <c r="I300" s="1040"/>
      <c r="J300" s="1040"/>
    </row>
    <row r="301" spans="1:10" x14ac:dyDescent="0.3">
      <c r="A301" s="1036" t="s">
        <v>682</v>
      </c>
      <c r="B301" s="1036" t="s">
        <v>1294</v>
      </c>
      <c r="C301" s="1036" t="s">
        <v>1295</v>
      </c>
      <c r="D301" s="1036" t="s">
        <v>683</v>
      </c>
      <c r="E301" s="1037"/>
      <c r="F301" s="1040"/>
      <c r="G301" s="1040"/>
      <c r="H301" s="1040"/>
      <c r="I301" s="1040"/>
      <c r="J301" s="1040"/>
    </row>
    <row r="302" spans="1:10" x14ac:dyDescent="0.3">
      <c r="A302" s="1038" t="s">
        <v>682</v>
      </c>
      <c r="B302" s="1038" t="s">
        <v>1296</v>
      </c>
      <c r="C302" s="1038" t="s">
        <v>1297</v>
      </c>
      <c r="D302" s="1038" t="s">
        <v>683</v>
      </c>
      <c r="E302" s="1039"/>
      <c r="F302" s="1040"/>
      <c r="G302" s="1040"/>
      <c r="H302" s="1040"/>
      <c r="I302" s="1040"/>
      <c r="J302" s="1040"/>
    </row>
    <row r="303" spans="1:10" x14ac:dyDescent="0.3">
      <c r="A303" s="1036" t="s">
        <v>682</v>
      </c>
      <c r="B303" s="1036" t="s">
        <v>1298</v>
      </c>
      <c r="C303" s="1036" t="s">
        <v>1153</v>
      </c>
      <c r="D303" s="1036" t="s">
        <v>683</v>
      </c>
      <c r="E303" s="1037"/>
      <c r="F303" s="1040"/>
      <c r="G303" s="1040"/>
      <c r="H303" s="1040"/>
      <c r="I303" s="1040"/>
      <c r="J303" s="1040"/>
    </row>
    <row r="304" spans="1:10" x14ac:dyDescent="0.3">
      <c r="A304" s="1038" t="s">
        <v>682</v>
      </c>
      <c r="B304" s="1038" t="s">
        <v>1299</v>
      </c>
      <c r="C304" s="1038" t="s">
        <v>1152</v>
      </c>
      <c r="D304" s="1038" t="s">
        <v>683</v>
      </c>
      <c r="E304" s="1039"/>
      <c r="F304" s="1040"/>
      <c r="G304" s="1040"/>
      <c r="H304" s="1040"/>
      <c r="I304" s="1040"/>
      <c r="J304" s="1040"/>
    </row>
    <row r="305" spans="1:10" x14ac:dyDescent="0.3">
      <c r="A305" s="1036" t="s">
        <v>682</v>
      </c>
      <c r="B305" s="1036" t="s">
        <v>1300</v>
      </c>
      <c r="C305" s="1036" t="s">
        <v>1301</v>
      </c>
      <c r="D305" s="1036" t="s">
        <v>683</v>
      </c>
      <c r="E305" s="1037"/>
      <c r="F305" s="1040"/>
      <c r="G305" s="1040"/>
      <c r="H305" s="1040"/>
      <c r="I305" s="1040"/>
      <c r="J305" s="1040"/>
    </row>
    <row r="306" spans="1:10" x14ac:dyDescent="0.3">
      <c r="A306" s="1038" t="s">
        <v>682</v>
      </c>
      <c r="B306" s="1038" t="s">
        <v>1302</v>
      </c>
      <c r="C306" s="1038" t="s">
        <v>1303</v>
      </c>
      <c r="D306" s="1038" t="s">
        <v>683</v>
      </c>
      <c r="E306" s="1039"/>
      <c r="F306" s="1040"/>
      <c r="G306" s="1040"/>
      <c r="H306" s="1040"/>
      <c r="I306" s="1040"/>
      <c r="J306" s="1040"/>
    </row>
    <row r="307" spans="1:10" x14ac:dyDescent="0.3">
      <c r="A307" s="1036" t="s">
        <v>682</v>
      </c>
      <c r="B307" s="1036" t="s">
        <v>1304</v>
      </c>
      <c r="C307" s="1036" t="s">
        <v>1305</v>
      </c>
      <c r="D307" s="1036" t="s">
        <v>692</v>
      </c>
      <c r="E307" s="1037"/>
      <c r="F307" s="1040"/>
      <c r="G307" s="1040"/>
      <c r="H307" s="1040"/>
      <c r="I307" s="1040"/>
      <c r="J307" s="1040"/>
    </row>
    <row r="308" spans="1:10" x14ac:dyDescent="0.3">
      <c r="A308" s="1038" t="s">
        <v>682</v>
      </c>
      <c r="B308" s="1038" t="s">
        <v>1306</v>
      </c>
      <c r="C308" s="1038" t="s">
        <v>1152</v>
      </c>
      <c r="D308" s="1038" t="s">
        <v>683</v>
      </c>
      <c r="E308" s="1039"/>
      <c r="F308" s="1040"/>
      <c r="G308" s="1040"/>
      <c r="H308" s="1040"/>
      <c r="I308" s="1040"/>
      <c r="J308" s="1040"/>
    </row>
    <row r="309" spans="1:10" x14ac:dyDescent="0.3">
      <c r="A309" s="1036" t="s">
        <v>682</v>
      </c>
      <c r="B309" s="1036" t="s">
        <v>1307</v>
      </c>
      <c r="C309" s="1036" t="s">
        <v>1308</v>
      </c>
      <c r="D309" s="1036" t="s">
        <v>683</v>
      </c>
      <c r="E309" s="1037"/>
      <c r="F309" s="1040"/>
      <c r="G309" s="1040"/>
      <c r="H309" s="1040"/>
      <c r="I309" s="1040"/>
      <c r="J309" s="1040"/>
    </row>
    <row r="310" spans="1:10" x14ac:dyDescent="0.3">
      <c r="A310" s="1038" t="s">
        <v>682</v>
      </c>
      <c r="B310" s="1038" t="s">
        <v>1309</v>
      </c>
      <c r="C310" s="1038" t="s">
        <v>1207</v>
      </c>
      <c r="D310" s="1038" t="s">
        <v>692</v>
      </c>
      <c r="E310" s="1039"/>
      <c r="F310" s="1040"/>
      <c r="G310" s="1040"/>
      <c r="H310" s="1040"/>
      <c r="I310" s="1040"/>
      <c r="J310" s="1040"/>
    </row>
    <row r="311" spans="1:10" x14ac:dyDescent="0.3">
      <c r="A311" s="1036" t="s">
        <v>682</v>
      </c>
      <c r="B311" s="1036" t="s">
        <v>1310</v>
      </c>
      <c r="C311" s="1036" t="s">
        <v>1209</v>
      </c>
      <c r="D311" s="1036" t="s">
        <v>692</v>
      </c>
      <c r="E311" s="1037"/>
      <c r="F311" s="1040"/>
      <c r="G311" s="1040"/>
      <c r="H311" s="1040"/>
      <c r="I311" s="1040"/>
      <c r="J311" s="1040"/>
    </row>
    <row r="312" spans="1:10" x14ac:dyDescent="0.3">
      <c r="A312" s="1038" t="s">
        <v>682</v>
      </c>
      <c r="B312" s="1038" t="s">
        <v>1311</v>
      </c>
      <c r="C312" s="1038" t="s">
        <v>1312</v>
      </c>
      <c r="D312" s="1038" t="s">
        <v>692</v>
      </c>
      <c r="E312" s="1039"/>
      <c r="F312" s="1040"/>
      <c r="G312" s="1040"/>
      <c r="H312" s="1040"/>
      <c r="I312" s="1040"/>
      <c r="J312" s="1040"/>
    </row>
    <row r="313" spans="1:10" x14ac:dyDescent="0.3">
      <c r="A313" s="1036" t="s">
        <v>682</v>
      </c>
      <c r="B313" s="1036" t="s">
        <v>1313</v>
      </c>
      <c r="C313" s="1036" t="s">
        <v>1314</v>
      </c>
      <c r="D313" s="1036" t="s">
        <v>692</v>
      </c>
      <c r="E313" s="1037"/>
      <c r="F313" s="1040"/>
      <c r="G313" s="1040"/>
      <c r="H313" s="1040"/>
      <c r="I313" s="1040"/>
      <c r="J313" s="1040"/>
    </row>
    <row r="314" spans="1:10" x14ac:dyDescent="0.3">
      <c r="A314" s="1038" t="s">
        <v>682</v>
      </c>
      <c r="B314" s="1038" t="s">
        <v>1315</v>
      </c>
      <c r="C314" s="1038" t="s">
        <v>1316</v>
      </c>
      <c r="D314" s="1038" t="s">
        <v>692</v>
      </c>
      <c r="E314" s="1039"/>
      <c r="F314" s="1040"/>
      <c r="G314" s="1040"/>
      <c r="H314" s="1040"/>
      <c r="I314" s="1040"/>
      <c r="J314" s="1040"/>
    </row>
    <row r="315" spans="1:10" x14ac:dyDescent="0.3">
      <c r="A315" s="1036" t="s">
        <v>682</v>
      </c>
      <c r="B315" s="1036" t="s">
        <v>1317</v>
      </c>
      <c r="C315" s="1036" t="s">
        <v>1316</v>
      </c>
      <c r="D315" s="1036" t="s">
        <v>692</v>
      </c>
      <c r="E315" s="1037"/>
      <c r="F315" s="1040"/>
      <c r="G315" s="1040"/>
      <c r="H315" s="1040"/>
      <c r="I315" s="1040"/>
      <c r="J315" s="1040"/>
    </row>
    <row r="316" spans="1:10" x14ac:dyDescent="0.3">
      <c r="A316" s="1038" t="s">
        <v>682</v>
      </c>
      <c r="B316" s="1038" t="s">
        <v>1318</v>
      </c>
      <c r="C316" s="1038" t="s">
        <v>1319</v>
      </c>
      <c r="D316" s="1038" t="s">
        <v>683</v>
      </c>
      <c r="E316" s="1039"/>
      <c r="F316" s="1040"/>
      <c r="G316" s="1040"/>
      <c r="H316" s="1040"/>
      <c r="I316" s="1040"/>
      <c r="J316" s="1040"/>
    </row>
    <row r="317" spans="1:10" x14ac:dyDescent="0.3">
      <c r="A317" s="1036" t="s">
        <v>682</v>
      </c>
      <c r="B317" s="1036" t="s">
        <v>1320</v>
      </c>
      <c r="C317" s="1036" t="s">
        <v>1321</v>
      </c>
      <c r="D317" s="1036" t="s">
        <v>692</v>
      </c>
      <c r="E317" s="1037"/>
      <c r="F317" s="1040"/>
      <c r="G317" s="1040"/>
      <c r="H317" s="1040"/>
      <c r="I317" s="1040"/>
      <c r="J317" s="1040"/>
    </row>
    <row r="318" spans="1:10" x14ac:dyDescent="0.3">
      <c r="A318" s="1038" t="s">
        <v>682</v>
      </c>
      <c r="B318" s="1038" t="s">
        <v>1322</v>
      </c>
      <c r="C318" s="1038" t="s">
        <v>1323</v>
      </c>
      <c r="D318" s="1038" t="s">
        <v>692</v>
      </c>
      <c r="E318" s="1039"/>
      <c r="F318" s="1040"/>
      <c r="G318" s="1040"/>
      <c r="H318" s="1040"/>
      <c r="I318" s="1040"/>
      <c r="J318" s="1040"/>
    </row>
    <row r="319" spans="1:10" x14ac:dyDescent="0.3">
      <c r="A319" s="1036" t="s">
        <v>682</v>
      </c>
      <c r="B319" s="1036" t="s">
        <v>1324</v>
      </c>
      <c r="C319" s="1036" t="s">
        <v>1325</v>
      </c>
      <c r="D319" s="1036" t="s">
        <v>692</v>
      </c>
      <c r="E319" s="1037"/>
      <c r="F319" s="1040"/>
      <c r="G319" s="1040"/>
      <c r="H319" s="1040"/>
      <c r="I319" s="1040"/>
      <c r="J319" s="1040"/>
    </row>
    <row r="320" spans="1:10" x14ac:dyDescent="0.3">
      <c r="A320" s="1038" t="s">
        <v>682</v>
      </c>
      <c r="B320" s="1038" t="s">
        <v>1326</v>
      </c>
      <c r="C320" s="1038" t="s">
        <v>1327</v>
      </c>
      <c r="D320" s="1038" t="s">
        <v>683</v>
      </c>
      <c r="E320" s="1039"/>
      <c r="F320" s="1040"/>
      <c r="G320" s="1040"/>
      <c r="H320" s="1040"/>
      <c r="I320" s="1040"/>
      <c r="J320" s="1040"/>
    </row>
    <row r="321" spans="1:10" x14ac:dyDescent="0.3">
      <c r="A321" s="1036" t="s">
        <v>682</v>
      </c>
      <c r="B321" s="1036" t="s">
        <v>1328</v>
      </c>
      <c r="C321" s="1036" t="s">
        <v>1329</v>
      </c>
      <c r="D321" s="1036" t="s">
        <v>683</v>
      </c>
      <c r="E321" s="1037"/>
      <c r="F321" s="1040"/>
      <c r="G321" s="1040"/>
      <c r="H321" s="1040"/>
      <c r="I321" s="1040"/>
      <c r="J321" s="1040"/>
    </row>
    <row r="322" spans="1:10" x14ac:dyDescent="0.3">
      <c r="A322" s="1038" t="s">
        <v>682</v>
      </c>
      <c r="B322" s="1038" t="s">
        <v>1330</v>
      </c>
      <c r="C322" s="1038" t="s">
        <v>1331</v>
      </c>
      <c r="D322" s="1038" t="s">
        <v>683</v>
      </c>
      <c r="E322" s="1039"/>
      <c r="F322" s="1040"/>
      <c r="G322" s="1040"/>
      <c r="H322" s="1040"/>
      <c r="I322" s="1040"/>
      <c r="J322" s="1040"/>
    </row>
    <row r="323" spans="1:10" x14ac:dyDescent="0.3">
      <c r="A323" s="1036" t="s">
        <v>682</v>
      </c>
      <c r="B323" s="1036" t="s">
        <v>1332</v>
      </c>
      <c r="C323" s="1036" t="s">
        <v>1333</v>
      </c>
      <c r="D323" s="1036" t="s">
        <v>683</v>
      </c>
      <c r="E323" s="1037"/>
      <c r="F323" s="1040"/>
      <c r="G323" s="1040"/>
      <c r="H323" s="1040"/>
      <c r="I323" s="1040"/>
      <c r="J323" s="1040"/>
    </row>
    <row r="324" spans="1:10" x14ac:dyDescent="0.3">
      <c r="A324" s="1038" t="s">
        <v>682</v>
      </c>
      <c r="B324" s="1038" t="s">
        <v>1334</v>
      </c>
      <c r="C324" s="1038" t="s">
        <v>1335</v>
      </c>
      <c r="D324" s="1038" t="s">
        <v>683</v>
      </c>
      <c r="E324" s="1039"/>
      <c r="F324" s="1040"/>
      <c r="G324" s="1040"/>
      <c r="H324" s="1040"/>
      <c r="I324" s="1040"/>
      <c r="J324" s="1040"/>
    </row>
    <row r="325" spans="1:10" x14ac:dyDescent="0.3">
      <c r="A325" s="1036" t="s">
        <v>682</v>
      </c>
      <c r="B325" s="1036" t="s">
        <v>1275</v>
      </c>
      <c r="C325" s="1036" t="s">
        <v>1276</v>
      </c>
      <c r="D325" s="1036" t="s">
        <v>1172</v>
      </c>
      <c r="E325" s="1037"/>
      <c r="F325" s="1040"/>
      <c r="G325" s="1040"/>
      <c r="H325" s="1040"/>
      <c r="I325" s="1040"/>
      <c r="J325" s="1040"/>
    </row>
    <row r="326" spans="1:10" x14ac:dyDescent="0.3">
      <c r="A326" s="1038" t="s">
        <v>682</v>
      </c>
      <c r="B326" s="1038" t="s">
        <v>1336</v>
      </c>
      <c r="C326" s="1038" t="s">
        <v>1337</v>
      </c>
      <c r="D326" s="1038" t="s">
        <v>692</v>
      </c>
      <c r="E326" s="1039"/>
      <c r="F326" s="1040"/>
      <c r="G326" s="1040"/>
      <c r="H326" s="1040"/>
      <c r="I326" s="1040"/>
      <c r="J326" s="1040"/>
    </row>
    <row r="327" spans="1:10" x14ac:dyDescent="0.3">
      <c r="A327" s="1036" t="s">
        <v>682</v>
      </c>
      <c r="B327" s="1036" t="s">
        <v>1338</v>
      </c>
      <c r="C327" s="1036" t="s">
        <v>1339</v>
      </c>
      <c r="D327" s="1036" t="s">
        <v>692</v>
      </c>
      <c r="E327" s="1037"/>
      <c r="F327" s="1040"/>
      <c r="G327" s="1040"/>
      <c r="H327" s="1040"/>
      <c r="I327" s="1040"/>
      <c r="J327" s="1040"/>
    </row>
    <row r="328" spans="1:10" x14ac:dyDescent="0.3">
      <c r="A328" s="1038" t="s">
        <v>682</v>
      </c>
      <c r="B328" s="1038" t="s">
        <v>1340</v>
      </c>
      <c r="C328" s="1038" t="s">
        <v>1341</v>
      </c>
      <c r="D328" s="1038" t="s">
        <v>692</v>
      </c>
      <c r="E328" s="1039"/>
      <c r="F328" s="1040"/>
      <c r="G328" s="1040"/>
      <c r="H328" s="1040"/>
      <c r="I328" s="1040"/>
      <c r="J328" s="1040"/>
    </row>
    <row r="329" spans="1:10" x14ac:dyDescent="0.3">
      <c r="A329" s="1036" t="s">
        <v>682</v>
      </c>
      <c r="B329" s="1036" t="s">
        <v>1342</v>
      </c>
      <c r="C329" s="1036" t="s">
        <v>1343</v>
      </c>
      <c r="D329" s="1036" t="s">
        <v>692</v>
      </c>
      <c r="E329" s="1037"/>
      <c r="F329" s="1040"/>
      <c r="G329" s="1040"/>
      <c r="H329" s="1040"/>
      <c r="I329" s="1040"/>
      <c r="J329" s="1040"/>
    </row>
    <row r="330" spans="1:10" x14ac:dyDescent="0.3">
      <c r="A330" s="1038" t="s">
        <v>682</v>
      </c>
      <c r="B330" s="1038" t="s">
        <v>1344</v>
      </c>
      <c r="C330" s="1038" t="s">
        <v>1345</v>
      </c>
      <c r="D330" s="1038" t="s">
        <v>692</v>
      </c>
      <c r="E330" s="1039"/>
      <c r="F330" s="1040"/>
      <c r="G330" s="1040"/>
      <c r="H330" s="1040"/>
      <c r="I330" s="1040"/>
      <c r="J330" s="1040"/>
    </row>
    <row r="331" spans="1:10" x14ac:dyDescent="0.3">
      <c r="A331" s="1036" t="s">
        <v>682</v>
      </c>
      <c r="B331" s="1036" t="s">
        <v>1292</v>
      </c>
      <c r="C331" s="1036" t="s">
        <v>1293</v>
      </c>
      <c r="D331" s="1036" t="s">
        <v>1172</v>
      </c>
      <c r="E331" s="1037"/>
      <c r="F331" s="1040"/>
      <c r="G331" s="1040"/>
      <c r="H331" s="1040"/>
      <c r="I331" s="1040"/>
      <c r="J331" s="1040"/>
    </row>
    <row r="332" spans="1:10" x14ac:dyDescent="0.3">
      <c r="A332" s="1038" t="s">
        <v>682</v>
      </c>
      <c r="B332" s="1038" t="s">
        <v>1346</v>
      </c>
      <c r="C332" s="1038" t="s">
        <v>1347</v>
      </c>
      <c r="D332" s="1038" t="s">
        <v>692</v>
      </c>
      <c r="E332" s="1039"/>
      <c r="F332" s="1040"/>
      <c r="G332" s="1040"/>
      <c r="H332" s="1040"/>
      <c r="I332" s="1040"/>
      <c r="J332" s="1040"/>
    </row>
    <row r="333" spans="1:10" x14ac:dyDescent="0.3">
      <c r="A333" s="1036" t="s">
        <v>682</v>
      </c>
      <c r="B333" s="1036" t="s">
        <v>1348</v>
      </c>
      <c r="C333" s="1036" t="s">
        <v>1349</v>
      </c>
      <c r="D333" s="1036" t="s">
        <v>692</v>
      </c>
      <c r="E333" s="1037"/>
      <c r="F333" s="1040"/>
      <c r="G333" s="1040"/>
      <c r="H333" s="1040"/>
      <c r="I333" s="1040"/>
      <c r="J333" s="1040"/>
    </row>
    <row r="334" spans="1:10" x14ac:dyDescent="0.3">
      <c r="A334" s="1038" t="s">
        <v>682</v>
      </c>
      <c r="B334" s="1038" t="s">
        <v>1350</v>
      </c>
      <c r="C334" s="1038" t="s">
        <v>1351</v>
      </c>
      <c r="D334" s="1038" t="s">
        <v>1214</v>
      </c>
      <c r="E334" s="1039"/>
      <c r="F334" s="1040"/>
      <c r="G334" s="1040"/>
      <c r="H334" s="1040"/>
      <c r="I334" s="1040"/>
      <c r="J334" s="1040"/>
    </row>
    <row r="335" spans="1:10" x14ac:dyDescent="0.3">
      <c r="A335" s="1036" t="s">
        <v>682</v>
      </c>
      <c r="B335" s="1036" t="s">
        <v>1200</v>
      </c>
      <c r="C335" s="1036" t="s">
        <v>1201</v>
      </c>
      <c r="D335" s="1036" t="s">
        <v>1172</v>
      </c>
      <c r="E335" s="1037"/>
      <c r="F335" s="1040"/>
      <c r="G335" s="1040"/>
      <c r="H335" s="1040"/>
      <c r="I335" s="1040"/>
      <c r="J335" s="1040"/>
    </row>
    <row r="336" spans="1:10" x14ac:dyDescent="0.3">
      <c r="A336" s="1038" t="s">
        <v>682</v>
      </c>
      <c r="B336" s="1038" t="s">
        <v>1304</v>
      </c>
      <c r="C336" s="1038" t="s">
        <v>1305</v>
      </c>
      <c r="D336" s="1038" t="s">
        <v>1172</v>
      </c>
      <c r="E336" s="1039"/>
      <c r="F336" s="1040"/>
      <c r="G336" s="1040"/>
      <c r="H336" s="1040"/>
      <c r="I336" s="1040"/>
      <c r="J336" s="1040"/>
    </row>
    <row r="337" spans="1:10" x14ac:dyDescent="0.3">
      <c r="A337" s="1036" t="s">
        <v>682</v>
      </c>
      <c r="B337" s="1036" t="s">
        <v>1352</v>
      </c>
      <c r="C337" s="1036" t="s">
        <v>1353</v>
      </c>
      <c r="D337" s="1036" t="s">
        <v>683</v>
      </c>
      <c r="E337" s="1037"/>
      <c r="F337" s="1040"/>
      <c r="G337" s="1040"/>
      <c r="H337" s="1040"/>
      <c r="I337" s="1040"/>
      <c r="J337" s="1040"/>
    </row>
    <row r="338" spans="1:10" x14ac:dyDescent="0.3">
      <c r="A338" s="1038" t="s">
        <v>682</v>
      </c>
      <c r="B338" s="1038" t="s">
        <v>1208</v>
      </c>
      <c r="C338" s="1038" t="s">
        <v>1209</v>
      </c>
      <c r="D338" s="1038" t="s">
        <v>1172</v>
      </c>
      <c r="E338" s="1039"/>
      <c r="F338" s="1040"/>
      <c r="G338" s="1040"/>
      <c r="H338" s="1040"/>
      <c r="I338" s="1040"/>
      <c r="J338" s="1040"/>
    </row>
    <row r="339" spans="1:10" x14ac:dyDescent="0.3">
      <c r="A339" s="1036" t="s">
        <v>682</v>
      </c>
      <c r="B339" s="1036" t="s">
        <v>1206</v>
      </c>
      <c r="C339" s="1036" t="s">
        <v>1207</v>
      </c>
      <c r="D339" s="1036" t="s">
        <v>1172</v>
      </c>
      <c r="E339" s="1037"/>
      <c r="F339" s="1040"/>
      <c r="G339" s="1040"/>
      <c r="H339" s="1040"/>
      <c r="I339" s="1040"/>
      <c r="J339" s="1040"/>
    </row>
    <row r="340" spans="1:10" x14ac:dyDescent="0.3">
      <c r="A340" s="1038" t="s">
        <v>682</v>
      </c>
      <c r="B340" s="1038" t="s">
        <v>1310</v>
      </c>
      <c r="C340" s="1038" t="s">
        <v>1209</v>
      </c>
      <c r="D340" s="1038" t="s">
        <v>1172</v>
      </c>
      <c r="E340" s="1039"/>
      <c r="F340" s="1040"/>
      <c r="G340" s="1040"/>
      <c r="H340" s="1040"/>
      <c r="I340" s="1040"/>
      <c r="J340" s="1040"/>
    </row>
    <row r="341" spans="1:10" x14ac:dyDescent="0.3">
      <c r="A341" s="1036" t="s">
        <v>682</v>
      </c>
      <c r="B341" s="1036" t="s">
        <v>1309</v>
      </c>
      <c r="C341" s="1036" t="s">
        <v>1207</v>
      </c>
      <c r="D341" s="1036" t="s">
        <v>1172</v>
      </c>
      <c r="E341" s="1037"/>
      <c r="F341" s="1040"/>
      <c r="G341" s="1040"/>
      <c r="H341" s="1040"/>
      <c r="I341" s="1040"/>
      <c r="J341" s="1040"/>
    </row>
    <row r="342" spans="1:10" x14ac:dyDescent="0.3">
      <c r="A342" s="1038" t="s">
        <v>682</v>
      </c>
      <c r="B342" s="1038" t="s">
        <v>1313</v>
      </c>
      <c r="C342" s="1038" t="s">
        <v>1314</v>
      </c>
      <c r="D342" s="1038" t="s">
        <v>1172</v>
      </c>
      <c r="E342" s="1039"/>
      <c r="F342" s="1040"/>
      <c r="G342" s="1040"/>
      <c r="H342" s="1040"/>
      <c r="I342" s="1040"/>
      <c r="J342" s="1040"/>
    </row>
    <row r="343" spans="1:10" x14ac:dyDescent="0.3">
      <c r="A343" s="1036" t="s">
        <v>682</v>
      </c>
      <c r="B343" s="1036" t="s">
        <v>1217</v>
      </c>
      <c r="C343" s="1036" t="s">
        <v>1218</v>
      </c>
      <c r="D343" s="1036" t="s">
        <v>1172</v>
      </c>
      <c r="E343" s="1037"/>
      <c r="F343" s="1040"/>
      <c r="G343" s="1040"/>
      <c r="H343" s="1040"/>
      <c r="I343" s="1040"/>
      <c r="J343" s="1040"/>
    </row>
    <row r="344" spans="1:10" x14ac:dyDescent="0.3">
      <c r="A344" s="1038" t="s">
        <v>682</v>
      </c>
      <c r="B344" s="1038" t="s">
        <v>1315</v>
      </c>
      <c r="C344" s="1038" t="s">
        <v>1316</v>
      </c>
      <c r="D344" s="1038" t="s">
        <v>1172</v>
      </c>
      <c r="E344" s="1039"/>
      <c r="F344" s="1040"/>
      <c r="G344" s="1040"/>
      <c r="H344" s="1040"/>
      <c r="I344" s="1040"/>
      <c r="J344" s="1040"/>
    </row>
    <row r="345" spans="1:10" x14ac:dyDescent="0.3">
      <c r="A345" s="1036" t="s">
        <v>682</v>
      </c>
      <c r="B345" s="1036" t="s">
        <v>1317</v>
      </c>
      <c r="C345" s="1036" t="s">
        <v>1316</v>
      </c>
      <c r="D345" s="1036" t="s">
        <v>1172</v>
      </c>
      <c r="E345" s="1037"/>
      <c r="F345" s="1040"/>
      <c r="G345" s="1040"/>
      <c r="H345" s="1040"/>
      <c r="I345" s="1040"/>
      <c r="J345" s="1040"/>
    </row>
    <row r="346" spans="1:10" x14ac:dyDescent="0.3">
      <c r="A346" s="1038" t="s">
        <v>682</v>
      </c>
      <c r="B346" s="1038" t="s">
        <v>1336</v>
      </c>
      <c r="C346" s="1038" t="s">
        <v>1337</v>
      </c>
      <c r="D346" s="1038" t="s">
        <v>1172</v>
      </c>
      <c r="E346" s="1039"/>
      <c r="F346" s="1040"/>
      <c r="G346" s="1040"/>
      <c r="H346" s="1040"/>
      <c r="I346" s="1040"/>
      <c r="J346" s="1040"/>
    </row>
    <row r="347" spans="1:10" x14ac:dyDescent="0.3">
      <c r="A347" s="1036" t="s">
        <v>682</v>
      </c>
      <c r="B347" s="1036" t="s">
        <v>1338</v>
      </c>
      <c r="C347" s="1036" t="s">
        <v>1339</v>
      </c>
      <c r="D347" s="1036" t="s">
        <v>1172</v>
      </c>
      <c r="E347" s="1037"/>
      <c r="F347" s="1040"/>
      <c r="G347" s="1040"/>
      <c r="H347" s="1040"/>
      <c r="I347" s="1040"/>
      <c r="J347" s="1040"/>
    </row>
    <row r="348" spans="1:10" x14ac:dyDescent="0.3">
      <c r="A348" s="1038" t="s">
        <v>682</v>
      </c>
      <c r="B348" s="1038" t="s">
        <v>1354</v>
      </c>
      <c r="C348" s="1038" t="s">
        <v>1355</v>
      </c>
      <c r="D348" s="1038" t="s">
        <v>683</v>
      </c>
      <c r="E348" s="1039"/>
      <c r="F348" s="1040"/>
      <c r="G348" s="1040"/>
      <c r="H348" s="1040"/>
      <c r="I348" s="1040"/>
      <c r="J348" s="1040"/>
    </row>
    <row r="349" spans="1:10" x14ac:dyDescent="0.3">
      <c r="A349" s="1036" t="s">
        <v>682</v>
      </c>
      <c r="B349" s="1036" t="s">
        <v>1342</v>
      </c>
      <c r="C349" s="1036" t="s">
        <v>1343</v>
      </c>
      <c r="D349" s="1036" t="s">
        <v>1172</v>
      </c>
      <c r="E349" s="1037"/>
      <c r="F349" s="1040"/>
      <c r="G349" s="1040"/>
      <c r="H349" s="1040"/>
      <c r="I349" s="1040"/>
      <c r="J349" s="1040"/>
    </row>
    <row r="350" spans="1:10" x14ac:dyDescent="0.3">
      <c r="A350" s="1038" t="s">
        <v>682</v>
      </c>
      <c r="B350" s="1038" t="s">
        <v>1344</v>
      </c>
      <c r="C350" s="1038" t="s">
        <v>1345</v>
      </c>
      <c r="D350" s="1038" t="s">
        <v>1172</v>
      </c>
      <c r="E350" s="1039"/>
      <c r="F350" s="1040"/>
      <c r="G350" s="1040"/>
      <c r="H350" s="1040"/>
      <c r="I350" s="1040"/>
      <c r="J350" s="1040"/>
    </row>
    <row r="351" spans="1:10" x14ac:dyDescent="0.3">
      <c r="A351" s="1036" t="s">
        <v>682</v>
      </c>
      <c r="B351" s="1036" t="s">
        <v>1356</v>
      </c>
      <c r="C351" s="1036" t="s">
        <v>1357</v>
      </c>
      <c r="D351" s="1036" t="s">
        <v>683</v>
      </c>
      <c r="E351" s="1037"/>
      <c r="F351" s="1040"/>
      <c r="G351" s="1040"/>
      <c r="H351" s="1040"/>
      <c r="I351" s="1040"/>
      <c r="J351" s="1040"/>
    </row>
    <row r="352" spans="1:10" x14ac:dyDescent="0.3">
      <c r="A352" s="1038" t="s">
        <v>682</v>
      </c>
      <c r="B352" s="1038" t="s">
        <v>1358</v>
      </c>
      <c r="C352" s="1038" t="s">
        <v>1359</v>
      </c>
      <c r="D352" s="1038" t="s">
        <v>683</v>
      </c>
      <c r="E352" s="1039"/>
      <c r="F352" s="1040"/>
      <c r="G352" s="1040"/>
      <c r="H352" s="1040"/>
      <c r="I352" s="1040"/>
      <c r="J352" s="1040"/>
    </row>
    <row r="353" spans="1:10" x14ac:dyDescent="0.3">
      <c r="A353" s="1036" t="s">
        <v>682</v>
      </c>
      <c r="B353" s="1036" t="s">
        <v>1360</v>
      </c>
      <c r="C353" s="1036" t="s">
        <v>1361</v>
      </c>
      <c r="D353" s="1036" t="s">
        <v>683</v>
      </c>
      <c r="E353" s="1037"/>
      <c r="F353" s="1040"/>
      <c r="G353" s="1040"/>
      <c r="H353" s="1040"/>
      <c r="I353" s="1040"/>
      <c r="J353" s="1040"/>
    </row>
    <row r="354" spans="1:10" x14ac:dyDescent="0.3">
      <c r="A354" s="1038" t="s">
        <v>682</v>
      </c>
      <c r="B354" s="1038" t="s">
        <v>1362</v>
      </c>
      <c r="C354" s="1038" t="s">
        <v>1363</v>
      </c>
      <c r="D354" s="1038" t="s">
        <v>683</v>
      </c>
      <c r="E354" s="1039"/>
      <c r="F354" s="1040"/>
      <c r="G354" s="1040"/>
      <c r="H354" s="1040"/>
      <c r="I354" s="1040"/>
      <c r="J354" s="1040"/>
    </row>
    <row r="355" spans="1:10" x14ac:dyDescent="0.3">
      <c r="A355" s="1036" t="s">
        <v>682</v>
      </c>
      <c r="B355" s="1036" t="s">
        <v>1364</v>
      </c>
      <c r="C355" s="1036" t="s">
        <v>1365</v>
      </c>
      <c r="D355" s="1036" t="s">
        <v>683</v>
      </c>
      <c r="E355" s="1037"/>
      <c r="F355" s="1040"/>
      <c r="G355" s="1040"/>
      <c r="H355" s="1040"/>
      <c r="I355" s="1040"/>
      <c r="J355" s="1040"/>
    </row>
    <row r="356" spans="1:10" x14ac:dyDescent="0.3">
      <c r="A356" s="1038" t="s">
        <v>682</v>
      </c>
      <c r="B356" s="1038" t="s">
        <v>1366</v>
      </c>
      <c r="C356" s="1038" t="s">
        <v>1367</v>
      </c>
      <c r="D356" s="1038" t="s">
        <v>683</v>
      </c>
      <c r="E356" s="1039"/>
      <c r="F356" s="1040"/>
      <c r="G356" s="1040"/>
      <c r="H356" s="1040"/>
      <c r="I356" s="1040"/>
      <c r="J356" s="1040"/>
    </row>
    <row r="357" spans="1:10" x14ac:dyDescent="0.3">
      <c r="A357" s="1036" t="s">
        <v>682</v>
      </c>
      <c r="B357" s="1036" t="s">
        <v>1368</v>
      </c>
      <c r="C357" s="1036" t="s">
        <v>1369</v>
      </c>
      <c r="D357" s="1036" t="s">
        <v>683</v>
      </c>
      <c r="E357" s="1037"/>
      <c r="F357" s="1040"/>
      <c r="G357" s="1040"/>
      <c r="H357" s="1040"/>
      <c r="I357" s="1040"/>
      <c r="J357" s="1040"/>
    </row>
    <row r="358" spans="1:10" x14ac:dyDescent="0.3">
      <c r="A358" s="1038" t="s">
        <v>682</v>
      </c>
      <c r="B358" s="1038" t="s">
        <v>1370</v>
      </c>
      <c r="C358" s="1038" t="s">
        <v>1371</v>
      </c>
      <c r="D358" s="1038" t="s">
        <v>683</v>
      </c>
      <c r="E358" s="1039"/>
      <c r="F358" s="1040"/>
      <c r="G358" s="1040"/>
      <c r="H358" s="1040"/>
      <c r="I358" s="1040"/>
      <c r="J358" s="1040"/>
    </row>
    <row r="359" spans="1:10" x14ac:dyDescent="0.3">
      <c r="A359" s="1036" t="s">
        <v>682</v>
      </c>
      <c r="B359" s="1036" t="s">
        <v>1372</v>
      </c>
      <c r="C359" s="1036" t="s">
        <v>1373</v>
      </c>
      <c r="D359" s="1036" t="s">
        <v>692</v>
      </c>
      <c r="E359" s="1037"/>
      <c r="F359" s="1040"/>
      <c r="G359" s="1040"/>
      <c r="H359" s="1040"/>
      <c r="I359" s="1040"/>
      <c r="J359" s="1040"/>
    </row>
    <row r="360" spans="1:10" x14ac:dyDescent="0.3">
      <c r="A360" s="1038" t="s">
        <v>682</v>
      </c>
      <c r="B360" s="1038" t="s">
        <v>1374</v>
      </c>
      <c r="C360" s="1038" t="s">
        <v>1375</v>
      </c>
      <c r="D360" s="1038" t="s">
        <v>683</v>
      </c>
      <c r="E360" s="1039"/>
      <c r="F360" s="1040"/>
      <c r="G360" s="1040"/>
      <c r="H360" s="1040"/>
      <c r="I360" s="1040"/>
      <c r="J360" s="1040"/>
    </row>
    <row r="361" spans="1:10" x14ac:dyDescent="0.3">
      <c r="A361" s="1036" t="s">
        <v>682</v>
      </c>
      <c r="B361" s="1036" t="s">
        <v>1376</v>
      </c>
      <c r="C361" s="1036" t="s">
        <v>1377</v>
      </c>
      <c r="D361" s="1036" t="s">
        <v>683</v>
      </c>
      <c r="E361" s="1037"/>
      <c r="F361" s="1040"/>
      <c r="G361" s="1040"/>
      <c r="H361" s="1040"/>
      <c r="I361" s="1040"/>
      <c r="J361" s="1040"/>
    </row>
    <row r="362" spans="1:10" x14ac:dyDescent="0.3">
      <c r="A362" s="1038" t="s">
        <v>682</v>
      </c>
      <c r="B362" s="1038" t="s">
        <v>1378</v>
      </c>
      <c r="C362" s="1038" t="s">
        <v>1379</v>
      </c>
      <c r="D362" s="1038" t="s">
        <v>683</v>
      </c>
      <c r="E362" s="1039"/>
      <c r="F362" s="1040"/>
      <c r="G362" s="1040"/>
      <c r="H362" s="1040"/>
      <c r="I362" s="1040"/>
      <c r="J362" s="1040"/>
    </row>
    <row r="363" spans="1:10" x14ac:dyDescent="0.3">
      <c r="A363" s="1036" t="s">
        <v>682</v>
      </c>
      <c r="B363" s="1036" t="s">
        <v>1380</v>
      </c>
      <c r="C363" s="1036" t="s">
        <v>1381</v>
      </c>
      <c r="D363" s="1036" t="s">
        <v>683</v>
      </c>
      <c r="E363" s="1037"/>
      <c r="F363" s="1040"/>
      <c r="G363" s="1040"/>
      <c r="H363" s="1040"/>
      <c r="I363" s="1040"/>
      <c r="J363" s="1040"/>
    </row>
    <row r="364" spans="1:10" x14ac:dyDescent="0.3">
      <c r="A364" s="1038" t="s">
        <v>682</v>
      </c>
      <c r="B364" s="1038" t="s">
        <v>1382</v>
      </c>
      <c r="C364" s="1038" t="s">
        <v>1383</v>
      </c>
      <c r="D364" s="1038" t="s">
        <v>683</v>
      </c>
      <c r="E364" s="1039"/>
      <c r="F364" s="1040"/>
      <c r="G364" s="1040"/>
      <c r="H364" s="1040"/>
      <c r="I364" s="1040"/>
      <c r="J364" s="1040"/>
    </row>
    <row r="365" spans="1:10" x14ac:dyDescent="0.3">
      <c r="A365" s="1036" t="s">
        <v>682</v>
      </c>
      <c r="B365" s="1036" t="s">
        <v>1384</v>
      </c>
      <c r="C365" s="1036" t="s">
        <v>1385</v>
      </c>
      <c r="D365" s="1036" t="s">
        <v>1230</v>
      </c>
      <c r="E365" s="1037"/>
      <c r="F365" s="1040"/>
      <c r="G365" s="1040"/>
      <c r="H365" s="1040"/>
      <c r="I365" s="1040"/>
      <c r="J365" s="1040"/>
    </row>
    <row r="366" spans="1:10" x14ac:dyDescent="0.3">
      <c r="A366" s="1038" t="s">
        <v>682</v>
      </c>
      <c r="B366" s="1038" t="s">
        <v>1386</v>
      </c>
      <c r="C366" s="1038" t="s">
        <v>1387</v>
      </c>
      <c r="D366" s="1038" t="s">
        <v>683</v>
      </c>
      <c r="E366" s="1039"/>
      <c r="F366" s="1040"/>
      <c r="G366" s="1040"/>
      <c r="H366" s="1040"/>
      <c r="I366" s="1040"/>
      <c r="J366" s="1040"/>
    </row>
    <row r="367" spans="1:10" x14ac:dyDescent="0.3">
      <c r="A367" s="1246"/>
      <c r="B367" s="1246"/>
      <c r="C367" s="1246"/>
      <c r="D367" s="1246"/>
      <c r="E367" s="1284">
        <f>(COUNTIF(E197:E366,"Sim")/(COUNTA(B197:B366)))</f>
        <v>0</v>
      </c>
      <c r="F367" s="1040"/>
      <c r="G367" s="1040"/>
      <c r="H367" s="1040"/>
      <c r="I367" s="1040"/>
      <c r="J367" s="1040"/>
    </row>
    <row r="368" spans="1:10" x14ac:dyDescent="0.3">
      <c r="F368" s="1040"/>
      <c r="G368" s="1040"/>
      <c r="H368" s="1040"/>
      <c r="I368" s="1040"/>
      <c r="J368" s="1040"/>
    </row>
    <row r="369" spans="1:10" x14ac:dyDescent="0.3">
      <c r="F369" s="1040"/>
      <c r="G369" s="1040"/>
      <c r="H369" s="1040"/>
      <c r="I369" s="1040"/>
      <c r="J369" s="1040"/>
    </row>
    <row r="370" spans="1:10" x14ac:dyDescent="0.3">
      <c r="A370" s="1954" t="s">
        <v>572</v>
      </c>
      <c r="B370" s="1954"/>
      <c r="C370" s="1954"/>
      <c r="D370" s="1242" t="s">
        <v>573</v>
      </c>
      <c r="E370" s="1100" t="s">
        <v>78</v>
      </c>
      <c r="F370" s="1242" t="s">
        <v>79</v>
      </c>
      <c r="G370" s="1040"/>
      <c r="H370" s="1040"/>
      <c r="I370" s="1040"/>
      <c r="J370" s="1040"/>
    </row>
    <row r="371" spans="1:10" x14ac:dyDescent="0.3">
      <c r="A371" s="112" t="s">
        <v>871</v>
      </c>
      <c r="B371" s="112" t="s">
        <v>872</v>
      </c>
      <c r="C371" s="1248"/>
      <c r="D371" s="1303">
        <v>1</v>
      </c>
      <c r="E371" s="1304" t="s">
        <v>873</v>
      </c>
      <c r="F371" s="1304" t="s">
        <v>873</v>
      </c>
      <c r="G371" s="1040"/>
      <c r="H371" s="1040"/>
      <c r="I371" s="1040"/>
      <c r="J371" s="1040"/>
    </row>
    <row r="372" spans="1:10" x14ac:dyDescent="0.3">
      <c r="A372" s="321" t="s">
        <v>871</v>
      </c>
      <c r="B372" s="322" t="s">
        <v>874</v>
      </c>
      <c r="C372" s="1305"/>
      <c r="D372" s="1306">
        <v>1</v>
      </c>
      <c r="E372" s="1307" t="s">
        <v>308</v>
      </c>
      <c r="F372" s="1307" t="s">
        <v>308</v>
      </c>
    </row>
    <row r="373" spans="1:10" x14ac:dyDescent="0.3">
      <c r="A373" s="112" t="s">
        <v>871</v>
      </c>
      <c r="B373" s="112" t="s">
        <v>875</v>
      </c>
      <c r="C373" s="1248"/>
      <c r="D373" s="1303">
        <v>1</v>
      </c>
      <c r="E373" s="1304" t="s">
        <v>308</v>
      </c>
      <c r="F373" s="1304" t="s">
        <v>308</v>
      </c>
    </row>
    <row r="374" spans="1:10" x14ac:dyDescent="0.3">
      <c r="A374" s="321" t="s">
        <v>871</v>
      </c>
      <c r="B374" s="322" t="s">
        <v>876</v>
      </c>
      <c r="C374" s="1305"/>
      <c r="D374" s="1306">
        <v>1</v>
      </c>
      <c r="E374" s="1307" t="s">
        <v>308</v>
      </c>
      <c r="F374" s="1307" t="s">
        <v>308</v>
      </c>
    </row>
    <row r="375" spans="1:10" x14ac:dyDescent="0.3">
      <c r="A375" s="112" t="s">
        <v>871</v>
      </c>
      <c r="B375" s="112" t="s">
        <v>877</v>
      </c>
      <c r="C375" s="1248"/>
      <c r="D375" s="1303">
        <v>1</v>
      </c>
      <c r="E375" s="1304" t="s">
        <v>873</v>
      </c>
      <c r="F375" s="1304" t="s">
        <v>873</v>
      </c>
    </row>
    <row r="376" spans="1:10" x14ac:dyDescent="0.3">
      <c r="A376" s="321" t="s">
        <v>878</v>
      </c>
      <c r="B376" s="322" t="s">
        <v>879</v>
      </c>
      <c r="C376" s="1305"/>
      <c r="D376" s="1306">
        <v>1</v>
      </c>
      <c r="E376" s="1307" t="s">
        <v>873</v>
      </c>
      <c r="F376" s="1307" t="s">
        <v>873</v>
      </c>
    </row>
    <row r="377" spans="1:10" x14ac:dyDescent="0.3">
      <c r="A377" s="112" t="s">
        <v>878</v>
      </c>
      <c r="B377" s="112" t="s">
        <v>880</v>
      </c>
      <c r="C377" s="1248"/>
      <c r="D377" s="1303">
        <v>1</v>
      </c>
      <c r="E377" s="1304" t="s">
        <v>308</v>
      </c>
      <c r="F377" s="1304" t="s">
        <v>873</v>
      </c>
    </row>
    <row r="378" spans="1:10" x14ac:dyDescent="0.3">
      <c r="A378" s="321" t="s">
        <v>878</v>
      </c>
      <c r="B378" s="322" t="s">
        <v>881</v>
      </c>
      <c r="C378" s="1305"/>
      <c r="D378" s="1306">
        <v>1</v>
      </c>
      <c r="E378" s="1307" t="s">
        <v>873</v>
      </c>
      <c r="F378" s="1307" t="s">
        <v>873</v>
      </c>
    </row>
    <row r="379" spans="1:10" x14ac:dyDescent="0.3">
      <c r="A379" s="112" t="s">
        <v>878</v>
      </c>
      <c r="B379" s="112" t="s">
        <v>882</v>
      </c>
      <c r="C379" s="1248"/>
      <c r="D379" s="1303">
        <v>1</v>
      </c>
      <c r="E379" s="1304" t="s">
        <v>308</v>
      </c>
      <c r="F379" s="1304" t="s">
        <v>873</v>
      </c>
    </row>
    <row r="380" spans="1:10" x14ac:dyDescent="0.3">
      <c r="A380" s="321" t="s">
        <v>878</v>
      </c>
      <c r="B380" s="322" t="s">
        <v>883</v>
      </c>
      <c r="C380" s="1305"/>
      <c r="D380" s="1306">
        <v>1</v>
      </c>
      <c r="E380" s="1307" t="s">
        <v>873</v>
      </c>
      <c r="F380" s="1307" t="s">
        <v>873</v>
      </c>
    </row>
    <row r="381" spans="1:10" x14ac:dyDescent="0.3">
      <c r="A381" s="112" t="s">
        <v>884</v>
      </c>
      <c r="B381" s="112" t="s">
        <v>885</v>
      </c>
      <c r="C381" s="1248"/>
      <c r="D381" s="1303">
        <v>1</v>
      </c>
      <c r="E381" s="1263" t="s">
        <v>873</v>
      </c>
      <c r="F381" s="1263" t="s">
        <v>873</v>
      </c>
    </row>
    <row r="382" spans="1:10" x14ac:dyDescent="0.3">
      <c r="A382" s="321" t="s">
        <v>884</v>
      </c>
      <c r="B382" s="322" t="s">
        <v>886</v>
      </c>
      <c r="C382" s="1305"/>
      <c r="D382" s="1306">
        <v>1</v>
      </c>
      <c r="E382" s="1256" t="s">
        <v>873</v>
      </c>
      <c r="F382" s="1256" t="s">
        <v>873</v>
      </c>
    </row>
    <row r="383" spans="1:10" x14ac:dyDescent="0.3">
      <c r="A383" s="112" t="s">
        <v>884</v>
      </c>
      <c r="B383" s="112" t="s">
        <v>887</v>
      </c>
      <c r="C383" s="1248"/>
      <c r="D383" s="1303">
        <v>1</v>
      </c>
      <c r="E383" s="1263" t="s">
        <v>873</v>
      </c>
      <c r="F383" s="1263" t="s">
        <v>873</v>
      </c>
    </row>
    <row r="384" spans="1:10" x14ac:dyDescent="0.3">
      <c r="A384" s="321" t="s">
        <v>884</v>
      </c>
      <c r="B384" s="322" t="s">
        <v>888</v>
      </c>
      <c r="C384" s="1305"/>
      <c r="D384" s="1306">
        <v>1</v>
      </c>
      <c r="E384" s="1307" t="s">
        <v>308</v>
      </c>
      <c r="F384" s="1307" t="s">
        <v>873</v>
      </c>
    </row>
    <row r="385" spans="1:6" x14ac:dyDescent="0.3">
      <c r="A385" s="112" t="s">
        <v>884</v>
      </c>
      <c r="B385" s="112" t="s">
        <v>889</v>
      </c>
      <c r="C385" s="1248"/>
      <c r="D385" s="1303">
        <v>1</v>
      </c>
      <c r="E385" s="1304" t="s">
        <v>873</v>
      </c>
      <c r="F385" s="1304" t="s">
        <v>873</v>
      </c>
    </row>
    <row r="386" spans="1:6" x14ac:dyDescent="0.3">
      <c r="A386" s="321" t="s">
        <v>884</v>
      </c>
      <c r="B386" s="322" t="s">
        <v>890</v>
      </c>
      <c r="C386" s="1305"/>
      <c r="D386" s="1306">
        <v>1</v>
      </c>
      <c r="E386" s="1307" t="s">
        <v>873</v>
      </c>
      <c r="F386" s="1307" t="s">
        <v>873</v>
      </c>
    </row>
    <row r="387" spans="1:6" x14ac:dyDescent="0.3">
      <c r="A387" s="112" t="s">
        <v>884</v>
      </c>
      <c r="B387" s="112" t="s">
        <v>891</v>
      </c>
      <c r="C387" s="1248"/>
      <c r="D387" s="1303">
        <v>1</v>
      </c>
      <c r="E387" s="1304" t="s">
        <v>873</v>
      </c>
      <c r="F387" s="1304" t="s">
        <v>873</v>
      </c>
    </row>
    <row r="388" spans="1:6" x14ac:dyDescent="0.3">
      <c r="A388" s="321" t="s">
        <v>892</v>
      </c>
      <c r="B388" s="322" t="s">
        <v>893</v>
      </c>
      <c r="C388" s="1305"/>
      <c r="D388" s="1306">
        <v>1</v>
      </c>
      <c r="E388" s="1307" t="s">
        <v>308</v>
      </c>
      <c r="F388" s="1307" t="s">
        <v>308</v>
      </c>
    </row>
    <row r="389" spans="1:6" x14ac:dyDescent="0.3">
      <c r="A389" s="112" t="s">
        <v>892</v>
      </c>
      <c r="B389" s="112" t="s">
        <v>894</v>
      </c>
      <c r="C389" s="1248"/>
      <c r="D389" s="1303">
        <v>1</v>
      </c>
      <c r="E389" s="1304" t="s">
        <v>308</v>
      </c>
      <c r="F389" s="1304" t="s">
        <v>308</v>
      </c>
    </row>
    <row r="390" spans="1:6" x14ac:dyDescent="0.3">
      <c r="A390" s="321" t="s">
        <v>892</v>
      </c>
      <c r="B390" s="322" t="s">
        <v>895</v>
      </c>
      <c r="C390" s="1305"/>
      <c r="D390" s="1306">
        <v>1</v>
      </c>
      <c r="E390" s="1307" t="s">
        <v>308</v>
      </c>
      <c r="F390" s="1307" t="s">
        <v>308</v>
      </c>
    </row>
    <row r="391" spans="1:6" x14ac:dyDescent="0.3">
      <c r="A391" s="112"/>
      <c r="B391" s="112" t="s">
        <v>896</v>
      </c>
      <c r="C391" s="1248"/>
      <c r="D391" s="1303">
        <v>1</v>
      </c>
      <c r="E391" s="1304" t="s">
        <v>873</v>
      </c>
      <c r="F391" s="1304" t="s">
        <v>873</v>
      </c>
    </row>
    <row r="392" spans="1:6" x14ac:dyDescent="0.3">
      <c r="A392" s="321" t="s">
        <v>892</v>
      </c>
      <c r="B392" s="322" t="s">
        <v>897</v>
      </c>
      <c r="C392" s="1305"/>
      <c r="D392" s="1306">
        <v>1</v>
      </c>
      <c r="E392" s="1307" t="s">
        <v>873</v>
      </c>
      <c r="F392" s="1307" t="s">
        <v>308</v>
      </c>
    </row>
    <row r="393" spans="1:6" x14ac:dyDescent="0.3">
      <c r="A393" s="112" t="s">
        <v>892</v>
      </c>
      <c r="B393" s="112" t="s">
        <v>898</v>
      </c>
      <c r="C393" s="1248"/>
      <c r="D393" s="1303">
        <v>1</v>
      </c>
      <c r="E393" s="1304" t="s">
        <v>308</v>
      </c>
      <c r="F393" s="1304" t="s">
        <v>363</v>
      </c>
    </row>
    <row r="394" spans="1:6" x14ac:dyDescent="0.3">
      <c r="A394" s="321" t="s">
        <v>892</v>
      </c>
      <c r="B394" s="322" t="s">
        <v>899</v>
      </c>
      <c r="C394" s="1305"/>
      <c r="D394" s="1306">
        <v>1</v>
      </c>
      <c r="E394" s="1307" t="s">
        <v>308</v>
      </c>
      <c r="F394" s="1307" t="s">
        <v>308</v>
      </c>
    </row>
    <row r="395" spans="1:6" x14ac:dyDescent="0.3">
      <c r="A395" s="112" t="s">
        <v>892</v>
      </c>
      <c r="B395" s="112" t="s">
        <v>900</v>
      </c>
      <c r="C395" s="1248"/>
      <c r="D395" s="1303">
        <v>1</v>
      </c>
      <c r="E395" s="1304" t="s">
        <v>308</v>
      </c>
      <c r="F395" s="1304" t="s">
        <v>873</v>
      </c>
    </row>
    <row r="396" spans="1:6" x14ac:dyDescent="0.3">
      <c r="A396" s="321" t="s">
        <v>892</v>
      </c>
      <c r="B396" s="322" t="s">
        <v>901</v>
      </c>
      <c r="C396" s="1305"/>
      <c r="D396" s="1306">
        <v>1</v>
      </c>
      <c r="E396" s="1307" t="s">
        <v>589</v>
      </c>
      <c r="F396" s="1307" t="s">
        <v>589</v>
      </c>
    </row>
    <row r="397" spans="1:6" x14ac:dyDescent="0.3">
      <c r="A397" s="112" t="s">
        <v>892</v>
      </c>
      <c r="B397" s="112" t="s">
        <v>902</v>
      </c>
      <c r="C397" s="1248"/>
      <c r="D397" s="1303">
        <v>1</v>
      </c>
      <c r="E397" s="1304" t="s">
        <v>308</v>
      </c>
      <c r="F397" s="1304" t="s">
        <v>308</v>
      </c>
    </row>
    <row r="398" spans="1:6" x14ac:dyDescent="0.3">
      <c r="A398" s="321" t="s">
        <v>892</v>
      </c>
      <c r="B398" s="322" t="s">
        <v>903</v>
      </c>
      <c r="C398" s="1305"/>
      <c r="D398" s="1306">
        <v>1</v>
      </c>
      <c r="E398" s="1307" t="s">
        <v>308</v>
      </c>
      <c r="F398" s="1307" t="s">
        <v>308</v>
      </c>
    </row>
    <row r="399" spans="1:6" x14ac:dyDescent="0.3">
      <c r="A399" s="112" t="s">
        <v>892</v>
      </c>
      <c r="B399" s="112" t="s">
        <v>904</v>
      </c>
      <c r="C399" s="1248"/>
      <c r="D399" s="1303">
        <v>1</v>
      </c>
      <c r="E399" s="1304" t="s">
        <v>589</v>
      </c>
      <c r="F399" s="1304" t="s">
        <v>308</v>
      </c>
    </row>
    <row r="400" spans="1:6" x14ac:dyDescent="0.3">
      <c r="A400" s="321" t="s">
        <v>892</v>
      </c>
      <c r="B400" s="322" t="s">
        <v>905</v>
      </c>
      <c r="C400" s="1305"/>
      <c r="D400" s="1306">
        <v>1</v>
      </c>
      <c r="E400" s="1307" t="s">
        <v>308</v>
      </c>
      <c r="F400" s="1307" t="s">
        <v>308</v>
      </c>
    </row>
    <row r="401" spans="1:6" x14ac:dyDescent="0.3">
      <c r="A401" s="112" t="s">
        <v>892</v>
      </c>
      <c r="B401" s="112" t="s">
        <v>906</v>
      </c>
      <c r="C401" s="1248"/>
      <c r="D401" s="1303">
        <v>1</v>
      </c>
      <c r="E401" s="1304" t="s">
        <v>308</v>
      </c>
      <c r="F401" s="1304" t="s">
        <v>308</v>
      </c>
    </row>
    <row r="402" spans="1:6" x14ac:dyDescent="0.3">
      <c r="A402" s="321" t="s">
        <v>884</v>
      </c>
      <c r="B402" s="322" t="s">
        <v>907</v>
      </c>
      <c r="C402" s="1305"/>
      <c r="D402" s="1306">
        <v>2</v>
      </c>
      <c r="E402" s="1307" t="s">
        <v>308</v>
      </c>
      <c r="F402" s="1307" t="s">
        <v>873</v>
      </c>
    </row>
    <row r="403" spans="1:6" x14ac:dyDescent="0.3">
      <c r="A403" s="112" t="s">
        <v>884</v>
      </c>
      <c r="B403" s="112" t="s">
        <v>908</v>
      </c>
      <c r="C403" s="1248"/>
      <c r="D403" s="1303">
        <v>2</v>
      </c>
      <c r="E403" s="1304" t="s">
        <v>873</v>
      </c>
      <c r="F403" s="1304" t="s">
        <v>308</v>
      </c>
    </row>
    <row r="404" spans="1:6" x14ac:dyDescent="0.3">
      <c r="A404" s="321" t="s">
        <v>884</v>
      </c>
      <c r="B404" s="322" t="s">
        <v>909</v>
      </c>
      <c r="C404" s="1305"/>
      <c r="D404" s="1306">
        <v>2</v>
      </c>
      <c r="E404" s="1307" t="s">
        <v>873</v>
      </c>
      <c r="F404" s="1307" t="s">
        <v>873</v>
      </c>
    </row>
    <row r="405" spans="1:6" x14ac:dyDescent="0.3">
      <c r="A405" s="112" t="s">
        <v>884</v>
      </c>
      <c r="B405" s="112" t="s">
        <v>910</v>
      </c>
      <c r="C405" s="1248"/>
      <c r="D405" s="1303">
        <v>2</v>
      </c>
      <c r="E405" s="1304" t="s">
        <v>873</v>
      </c>
      <c r="F405" s="1304" t="s">
        <v>873</v>
      </c>
    </row>
    <row r="406" spans="1:6" x14ac:dyDescent="0.3">
      <c r="A406" s="321" t="s">
        <v>884</v>
      </c>
      <c r="B406" s="322" t="s">
        <v>911</v>
      </c>
      <c r="C406" s="1305"/>
      <c r="D406" s="1306">
        <v>2</v>
      </c>
      <c r="E406" s="1307" t="s">
        <v>873</v>
      </c>
      <c r="F406" s="1307" t="s">
        <v>873</v>
      </c>
    </row>
    <row r="407" spans="1:6" x14ac:dyDescent="0.3">
      <c r="A407" s="112" t="s">
        <v>892</v>
      </c>
      <c r="B407" s="112" t="s">
        <v>912</v>
      </c>
      <c r="C407" s="1248"/>
      <c r="D407" s="1303">
        <v>2</v>
      </c>
      <c r="E407" s="1304" t="s">
        <v>873</v>
      </c>
      <c r="F407" s="1304" t="s">
        <v>873</v>
      </c>
    </row>
    <row r="408" spans="1:6" x14ac:dyDescent="0.3">
      <c r="A408" s="321" t="s">
        <v>892</v>
      </c>
      <c r="B408" s="322" t="s">
        <v>913</v>
      </c>
      <c r="C408" s="1305"/>
      <c r="D408" s="1306">
        <v>2</v>
      </c>
      <c r="E408" s="1307" t="s">
        <v>873</v>
      </c>
      <c r="F408" s="1307" t="s">
        <v>873</v>
      </c>
    </row>
    <row r="409" spans="1:6" x14ac:dyDescent="0.3">
      <c r="A409" s="112" t="s">
        <v>892</v>
      </c>
      <c r="B409" s="112" t="s">
        <v>914</v>
      </c>
      <c r="C409" s="1248"/>
      <c r="D409" s="1303">
        <v>2</v>
      </c>
      <c r="E409" s="1304" t="s">
        <v>308</v>
      </c>
      <c r="F409" s="1304" t="s">
        <v>873</v>
      </c>
    </row>
    <row r="410" spans="1:6" x14ac:dyDescent="0.3">
      <c r="A410" s="321" t="s">
        <v>892</v>
      </c>
      <c r="B410" s="322" t="s">
        <v>915</v>
      </c>
      <c r="C410" s="1305"/>
      <c r="D410" s="1306">
        <v>2</v>
      </c>
      <c r="E410" s="1307" t="s">
        <v>308</v>
      </c>
      <c r="F410" s="1307" t="s">
        <v>308</v>
      </c>
    </row>
    <row r="411" spans="1:6" x14ac:dyDescent="0.3">
      <c r="A411" s="112" t="s">
        <v>892</v>
      </c>
      <c r="B411" s="112" t="s">
        <v>916</v>
      </c>
      <c r="C411" s="1248"/>
      <c r="D411" s="1303">
        <v>2</v>
      </c>
      <c r="E411" s="1263" t="s">
        <v>589</v>
      </c>
      <c r="F411" s="1263" t="s">
        <v>589</v>
      </c>
    </row>
    <row r="412" spans="1:6" x14ac:dyDescent="0.3">
      <c r="A412" s="321" t="s">
        <v>892</v>
      </c>
      <c r="B412" s="322" t="s">
        <v>917</v>
      </c>
      <c r="C412" s="1305"/>
      <c r="D412" s="1306">
        <v>2</v>
      </c>
      <c r="E412" s="1307" t="s">
        <v>308</v>
      </c>
      <c r="F412" s="1307" t="s">
        <v>308</v>
      </c>
    </row>
    <row r="413" spans="1:6" x14ac:dyDescent="0.3">
      <c r="A413" s="112" t="s">
        <v>884</v>
      </c>
      <c r="B413" s="112" t="s">
        <v>918</v>
      </c>
      <c r="C413" s="1248"/>
      <c r="D413" s="1303">
        <v>3</v>
      </c>
      <c r="E413" s="1304" t="s">
        <v>308</v>
      </c>
      <c r="F413" s="1304" t="s">
        <v>308</v>
      </c>
    </row>
    <row r="414" spans="1:6" x14ac:dyDescent="0.3">
      <c r="A414" s="321" t="s">
        <v>884</v>
      </c>
      <c r="B414" s="322" t="s">
        <v>919</v>
      </c>
      <c r="C414" s="1305"/>
      <c r="D414" s="1306">
        <v>3</v>
      </c>
      <c r="E414" s="1307" t="s">
        <v>873</v>
      </c>
      <c r="F414" s="1307" t="s">
        <v>873</v>
      </c>
    </row>
    <row r="415" spans="1:6" x14ac:dyDescent="0.3">
      <c r="A415" s="112" t="s">
        <v>892</v>
      </c>
      <c r="B415" s="112" t="s">
        <v>920</v>
      </c>
      <c r="C415" s="1248"/>
      <c r="D415" s="1303">
        <v>3</v>
      </c>
      <c r="E415" s="1304" t="s">
        <v>589</v>
      </c>
      <c r="F415" s="1304" t="s">
        <v>873</v>
      </c>
    </row>
    <row r="416" spans="1:6" x14ac:dyDescent="0.3">
      <c r="A416" s="321" t="s">
        <v>892</v>
      </c>
      <c r="B416" s="322" t="s">
        <v>1388</v>
      </c>
      <c r="C416" s="1305"/>
      <c r="D416" s="1306">
        <v>3</v>
      </c>
      <c r="E416" s="1307" t="s">
        <v>589</v>
      </c>
      <c r="F416" s="1307" t="s">
        <v>873</v>
      </c>
    </row>
    <row r="417" spans="1:6" x14ac:dyDescent="0.3">
      <c r="A417" s="112" t="s">
        <v>892</v>
      </c>
      <c r="B417" s="112" t="s">
        <v>922</v>
      </c>
      <c r="C417" s="1248"/>
      <c r="D417" s="1303">
        <v>3</v>
      </c>
      <c r="E417" s="1304" t="s">
        <v>873</v>
      </c>
      <c r="F417" s="1304" t="s">
        <v>873</v>
      </c>
    </row>
    <row r="418" spans="1:6" x14ac:dyDescent="0.3">
      <c r="A418" s="1953"/>
      <c r="B418" s="1953"/>
      <c r="C418" s="1953"/>
      <c r="D418" s="1308"/>
      <c r="E418" s="1284">
        <f>(COUNTIF(E371:E417,"OK")+COUNTIF(E371:E417,"N/A"))/47</f>
        <v>0.55319148936170215</v>
      </c>
      <c r="F418" s="1284">
        <f>(COUNTIF(F371:F417,"OK")+COUNTIF(F371:F417,"N/A"))/47</f>
        <v>0.40425531914893614</v>
      </c>
    </row>
  </sheetData>
  <sheetProtection formatCells="0" formatColumns="0" formatRows="0" insertHyperlinks="0"/>
  <autoFilter ref="A54:AL144" xr:uid="{9B97C6E6-FA33-4918-9D46-4C713F7C7FAD}"/>
  <mergeCells count="1070">
    <mergeCell ref="AT135:AT136"/>
    <mergeCell ref="AU135:AU136"/>
    <mergeCell ref="AT137:AT138"/>
    <mergeCell ref="AU137:AU138"/>
    <mergeCell ref="AT139:AT140"/>
    <mergeCell ref="AU139:AU140"/>
    <mergeCell ref="AT141:AT142"/>
    <mergeCell ref="AU141:AU142"/>
    <mergeCell ref="AT143:AT144"/>
    <mergeCell ref="AU143:AU144"/>
    <mergeCell ref="AT125:AT126"/>
    <mergeCell ref="AU125:AU126"/>
    <mergeCell ref="AT127:AT128"/>
    <mergeCell ref="AU127:AU128"/>
    <mergeCell ref="AT129:AT130"/>
    <mergeCell ref="AU129:AU130"/>
    <mergeCell ref="AT131:AT132"/>
    <mergeCell ref="AU131:AU132"/>
    <mergeCell ref="AT133:AT134"/>
    <mergeCell ref="AU133:AU134"/>
    <mergeCell ref="AT115:AT116"/>
    <mergeCell ref="AU115:AU116"/>
    <mergeCell ref="AT117:AT118"/>
    <mergeCell ref="AU117:AU118"/>
    <mergeCell ref="AT119:AT120"/>
    <mergeCell ref="AU119:AU120"/>
    <mergeCell ref="AT121:AT122"/>
    <mergeCell ref="AU121:AU122"/>
    <mergeCell ref="AT123:AT124"/>
    <mergeCell ref="AU123:AU124"/>
    <mergeCell ref="AT105:AT106"/>
    <mergeCell ref="AU105:AU106"/>
    <mergeCell ref="AT107:AT108"/>
    <mergeCell ref="AU107:AU108"/>
    <mergeCell ref="AT109:AT110"/>
    <mergeCell ref="AU109:AU110"/>
    <mergeCell ref="AT111:AT112"/>
    <mergeCell ref="AU111:AU112"/>
    <mergeCell ref="AT113:AT114"/>
    <mergeCell ref="AU113:AU114"/>
    <mergeCell ref="AT95:AT96"/>
    <mergeCell ref="AU95:AU96"/>
    <mergeCell ref="AT97:AT98"/>
    <mergeCell ref="AU97:AU98"/>
    <mergeCell ref="AT99:AT100"/>
    <mergeCell ref="AU99:AU100"/>
    <mergeCell ref="AT101:AT102"/>
    <mergeCell ref="AU101:AU102"/>
    <mergeCell ref="AT103:AT104"/>
    <mergeCell ref="AU103:AU104"/>
    <mergeCell ref="AT85:AT86"/>
    <mergeCell ref="AU85:AU86"/>
    <mergeCell ref="AT87:AT88"/>
    <mergeCell ref="AU87:AU88"/>
    <mergeCell ref="AT89:AT90"/>
    <mergeCell ref="AU89:AU90"/>
    <mergeCell ref="AT91:AT92"/>
    <mergeCell ref="AU91:AU92"/>
    <mergeCell ref="AT93:AT94"/>
    <mergeCell ref="AU93:AU94"/>
    <mergeCell ref="AT75:AT76"/>
    <mergeCell ref="AU75:AU76"/>
    <mergeCell ref="AT77:AT78"/>
    <mergeCell ref="AU77:AU78"/>
    <mergeCell ref="AT79:AT80"/>
    <mergeCell ref="AU79:AU80"/>
    <mergeCell ref="AT81:AT82"/>
    <mergeCell ref="AU81:AU82"/>
    <mergeCell ref="AT83:AT84"/>
    <mergeCell ref="AU83:AU84"/>
    <mergeCell ref="AT65:AT66"/>
    <mergeCell ref="AU65:AU66"/>
    <mergeCell ref="AT67:AT68"/>
    <mergeCell ref="AU67:AU68"/>
    <mergeCell ref="AT69:AT70"/>
    <mergeCell ref="AU69:AU70"/>
    <mergeCell ref="AT71:AT72"/>
    <mergeCell ref="AU71:AU72"/>
    <mergeCell ref="AT73:AT74"/>
    <mergeCell ref="AU73:AU74"/>
    <mergeCell ref="AT55:AT56"/>
    <mergeCell ref="AU55:AU56"/>
    <mergeCell ref="AT57:AT58"/>
    <mergeCell ref="AU57:AU58"/>
    <mergeCell ref="AT59:AT60"/>
    <mergeCell ref="AU59:AU60"/>
    <mergeCell ref="AT61:AT62"/>
    <mergeCell ref="AU61:AU62"/>
    <mergeCell ref="AT63:AT64"/>
    <mergeCell ref="AU63:AU64"/>
    <mergeCell ref="B141:B142"/>
    <mergeCell ref="B143:B144"/>
    <mergeCell ref="B105:B106"/>
    <mergeCell ref="B107:B108"/>
    <mergeCell ref="B109:B110"/>
    <mergeCell ref="B111:B112"/>
    <mergeCell ref="B113:B114"/>
    <mergeCell ref="B115:B116"/>
    <mergeCell ref="B117:B118"/>
    <mergeCell ref="B119:B120"/>
    <mergeCell ref="B121:B122"/>
    <mergeCell ref="L123:L124"/>
    <mergeCell ref="M123:M124"/>
    <mergeCell ref="O123:O124"/>
    <mergeCell ref="R123:R124"/>
    <mergeCell ref="AM123:AM124"/>
    <mergeCell ref="J123:J124"/>
    <mergeCell ref="B57:B58"/>
    <mergeCell ref="B59:B60"/>
    <mergeCell ref="B61:B62"/>
    <mergeCell ref="B63:B64"/>
    <mergeCell ref="B65:B66"/>
    <mergeCell ref="O117:O118"/>
    <mergeCell ref="M117:M118"/>
    <mergeCell ref="E83:E84"/>
    <mergeCell ref="J71:J72"/>
    <mergeCell ref="I85:I86"/>
    <mergeCell ref="G85:G86"/>
    <mergeCell ref="J79:J80"/>
    <mergeCell ref="C75:C76"/>
    <mergeCell ref="D73:D74"/>
    <mergeCell ref="J73:J74"/>
    <mergeCell ref="J75:J76"/>
    <mergeCell ref="J77:J78"/>
    <mergeCell ref="M71:M72"/>
    <mergeCell ref="N71:N72"/>
    <mergeCell ref="L77:L78"/>
    <mergeCell ref="L73:L74"/>
    <mergeCell ref="M83:M84"/>
    <mergeCell ref="M111:M112"/>
    <mergeCell ref="N111:N112"/>
    <mergeCell ref="I97:I98"/>
    <mergeCell ref="L97:L98"/>
    <mergeCell ref="K105:K106"/>
    <mergeCell ref="I107:I108"/>
    <mergeCell ref="L91:L92"/>
    <mergeCell ref="L95:L96"/>
    <mergeCell ref="H85:H86"/>
    <mergeCell ref="D81:D82"/>
    <mergeCell ref="J81:J82"/>
    <mergeCell ref="G81:G82"/>
    <mergeCell ref="D83:D84"/>
    <mergeCell ref="G75:G76"/>
    <mergeCell ref="H75:H76"/>
    <mergeCell ref="J67:J68"/>
    <mergeCell ref="J61:J62"/>
    <mergeCell ref="F111:F112"/>
    <mergeCell ref="G91:G92"/>
    <mergeCell ref="D57:D58"/>
    <mergeCell ref="D59:D60"/>
    <mergeCell ref="D65:D66"/>
    <mergeCell ref="D63:D64"/>
    <mergeCell ref="AM115:AM116"/>
    <mergeCell ref="AN115:AN116"/>
    <mergeCell ref="G113:G114"/>
    <mergeCell ref="H113:H114"/>
    <mergeCell ref="I113:I114"/>
    <mergeCell ref="O115:O116"/>
    <mergeCell ref="O113:O114"/>
    <mergeCell ref="R113:R114"/>
    <mergeCell ref="AM113:AM114"/>
    <mergeCell ref="N113:N114"/>
    <mergeCell ref="G115:G116"/>
    <mergeCell ref="H115:H116"/>
    <mergeCell ref="I115:I116"/>
    <mergeCell ref="M113:M114"/>
    <mergeCell ref="R111:R112"/>
    <mergeCell ref="H111:H112"/>
    <mergeCell ref="R105:R106"/>
    <mergeCell ref="L101:L102"/>
    <mergeCell ref="D99:D100"/>
    <mergeCell ref="N103:N104"/>
    <mergeCell ref="L65:L66"/>
    <mergeCell ref="M67:M68"/>
    <mergeCell ref="N67:N68"/>
    <mergeCell ref="L67:L68"/>
    <mergeCell ref="E59:E60"/>
    <mergeCell ref="D67:D68"/>
    <mergeCell ref="D69:D70"/>
    <mergeCell ref="G69:G70"/>
    <mergeCell ref="F59:F60"/>
    <mergeCell ref="G59:G60"/>
    <mergeCell ref="N123:N124"/>
    <mergeCell ref="L111:L112"/>
    <mergeCell ref="K111:K112"/>
    <mergeCell ref="I119:I120"/>
    <mergeCell ref="L119:L120"/>
    <mergeCell ref="J119:J120"/>
    <mergeCell ref="K119:K120"/>
    <mergeCell ref="M115:M116"/>
    <mergeCell ref="L107:L108"/>
    <mergeCell ref="N99:N100"/>
    <mergeCell ref="M127:M128"/>
    <mergeCell ref="N127:N128"/>
    <mergeCell ref="I121:I122"/>
    <mergeCell ref="L121:L122"/>
    <mergeCell ref="K121:K122"/>
    <mergeCell ref="M121:M122"/>
    <mergeCell ref="N121:N122"/>
    <mergeCell ref="L115:L116"/>
    <mergeCell ref="J115:J116"/>
    <mergeCell ref="J117:J118"/>
    <mergeCell ref="N117:N118"/>
    <mergeCell ref="J109:J110"/>
    <mergeCell ref="F67:F68"/>
    <mergeCell ref="G67:G68"/>
    <mergeCell ref="H67:H68"/>
    <mergeCell ref="I67:I68"/>
    <mergeCell ref="B101:B102"/>
    <mergeCell ref="B103:B104"/>
    <mergeCell ref="F105:F106"/>
    <mergeCell ref="F107:F108"/>
    <mergeCell ref="I135:I136"/>
    <mergeCell ref="G121:G122"/>
    <mergeCell ref="I93:I94"/>
    <mergeCell ref="E123:E124"/>
    <mergeCell ref="G111:G112"/>
    <mergeCell ref="J111:J112"/>
    <mergeCell ref="J107:J108"/>
    <mergeCell ref="A57:A58"/>
    <mergeCell ref="C57:C58"/>
    <mergeCell ref="E57:E58"/>
    <mergeCell ref="F57:F58"/>
    <mergeCell ref="G57:G58"/>
    <mergeCell ref="K59:K60"/>
    <mergeCell ref="K61:K62"/>
    <mergeCell ref="K57:K58"/>
    <mergeCell ref="A119:A120"/>
    <mergeCell ref="C119:C120"/>
    <mergeCell ref="A63:A64"/>
    <mergeCell ref="C63:C64"/>
    <mergeCell ref="E63:E64"/>
    <mergeCell ref="F63:F64"/>
    <mergeCell ref="G63:G64"/>
    <mergeCell ref="H63:H64"/>
    <mergeCell ref="I63:I64"/>
    <mergeCell ref="H59:H60"/>
    <mergeCell ref="I59:I60"/>
    <mergeCell ref="A59:A60"/>
    <mergeCell ref="C59:C60"/>
    <mergeCell ref="C67:C68"/>
    <mergeCell ref="E67:E68"/>
    <mergeCell ref="D71:D72"/>
    <mergeCell ref="A71:A72"/>
    <mergeCell ref="A91:A92"/>
    <mergeCell ref="C91:C92"/>
    <mergeCell ref="B67:B68"/>
    <mergeCell ref="D143:D144"/>
    <mergeCell ref="D91:D92"/>
    <mergeCell ref="D85:D86"/>
    <mergeCell ref="F91:F92"/>
    <mergeCell ref="F87:F88"/>
    <mergeCell ref="G93:G94"/>
    <mergeCell ref="H93:H94"/>
    <mergeCell ref="G95:G96"/>
    <mergeCell ref="H95:H96"/>
    <mergeCell ref="L117:L118"/>
    <mergeCell ref="J143:J144"/>
    <mergeCell ref="F101:F102"/>
    <mergeCell ref="D113:D114"/>
    <mergeCell ref="E113:E114"/>
    <mergeCell ref="F85:F86"/>
    <mergeCell ref="G143:G144"/>
    <mergeCell ref="H143:H144"/>
    <mergeCell ref="I143:I144"/>
    <mergeCell ref="I141:I142"/>
    <mergeCell ref="F89:F90"/>
    <mergeCell ref="D141:D142"/>
    <mergeCell ref="I91:I92"/>
    <mergeCell ref="I87:I88"/>
    <mergeCell ref="I139:I140"/>
    <mergeCell ref="H135:H136"/>
    <mergeCell ref="A85:A86"/>
    <mergeCell ref="C85:C86"/>
    <mergeCell ref="D111:D112"/>
    <mergeCell ref="E111:E112"/>
    <mergeCell ref="A107:A108"/>
    <mergeCell ref="C107:C108"/>
    <mergeCell ref="D107:D108"/>
    <mergeCell ref="E107:E108"/>
    <mergeCell ref="A109:A110"/>
    <mergeCell ref="C109:C110"/>
    <mergeCell ref="E85:E86"/>
    <mergeCell ref="D109:D110"/>
    <mergeCell ref="D119:D120"/>
    <mergeCell ref="D101:D102"/>
    <mergeCell ref="E101:E102"/>
    <mergeCell ref="C99:C100"/>
    <mergeCell ref="C97:C98"/>
    <mergeCell ref="A105:A106"/>
    <mergeCell ref="C105:C106"/>
    <mergeCell ref="A103:A104"/>
    <mergeCell ref="B85:B86"/>
    <mergeCell ref="B87:B88"/>
    <mergeCell ref="B89:B90"/>
    <mergeCell ref="B91:B92"/>
    <mergeCell ref="B93:B94"/>
    <mergeCell ref="B95:B96"/>
    <mergeCell ref="A89:A90"/>
    <mergeCell ref="C89:C90"/>
    <mergeCell ref="E89:E90"/>
    <mergeCell ref="D89:D90"/>
    <mergeCell ref="A95:A96"/>
    <mergeCell ref="B97:B98"/>
    <mergeCell ref="C141:C142"/>
    <mergeCell ref="C95:C96"/>
    <mergeCell ref="E95:E96"/>
    <mergeCell ref="A93:A94"/>
    <mergeCell ref="A101:A102"/>
    <mergeCell ref="C101:C102"/>
    <mergeCell ref="F95:F96"/>
    <mergeCell ref="F99:F100"/>
    <mergeCell ref="A111:A112"/>
    <mergeCell ref="D93:D94"/>
    <mergeCell ref="D97:D98"/>
    <mergeCell ref="A99:A100"/>
    <mergeCell ref="C115:C116"/>
    <mergeCell ref="H139:H140"/>
    <mergeCell ref="C135:C136"/>
    <mergeCell ref="D135:D136"/>
    <mergeCell ref="E135:E136"/>
    <mergeCell ref="F135:F136"/>
    <mergeCell ref="G135:G136"/>
    <mergeCell ref="A115:A116"/>
    <mergeCell ref="D115:D116"/>
    <mergeCell ref="E115:E116"/>
    <mergeCell ref="A121:A122"/>
    <mergeCell ref="C121:C122"/>
    <mergeCell ref="D121:D122"/>
    <mergeCell ref="E121:E122"/>
    <mergeCell ref="F121:F122"/>
    <mergeCell ref="G141:G142"/>
    <mergeCell ref="G97:G98"/>
    <mergeCell ref="F141:F142"/>
    <mergeCell ref="E109:E110"/>
    <mergeCell ref="B99:B100"/>
    <mergeCell ref="A143:A144"/>
    <mergeCell ref="C143:C144"/>
    <mergeCell ref="E143:E144"/>
    <mergeCell ref="F143:F144"/>
    <mergeCell ref="A117:A118"/>
    <mergeCell ref="C117:C118"/>
    <mergeCell ref="D117:D118"/>
    <mergeCell ref="E117:E118"/>
    <mergeCell ref="F117:F118"/>
    <mergeCell ref="A69:A70"/>
    <mergeCell ref="C69:C70"/>
    <mergeCell ref="E69:E70"/>
    <mergeCell ref="A135:A136"/>
    <mergeCell ref="B135:B136"/>
    <mergeCell ref="A141:A142"/>
    <mergeCell ref="A123:A124"/>
    <mergeCell ref="C123:C124"/>
    <mergeCell ref="B123:B124"/>
    <mergeCell ref="D87:D88"/>
    <mergeCell ref="F93:F94"/>
    <mergeCell ref="C93:C94"/>
    <mergeCell ref="F113:F114"/>
    <mergeCell ref="F123:F124"/>
    <mergeCell ref="F109:F110"/>
    <mergeCell ref="D123:D124"/>
    <mergeCell ref="F97:F98"/>
    <mergeCell ref="C103:C104"/>
    <mergeCell ref="C111:C112"/>
    <mergeCell ref="F115:F116"/>
    <mergeCell ref="E91:E92"/>
    <mergeCell ref="D95:D96"/>
    <mergeCell ref="E141:E142"/>
    <mergeCell ref="G139:G140"/>
    <mergeCell ref="A97:A98"/>
    <mergeCell ref="E97:E98"/>
    <mergeCell ref="E99:E100"/>
    <mergeCell ref="A113:A114"/>
    <mergeCell ref="C113:C114"/>
    <mergeCell ref="C81:C82"/>
    <mergeCell ref="E81:E82"/>
    <mergeCell ref="F81:F82"/>
    <mergeCell ref="F79:F80"/>
    <mergeCell ref="A79:A80"/>
    <mergeCell ref="C71:C72"/>
    <mergeCell ref="E71:E72"/>
    <mergeCell ref="F71:F72"/>
    <mergeCell ref="G71:G72"/>
    <mergeCell ref="H71:H72"/>
    <mergeCell ref="G109:G110"/>
    <mergeCell ref="H109:H110"/>
    <mergeCell ref="E139:E140"/>
    <mergeCell ref="F139:F140"/>
    <mergeCell ref="C125:C126"/>
    <mergeCell ref="D125:D126"/>
    <mergeCell ref="E125:E126"/>
    <mergeCell ref="F125:F126"/>
    <mergeCell ref="G125:G126"/>
    <mergeCell ref="H125:H126"/>
    <mergeCell ref="E137:E138"/>
    <mergeCell ref="F137:F138"/>
    <mergeCell ref="G137:G138"/>
    <mergeCell ref="H137:H138"/>
    <mergeCell ref="A87:A88"/>
    <mergeCell ref="C87:C88"/>
    <mergeCell ref="C79:C80"/>
    <mergeCell ref="E79:E80"/>
    <mergeCell ref="D79:D80"/>
    <mergeCell ref="E77:E78"/>
    <mergeCell ref="H79:H80"/>
    <mergeCell ref="I79:I80"/>
    <mergeCell ref="H81:H82"/>
    <mergeCell ref="A75:A76"/>
    <mergeCell ref="A73:A74"/>
    <mergeCell ref="C73:C74"/>
    <mergeCell ref="E73:E74"/>
    <mergeCell ref="F73:F74"/>
    <mergeCell ref="G73:G74"/>
    <mergeCell ref="H73:H74"/>
    <mergeCell ref="I73:I74"/>
    <mergeCell ref="E4:F4"/>
    <mergeCell ref="E5:F5"/>
    <mergeCell ref="A55:A56"/>
    <mergeCell ref="C55:C56"/>
    <mergeCell ref="E55:E56"/>
    <mergeCell ref="F55:F56"/>
    <mergeCell ref="A61:A62"/>
    <mergeCell ref="C61:C62"/>
    <mergeCell ref="E61:E62"/>
    <mergeCell ref="B69:B70"/>
    <mergeCell ref="B71:B72"/>
    <mergeCell ref="B73:B74"/>
    <mergeCell ref="D61:D62"/>
    <mergeCell ref="A65:A66"/>
    <mergeCell ref="C65:C66"/>
    <mergeCell ref="E65:E66"/>
    <mergeCell ref="A67:A68"/>
    <mergeCell ref="J4:K4"/>
    <mergeCell ref="J5:K5"/>
    <mergeCell ref="G55:G56"/>
    <mergeCell ref="H55:H56"/>
    <mergeCell ref="D55:D56"/>
    <mergeCell ref="I55:I56"/>
    <mergeCell ref="B55:B56"/>
    <mergeCell ref="I7:I8"/>
    <mergeCell ref="G4:H4"/>
    <mergeCell ref="G5:H5"/>
    <mergeCell ref="I9:I10"/>
    <mergeCell ref="J7:J8"/>
    <mergeCell ref="K7:K8"/>
    <mergeCell ref="J9:J10"/>
    <mergeCell ref="K9:K10"/>
    <mergeCell ref="A83:A84"/>
    <mergeCell ref="C83:C84"/>
    <mergeCell ref="A81:A82"/>
    <mergeCell ref="A77:A78"/>
    <mergeCell ref="C77:C78"/>
    <mergeCell ref="D75:D76"/>
    <mergeCell ref="D77:D78"/>
    <mergeCell ref="B75:B76"/>
    <mergeCell ref="B77:B78"/>
    <mergeCell ref="B79:B80"/>
    <mergeCell ref="B81:B82"/>
    <mergeCell ref="B83:B84"/>
    <mergeCell ref="F69:F70"/>
    <mergeCell ref="F61:F62"/>
    <mergeCell ref="G61:G62"/>
    <mergeCell ref="H61:H62"/>
    <mergeCell ref="I61:I62"/>
    <mergeCell ref="E75:E76"/>
    <mergeCell ref="F75:F76"/>
    <mergeCell ref="E93:E94"/>
    <mergeCell ref="G99:G100"/>
    <mergeCell ref="H99:H100"/>
    <mergeCell ref="I99:I100"/>
    <mergeCell ref="G101:G102"/>
    <mergeCell ref="H101:H102"/>
    <mergeCell ref="I101:I102"/>
    <mergeCell ref="G77:G78"/>
    <mergeCell ref="G79:G80"/>
    <mergeCell ref="I77:I78"/>
    <mergeCell ref="H77:H78"/>
    <mergeCell ref="I95:I96"/>
    <mergeCell ref="F83:F84"/>
    <mergeCell ref="E119:E120"/>
    <mergeCell ref="F119:F120"/>
    <mergeCell ref="G119:G120"/>
    <mergeCell ref="F77:F78"/>
    <mergeCell ref="H97:H98"/>
    <mergeCell ref="H91:H92"/>
    <mergeCell ref="G87:G88"/>
    <mergeCell ref="E87:E88"/>
    <mergeCell ref="U5:Y5"/>
    <mergeCell ref="U6:Y6"/>
    <mergeCell ref="M57:M58"/>
    <mergeCell ref="N57:N58"/>
    <mergeCell ref="R55:R56"/>
    <mergeCell ref="O55:O56"/>
    <mergeCell ref="U14:Y14"/>
    <mergeCell ref="U15:Y15"/>
    <mergeCell ref="U16:Y16"/>
    <mergeCell ref="U17:Y17"/>
    <mergeCell ref="U18:Y18"/>
    <mergeCell ref="U19:Y19"/>
    <mergeCell ref="U20:Y20"/>
    <mergeCell ref="U21:Y21"/>
    <mergeCell ref="U25:Y25"/>
    <mergeCell ref="O26:P26"/>
    <mergeCell ref="L69:L70"/>
    <mergeCell ref="O67:O68"/>
    <mergeCell ref="L5:L10"/>
    <mergeCell ref="J63:J64"/>
    <mergeCell ref="F65:F66"/>
    <mergeCell ref="G65:G66"/>
    <mergeCell ref="H65:H66"/>
    <mergeCell ref="U22:Y22"/>
    <mergeCell ref="U23:Y23"/>
    <mergeCell ref="U24:Y24"/>
    <mergeCell ref="N55:N56"/>
    <mergeCell ref="M65:M66"/>
    <mergeCell ref="R59:R60"/>
    <mergeCell ref="R61:R62"/>
    <mergeCell ref="O59:O60"/>
    <mergeCell ref="O61:O62"/>
    <mergeCell ref="O65:O66"/>
    <mergeCell ref="N63:N64"/>
    <mergeCell ref="N59:N60"/>
    <mergeCell ref="N61:N62"/>
    <mergeCell ref="R65:R66"/>
    <mergeCell ref="R63:R64"/>
    <mergeCell ref="O63:O64"/>
    <mergeCell ref="I65:I66"/>
    <mergeCell ref="J65:J66"/>
    <mergeCell ref="J57:J58"/>
    <mergeCell ref="J59:J60"/>
    <mergeCell ref="H57:H58"/>
    <mergeCell ref="I57:I58"/>
    <mergeCell ref="G123:G124"/>
    <mergeCell ref="H123:H124"/>
    <mergeCell ref="J121:J122"/>
    <mergeCell ref="I123:I124"/>
    <mergeCell ref="H119:H120"/>
    <mergeCell ref="G117:G118"/>
    <mergeCell ref="H117:H118"/>
    <mergeCell ref="I117:I118"/>
    <mergeCell ref="H105:H106"/>
    <mergeCell ref="G105:G106"/>
    <mergeCell ref="G107:G108"/>
    <mergeCell ref="H107:H108"/>
    <mergeCell ref="H121:H122"/>
    <mergeCell ref="H69:H70"/>
    <mergeCell ref="K67:K68"/>
    <mergeCell ref="K65:K66"/>
    <mergeCell ref="O75:O76"/>
    <mergeCell ref="G89:G90"/>
    <mergeCell ref="H89:H90"/>
    <mergeCell ref="I89:I90"/>
    <mergeCell ref="J85:J86"/>
    <mergeCell ref="J87:J88"/>
    <mergeCell ref="H83:H84"/>
    <mergeCell ref="J83:J84"/>
    <mergeCell ref="I83:I84"/>
    <mergeCell ref="K85:K86"/>
    <mergeCell ref="H87:H88"/>
    <mergeCell ref="G83:G84"/>
    <mergeCell ref="I69:I70"/>
    <mergeCell ref="J69:J70"/>
    <mergeCell ref="I109:I110"/>
    <mergeCell ref="I71:I72"/>
    <mergeCell ref="R73:R74"/>
    <mergeCell ref="R75:R76"/>
    <mergeCell ref="R69:R70"/>
    <mergeCell ref="R67:R68"/>
    <mergeCell ref="R71:R72"/>
    <mergeCell ref="O69:O70"/>
    <mergeCell ref="M69:M70"/>
    <mergeCell ref="N69:N70"/>
    <mergeCell ref="K63:K64"/>
    <mergeCell ref="L61:L62"/>
    <mergeCell ref="L55:L56"/>
    <mergeCell ref="L57:L58"/>
    <mergeCell ref="L59:L60"/>
    <mergeCell ref="L63:L64"/>
    <mergeCell ref="M55:M56"/>
    <mergeCell ref="M59:M60"/>
    <mergeCell ref="M63:M64"/>
    <mergeCell ref="M61:M62"/>
    <mergeCell ref="O73:O74"/>
    <mergeCell ref="P73:P74"/>
    <mergeCell ref="P75:P76"/>
    <mergeCell ref="R57:R58"/>
    <mergeCell ref="O57:O58"/>
    <mergeCell ref="O71:O72"/>
    <mergeCell ref="N65:N66"/>
    <mergeCell ref="L79:L80"/>
    <mergeCell ref="K75:K76"/>
    <mergeCell ref="K71:K72"/>
    <mergeCell ref="K69:K70"/>
    <mergeCell ref="K73:K74"/>
    <mergeCell ref="K77:K78"/>
    <mergeCell ref="L71:L72"/>
    <mergeCell ref="N83:N84"/>
    <mergeCell ref="M85:M86"/>
    <mergeCell ref="J89:J90"/>
    <mergeCell ref="I81:I82"/>
    <mergeCell ref="L83:L84"/>
    <mergeCell ref="L81:L82"/>
    <mergeCell ref="K83:K84"/>
    <mergeCell ref="K81:K82"/>
    <mergeCell ref="M77:M78"/>
    <mergeCell ref="N77:N78"/>
    <mergeCell ref="N79:N80"/>
    <mergeCell ref="M81:M82"/>
    <mergeCell ref="N81:N82"/>
    <mergeCell ref="M75:M76"/>
    <mergeCell ref="N75:N76"/>
    <mergeCell ref="M73:M74"/>
    <mergeCell ref="N73:N74"/>
    <mergeCell ref="M79:M80"/>
    <mergeCell ref="L75:L76"/>
    <mergeCell ref="K79:K80"/>
    <mergeCell ref="I75:I76"/>
    <mergeCell ref="L93:L94"/>
    <mergeCell ref="N85:N86"/>
    <mergeCell ref="M91:M92"/>
    <mergeCell ref="L89:L90"/>
    <mergeCell ref="J91:J92"/>
    <mergeCell ref="R95:R96"/>
    <mergeCell ref="M95:M96"/>
    <mergeCell ref="N91:N92"/>
    <mergeCell ref="L87:L88"/>
    <mergeCell ref="M89:M90"/>
    <mergeCell ref="M87:M88"/>
    <mergeCell ref="O91:O92"/>
    <mergeCell ref="O93:O94"/>
    <mergeCell ref="L85:L86"/>
    <mergeCell ref="M93:M94"/>
    <mergeCell ref="R85:R86"/>
    <mergeCell ref="O89:O90"/>
    <mergeCell ref="P91:P92"/>
    <mergeCell ref="P93:P94"/>
    <mergeCell ref="P95:P96"/>
    <mergeCell ref="Q91:Q92"/>
    <mergeCell ref="Q93:Q94"/>
    <mergeCell ref="Q95:Q96"/>
    <mergeCell ref="O87:O88"/>
    <mergeCell ref="R93:R94"/>
    <mergeCell ref="P77:P78"/>
    <mergeCell ref="P79:P80"/>
    <mergeCell ref="P81:P82"/>
    <mergeCell ref="P83:P84"/>
    <mergeCell ref="P85:P86"/>
    <mergeCell ref="P115:P116"/>
    <mergeCell ref="P117:P118"/>
    <mergeCell ref="P119:P120"/>
    <mergeCell ref="P121:P122"/>
    <mergeCell ref="P123:P124"/>
    <mergeCell ref="P141:P142"/>
    <mergeCell ref="O99:O100"/>
    <mergeCell ref="R99:R100"/>
    <mergeCell ref="R103:R104"/>
    <mergeCell ref="K107:K108"/>
    <mergeCell ref="M107:M108"/>
    <mergeCell ref="L109:L110"/>
    <mergeCell ref="M103:M104"/>
    <mergeCell ref="M99:M100"/>
    <mergeCell ref="L99:L100"/>
    <mergeCell ref="M109:M110"/>
    <mergeCell ref="Q97:Q98"/>
    <mergeCell ref="Q99:Q100"/>
    <mergeCell ref="Q101:Q102"/>
    <mergeCell ref="Q103:Q104"/>
    <mergeCell ref="Q105:Q106"/>
    <mergeCell ref="Q107:Q108"/>
    <mergeCell ref="Q109:Q110"/>
    <mergeCell ref="M141:M142"/>
    <mergeCell ref="N141:N142"/>
    <mergeCell ref="L141:L142"/>
    <mergeCell ref="M97:M98"/>
    <mergeCell ref="N97:N98"/>
    <mergeCell ref="M101:M102"/>
    <mergeCell ref="N101:N102"/>
    <mergeCell ref="M105:M106"/>
    <mergeCell ref="N105:N106"/>
    <mergeCell ref="O103:O104"/>
    <mergeCell ref="AM91:AM92"/>
    <mergeCell ref="AO93:AO94"/>
    <mergeCell ref="AM85:AM86"/>
    <mergeCell ref="R81:R82"/>
    <mergeCell ref="AN85:AN86"/>
    <mergeCell ref="AO85:AO86"/>
    <mergeCell ref="R141:R142"/>
    <mergeCell ref="R143:R144"/>
    <mergeCell ref="R97:R98"/>
    <mergeCell ref="N115:N116"/>
    <mergeCell ref="R87:R88"/>
    <mergeCell ref="N109:N110"/>
    <mergeCell ref="R115:R116"/>
    <mergeCell ref="O141:O142"/>
    <mergeCell ref="O143:O144"/>
    <mergeCell ref="O111:O112"/>
    <mergeCell ref="N95:N96"/>
    <mergeCell ref="O95:O96"/>
    <mergeCell ref="R89:R90"/>
    <mergeCell ref="R91:R92"/>
    <mergeCell ref="O119:O120"/>
    <mergeCell ref="N119:N120"/>
    <mergeCell ref="N93:N94"/>
    <mergeCell ref="N89:N90"/>
    <mergeCell ref="N87:N88"/>
    <mergeCell ref="N143:N144"/>
    <mergeCell ref="O105:O106"/>
    <mergeCell ref="O97:O98"/>
    <mergeCell ref="O101:O102"/>
    <mergeCell ref="P87:P88"/>
    <mergeCell ref="AM61:AM62"/>
    <mergeCell ref="AN61:AN62"/>
    <mergeCell ref="AO61:AO62"/>
    <mergeCell ref="AO63:AO64"/>
    <mergeCell ref="AM65:AM66"/>
    <mergeCell ref="AN65:AN66"/>
    <mergeCell ref="AO65:AO66"/>
    <mergeCell ref="M143:M144"/>
    <mergeCell ref="M119:M120"/>
    <mergeCell ref="R119:R120"/>
    <mergeCell ref="R117:R118"/>
    <mergeCell ref="O109:O110"/>
    <mergeCell ref="R109:R110"/>
    <mergeCell ref="R101:R102"/>
    <mergeCell ref="AN77:AN78"/>
    <mergeCell ref="AO77:AO78"/>
    <mergeCell ref="AM79:AM80"/>
    <mergeCell ref="AO79:AO80"/>
    <mergeCell ref="AM83:AM84"/>
    <mergeCell ref="AN83:AN84"/>
    <mergeCell ref="AO83:AO84"/>
    <mergeCell ref="O107:O108"/>
    <mergeCell ref="R107:R108"/>
    <mergeCell ref="R79:R80"/>
    <mergeCell ref="O77:O78"/>
    <mergeCell ref="O79:O80"/>
    <mergeCell ref="O81:O82"/>
    <mergeCell ref="O83:O84"/>
    <mergeCell ref="R77:R78"/>
    <mergeCell ref="O85:O86"/>
    <mergeCell ref="R83:R84"/>
    <mergeCell ref="AM53:AO53"/>
    <mergeCell ref="AM55:AM56"/>
    <mergeCell ref="AN55:AN56"/>
    <mergeCell ref="AO55:AO56"/>
    <mergeCell ref="AM81:AM82"/>
    <mergeCell ref="AN81:AN82"/>
    <mergeCell ref="AM67:AM68"/>
    <mergeCell ref="AN67:AN68"/>
    <mergeCell ref="AO81:AO82"/>
    <mergeCell ref="AM71:AM72"/>
    <mergeCell ref="AM73:AM74"/>
    <mergeCell ref="AN73:AN74"/>
    <mergeCell ref="AO73:AO74"/>
    <mergeCell ref="AM75:AM76"/>
    <mergeCell ref="AN75:AN76"/>
    <mergeCell ref="AO75:AO76"/>
    <mergeCell ref="AN79:AN80"/>
    <mergeCell ref="AM77:AM78"/>
    <mergeCell ref="AN71:AN72"/>
    <mergeCell ref="AO71:AO72"/>
    <mergeCell ref="AN57:AN58"/>
    <mergeCell ref="AO57:AO58"/>
    <mergeCell ref="AM57:AM58"/>
    <mergeCell ref="AO67:AO68"/>
    <mergeCell ref="AM69:AM70"/>
    <mergeCell ref="AN69:AN70"/>
    <mergeCell ref="AO69:AO70"/>
    <mergeCell ref="AM63:AM64"/>
    <mergeCell ref="AN63:AN64"/>
    <mergeCell ref="AM59:AM60"/>
    <mergeCell ref="AN59:AN60"/>
    <mergeCell ref="AO59:AO60"/>
    <mergeCell ref="AM87:AM88"/>
    <mergeCell ref="AN87:AN88"/>
    <mergeCell ref="AO87:AO88"/>
    <mergeCell ref="AM89:AM90"/>
    <mergeCell ref="AN89:AN90"/>
    <mergeCell ref="AO89:AO90"/>
    <mergeCell ref="AO115:AO116"/>
    <mergeCell ref="AM95:AM96"/>
    <mergeCell ref="AN95:AN96"/>
    <mergeCell ref="AO95:AO96"/>
    <mergeCell ref="AN91:AN92"/>
    <mergeCell ref="AO91:AO92"/>
    <mergeCell ref="AM93:AM94"/>
    <mergeCell ref="AN93:AN94"/>
    <mergeCell ref="AN109:AN110"/>
    <mergeCell ref="AO109:AO110"/>
    <mergeCell ref="AO103:AO104"/>
    <mergeCell ref="AM111:AM112"/>
    <mergeCell ref="AN111:AN112"/>
    <mergeCell ref="AO111:AO112"/>
    <mergeCell ref="AO113:AO114"/>
    <mergeCell ref="AM119:AM120"/>
    <mergeCell ref="AM117:AM118"/>
    <mergeCell ref="AN117:AN118"/>
    <mergeCell ref="AO117:AO118"/>
    <mergeCell ref="AO127:AO128"/>
    <mergeCell ref="AM137:AM138"/>
    <mergeCell ref="AN137:AN138"/>
    <mergeCell ref="AO137:AO138"/>
    <mergeCell ref="AM139:AM140"/>
    <mergeCell ref="AN139:AN140"/>
    <mergeCell ref="AO139:AO140"/>
    <mergeCell ref="AM129:AM130"/>
    <mergeCell ref="AN129:AN130"/>
    <mergeCell ref="AO129:AO130"/>
    <mergeCell ref="AM131:AM132"/>
    <mergeCell ref="AN131:AN132"/>
    <mergeCell ref="AO131:AO132"/>
    <mergeCell ref="AM133:AM134"/>
    <mergeCell ref="AN133:AN134"/>
    <mergeCell ref="AN123:AN124"/>
    <mergeCell ref="AO123:AO124"/>
    <mergeCell ref="AO121:AO122"/>
    <mergeCell ref="AN121:AN122"/>
    <mergeCell ref="AM127:AM128"/>
    <mergeCell ref="AN127:AN128"/>
    <mergeCell ref="AM135:AM136"/>
    <mergeCell ref="AN135:AN136"/>
    <mergeCell ref="AO135:AO136"/>
    <mergeCell ref="AM143:AM144"/>
    <mergeCell ref="AN143:AN144"/>
    <mergeCell ref="AO143:AO144"/>
    <mergeCell ref="AM97:AM98"/>
    <mergeCell ref="AN97:AN98"/>
    <mergeCell ref="AO97:AO98"/>
    <mergeCell ref="AM101:AM102"/>
    <mergeCell ref="AN101:AN102"/>
    <mergeCell ref="AO101:AO102"/>
    <mergeCell ref="AM105:AM106"/>
    <mergeCell ref="AN105:AN106"/>
    <mergeCell ref="AO105:AO106"/>
    <mergeCell ref="AM107:AM108"/>
    <mergeCell ref="AN107:AN108"/>
    <mergeCell ref="AO107:AO108"/>
    <mergeCell ref="AM109:AM110"/>
    <mergeCell ref="AM103:AM104"/>
    <mergeCell ref="AM99:AM100"/>
    <mergeCell ref="AM121:AM122"/>
    <mergeCell ref="AN119:AN120"/>
    <mergeCell ref="AO119:AO120"/>
    <mergeCell ref="AN99:AN100"/>
    <mergeCell ref="AO99:AO100"/>
    <mergeCell ref="AN103:AN104"/>
    <mergeCell ref="AM125:AM126"/>
    <mergeCell ref="AN125:AN126"/>
    <mergeCell ref="AO125:AO126"/>
    <mergeCell ref="AO133:AO134"/>
    <mergeCell ref="AM141:AM142"/>
    <mergeCell ref="AN141:AN142"/>
    <mergeCell ref="AO141:AO142"/>
    <mergeCell ref="AN113:AN114"/>
    <mergeCell ref="A2:AF2"/>
    <mergeCell ref="A1:AF1"/>
    <mergeCell ref="O4:AF4"/>
    <mergeCell ref="K123:K124"/>
    <mergeCell ref="K141:K142"/>
    <mergeCell ref="J113:J114"/>
    <mergeCell ref="J93:J94"/>
    <mergeCell ref="J95:J96"/>
    <mergeCell ref="J97:J98"/>
    <mergeCell ref="J99:J100"/>
    <mergeCell ref="J101:J102"/>
    <mergeCell ref="J103:J104"/>
    <mergeCell ref="J105:J106"/>
    <mergeCell ref="J55:J56"/>
    <mergeCell ref="K87:K88"/>
    <mergeCell ref="K89:K90"/>
    <mergeCell ref="K55:K56"/>
    <mergeCell ref="K109:K110"/>
    <mergeCell ref="L113:L114"/>
    <mergeCell ref="K91:K92"/>
    <mergeCell ref="K93:K94"/>
    <mergeCell ref="K95:K96"/>
    <mergeCell ref="N107:N108"/>
    <mergeCell ref="P55:P56"/>
    <mergeCell ref="P57:P58"/>
    <mergeCell ref="P59:P60"/>
    <mergeCell ref="P61:P62"/>
    <mergeCell ref="P63:P64"/>
    <mergeCell ref="P65:P66"/>
    <mergeCell ref="P67:P68"/>
    <mergeCell ref="Q115:Q116"/>
    <mergeCell ref="Q117:Q118"/>
    <mergeCell ref="A418:C418"/>
    <mergeCell ref="A370:C370"/>
    <mergeCell ref="K143:K144"/>
    <mergeCell ref="K97:K98"/>
    <mergeCell ref="K99:K100"/>
    <mergeCell ref="K101:K102"/>
    <mergeCell ref="K103:K104"/>
    <mergeCell ref="K113:K114"/>
    <mergeCell ref="K115:K116"/>
    <mergeCell ref="K117:K118"/>
    <mergeCell ref="H146:L146"/>
    <mergeCell ref="H141:H142"/>
    <mergeCell ref="I105:I106"/>
    <mergeCell ref="L105:L106"/>
    <mergeCell ref="D103:D104"/>
    <mergeCell ref="E103:E104"/>
    <mergeCell ref="F103:F104"/>
    <mergeCell ref="G103:G104"/>
    <mergeCell ref="H103:H104"/>
    <mergeCell ref="I103:I104"/>
    <mergeCell ref="L103:L104"/>
    <mergeCell ref="D105:D106"/>
    <mergeCell ref="E105:E106"/>
    <mergeCell ref="I111:I112"/>
    <mergeCell ref="K127:K128"/>
    <mergeCell ref="L127:L128"/>
    <mergeCell ref="A139:A140"/>
    <mergeCell ref="B139:B140"/>
    <mergeCell ref="C139:C140"/>
    <mergeCell ref="D139:D140"/>
    <mergeCell ref="A125:A126"/>
    <mergeCell ref="B125:B126"/>
    <mergeCell ref="P97:P98"/>
    <mergeCell ref="P99:P100"/>
    <mergeCell ref="P101:P102"/>
    <mergeCell ref="P103:P104"/>
    <mergeCell ref="P105:P106"/>
    <mergeCell ref="P107:P108"/>
    <mergeCell ref="P109:P110"/>
    <mergeCell ref="P111:P112"/>
    <mergeCell ref="P113:P114"/>
    <mergeCell ref="Q55:Q56"/>
    <mergeCell ref="Q57:Q58"/>
    <mergeCell ref="Q59:Q60"/>
    <mergeCell ref="Q61:Q62"/>
    <mergeCell ref="Q63:Q64"/>
    <mergeCell ref="Q65:Q66"/>
    <mergeCell ref="Q67:Q68"/>
    <mergeCell ref="Q69:Q70"/>
    <mergeCell ref="Q71:Q72"/>
    <mergeCell ref="Q73:Q74"/>
    <mergeCell ref="Q75:Q76"/>
    <mergeCell ref="Q77:Q78"/>
    <mergeCell ref="Q79:Q80"/>
    <mergeCell ref="Q81:Q82"/>
    <mergeCell ref="Q83:Q84"/>
    <mergeCell ref="Q85:Q86"/>
    <mergeCell ref="Q87:Q88"/>
    <mergeCell ref="Q89:Q90"/>
    <mergeCell ref="Q111:Q112"/>
    <mergeCell ref="Q113:Q114"/>
    <mergeCell ref="P69:P70"/>
    <mergeCell ref="P71:P72"/>
    <mergeCell ref="P89:P90"/>
    <mergeCell ref="P139:P140"/>
    <mergeCell ref="Q139:Q140"/>
    <mergeCell ref="I125:I126"/>
    <mergeCell ref="A127:A128"/>
    <mergeCell ref="B127:B128"/>
    <mergeCell ref="C127:C128"/>
    <mergeCell ref="D127:D128"/>
    <mergeCell ref="E127:E128"/>
    <mergeCell ref="F127:F128"/>
    <mergeCell ref="G127:G128"/>
    <mergeCell ref="H127:H128"/>
    <mergeCell ref="I127:I128"/>
    <mergeCell ref="Q137:Q138"/>
    <mergeCell ref="R137:R138"/>
    <mergeCell ref="J131:J132"/>
    <mergeCell ref="K131:K132"/>
    <mergeCell ref="L131:L132"/>
    <mergeCell ref="M131:M132"/>
    <mergeCell ref="N131:N132"/>
    <mergeCell ref="O131:O132"/>
    <mergeCell ref="P131:P132"/>
    <mergeCell ref="A131:A132"/>
    <mergeCell ref="B131:B132"/>
    <mergeCell ref="C131:C132"/>
    <mergeCell ref="D131:D132"/>
    <mergeCell ref="E131:E132"/>
    <mergeCell ref="F131:F132"/>
    <mergeCell ref="G131:G132"/>
    <mergeCell ref="H131:H132"/>
    <mergeCell ref="I131:I132"/>
    <mergeCell ref="A137:A138"/>
    <mergeCell ref="B137:B138"/>
    <mergeCell ref="Q133:Q134"/>
    <mergeCell ref="R133:R134"/>
    <mergeCell ref="Q119:Q120"/>
    <mergeCell ref="Q121:Q122"/>
    <mergeCell ref="Q123:Q124"/>
    <mergeCell ref="Q141:Q142"/>
    <mergeCell ref="Q143:Q144"/>
    <mergeCell ref="K125:K126"/>
    <mergeCell ref="L125:L126"/>
    <mergeCell ref="M125:M126"/>
    <mergeCell ref="N125:N126"/>
    <mergeCell ref="O125:O126"/>
    <mergeCell ref="P125:P126"/>
    <mergeCell ref="Q125:Q126"/>
    <mergeCell ref="R125:R126"/>
    <mergeCell ref="J127:J128"/>
    <mergeCell ref="P143:P144"/>
    <mergeCell ref="J141:J142"/>
    <mergeCell ref="L143:L144"/>
    <mergeCell ref="J139:J140"/>
    <mergeCell ref="K139:K140"/>
    <mergeCell ref="L139:L140"/>
    <mergeCell ref="M139:M140"/>
    <mergeCell ref="O121:O122"/>
    <mergeCell ref="R121:R122"/>
    <mergeCell ref="O127:O128"/>
    <mergeCell ref="P127:P128"/>
    <mergeCell ref="Q127:Q128"/>
    <mergeCell ref="R127:R128"/>
    <mergeCell ref="J125:J126"/>
    <mergeCell ref="N139:N140"/>
    <mergeCell ref="O139:O140"/>
    <mergeCell ref="I137:I138"/>
    <mergeCell ref="J137:J138"/>
    <mergeCell ref="K137:K138"/>
    <mergeCell ref="L137:L138"/>
    <mergeCell ref="M137:M138"/>
    <mergeCell ref="N137:N138"/>
    <mergeCell ref="O137:O138"/>
    <mergeCell ref="P137:P138"/>
    <mergeCell ref="A133:A134"/>
    <mergeCell ref="B133:B134"/>
    <mergeCell ref="C133:C134"/>
    <mergeCell ref="D133:D134"/>
    <mergeCell ref="E133:E134"/>
    <mergeCell ref="F133:F134"/>
    <mergeCell ref="G133:G134"/>
    <mergeCell ref="H133:H134"/>
    <mergeCell ref="I133:I134"/>
    <mergeCell ref="L133:L134"/>
    <mergeCell ref="M133:M134"/>
    <mergeCell ref="N133:N134"/>
    <mergeCell ref="O133:O134"/>
    <mergeCell ref="P133:P134"/>
    <mergeCell ref="C137:C138"/>
    <mergeCell ref="D137:D138"/>
    <mergeCell ref="R139:R140"/>
    <mergeCell ref="A129:A130"/>
    <mergeCell ref="B129:B130"/>
    <mergeCell ref="C129:C130"/>
    <mergeCell ref="D129:D130"/>
    <mergeCell ref="E129:E130"/>
    <mergeCell ref="F129:F130"/>
    <mergeCell ref="G129:G130"/>
    <mergeCell ref="H129:H130"/>
    <mergeCell ref="I129:I130"/>
    <mergeCell ref="J129:J130"/>
    <mergeCell ref="K129:K130"/>
    <mergeCell ref="L129:L130"/>
    <mergeCell ref="M129:M130"/>
    <mergeCell ref="N129:N130"/>
    <mergeCell ref="O129:O130"/>
    <mergeCell ref="P129:P130"/>
    <mergeCell ref="Q129:Q130"/>
    <mergeCell ref="R129:R130"/>
    <mergeCell ref="J135:J136"/>
    <mergeCell ref="K135:K136"/>
    <mergeCell ref="L135:L136"/>
    <mergeCell ref="M135:M136"/>
    <mergeCell ref="N135:N136"/>
    <mergeCell ref="O135:O136"/>
    <mergeCell ref="P135:P136"/>
    <mergeCell ref="Q135:Q136"/>
    <mergeCell ref="R135:R136"/>
    <mergeCell ref="J133:J134"/>
    <mergeCell ref="K133:K134"/>
    <mergeCell ref="Q131:Q132"/>
    <mergeCell ref="R131:R132"/>
  </mergeCells>
  <phoneticPr fontId="12" type="noConversion"/>
  <conditionalFormatting sqref="Q39">
    <cfRule type="cellIs" dxfId="116" priority="43" operator="greaterThan">
      <formula>Q38</formula>
    </cfRule>
    <cfRule type="cellIs" dxfId="115" priority="44" operator="lessThanOrEqual">
      <formula>Q38</formula>
    </cfRule>
    <cfRule type="cellIs" dxfId="114" priority="45" stopIfTrue="1" operator="equal">
      <formula>"Realizado"</formula>
    </cfRule>
  </conditionalFormatting>
  <conditionalFormatting sqref="R6:R25">
    <cfRule type="cellIs" dxfId="113" priority="101" operator="between">
      <formula>$Q$6</formula>
      <formula>0.01</formula>
    </cfRule>
    <cfRule type="cellIs" dxfId="112" priority="102" operator="greaterThanOrEqual">
      <formula>$Q$6</formula>
    </cfRule>
    <cfRule type="cellIs" dxfId="111" priority="103" operator="equal">
      <formula>0</formula>
    </cfRule>
  </conditionalFormatting>
  <conditionalFormatting sqref="S6:S25">
    <cfRule type="containsText" dxfId="110" priority="2" operator="containsText" text="Concluído">
      <formula>NOT(ISERROR(SEARCH("Concluído",S6)))</formula>
    </cfRule>
    <cfRule type="containsText" dxfId="109" priority="3" operator="containsText" text="Conforme Planejado">
      <formula>NOT(ISERROR(SEARCH("Conforme Planejado",S6)))</formula>
    </cfRule>
    <cfRule type="containsText" dxfId="108" priority="4" operator="containsText" text="FALTA PLANEJAMENTO">
      <formula>NOT(ISERROR(SEARCH("FALTA PLANEJAMENTO",S6)))</formula>
    </cfRule>
    <cfRule type="containsText" dxfId="107" priority="5" operator="containsText" text="Atraso">
      <formula>NOT(ISERROR(SEARCH("Atraso",S6)))</formula>
    </cfRule>
  </conditionalFormatting>
  <conditionalFormatting sqref="T6:T25">
    <cfRule type="cellIs" dxfId="106" priority="1" operator="lessThan">
      <formula>0</formula>
    </cfRule>
  </conditionalFormatting>
  <conditionalFormatting sqref="AA6:AA25">
    <cfRule type="cellIs" dxfId="105" priority="126" operator="lessThanOrEqual">
      <formula>0.81</formula>
    </cfRule>
  </conditionalFormatting>
  <conditionalFormatting sqref="AD6:AD25">
    <cfRule type="containsText" dxfId="104" priority="91" operator="containsText" text="ADIANTADO">
      <formula>NOT(ISERROR(SEARCH("ADIANTADO",AD6)))</formula>
    </cfRule>
    <cfRule type="containsText" dxfId="103" priority="92" operator="containsText" text="FALTA DE ACOMPANHAMENTO">
      <formula>NOT(ISERROR(SEARCH("FALTA DE ACOMPANHAMENTO",AD6)))</formula>
    </cfRule>
    <cfRule type="containsText" dxfId="102" priority="93" operator="containsText" text="Concluído">
      <formula>NOT(ISERROR(SEARCH("Concluído",AD6)))</formula>
    </cfRule>
    <cfRule type="containsText" dxfId="101" priority="94" operator="containsText" text="Conforme Planejado">
      <formula>NOT(ISERROR(SEARCH("Conforme Planejado",AD6)))</formula>
    </cfRule>
    <cfRule type="containsText" dxfId="100" priority="95" operator="containsText" text="PROJETO NÃO INICIADO">
      <formula>NOT(ISERROR(SEARCH("PROJETO NÃO INICIADO",AD6)))</formula>
    </cfRule>
    <cfRule type="containsText" dxfId="99" priority="96" operator="containsText" text="Atraso">
      <formula>NOT(ISERROR(SEARCH("Atraso",AD6)))</formula>
    </cfRule>
  </conditionalFormatting>
  <conditionalFormatting sqref="AR55:AR144">
    <cfRule type="cellIs" dxfId="98" priority="90" operator="lessThan">
      <formula>0</formula>
    </cfRule>
  </conditionalFormatting>
  <dataValidations count="5">
    <dataValidation type="list" allowBlank="1" showInputMessage="1" showErrorMessage="1" sqref="E197:E366" xr:uid="{DDC40D72-3144-4A16-99C0-63666151C2AE}">
      <formula1>"Sim,Não"</formula1>
    </dataValidation>
    <dataValidation type="list" allowBlank="1" showInputMessage="1" showErrorMessage="1" sqref="D146:D149 D154:D160 D168 D170 D172:D174" xr:uid="{F60CCBE1-D23D-4E5F-8800-B4A2C8B4CA41}">
      <formula1>"1,2,3"</formula1>
    </dataValidation>
    <dataValidation type="list" allowBlank="1" showInputMessage="1" showErrorMessage="1" sqref="AM55:AM144" xr:uid="{DBC6D52E-B120-44E8-AA94-630DB5341DA6}">
      <formula1>$AJ$47:$AJ$51</formula1>
    </dataValidation>
    <dataValidation type="list" allowBlank="1" showInputMessage="1" showErrorMessage="1" sqref="B55:B144" xr:uid="{3F2B0006-C904-4119-85D0-FC6153B9959D}">
      <formula1>"VA,GGF,MA,Outros"</formula1>
    </dataValidation>
    <dataValidation type="list" allowBlank="1" showInputMessage="1" showErrorMessage="1" sqref="E147:F174" xr:uid="{ECAD7AAC-319E-47CB-BAA4-3E2FB5518611}">
      <formula1>"0%,25%,50%,75%,100%"</formula1>
    </dataValidation>
  </dataValidations>
  <hyperlinks>
    <hyperlink ref="D77" r:id="rId1" xr:uid="{1AD26228-2810-4CB0-B99C-0BF9A84EEA17}"/>
    <hyperlink ref="D59" r:id="rId2" xr:uid="{BD60479E-19DE-4E43-8979-059C5AAC4623}"/>
    <hyperlink ref="D61" r:id="rId3" xr:uid="{81D1E526-5649-44A9-B478-C025983194C9}"/>
    <hyperlink ref="D67" r:id="rId4" xr:uid="{7853EA91-C0CA-4C68-BBB7-BD619BCEFD39}"/>
    <hyperlink ref="D69" r:id="rId5" xr:uid="{550F2565-B12A-4B14-A024-E8CDB31D7094}"/>
    <hyperlink ref="D79" r:id="rId6" xr:uid="{33B9C6B4-FAA4-4334-9131-2D64938B6797}"/>
    <hyperlink ref="D81" r:id="rId7" xr:uid="{F8C1C662-9D54-42FA-8784-0AEE7B3734CF}"/>
    <hyperlink ref="D83" r:id="rId8" xr:uid="{82D863A5-6982-4FF0-8EEB-B5813DF39CBB}"/>
    <hyperlink ref="D85" r:id="rId9" xr:uid="{51517224-436A-48BC-986B-166927C65168}"/>
    <hyperlink ref="H148" r:id="rId10" display="VW001214Z" xr:uid="{E197CC64-7C88-4312-B408-F3BBF3B0B103}"/>
    <hyperlink ref="H157" r:id="rId11" xr:uid="{7730F714-E341-476D-B8F1-7A41C140D6DE}"/>
    <hyperlink ref="H149" r:id="rId12" xr:uid="{E41C1789-FEFB-4ECF-8BF2-729D43874946}"/>
    <hyperlink ref="H150" r:id="rId13" xr:uid="{D7A32E0E-6CA4-4DA2-A701-9ACD2D4CE254}"/>
    <hyperlink ref="H151" r:id="rId14" xr:uid="{CFC3E67E-0384-4F10-A603-62566D0FCB7F}"/>
    <hyperlink ref="H152" r:id="rId15" xr:uid="{0D5C9F8C-45B6-447E-BC3E-5480C628FCF4}"/>
    <hyperlink ref="H153" r:id="rId16" xr:uid="{F77BC486-6817-4B75-85AD-E9E9401A6BB1}"/>
    <hyperlink ref="H154" r:id="rId17" xr:uid="{FFA9FAE6-73CB-4D3E-B2AE-1CF519DB935D}"/>
    <hyperlink ref="H155" r:id="rId18" xr:uid="{529C1178-7FCC-41B2-A7E9-CFA4E4DF0EF1}"/>
    <hyperlink ref="H156" r:id="rId19" xr:uid="{4EE5F383-9568-4F95-A086-9BC75443D785}"/>
    <hyperlink ref="D55" r:id="rId20" xr:uid="{CB5BBA02-38D0-4428-A5EF-9756C75002D1}"/>
    <hyperlink ref="D65" r:id="rId21" xr:uid="{4A4B5B5F-0534-4819-B08B-667C7A2D42A8}"/>
    <hyperlink ref="D87" r:id="rId22" xr:uid="{BDB40508-359E-4CC5-B13A-88CB9B911DA2}"/>
    <hyperlink ref="D89" r:id="rId23" xr:uid="{6BFAFBB8-BDD0-4EE5-A668-1754D6656B8C}"/>
    <hyperlink ref="D91" r:id="rId24" xr:uid="{771E7184-F5B1-43AF-8119-972F839B4FA6}"/>
    <hyperlink ref="D93" r:id="rId25" xr:uid="{EF26A1AE-1C8B-49C6-9189-59EB26536A4A}"/>
    <hyperlink ref="D95" r:id="rId26" xr:uid="{F9BD3B3A-2B3B-4D84-B930-B0844FD8E8CB}"/>
    <hyperlink ref="D97" r:id="rId27" xr:uid="{C363C099-58F8-4364-B70D-A10808F4385D}"/>
    <hyperlink ref="D99" r:id="rId28" xr:uid="{37CDD624-2296-486E-8D03-EA6CA7E47CC4}"/>
    <hyperlink ref="D65:D66" r:id="rId29" display="\\192.168.5.20\Departamentos\TI\Projetos\Master 2026\06 - Redução consumo MTP aplicando tolerância mínima\06 - Projeto Jarinu.xlsx" xr:uid="{D2DD1E0D-DA4B-4358-9A93-D59EB5A476C5}"/>
    <hyperlink ref="D63" r:id="rId30" xr:uid="{800078C3-A4B3-4947-9B1B-BACB4B220587}"/>
    <hyperlink ref="F196" r:id="rId31" xr:uid="{FDC5908C-7FA3-4008-802F-4E172C574263}"/>
    <hyperlink ref="D101" r:id="rId32" xr:uid="{AD07E258-1893-436C-8EB9-D898BA62980D}"/>
    <hyperlink ref="D103" r:id="rId33" xr:uid="{9E6BD9FD-2FE6-46E5-B135-2C1B3BBB3256}"/>
    <hyperlink ref="D57" r:id="rId34" xr:uid="{67DE4FC1-4180-414A-B3A7-E24D4BFBA2AA}"/>
    <hyperlink ref="D105" r:id="rId35" xr:uid="{85D89F43-B302-4455-B970-59F3D2C0CCE4}"/>
    <hyperlink ref="D107:D108" r:id="rId36" display="&quot;\\192.168.5.20\Departamentos\TI\Projetos\Master 2026\31 - Redução de Refugo\Kaizen XXX- poposta redução de custos com ensaios destrutivos..xlsx&quot;" xr:uid="{61908887-7C1A-49B9-9CB1-25F8EFF9E736}"/>
    <hyperlink ref="H184" r:id="rId37" xr:uid="{1B33AE36-D681-4429-805E-7A60A1F2E620}"/>
    <hyperlink ref="D115" r:id="rId38" xr:uid="{0E480A48-AB3C-4517-9839-A474CAF7C90D}"/>
    <hyperlink ref="D109" r:id="rId39" xr:uid="{F05AB797-0D30-406D-900B-963DC02341FB}"/>
    <hyperlink ref="D113" r:id="rId40" display="\\192.168.5.20\Departamentos\TI\Projetos\Master 2026\30 - Redução de impressora Backup\30 - Projeto Jarinu.xlsx" xr:uid="{B0A3A926-2C99-44F6-B087-FB70F57C78D1}"/>
    <hyperlink ref="D107" r:id="rId41" xr:uid="{E8DD6EFF-812D-427D-9FE7-632C05F990B5}"/>
    <hyperlink ref="D111" r:id="rId42" xr:uid="{64EC1FA9-E18E-406E-B805-D598C9B3C1AF}"/>
    <hyperlink ref="D119:D120" r:id="rId43" display="&quot;\\192.168.5.20\Departamentos\TI\Projetos\Master 2026\36 - Venda Robos\35 - Venda Robos.xlsx&quot;" xr:uid="{83FDE16B-BB5C-4E51-B4B0-1B061C459FEA}"/>
    <hyperlink ref="D61:D62" r:id="rId44" display="\\192.168.5.20\Departamentos\TI\Projetos\Master 2026\04 - Redução da largura dos slitters\04 - Redução da largura dos slitters.xlsx" xr:uid="{19341DAA-E6A6-4CCE-976C-058C01DD83EE}"/>
    <hyperlink ref="D101:D102" r:id="rId45" display="\\192.168.5.20\Departamentos\TI\Projetos\Master 2026\27 - Mean to-low Curva B\27 - Mean to low curva B.xlsx" xr:uid="{5EA2B926-5FE3-4319-9C5E-7FE7AA0B33ED}"/>
  </hyperlinks>
  <pageMargins left="0.75" right="0.75" top="1" bottom="1" header="0.5" footer="0.5"/>
  <pageSetup paperSize="9" orientation="portrait" r:id="rId46"/>
  <drawing r:id="rId47"/>
  <legacyDrawing r:id="rId48"/>
  <mc:AlternateContent xmlns:mc="http://schemas.openxmlformats.org/markup-compatibility/2006">
    <mc:Choice Requires="x14">
      <controls>
        <mc:AlternateContent xmlns:mc="http://schemas.openxmlformats.org/markup-compatibility/2006">
          <mc:Choice Requires="x14">
            <control shapeId="8311" r:id="rId49" name="Check Box 119">
              <controlPr defaultSize="0" autoFill="0" autoLine="0" autoPict="0">
                <anchor moveWithCells="1">
                  <from>
                    <xdr:col>11</xdr:col>
                    <xdr:colOff>0</xdr:colOff>
                    <xdr:row>58</xdr:row>
                    <xdr:rowOff>266700</xdr:rowOff>
                  </from>
                  <to>
                    <xdr:col>11</xdr:col>
                    <xdr:colOff>1821180</xdr:colOff>
                    <xdr:row>59</xdr:row>
                    <xdr:rowOff>198120</xdr:rowOff>
                  </to>
                </anchor>
              </controlPr>
            </control>
          </mc:Choice>
        </mc:AlternateContent>
        <mc:AlternateContent xmlns:mc="http://schemas.openxmlformats.org/markup-compatibility/2006">
          <mc:Choice Requires="x14">
            <control shapeId="8312" r:id="rId50" name="Check Box 120">
              <controlPr defaultSize="0" autoFill="0" autoLine="0" autoPict="0">
                <anchor moveWithCells="1">
                  <from>
                    <xdr:col>11</xdr:col>
                    <xdr:colOff>0</xdr:colOff>
                    <xdr:row>59</xdr:row>
                    <xdr:rowOff>144780</xdr:rowOff>
                  </from>
                  <to>
                    <xdr:col>11</xdr:col>
                    <xdr:colOff>1821180</xdr:colOff>
                    <xdr:row>59</xdr:row>
                    <xdr:rowOff>342900</xdr:rowOff>
                  </to>
                </anchor>
              </controlPr>
            </control>
          </mc:Choice>
        </mc:AlternateContent>
        <mc:AlternateContent xmlns:mc="http://schemas.openxmlformats.org/markup-compatibility/2006">
          <mc:Choice Requires="x14">
            <control shapeId="8313" r:id="rId51" name="Check Box 121">
              <controlPr defaultSize="0" autoFill="0" autoLine="0" autoPict="0">
                <anchor moveWithCells="1">
                  <from>
                    <xdr:col>11</xdr:col>
                    <xdr:colOff>0</xdr:colOff>
                    <xdr:row>58</xdr:row>
                    <xdr:rowOff>30480</xdr:rowOff>
                  </from>
                  <to>
                    <xdr:col>11</xdr:col>
                    <xdr:colOff>1821180</xdr:colOff>
                    <xdr:row>58</xdr:row>
                    <xdr:rowOff>228600</xdr:rowOff>
                  </to>
                </anchor>
              </controlPr>
            </control>
          </mc:Choice>
        </mc:AlternateContent>
        <mc:AlternateContent xmlns:mc="http://schemas.openxmlformats.org/markup-compatibility/2006">
          <mc:Choice Requires="x14">
            <control shapeId="8314" r:id="rId52" name="Check Box 122">
              <controlPr defaultSize="0" autoFill="0" autoLine="0" autoPict="0">
                <anchor moveWithCells="1">
                  <from>
                    <xdr:col>11</xdr:col>
                    <xdr:colOff>0</xdr:colOff>
                    <xdr:row>60</xdr:row>
                    <xdr:rowOff>266700</xdr:rowOff>
                  </from>
                  <to>
                    <xdr:col>11</xdr:col>
                    <xdr:colOff>1821180</xdr:colOff>
                    <xdr:row>61</xdr:row>
                    <xdr:rowOff>190500</xdr:rowOff>
                  </to>
                </anchor>
              </controlPr>
            </control>
          </mc:Choice>
        </mc:AlternateContent>
        <mc:AlternateContent xmlns:mc="http://schemas.openxmlformats.org/markup-compatibility/2006">
          <mc:Choice Requires="x14">
            <control shapeId="8315" r:id="rId53" name="Check Box 123">
              <controlPr defaultSize="0" autoFill="0" autoLine="0" autoPict="0">
                <anchor moveWithCells="1">
                  <from>
                    <xdr:col>11</xdr:col>
                    <xdr:colOff>0</xdr:colOff>
                    <xdr:row>61</xdr:row>
                    <xdr:rowOff>144780</xdr:rowOff>
                  </from>
                  <to>
                    <xdr:col>11</xdr:col>
                    <xdr:colOff>1821180</xdr:colOff>
                    <xdr:row>61</xdr:row>
                    <xdr:rowOff>342900</xdr:rowOff>
                  </to>
                </anchor>
              </controlPr>
            </control>
          </mc:Choice>
        </mc:AlternateContent>
        <mc:AlternateContent xmlns:mc="http://schemas.openxmlformats.org/markup-compatibility/2006">
          <mc:Choice Requires="x14">
            <control shapeId="8316" r:id="rId54" name="Check Box 124">
              <controlPr defaultSize="0" autoFill="0" autoLine="0" autoPict="0">
                <anchor moveWithCells="1">
                  <from>
                    <xdr:col>11</xdr:col>
                    <xdr:colOff>0</xdr:colOff>
                    <xdr:row>60</xdr:row>
                    <xdr:rowOff>30480</xdr:rowOff>
                  </from>
                  <to>
                    <xdr:col>11</xdr:col>
                    <xdr:colOff>1821180</xdr:colOff>
                    <xdr:row>60</xdr:row>
                    <xdr:rowOff>228600</xdr:rowOff>
                  </to>
                </anchor>
              </controlPr>
            </control>
          </mc:Choice>
        </mc:AlternateContent>
        <mc:AlternateContent xmlns:mc="http://schemas.openxmlformats.org/markup-compatibility/2006">
          <mc:Choice Requires="x14">
            <control shapeId="8317" r:id="rId55" name="Check Box 125">
              <controlPr defaultSize="0" autoFill="0" autoLine="0" autoPict="0">
                <anchor moveWithCells="1">
                  <from>
                    <xdr:col>11</xdr:col>
                    <xdr:colOff>0</xdr:colOff>
                    <xdr:row>62</xdr:row>
                    <xdr:rowOff>266700</xdr:rowOff>
                  </from>
                  <to>
                    <xdr:col>11</xdr:col>
                    <xdr:colOff>1821180</xdr:colOff>
                    <xdr:row>63</xdr:row>
                    <xdr:rowOff>198120</xdr:rowOff>
                  </to>
                </anchor>
              </controlPr>
            </control>
          </mc:Choice>
        </mc:AlternateContent>
        <mc:AlternateContent xmlns:mc="http://schemas.openxmlformats.org/markup-compatibility/2006">
          <mc:Choice Requires="x14">
            <control shapeId="8318" r:id="rId56" name="Check Box 126">
              <controlPr defaultSize="0" autoFill="0" autoLine="0" autoPict="0">
                <anchor moveWithCells="1">
                  <from>
                    <xdr:col>11</xdr:col>
                    <xdr:colOff>0</xdr:colOff>
                    <xdr:row>63</xdr:row>
                    <xdr:rowOff>144780</xdr:rowOff>
                  </from>
                  <to>
                    <xdr:col>11</xdr:col>
                    <xdr:colOff>1821180</xdr:colOff>
                    <xdr:row>63</xdr:row>
                    <xdr:rowOff>342900</xdr:rowOff>
                  </to>
                </anchor>
              </controlPr>
            </control>
          </mc:Choice>
        </mc:AlternateContent>
        <mc:AlternateContent xmlns:mc="http://schemas.openxmlformats.org/markup-compatibility/2006">
          <mc:Choice Requires="x14">
            <control shapeId="8319" r:id="rId57" name="Check Box 127">
              <controlPr defaultSize="0" autoFill="0" autoLine="0" autoPict="0">
                <anchor moveWithCells="1">
                  <from>
                    <xdr:col>11</xdr:col>
                    <xdr:colOff>0</xdr:colOff>
                    <xdr:row>62</xdr:row>
                    <xdr:rowOff>30480</xdr:rowOff>
                  </from>
                  <to>
                    <xdr:col>11</xdr:col>
                    <xdr:colOff>1821180</xdr:colOff>
                    <xdr:row>62</xdr:row>
                    <xdr:rowOff>228600</xdr:rowOff>
                  </to>
                </anchor>
              </controlPr>
            </control>
          </mc:Choice>
        </mc:AlternateContent>
        <mc:AlternateContent xmlns:mc="http://schemas.openxmlformats.org/markup-compatibility/2006">
          <mc:Choice Requires="x14">
            <control shapeId="8320" r:id="rId58" name="Check Box 128">
              <controlPr defaultSize="0" autoFill="0" autoLine="0" autoPict="0">
                <anchor moveWithCells="1">
                  <from>
                    <xdr:col>11</xdr:col>
                    <xdr:colOff>0</xdr:colOff>
                    <xdr:row>64</xdr:row>
                    <xdr:rowOff>266700</xdr:rowOff>
                  </from>
                  <to>
                    <xdr:col>11</xdr:col>
                    <xdr:colOff>1821180</xdr:colOff>
                    <xdr:row>65</xdr:row>
                    <xdr:rowOff>198120</xdr:rowOff>
                  </to>
                </anchor>
              </controlPr>
            </control>
          </mc:Choice>
        </mc:AlternateContent>
        <mc:AlternateContent xmlns:mc="http://schemas.openxmlformats.org/markup-compatibility/2006">
          <mc:Choice Requires="x14">
            <control shapeId="8321" r:id="rId59" name="Check Box 129">
              <controlPr defaultSize="0" autoFill="0" autoLine="0" autoPict="0">
                <anchor moveWithCells="1">
                  <from>
                    <xdr:col>11</xdr:col>
                    <xdr:colOff>0</xdr:colOff>
                    <xdr:row>65</xdr:row>
                    <xdr:rowOff>144780</xdr:rowOff>
                  </from>
                  <to>
                    <xdr:col>11</xdr:col>
                    <xdr:colOff>1821180</xdr:colOff>
                    <xdr:row>65</xdr:row>
                    <xdr:rowOff>342900</xdr:rowOff>
                  </to>
                </anchor>
              </controlPr>
            </control>
          </mc:Choice>
        </mc:AlternateContent>
        <mc:AlternateContent xmlns:mc="http://schemas.openxmlformats.org/markup-compatibility/2006">
          <mc:Choice Requires="x14">
            <control shapeId="8322" r:id="rId60" name="Check Box 130">
              <controlPr defaultSize="0" autoFill="0" autoLine="0" autoPict="0">
                <anchor moveWithCells="1">
                  <from>
                    <xdr:col>11</xdr:col>
                    <xdr:colOff>0</xdr:colOff>
                    <xdr:row>64</xdr:row>
                    <xdr:rowOff>30480</xdr:rowOff>
                  </from>
                  <to>
                    <xdr:col>11</xdr:col>
                    <xdr:colOff>1821180</xdr:colOff>
                    <xdr:row>64</xdr:row>
                    <xdr:rowOff>228600</xdr:rowOff>
                  </to>
                </anchor>
              </controlPr>
            </control>
          </mc:Choice>
        </mc:AlternateContent>
        <mc:AlternateContent xmlns:mc="http://schemas.openxmlformats.org/markup-compatibility/2006">
          <mc:Choice Requires="x14">
            <control shapeId="8323" r:id="rId61" name="Check Box 131">
              <controlPr defaultSize="0" autoFill="0" autoLine="0" autoPict="0">
                <anchor moveWithCells="1">
                  <from>
                    <xdr:col>11</xdr:col>
                    <xdr:colOff>0</xdr:colOff>
                    <xdr:row>66</xdr:row>
                    <xdr:rowOff>266700</xdr:rowOff>
                  </from>
                  <to>
                    <xdr:col>11</xdr:col>
                    <xdr:colOff>1821180</xdr:colOff>
                    <xdr:row>67</xdr:row>
                    <xdr:rowOff>228600</xdr:rowOff>
                  </to>
                </anchor>
              </controlPr>
            </control>
          </mc:Choice>
        </mc:AlternateContent>
        <mc:AlternateContent xmlns:mc="http://schemas.openxmlformats.org/markup-compatibility/2006">
          <mc:Choice Requires="x14">
            <control shapeId="8324" r:id="rId62" name="Check Box 132">
              <controlPr defaultSize="0" autoFill="0" autoLine="0" autoPict="0">
                <anchor moveWithCells="1">
                  <from>
                    <xdr:col>11</xdr:col>
                    <xdr:colOff>0</xdr:colOff>
                    <xdr:row>67</xdr:row>
                    <xdr:rowOff>144780</xdr:rowOff>
                  </from>
                  <to>
                    <xdr:col>11</xdr:col>
                    <xdr:colOff>1821180</xdr:colOff>
                    <xdr:row>68</xdr:row>
                    <xdr:rowOff>0</xdr:rowOff>
                  </to>
                </anchor>
              </controlPr>
            </control>
          </mc:Choice>
        </mc:AlternateContent>
        <mc:AlternateContent xmlns:mc="http://schemas.openxmlformats.org/markup-compatibility/2006">
          <mc:Choice Requires="x14">
            <control shapeId="8325" r:id="rId63" name="Check Box 133">
              <controlPr defaultSize="0" autoFill="0" autoLine="0" autoPict="0">
                <anchor moveWithCells="1">
                  <from>
                    <xdr:col>11</xdr:col>
                    <xdr:colOff>0</xdr:colOff>
                    <xdr:row>66</xdr:row>
                    <xdr:rowOff>30480</xdr:rowOff>
                  </from>
                  <to>
                    <xdr:col>11</xdr:col>
                    <xdr:colOff>1821180</xdr:colOff>
                    <xdr:row>66</xdr:row>
                    <xdr:rowOff>259080</xdr:rowOff>
                  </to>
                </anchor>
              </controlPr>
            </control>
          </mc:Choice>
        </mc:AlternateContent>
        <mc:AlternateContent xmlns:mc="http://schemas.openxmlformats.org/markup-compatibility/2006">
          <mc:Choice Requires="x14">
            <control shapeId="8326" r:id="rId64" name="Check Box 134">
              <controlPr defaultSize="0" autoFill="0" autoLine="0" autoPict="0">
                <anchor moveWithCells="1">
                  <from>
                    <xdr:col>11</xdr:col>
                    <xdr:colOff>0</xdr:colOff>
                    <xdr:row>68</xdr:row>
                    <xdr:rowOff>266700</xdr:rowOff>
                  </from>
                  <to>
                    <xdr:col>11</xdr:col>
                    <xdr:colOff>1821180</xdr:colOff>
                    <xdr:row>69</xdr:row>
                    <xdr:rowOff>198120</xdr:rowOff>
                  </to>
                </anchor>
              </controlPr>
            </control>
          </mc:Choice>
        </mc:AlternateContent>
        <mc:AlternateContent xmlns:mc="http://schemas.openxmlformats.org/markup-compatibility/2006">
          <mc:Choice Requires="x14">
            <control shapeId="8329" r:id="rId65" name="Check Box 137">
              <controlPr defaultSize="0" autoFill="0" autoLine="0" autoPict="0">
                <anchor moveWithCells="1">
                  <from>
                    <xdr:col>11</xdr:col>
                    <xdr:colOff>0</xdr:colOff>
                    <xdr:row>70</xdr:row>
                    <xdr:rowOff>266700</xdr:rowOff>
                  </from>
                  <to>
                    <xdr:col>11</xdr:col>
                    <xdr:colOff>1821180</xdr:colOff>
                    <xdr:row>71</xdr:row>
                    <xdr:rowOff>198120</xdr:rowOff>
                  </to>
                </anchor>
              </controlPr>
            </control>
          </mc:Choice>
        </mc:AlternateContent>
        <mc:AlternateContent xmlns:mc="http://schemas.openxmlformats.org/markup-compatibility/2006">
          <mc:Choice Requires="x14">
            <control shapeId="8330" r:id="rId66" name="Check Box 138">
              <controlPr defaultSize="0" autoFill="0" autoLine="0" autoPict="0">
                <anchor moveWithCells="1">
                  <from>
                    <xdr:col>11</xdr:col>
                    <xdr:colOff>0</xdr:colOff>
                    <xdr:row>71</xdr:row>
                    <xdr:rowOff>144780</xdr:rowOff>
                  </from>
                  <to>
                    <xdr:col>11</xdr:col>
                    <xdr:colOff>1821180</xdr:colOff>
                    <xdr:row>72</xdr:row>
                    <xdr:rowOff>0</xdr:rowOff>
                  </to>
                </anchor>
              </controlPr>
            </control>
          </mc:Choice>
        </mc:AlternateContent>
        <mc:AlternateContent xmlns:mc="http://schemas.openxmlformats.org/markup-compatibility/2006">
          <mc:Choice Requires="x14">
            <control shapeId="8332" r:id="rId67" name="Check Box 140">
              <controlPr defaultSize="0" autoFill="0" autoLine="0" autoPict="0">
                <anchor moveWithCells="1">
                  <from>
                    <xdr:col>11</xdr:col>
                    <xdr:colOff>0</xdr:colOff>
                    <xdr:row>72</xdr:row>
                    <xdr:rowOff>266700</xdr:rowOff>
                  </from>
                  <to>
                    <xdr:col>11</xdr:col>
                    <xdr:colOff>1821180</xdr:colOff>
                    <xdr:row>73</xdr:row>
                    <xdr:rowOff>198120</xdr:rowOff>
                  </to>
                </anchor>
              </controlPr>
            </control>
          </mc:Choice>
        </mc:AlternateContent>
        <mc:AlternateContent xmlns:mc="http://schemas.openxmlformats.org/markup-compatibility/2006">
          <mc:Choice Requires="x14">
            <control shapeId="8333" r:id="rId68" name="Check Box 141">
              <controlPr defaultSize="0" autoFill="0" autoLine="0" autoPict="0">
                <anchor moveWithCells="1">
                  <from>
                    <xdr:col>11</xdr:col>
                    <xdr:colOff>0</xdr:colOff>
                    <xdr:row>73</xdr:row>
                    <xdr:rowOff>144780</xdr:rowOff>
                  </from>
                  <to>
                    <xdr:col>11</xdr:col>
                    <xdr:colOff>1821180</xdr:colOff>
                    <xdr:row>74</xdr:row>
                    <xdr:rowOff>0</xdr:rowOff>
                  </to>
                </anchor>
              </controlPr>
            </control>
          </mc:Choice>
        </mc:AlternateContent>
        <mc:AlternateContent xmlns:mc="http://schemas.openxmlformats.org/markup-compatibility/2006">
          <mc:Choice Requires="x14">
            <control shapeId="8334" r:id="rId69" name="Check Box 142">
              <controlPr defaultSize="0" autoFill="0" autoLine="0" autoPict="0">
                <anchor moveWithCells="1">
                  <from>
                    <xdr:col>11</xdr:col>
                    <xdr:colOff>0</xdr:colOff>
                    <xdr:row>72</xdr:row>
                    <xdr:rowOff>30480</xdr:rowOff>
                  </from>
                  <to>
                    <xdr:col>11</xdr:col>
                    <xdr:colOff>1821180</xdr:colOff>
                    <xdr:row>72</xdr:row>
                    <xdr:rowOff>259080</xdr:rowOff>
                  </to>
                </anchor>
              </controlPr>
            </control>
          </mc:Choice>
        </mc:AlternateContent>
        <mc:AlternateContent xmlns:mc="http://schemas.openxmlformats.org/markup-compatibility/2006">
          <mc:Choice Requires="x14">
            <control shapeId="8335" r:id="rId70" name="Check Box 143">
              <controlPr defaultSize="0" autoFill="0" autoLine="0" autoPict="0">
                <anchor moveWithCells="1">
                  <from>
                    <xdr:col>11</xdr:col>
                    <xdr:colOff>0</xdr:colOff>
                    <xdr:row>74</xdr:row>
                    <xdr:rowOff>266700</xdr:rowOff>
                  </from>
                  <to>
                    <xdr:col>11</xdr:col>
                    <xdr:colOff>1821180</xdr:colOff>
                    <xdr:row>75</xdr:row>
                    <xdr:rowOff>198120</xdr:rowOff>
                  </to>
                </anchor>
              </controlPr>
            </control>
          </mc:Choice>
        </mc:AlternateContent>
        <mc:AlternateContent xmlns:mc="http://schemas.openxmlformats.org/markup-compatibility/2006">
          <mc:Choice Requires="x14">
            <control shapeId="8336" r:id="rId71" name="Check Box 144">
              <controlPr defaultSize="0" autoFill="0" autoLine="0" autoPict="0">
                <anchor moveWithCells="1">
                  <from>
                    <xdr:col>11</xdr:col>
                    <xdr:colOff>0</xdr:colOff>
                    <xdr:row>75</xdr:row>
                    <xdr:rowOff>144780</xdr:rowOff>
                  </from>
                  <to>
                    <xdr:col>11</xdr:col>
                    <xdr:colOff>1821180</xdr:colOff>
                    <xdr:row>76</xdr:row>
                    <xdr:rowOff>0</xdr:rowOff>
                  </to>
                </anchor>
              </controlPr>
            </control>
          </mc:Choice>
        </mc:AlternateContent>
        <mc:AlternateContent xmlns:mc="http://schemas.openxmlformats.org/markup-compatibility/2006">
          <mc:Choice Requires="x14">
            <control shapeId="8337" r:id="rId72" name="Check Box 145">
              <controlPr defaultSize="0" autoFill="0" autoLine="0" autoPict="0">
                <anchor moveWithCells="1">
                  <from>
                    <xdr:col>11</xdr:col>
                    <xdr:colOff>0</xdr:colOff>
                    <xdr:row>74</xdr:row>
                    <xdr:rowOff>30480</xdr:rowOff>
                  </from>
                  <to>
                    <xdr:col>11</xdr:col>
                    <xdr:colOff>1821180</xdr:colOff>
                    <xdr:row>74</xdr:row>
                    <xdr:rowOff>259080</xdr:rowOff>
                  </to>
                </anchor>
              </controlPr>
            </control>
          </mc:Choice>
        </mc:AlternateContent>
        <mc:AlternateContent xmlns:mc="http://schemas.openxmlformats.org/markup-compatibility/2006">
          <mc:Choice Requires="x14">
            <control shapeId="8338" r:id="rId73" name="Check Box 146">
              <controlPr defaultSize="0" autoFill="0" autoLine="0" autoPict="0">
                <anchor moveWithCells="1">
                  <from>
                    <xdr:col>11</xdr:col>
                    <xdr:colOff>0</xdr:colOff>
                    <xdr:row>76</xdr:row>
                    <xdr:rowOff>266700</xdr:rowOff>
                  </from>
                  <to>
                    <xdr:col>11</xdr:col>
                    <xdr:colOff>1821180</xdr:colOff>
                    <xdr:row>77</xdr:row>
                    <xdr:rowOff>198120</xdr:rowOff>
                  </to>
                </anchor>
              </controlPr>
            </control>
          </mc:Choice>
        </mc:AlternateContent>
        <mc:AlternateContent xmlns:mc="http://schemas.openxmlformats.org/markup-compatibility/2006">
          <mc:Choice Requires="x14">
            <control shapeId="8339" r:id="rId74" name="Check Box 147">
              <controlPr defaultSize="0" autoFill="0" autoLine="0" autoPict="0">
                <anchor moveWithCells="1">
                  <from>
                    <xdr:col>11</xdr:col>
                    <xdr:colOff>0</xdr:colOff>
                    <xdr:row>77</xdr:row>
                    <xdr:rowOff>144780</xdr:rowOff>
                  </from>
                  <to>
                    <xdr:col>11</xdr:col>
                    <xdr:colOff>1821180</xdr:colOff>
                    <xdr:row>78</xdr:row>
                    <xdr:rowOff>0</xdr:rowOff>
                  </to>
                </anchor>
              </controlPr>
            </control>
          </mc:Choice>
        </mc:AlternateContent>
        <mc:AlternateContent xmlns:mc="http://schemas.openxmlformats.org/markup-compatibility/2006">
          <mc:Choice Requires="x14">
            <control shapeId="8340" r:id="rId75" name="Check Box 148">
              <controlPr defaultSize="0" autoFill="0" autoLine="0" autoPict="0">
                <anchor moveWithCells="1">
                  <from>
                    <xdr:col>11</xdr:col>
                    <xdr:colOff>0</xdr:colOff>
                    <xdr:row>76</xdr:row>
                    <xdr:rowOff>30480</xdr:rowOff>
                  </from>
                  <to>
                    <xdr:col>11</xdr:col>
                    <xdr:colOff>1821180</xdr:colOff>
                    <xdr:row>76</xdr:row>
                    <xdr:rowOff>259080</xdr:rowOff>
                  </to>
                </anchor>
              </controlPr>
            </control>
          </mc:Choice>
        </mc:AlternateContent>
        <mc:AlternateContent xmlns:mc="http://schemas.openxmlformats.org/markup-compatibility/2006">
          <mc:Choice Requires="x14">
            <control shapeId="8341" r:id="rId76" name="Check Box 149">
              <controlPr defaultSize="0" autoFill="0" autoLine="0" autoPict="0">
                <anchor moveWithCells="1">
                  <from>
                    <xdr:col>11</xdr:col>
                    <xdr:colOff>0</xdr:colOff>
                    <xdr:row>78</xdr:row>
                    <xdr:rowOff>266700</xdr:rowOff>
                  </from>
                  <to>
                    <xdr:col>11</xdr:col>
                    <xdr:colOff>1821180</xdr:colOff>
                    <xdr:row>79</xdr:row>
                    <xdr:rowOff>198120</xdr:rowOff>
                  </to>
                </anchor>
              </controlPr>
            </control>
          </mc:Choice>
        </mc:AlternateContent>
        <mc:AlternateContent xmlns:mc="http://schemas.openxmlformats.org/markup-compatibility/2006">
          <mc:Choice Requires="x14">
            <control shapeId="8342" r:id="rId77" name="Check Box 150">
              <controlPr defaultSize="0" autoFill="0" autoLine="0" autoPict="0">
                <anchor moveWithCells="1">
                  <from>
                    <xdr:col>11</xdr:col>
                    <xdr:colOff>0</xdr:colOff>
                    <xdr:row>79</xdr:row>
                    <xdr:rowOff>144780</xdr:rowOff>
                  </from>
                  <to>
                    <xdr:col>11</xdr:col>
                    <xdr:colOff>1821180</xdr:colOff>
                    <xdr:row>80</xdr:row>
                    <xdr:rowOff>0</xdr:rowOff>
                  </to>
                </anchor>
              </controlPr>
            </control>
          </mc:Choice>
        </mc:AlternateContent>
        <mc:AlternateContent xmlns:mc="http://schemas.openxmlformats.org/markup-compatibility/2006">
          <mc:Choice Requires="x14">
            <control shapeId="8343" r:id="rId78" name="Check Box 151">
              <controlPr defaultSize="0" autoFill="0" autoLine="0" autoPict="0">
                <anchor moveWithCells="1">
                  <from>
                    <xdr:col>11</xdr:col>
                    <xdr:colOff>0</xdr:colOff>
                    <xdr:row>78</xdr:row>
                    <xdr:rowOff>30480</xdr:rowOff>
                  </from>
                  <to>
                    <xdr:col>11</xdr:col>
                    <xdr:colOff>1821180</xdr:colOff>
                    <xdr:row>78</xdr:row>
                    <xdr:rowOff>251460</xdr:rowOff>
                  </to>
                </anchor>
              </controlPr>
            </control>
          </mc:Choice>
        </mc:AlternateContent>
        <mc:AlternateContent xmlns:mc="http://schemas.openxmlformats.org/markup-compatibility/2006">
          <mc:Choice Requires="x14">
            <control shapeId="8344" r:id="rId79" name="Check Box 152">
              <controlPr defaultSize="0" autoFill="0" autoLine="0" autoPict="0">
                <anchor moveWithCells="1">
                  <from>
                    <xdr:col>11</xdr:col>
                    <xdr:colOff>0</xdr:colOff>
                    <xdr:row>80</xdr:row>
                    <xdr:rowOff>266700</xdr:rowOff>
                  </from>
                  <to>
                    <xdr:col>11</xdr:col>
                    <xdr:colOff>1821180</xdr:colOff>
                    <xdr:row>81</xdr:row>
                    <xdr:rowOff>198120</xdr:rowOff>
                  </to>
                </anchor>
              </controlPr>
            </control>
          </mc:Choice>
        </mc:AlternateContent>
        <mc:AlternateContent xmlns:mc="http://schemas.openxmlformats.org/markup-compatibility/2006">
          <mc:Choice Requires="x14">
            <control shapeId="8345" r:id="rId80" name="Check Box 153">
              <controlPr defaultSize="0" autoFill="0" autoLine="0" autoPict="0">
                <anchor moveWithCells="1">
                  <from>
                    <xdr:col>11</xdr:col>
                    <xdr:colOff>0</xdr:colOff>
                    <xdr:row>81</xdr:row>
                    <xdr:rowOff>144780</xdr:rowOff>
                  </from>
                  <to>
                    <xdr:col>11</xdr:col>
                    <xdr:colOff>1821180</xdr:colOff>
                    <xdr:row>82</xdr:row>
                    <xdr:rowOff>0</xdr:rowOff>
                  </to>
                </anchor>
              </controlPr>
            </control>
          </mc:Choice>
        </mc:AlternateContent>
        <mc:AlternateContent xmlns:mc="http://schemas.openxmlformats.org/markup-compatibility/2006">
          <mc:Choice Requires="x14">
            <control shapeId="8346" r:id="rId81" name="Check Box 154">
              <controlPr defaultSize="0" autoFill="0" autoLine="0" autoPict="0">
                <anchor moveWithCells="1">
                  <from>
                    <xdr:col>11</xdr:col>
                    <xdr:colOff>0</xdr:colOff>
                    <xdr:row>80</xdr:row>
                    <xdr:rowOff>30480</xdr:rowOff>
                  </from>
                  <to>
                    <xdr:col>11</xdr:col>
                    <xdr:colOff>1821180</xdr:colOff>
                    <xdr:row>80</xdr:row>
                    <xdr:rowOff>251460</xdr:rowOff>
                  </to>
                </anchor>
              </controlPr>
            </control>
          </mc:Choice>
        </mc:AlternateContent>
        <mc:AlternateContent xmlns:mc="http://schemas.openxmlformats.org/markup-compatibility/2006">
          <mc:Choice Requires="x14">
            <control shapeId="8347" r:id="rId82" name="Check Box 155">
              <controlPr defaultSize="0" autoFill="0" autoLine="0" autoPict="0">
                <anchor moveWithCells="1">
                  <from>
                    <xdr:col>11</xdr:col>
                    <xdr:colOff>0</xdr:colOff>
                    <xdr:row>82</xdr:row>
                    <xdr:rowOff>266700</xdr:rowOff>
                  </from>
                  <to>
                    <xdr:col>11</xdr:col>
                    <xdr:colOff>1821180</xdr:colOff>
                    <xdr:row>83</xdr:row>
                    <xdr:rowOff>198120</xdr:rowOff>
                  </to>
                </anchor>
              </controlPr>
            </control>
          </mc:Choice>
        </mc:AlternateContent>
        <mc:AlternateContent xmlns:mc="http://schemas.openxmlformats.org/markup-compatibility/2006">
          <mc:Choice Requires="x14">
            <control shapeId="8348" r:id="rId83" name="Check Box 156">
              <controlPr defaultSize="0" autoFill="0" autoLine="0" autoPict="0">
                <anchor moveWithCells="1">
                  <from>
                    <xdr:col>11</xdr:col>
                    <xdr:colOff>0</xdr:colOff>
                    <xdr:row>83</xdr:row>
                    <xdr:rowOff>144780</xdr:rowOff>
                  </from>
                  <to>
                    <xdr:col>11</xdr:col>
                    <xdr:colOff>1821180</xdr:colOff>
                    <xdr:row>84</xdr:row>
                    <xdr:rowOff>0</xdr:rowOff>
                  </to>
                </anchor>
              </controlPr>
            </control>
          </mc:Choice>
        </mc:AlternateContent>
        <mc:AlternateContent xmlns:mc="http://schemas.openxmlformats.org/markup-compatibility/2006">
          <mc:Choice Requires="x14">
            <control shapeId="8349" r:id="rId84" name="Check Box 157">
              <controlPr defaultSize="0" autoFill="0" autoLine="0" autoPict="0">
                <anchor moveWithCells="1">
                  <from>
                    <xdr:col>11</xdr:col>
                    <xdr:colOff>0</xdr:colOff>
                    <xdr:row>82</xdr:row>
                    <xdr:rowOff>30480</xdr:rowOff>
                  </from>
                  <to>
                    <xdr:col>11</xdr:col>
                    <xdr:colOff>1821180</xdr:colOff>
                    <xdr:row>82</xdr:row>
                    <xdr:rowOff>251460</xdr:rowOff>
                  </to>
                </anchor>
              </controlPr>
            </control>
          </mc:Choice>
        </mc:AlternateContent>
        <mc:AlternateContent xmlns:mc="http://schemas.openxmlformats.org/markup-compatibility/2006">
          <mc:Choice Requires="x14">
            <control shapeId="8350" r:id="rId85" name="Check Box 158">
              <controlPr defaultSize="0" autoFill="0" autoLine="0" autoPict="0">
                <anchor moveWithCells="1">
                  <from>
                    <xdr:col>11</xdr:col>
                    <xdr:colOff>0</xdr:colOff>
                    <xdr:row>84</xdr:row>
                    <xdr:rowOff>0</xdr:rowOff>
                  </from>
                  <to>
                    <xdr:col>11</xdr:col>
                    <xdr:colOff>1821180</xdr:colOff>
                    <xdr:row>84</xdr:row>
                    <xdr:rowOff>327660</xdr:rowOff>
                  </to>
                </anchor>
              </controlPr>
            </control>
          </mc:Choice>
        </mc:AlternateContent>
        <mc:AlternateContent xmlns:mc="http://schemas.openxmlformats.org/markup-compatibility/2006">
          <mc:Choice Requires="x14">
            <control shapeId="8359" r:id="rId86" name="Check Box 167">
              <controlPr defaultSize="0" autoFill="0" autoLine="0" autoPict="0">
                <anchor moveWithCells="1">
                  <from>
                    <xdr:col>11</xdr:col>
                    <xdr:colOff>0</xdr:colOff>
                    <xdr:row>84</xdr:row>
                    <xdr:rowOff>266700</xdr:rowOff>
                  </from>
                  <to>
                    <xdr:col>11</xdr:col>
                    <xdr:colOff>1821180</xdr:colOff>
                    <xdr:row>85</xdr:row>
                    <xdr:rowOff>198120</xdr:rowOff>
                  </to>
                </anchor>
              </controlPr>
            </control>
          </mc:Choice>
        </mc:AlternateContent>
        <mc:AlternateContent xmlns:mc="http://schemas.openxmlformats.org/markup-compatibility/2006">
          <mc:Choice Requires="x14">
            <control shapeId="8360" r:id="rId87" name="Check Box 168">
              <controlPr defaultSize="0" autoFill="0" autoLine="0" autoPict="0">
                <anchor moveWithCells="1">
                  <from>
                    <xdr:col>11</xdr:col>
                    <xdr:colOff>0</xdr:colOff>
                    <xdr:row>85</xdr:row>
                    <xdr:rowOff>144780</xdr:rowOff>
                  </from>
                  <to>
                    <xdr:col>11</xdr:col>
                    <xdr:colOff>1821180</xdr:colOff>
                    <xdr:row>86</xdr:row>
                    <xdr:rowOff>0</xdr:rowOff>
                  </to>
                </anchor>
              </controlPr>
            </control>
          </mc:Choice>
        </mc:AlternateContent>
        <mc:AlternateContent xmlns:mc="http://schemas.openxmlformats.org/markup-compatibility/2006">
          <mc:Choice Requires="x14">
            <control shapeId="8362" r:id="rId88" name="Check Box 170">
              <controlPr defaultSize="0" autoFill="0" autoLine="0" autoPict="0">
                <anchor moveWithCells="1">
                  <from>
                    <xdr:col>11</xdr:col>
                    <xdr:colOff>0</xdr:colOff>
                    <xdr:row>86</xdr:row>
                    <xdr:rowOff>266700</xdr:rowOff>
                  </from>
                  <to>
                    <xdr:col>11</xdr:col>
                    <xdr:colOff>1821180</xdr:colOff>
                    <xdr:row>87</xdr:row>
                    <xdr:rowOff>228600</xdr:rowOff>
                  </to>
                </anchor>
              </controlPr>
            </control>
          </mc:Choice>
        </mc:AlternateContent>
        <mc:AlternateContent xmlns:mc="http://schemas.openxmlformats.org/markup-compatibility/2006">
          <mc:Choice Requires="x14">
            <control shapeId="8363" r:id="rId89" name="Check Box 171">
              <controlPr defaultSize="0" autoFill="0" autoLine="0" autoPict="0">
                <anchor moveWithCells="1">
                  <from>
                    <xdr:col>11</xdr:col>
                    <xdr:colOff>0</xdr:colOff>
                    <xdr:row>87</xdr:row>
                    <xdr:rowOff>144780</xdr:rowOff>
                  </from>
                  <to>
                    <xdr:col>11</xdr:col>
                    <xdr:colOff>1821180</xdr:colOff>
                    <xdr:row>88</xdr:row>
                    <xdr:rowOff>0</xdr:rowOff>
                  </to>
                </anchor>
              </controlPr>
            </control>
          </mc:Choice>
        </mc:AlternateContent>
        <mc:AlternateContent xmlns:mc="http://schemas.openxmlformats.org/markup-compatibility/2006">
          <mc:Choice Requires="x14">
            <control shapeId="8364" r:id="rId90" name="Check Box 172">
              <controlPr defaultSize="0" autoFill="0" autoLine="0" autoPict="0">
                <anchor moveWithCells="1">
                  <from>
                    <xdr:col>11</xdr:col>
                    <xdr:colOff>0</xdr:colOff>
                    <xdr:row>86</xdr:row>
                    <xdr:rowOff>30480</xdr:rowOff>
                  </from>
                  <to>
                    <xdr:col>11</xdr:col>
                    <xdr:colOff>1821180</xdr:colOff>
                    <xdr:row>86</xdr:row>
                    <xdr:rowOff>289560</xdr:rowOff>
                  </to>
                </anchor>
              </controlPr>
            </control>
          </mc:Choice>
        </mc:AlternateContent>
        <mc:AlternateContent xmlns:mc="http://schemas.openxmlformats.org/markup-compatibility/2006">
          <mc:Choice Requires="x14">
            <control shapeId="8365" r:id="rId91" name="Check Box 173">
              <controlPr defaultSize="0" autoFill="0" autoLine="0" autoPict="0">
                <anchor moveWithCells="1">
                  <from>
                    <xdr:col>11</xdr:col>
                    <xdr:colOff>0</xdr:colOff>
                    <xdr:row>88</xdr:row>
                    <xdr:rowOff>266700</xdr:rowOff>
                  </from>
                  <to>
                    <xdr:col>11</xdr:col>
                    <xdr:colOff>1821180</xdr:colOff>
                    <xdr:row>89</xdr:row>
                    <xdr:rowOff>228600</xdr:rowOff>
                  </to>
                </anchor>
              </controlPr>
            </control>
          </mc:Choice>
        </mc:AlternateContent>
        <mc:AlternateContent xmlns:mc="http://schemas.openxmlformats.org/markup-compatibility/2006">
          <mc:Choice Requires="x14">
            <control shapeId="8374" r:id="rId92" name="Check Box 182">
              <controlPr defaultSize="0" autoFill="0" autoLine="0" autoPict="0">
                <anchor moveWithCells="1">
                  <from>
                    <xdr:col>11</xdr:col>
                    <xdr:colOff>0</xdr:colOff>
                    <xdr:row>94</xdr:row>
                    <xdr:rowOff>266700</xdr:rowOff>
                  </from>
                  <to>
                    <xdr:col>11</xdr:col>
                    <xdr:colOff>1821180</xdr:colOff>
                    <xdr:row>95</xdr:row>
                    <xdr:rowOff>251460</xdr:rowOff>
                  </to>
                </anchor>
              </controlPr>
            </control>
          </mc:Choice>
        </mc:AlternateContent>
        <mc:AlternateContent xmlns:mc="http://schemas.openxmlformats.org/markup-compatibility/2006">
          <mc:Choice Requires="x14">
            <control shapeId="8375" r:id="rId93" name="Check Box 183">
              <controlPr defaultSize="0" autoFill="0" autoLine="0" autoPict="0">
                <anchor moveWithCells="1">
                  <from>
                    <xdr:col>11</xdr:col>
                    <xdr:colOff>0</xdr:colOff>
                    <xdr:row>95</xdr:row>
                    <xdr:rowOff>144780</xdr:rowOff>
                  </from>
                  <to>
                    <xdr:col>11</xdr:col>
                    <xdr:colOff>1821180</xdr:colOff>
                    <xdr:row>96</xdr:row>
                    <xdr:rowOff>0</xdr:rowOff>
                  </to>
                </anchor>
              </controlPr>
            </control>
          </mc:Choice>
        </mc:AlternateContent>
        <mc:AlternateContent xmlns:mc="http://schemas.openxmlformats.org/markup-compatibility/2006">
          <mc:Choice Requires="x14">
            <control shapeId="8376" r:id="rId94" name="Check Box 184">
              <controlPr defaultSize="0" autoFill="0" autoLine="0" autoPict="0">
                <anchor moveWithCells="1">
                  <from>
                    <xdr:col>11</xdr:col>
                    <xdr:colOff>0</xdr:colOff>
                    <xdr:row>94</xdr:row>
                    <xdr:rowOff>30480</xdr:rowOff>
                  </from>
                  <to>
                    <xdr:col>11</xdr:col>
                    <xdr:colOff>1821180</xdr:colOff>
                    <xdr:row>94</xdr:row>
                    <xdr:rowOff>327660</xdr:rowOff>
                  </to>
                </anchor>
              </controlPr>
            </control>
          </mc:Choice>
        </mc:AlternateContent>
        <mc:AlternateContent xmlns:mc="http://schemas.openxmlformats.org/markup-compatibility/2006">
          <mc:Choice Requires="x14">
            <control shapeId="8377" r:id="rId95" name="Check Box 185">
              <controlPr defaultSize="0" autoFill="0" autoLine="0" autoPict="0">
                <anchor moveWithCells="1">
                  <from>
                    <xdr:col>11</xdr:col>
                    <xdr:colOff>0</xdr:colOff>
                    <xdr:row>140</xdr:row>
                    <xdr:rowOff>266700</xdr:rowOff>
                  </from>
                  <to>
                    <xdr:col>11</xdr:col>
                    <xdr:colOff>1821180</xdr:colOff>
                    <xdr:row>141</xdr:row>
                    <xdr:rowOff>167640</xdr:rowOff>
                  </to>
                </anchor>
              </controlPr>
            </control>
          </mc:Choice>
        </mc:AlternateContent>
        <mc:AlternateContent xmlns:mc="http://schemas.openxmlformats.org/markup-compatibility/2006">
          <mc:Choice Requires="x14">
            <control shapeId="8378" r:id="rId96" name="Check Box 186">
              <controlPr defaultSize="0" autoFill="0" autoLine="0" autoPict="0">
                <anchor moveWithCells="1">
                  <from>
                    <xdr:col>11</xdr:col>
                    <xdr:colOff>0</xdr:colOff>
                    <xdr:row>141</xdr:row>
                    <xdr:rowOff>144780</xdr:rowOff>
                  </from>
                  <to>
                    <xdr:col>11</xdr:col>
                    <xdr:colOff>1821180</xdr:colOff>
                    <xdr:row>142</xdr:row>
                    <xdr:rowOff>68580</xdr:rowOff>
                  </to>
                </anchor>
              </controlPr>
            </control>
          </mc:Choice>
        </mc:AlternateContent>
        <mc:AlternateContent xmlns:mc="http://schemas.openxmlformats.org/markup-compatibility/2006">
          <mc:Choice Requires="x14">
            <control shapeId="8379" r:id="rId97" name="Check Box 187">
              <controlPr defaultSize="0" autoFill="0" autoLine="0" autoPict="0">
                <anchor moveWithCells="1">
                  <from>
                    <xdr:col>11</xdr:col>
                    <xdr:colOff>0</xdr:colOff>
                    <xdr:row>140</xdr:row>
                    <xdr:rowOff>30480</xdr:rowOff>
                  </from>
                  <to>
                    <xdr:col>11</xdr:col>
                    <xdr:colOff>1821180</xdr:colOff>
                    <xdr:row>140</xdr:row>
                    <xdr:rowOff>297180</xdr:rowOff>
                  </to>
                </anchor>
              </controlPr>
            </control>
          </mc:Choice>
        </mc:AlternateContent>
        <mc:AlternateContent xmlns:mc="http://schemas.openxmlformats.org/markup-compatibility/2006">
          <mc:Choice Requires="x14">
            <control shapeId="8380" r:id="rId98" name="Check Box 188">
              <controlPr defaultSize="0" autoFill="0" autoLine="0" autoPict="0">
                <anchor moveWithCells="1">
                  <from>
                    <xdr:col>11</xdr:col>
                    <xdr:colOff>0</xdr:colOff>
                    <xdr:row>142</xdr:row>
                    <xdr:rowOff>266700</xdr:rowOff>
                  </from>
                  <to>
                    <xdr:col>11</xdr:col>
                    <xdr:colOff>1821180</xdr:colOff>
                    <xdr:row>143</xdr:row>
                    <xdr:rowOff>167640</xdr:rowOff>
                  </to>
                </anchor>
              </controlPr>
            </control>
          </mc:Choice>
        </mc:AlternateContent>
        <mc:AlternateContent xmlns:mc="http://schemas.openxmlformats.org/markup-compatibility/2006">
          <mc:Choice Requires="x14">
            <control shapeId="8381" r:id="rId99" name="Check Box 189">
              <controlPr defaultSize="0" autoFill="0" autoLine="0" autoPict="0">
                <anchor moveWithCells="1">
                  <from>
                    <xdr:col>11</xdr:col>
                    <xdr:colOff>0</xdr:colOff>
                    <xdr:row>143</xdr:row>
                    <xdr:rowOff>144780</xdr:rowOff>
                  </from>
                  <to>
                    <xdr:col>11</xdr:col>
                    <xdr:colOff>1821180</xdr:colOff>
                    <xdr:row>144</xdr:row>
                    <xdr:rowOff>68580</xdr:rowOff>
                  </to>
                </anchor>
              </controlPr>
            </control>
          </mc:Choice>
        </mc:AlternateContent>
        <mc:AlternateContent xmlns:mc="http://schemas.openxmlformats.org/markup-compatibility/2006">
          <mc:Choice Requires="x14">
            <control shapeId="8382" r:id="rId100" name="Check Box 190">
              <controlPr defaultSize="0" autoFill="0" autoLine="0" autoPict="0">
                <anchor moveWithCells="1">
                  <from>
                    <xdr:col>11</xdr:col>
                    <xdr:colOff>0</xdr:colOff>
                    <xdr:row>142</xdr:row>
                    <xdr:rowOff>30480</xdr:rowOff>
                  </from>
                  <to>
                    <xdr:col>11</xdr:col>
                    <xdr:colOff>1821180</xdr:colOff>
                    <xdr:row>142</xdr:row>
                    <xdr:rowOff>297180</xdr:rowOff>
                  </to>
                </anchor>
              </controlPr>
            </control>
          </mc:Choice>
        </mc:AlternateContent>
        <mc:AlternateContent xmlns:mc="http://schemas.openxmlformats.org/markup-compatibility/2006">
          <mc:Choice Requires="x14">
            <control shapeId="8408" r:id="rId101" name="Check Box 216">
              <controlPr defaultSize="0" autoFill="0" autoLine="0" autoPict="0">
                <anchor moveWithCells="1">
                  <from>
                    <xdr:col>11</xdr:col>
                    <xdr:colOff>0</xdr:colOff>
                    <xdr:row>96</xdr:row>
                    <xdr:rowOff>266700</xdr:rowOff>
                  </from>
                  <to>
                    <xdr:col>11</xdr:col>
                    <xdr:colOff>1821180</xdr:colOff>
                    <xdr:row>97</xdr:row>
                    <xdr:rowOff>198120</xdr:rowOff>
                  </to>
                </anchor>
              </controlPr>
            </control>
          </mc:Choice>
        </mc:AlternateContent>
        <mc:AlternateContent xmlns:mc="http://schemas.openxmlformats.org/markup-compatibility/2006">
          <mc:Choice Requires="x14">
            <control shapeId="8409" r:id="rId102" name="Check Box 217">
              <controlPr defaultSize="0" autoFill="0" autoLine="0" autoPict="0">
                <anchor moveWithCells="1">
                  <from>
                    <xdr:col>11</xdr:col>
                    <xdr:colOff>0</xdr:colOff>
                    <xdr:row>97</xdr:row>
                    <xdr:rowOff>144780</xdr:rowOff>
                  </from>
                  <to>
                    <xdr:col>11</xdr:col>
                    <xdr:colOff>1821180</xdr:colOff>
                    <xdr:row>98</xdr:row>
                    <xdr:rowOff>0</xdr:rowOff>
                  </to>
                </anchor>
              </controlPr>
            </control>
          </mc:Choice>
        </mc:AlternateContent>
        <mc:AlternateContent xmlns:mc="http://schemas.openxmlformats.org/markup-compatibility/2006">
          <mc:Choice Requires="x14">
            <control shapeId="8410" r:id="rId103" name="Check Box 218">
              <controlPr defaultSize="0" autoFill="0" autoLine="0" autoPict="0">
                <anchor moveWithCells="1">
                  <from>
                    <xdr:col>11</xdr:col>
                    <xdr:colOff>0</xdr:colOff>
                    <xdr:row>96</xdr:row>
                    <xdr:rowOff>30480</xdr:rowOff>
                  </from>
                  <to>
                    <xdr:col>11</xdr:col>
                    <xdr:colOff>1821180</xdr:colOff>
                    <xdr:row>96</xdr:row>
                    <xdr:rowOff>251460</xdr:rowOff>
                  </to>
                </anchor>
              </controlPr>
            </control>
          </mc:Choice>
        </mc:AlternateContent>
        <mc:AlternateContent xmlns:mc="http://schemas.openxmlformats.org/markup-compatibility/2006">
          <mc:Choice Requires="x14">
            <control shapeId="8411" r:id="rId104" name="Check Box 219">
              <controlPr defaultSize="0" autoFill="0" autoLine="0" autoPict="0">
                <anchor moveWithCells="1">
                  <from>
                    <xdr:col>11</xdr:col>
                    <xdr:colOff>0</xdr:colOff>
                    <xdr:row>98</xdr:row>
                    <xdr:rowOff>266700</xdr:rowOff>
                  </from>
                  <to>
                    <xdr:col>11</xdr:col>
                    <xdr:colOff>1821180</xdr:colOff>
                    <xdr:row>99</xdr:row>
                    <xdr:rowOff>228600</xdr:rowOff>
                  </to>
                </anchor>
              </controlPr>
            </control>
          </mc:Choice>
        </mc:AlternateContent>
        <mc:AlternateContent xmlns:mc="http://schemas.openxmlformats.org/markup-compatibility/2006">
          <mc:Choice Requires="x14">
            <control shapeId="8414" r:id="rId105" name="Check Box 222">
              <controlPr defaultSize="0" autoFill="0" autoLine="0" autoPict="0">
                <anchor moveWithCells="1">
                  <from>
                    <xdr:col>11</xdr:col>
                    <xdr:colOff>0</xdr:colOff>
                    <xdr:row>100</xdr:row>
                    <xdr:rowOff>266700</xdr:rowOff>
                  </from>
                  <to>
                    <xdr:col>11</xdr:col>
                    <xdr:colOff>1821180</xdr:colOff>
                    <xdr:row>101</xdr:row>
                    <xdr:rowOff>167640</xdr:rowOff>
                  </to>
                </anchor>
              </controlPr>
            </control>
          </mc:Choice>
        </mc:AlternateContent>
        <mc:AlternateContent xmlns:mc="http://schemas.openxmlformats.org/markup-compatibility/2006">
          <mc:Choice Requires="x14">
            <control shapeId="8415" r:id="rId106" name="Check Box 223">
              <controlPr defaultSize="0" autoFill="0" autoLine="0" autoPict="0">
                <anchor moveWithCells="1">
                  <from>
                    <xdr:col>11</xdr:col>
                    <xdr:colOff>0</xdr:colOff>
                    <xdr:row>101</xdr:row>
                    <xdr:rowOff>144780</xdr:rowOff>
                  </from>
                  <to>
                    <xdr:col>11</xdr:col>
                    <xdr:colOff>1821180</xdr:colOff>
                    <xdr:row>102</xdr:row>
                    <xdr:rowOff>106680</xdr:rowOff>
                  </to>
                </anchor>
              </controlPr>
            </control>
          </mc:Choice>
        </mc:AlternateContent>
        <mc:AlternateContent xmlns:mc="http://schemas.openxmlformats.org/markup-compatibility/2006">
          <mc:Choice Requires="x14">
            <control shapeId="8417" r:id="rId107" name="Check Box 225">
              <controlPr defaultSize="0" autoFill="0" autoLine="0" autoPict="0">
                <anchor moveWithCells="1">
                  <from>
                    <xdr:col>11</xdr:col>
                    <xdr:colOff>0</xdr:colOff>
                    <xdr:row>102</xdr:row>
                    <xdr:rowOff>266700</xdr:rowOff>
                  </from>
                  <to>
                    <xdr:col>11</xdr:col>
                    <xdr:colOff>1821180</xdr:colOff>
                    <xdr:row>103</xdr:row>
                    <xdr:rowOff>167640</xdr:rowOff>
                  </to>
                </anchor>
              </controlPr>
            </control>
          </mc:Choice>
        </mc:AlternateContent>
        <mc:AlternateContent xmlns:mc="http://schemas.openxmlformats.org/markup-compatibility/2006">
          <mc:Choice Requires="x14">
            <control shapeId="8418" r:id="rId108" name="Check Box 226">
              <controlPr defaultSize="0" autoFill="0" autoLine="0" autoPict="0">
                <anchor moveWithCells="1">
                  <from>
                    <xdr:col>11</xdr:col>
                    <xdr:colOff>0</xdr:colOff>
                    <xdr:row>103</xdr:row>
                    <xdr:rowOff>144780</xdr:rowOff>
                  </from>
                  <to>
                    <xdr:col>11</xdr:col>
                    <xdr:colOff>1821180</xdr:colOff>
                    <xdr:row>104</xdr:row>
                    <xdr:rowOff>106680</xdr:rowOff>
                  </to>
                </anchor>
              </controlPr>
            </control>
          </mc:Choice>
        </mc:AlternateContent>
        <mc:AlternateContent xmlns:mc="http://schemas.openxmlformats.org/markup-compatibility/2006">
          <mc:Choice Requires="x14">
            <control shapeId="8419" r:id="rId109" name="Check Box 227">
              <controlPr defaultSize="0" autoFill="0" autoLine="0" autoPict="0">
                <anchor moveWithCells="1">
                  <from>
                    <xdr:col>11</xdr:col>
                    <xdr:colOff>0</xdr:colOff>
                    <xdr:row>102</xdr:row>
                    <xdr:rowOff>30480</xdr:rowOff>
                  </from>
                  <to>
                    <xdr:col>11</xdr:col>
                    <xdr:colOff>1821180</xdr:colOff>
                    <xdr:row>102</xdr:row>
                    <xdr:rowOff>289560</xdr:rowOff>
                  </to>
                </anchor>
              </controlPr>
            </control>
          </mc:Choice>
        </mc:AlternateContent>
        <mc:AlternateContent xmlns:mc="http://schemas.openxmlformats.org/markup-compatibility/2006">
          <mc:Choice Requires="x14">
            <control shapeId="8420" r:id="rId110" name="Check Box 228">
              <controlPr defaultSize="0" autoFill="0" autoLine="0" autoPict="0">
                <anchor moveWithCells="1">
                  <from>
                    <xdr:col>11</xdr:col>
                    <xdr:colOff>0</xdr:colOff>
                    <xdr:row>104</xdr:row>
                    <xdr:rowOff>266700</xdr:rowOff>
                  </from>
                  <to>
                    <xdr:col>11</xdr:col>
                    <xdr:colOff>1821180</xdr:colOff>
                    <xdr:row>105</xdr:row>
                    <xdr:rowOff>167640</xdr:rowOff>
                  </to>
                </anchor>
              </controlPr>
            </control>
          </mc:Choice>
        </mc:AlternateContent>
        <mc:AlternateContent xmlns:mc="http://schemas.openxmlformats.org/markup-compatibility/2006">
          <mc:Choice Requires="x14">
            <control shapeId="8421" r:id="rId111" name="Check Box 229">
              <controlPr defaultSize="0" autoFill="0" autoLine="0" autoPict="0">
                <anchor moveWithCells="1">
                  <from>
                    <xdr:col>11</xdr:col>
                    <xdr:colOff>0</xdr:colOff>
                    <xdr:row>105</xdr:row>
                    <xdr:rowOff>144780</xdr:rowOff>
                  </from>
                  <to>
                    <xdr:col>11</xdr:col>
                    <xdr:colOff>1821180</xdr:colOff>
                    <xdr:row>106</xdr:row>
                    <xdr:rowOff>106680</xdr:rowOff>
                  </to>
                </anchor>
              </controlPr>
            </control>
          </mc:Choice>
        </mc:AlternateContent>
        <mc:AlternateContent xmlns:mc="http://schemas.openxmlformats.org/markup-compatibility/2006">
          <mc:Choice Requires="x14">
            <control shapeId="8422" r:id="rId112" name="Check Box 230">
              <controlPr defaultSize="0" autoFill="0" autoLine="0" autoPict="0">
                <anchor moveWithCells="1">
                  <from>
                    <xdr:col>11</xdr:col>
                    <xdr:colOff>0</xdr:colOff>
                    <xdr:row>104</xdr:row>
                    <xdr:rowOff>30480</xdr:rowOff>
                  </from>
                  <to>
                    <xdr:col>11</xdr:col>
                    <xdr:colOff>1821180</xdr:colOff>
                    <xdr:row>104</xdr:row>
                    <xdr:rowOff>289560</xdr:rowOff>
                  </to>
                </anchor>
              </controlPr>
            </control>
          </mc:Choice>
        </mc:AlternateContent>
        <mc:AlternateContent xmlns:mc="http://schemas.openxmlformats.org/markup-compatibility/2006">
          <mc:Choice Requires="x14">
            <control shapeId="8423" r:id="rId113" name="Check Box 231">
              <controlPr defaultSize="0" autoFill="0" autoLine="0" autoPict="0">
                <anchor moveWithCells="1">
                  <from>
                    <xdr:col>11</xdr:col>
                    <xdr:colOff>0</xdr:colOff>
                    <xdr:row>106</xdr:row>
                    <xdr:rowOff>0</xdr:rowOff>
                  </from>
                  <to>
                    <xdr:col>11</xdr:col>
                    <xdr:colOff>1821180</xdr:colOff>
                    <xdr:row>106</xdr:row>
                    <xdr:rowOff>259080</xdr:rowOff>
                  </to>
                </anchor>
              </controlPr>
            </control>
          </mc:Choice>
        </mc:AlternateContent>
        <mc:AlternateContent xmlns:mc="http://schemas.openxmlformats.org/markup-compatibility/2006">
          <mc:Choice Requires="x14">
            <control shapeId="8426" r:id="rId114" name="Check Box 234">
              <controlPr defaultSize="0" autoFill="0" autoLine="0" autoPict="0">
                <anchor moveWithCells="1">
                  <from>
                    <xdr:col>11</xdr:col>
                    <xdr:colOff>0</xdr:colOff>
                    <xdr:row>106</xdr:row>
                    <xdr:rowOff>266700</xdr:rowOff>
                  </from>
                  <to>
                    <xdr:col>11</xdr:col>
                    <xdr:colOff>1821180</xdr:colOff>
                    <xdr:row>107</xdr:row>
                    <xdr:rowOff>167640</xdr:rowOff>
                  </to>
                </anchor>
              </controlPr>
            </control>
          </mc:Choice>
        </mc:AlternateContent>
        <mc:AlternateContent xmlns:mc="http://schemas.openxmlformats.org/markup-compatibility/2006">
          <mc:Choice Requires="x14">
            <control shapeId="8427" r:id="rId115" name="Check Box 235">
              <controlPr defaultSize="0" autoFill="0" autoLine="0" autoPict="0">
                <anchor moveWithCells="1">
                  <from>
                    <xdr:col>11</xdr:col>
                    <xdr:colOff>0</xdr:colOff>
                    <xdr:row>107</xdr:row>
                    <xdr:rowOff>144780</xdr:rowOff>
                  </from>
                  <to>
                    <xdr:col>11</xdr:col>
                    <xdr:colOff>1821180</xdr:colOff>
                    <xdr:row>108</xdr:row>
                    <xdr:rowOff>38100</xdr:rowOff>
                  </to>
                </anchor>
              </controlPr>
            </control>
          </mc:Choice>
        </mc:AlternateContent>
        <mc:AlternateContent xmlns:mc="http://schemas.openxmlformats.org/markup-compatibility/2006">
          <mc:Choice Requires="x14">
            <control shapeId="8429" r:id="rId116" name="Check Box 237">
              <controlPr defaultSize="0" autoFill="0" autoLine="0" autoPict="0">
                <anchor moveWithCells="1">
                  <from>
                    <xdr:col>11</xdr:col>
                    <xdr:colOff>0</xdr:colOff>
                    <xdr:row>108</xdr:row>
                    <xdr:rowOff>266700</xdr:rowOff>
                  </from>
                  <to>
                    <xdr:col>11</xdr:col>
                    <xdr:colOff>1821180</xdr:colOff>
                    <xdr:row>109</xdr:row>
                    <xdr:rowOff>167640</xdr:rowOff>
                  </to>
                </anchor>
              </controlPr>
            </control>
          </mc:Choice>
        </mc:AlternateContent>
        <mc:AlternateContent xmlns:mc="http://schemas.openxmlformats.org/markup-compatibility/2006">
          <mc:Choice Requires="x14">
            <control shapeId="8430" r:id="rId117" name="Check Box 238">
              <controlPr defaultSize="0" autoFill="0" autoLine="0" autoPict="0">
                <anchor moveWithCells="1">
                  <from>
                    <xdr:col>11</xdr:col>
                    <xdr:colOff>0</xdr:colOff>
                    <xdr:row>109</xdr:row>
                    <xdr:rowOff>144780</xdr:rowOff>
                  </from>
                  <to>
                    <xdr:col>11</xdr:col>
                    <xdr:colOff>1821180</xdr:colOff>
                    <xdr:row>110</xdr:row>
                    <xdr:rowOff>38100</xdr:rowOff>
                  </to>
                </anchor>
              </controlPr>
            </control>
          </mc:Choice>
        </mc:AlternateContent>
        <mc:AlternateContent xmlns:mc="http://schemas.openxmlformats.org/markup-compatibility/2006">
          <mc:Choice Requires="x14">
            <control shapeId="8431" r:id="rId118" name="Check Box 239">
              <controlPr defaultSize="0" autoFill="0" autoLine="0" autoPict="0">
                <anchor moveWithCells="1">
                  <from>
                    <xdr:col>11</xdr:col>
                    <xdr:colOff>0</xdr:colOff>
                    <xdr:row>108</xdr:row>
                    <xdr:rowOff>30480</xdr:rowOff>
                  </from>
                  <to>
                    <xdr:col>11</xdr:col>
                    <xdr:colOff>1821180</xdr:colOff>
                    <xdr:row>108</xdr:row>
                    <xdr:rowOff>327660</xdr:rowOff>
                  </to>
                </anchor>
              </controlPr>
            </control>
          </mc:Choice>
        </mc:AlternateContent>
        <mc:AlternateContent xmlns:mc="http://schemas.openxmlformats.org/markup-compatibility/2006">
          <mc:Choice Requires="x14">
            <control shapeId="8432" r:id="rId119" name="Check Box 240">
              <controlPr defaultSize="0" autoFill="0" autoLine="0" autoPict="0">
                <anchor moveWithCells="1">
                  <from>
                    <xdr:col>11</xdr:col>
                    <xdr:colOff>0</xdr:colOff>
                    <xdr:row>110</xdr:row>
                    <xdr:rowOff>266700</xdr:rowOff>
                  </from>
                  <to>
                    <xdr:col>11</xdr:col>
                    <xdr:colOff>1821180</xdr:colOff>
                    <xdr:row>111</xdr:row>
                    <xdr:rowOff>167640</xdr:rowOff>
                  </to>
                </anchor>
              </controlPr>
            </control>
          </mc:Choice>
        </mc:AlternateContent>
        <mc:AlternateContent xmlns:mc="http://schemas.openxmlformats.org/markup-compatibility/2006">
          <mc:Choice Requires="x14">
            <control shapeId="8433" r:id="rId120" name="Check Box 241">
              <controlPr defaultSize="0" autoFill="0" autoLine="0" autoPict="0">
                <anchor moveWithCells="1">
                  <from>
                    <xdr:col>11</xdr:col>
                    <xdr:colOff>0</xdr:colOff>
                    <xdr:row>111</xdr:row>
                    <xdr:rowOff>144780</xdr:rowOff>
                  </from>
                  <to>
                    <xdr:col>11</xdr:col>
                    <xdr:colOff>1821180</xdr:colOff>
                    <xdr:row>112</xdr:row>
                    <xdr:rowOff>38100</xdr:rowOff>
                  </to>
                </anchor>
              </controlPr>
            </control>
          </mc:Choice>
        </mc:AlternateContent>
        <mc:AlternateContent xmlns:mc="http://schemas.openxmlformats.org/markup-compatibility/2006">
          <mc:Choice Requires="x14">
            <control shapeId="8434" r:id="rId121" name="Check Box 242">
              <controlPr defaultSize="0" autoFill="0" autoLine="0" autoPict="0">
                <anchor moveWithCells="1">
                  <from>
                    <xdr:col>11</xdr:col>
                    <xdr:colOff>0</xdr:colOff>
                    <xdr:row>110</xdr:row>
                    <xdr:rowOff>30480</xdr:rowOff>
                  </from>
                  <to>
                    <xdr:col>11</xdr:col>
                    <xdr:colOff>1821180</xdr:colOff>
                    <xdr:row>110</xdr:row>
                    <xdr:rowOff>327660</xdr:rowOff>
                  </to>
                </anchor>
              </controlPr>
            </control>
          </mc:Choice>
        </mc:AlternateContent>
        <mc:AlternateContent xmlns:mc="http://schemas.openxmlformats.org/markup-compatibility/2006">
          <mc:Choice Requires="x14">
            <control shapeId="8435" r:id="rId122" name="Check Box 243">
              <controlPr defaultSize="0" autoFill="0" autoLine="0" autoPict="0">
                <anchor moveWithCells="1">
                  <from>
                    <xdr:col>11</xdr:col>
                    <xdr:colOff>0</xdr:colOff>
                    <xdr:row>112</xdr:row>
                    <xdr:rowOff>266700</xdr:rowOff>
                  </from>
                  <to>
                    <xdr:col>11</xdr:col>
                    <xdr:colOff>1821180</xdr:colOff>
                    <xdr:row>113</xdr:row>
                    <xdr:rowOff>167640</xdr:rowOff>
                  </to>
                </anchor>
              </controlPr>
            </control>
          </mc:Choice>
        </mc:AlternateContent>
        <mc:AlternateContent xmlns:mc="http://schemas.openxmlformats.org/markup-compatibility/2006">
          <mc:Choice Requires="x14">
            <control shapeId="8436" r:id="rId123" name="Check Box 244">
              <controlPr defaultSize="0" autoFill="0" autoLine="0" autoPict="0">
                <anchor moveWithCells="1">
                  <from>
                    <xdr:col>11</xdr:col>
                    <xdr:colOff>0</xdr:colOff>
                    <xdr:row>113</xdr:row>
                    <xdr:rowOff>144780</xdr:rowOff>
                  </from>
                  <to>
                    <xdr:col>11</xdr:col>
                    <xdr:colOff>1821180</xdr:colOff>
                    <xdr:row>114</xdr:row>
                    <xdr:rowOff>38100</xdr:rowOff>
                  </to>
                </anchor>
              </controlPr>
            </control>
          </mc:Choice>
        </mc:AlternateContent>
        <mc:AlternateContent xmlns:mc="http://schemas.openxmlformats.org/markup-compatibility/2006">
          <mc:Choice Requires="x14">
            <control shapeId="8437" r:id="rId124" name="Check Box 245">
              <controlPr defaultSize="0" autoFill="0" autoLine="0" autoPict="0">
                <anchor moveWithCells="1">
                  <from>
                    <xdr:col>11</xdr:col>
                    <xdr:colOff>0</xdr:colOff>
                    <xdr:row>112</xdr:row>
                    <xdr:rowOff>30480</xdr:rowOff>
                  </from>
                  <to>
                    <xdr:col>11</xdr:col>
                    <xdr:colOff>1821180</xdr:colOff>
                    <xdr:row>112</xdr:row>
                    <xdr:rowOff>289560</xdr:rowOff>
                  </to>
                </anchor>
              </controlPr>
            </control>
          </mc:Choice>
        </mc:AlternateContent>
        <mc:AlternateContent xmlns:mc="http://schemas.openxmlformats.org/markup-compatibility/2006">
          <mc:Choice Requires="x14">
            <control shapeId="8438" r:id="rId125" name="Check Box 246">
              <controlPr defaultSize="0" autoFill="0" autoLine="0" autoPict="0">
                <anchor moveWithCells="1">
                  <from>
                    <xdr:col>11</xdr:col>
                    <xdr:colOff>0</xdr:colOff>
                    <xdr:row>114</xdr:row>
                    <xdr:rowOff>266700</xdr:rowOff>
                  </from>
                  <to>
                    <xdr:col>11</xdr:col>
                    <xdr:colOff>1821180</xdr:colOff>
                    <xdr:row>115</xdr:row>
                    <xdr:rowOff>167640</xdr:rowOff>
                  </to>
                </anchor>
              </controlPr>
            </control>
          </mc:Choice>
        </mc:AlternateContent>
        <mc:AlternateContent xmlns:mc="http://schemas.openxmlformats.org/markup-compatibility/2006">
          <mc:Choice Requires="x14">
            <control shapeId="8439" r:id="rId126" name="Check Box 247">
              <controlPr defaultSize="0" autoFill="0" autoLine="0" autoPict="0">
                <anchor moveWithCells="1">
                  <from>
                    <xdr:col>11</xdr:col>
                    <xdr:colOff>0</xdr:colOff>
                    <xdr:row>115</xdr:row>
                    <xdr:rowOff>144780</xdr:rowOff>
                  </from>
                  <to>
                    <xdr:col>11</xdr:col>
                    <xdr:colOff>1821180</xdr:colOff>
                    <xdr:row>116</xdr:row>
                    <xdr:rowOff>38100</xdr:rowOff>
                  </to>
                </anchor>
              </controlPr>
            </control>
          </mc:Choice>
        </mc:AlternateContent>
        <mc:AlternateContent xmlns:mc="http://schemas.openxmlformats.org/markup-compatibility/2006">
          <mc:Choice Requires="x14">
            <control shapeId="8440" r:id="rId127" name="Check Box 248">
              <controlPr defaultSize="0" autoFill="0" autoLine="0" autoPict="0">
                <anchor moveWithCells="1">
                  <from>
                    <xdr:col>11</xdr:col>
                    <xdr:colOff>0</xdr:colOff>
                    <xdr:row>114</xdr:row>
                    <xdr:rowOff>30480</xdr:rowOff>
                  </from>
                  <to>
                    <xdr:col>11</xdr:col>
                    <xdr:colOff>1821180</xdr:colOff>
                    <xdr:row>114</xdr:row>
                    <xdr:rowOff>289560</xdr:rowOff>
                  </to>
                </anchor>
              </controlPr>
            </control>
          </mc:Choice>
        </mc:AlternateContent>
        <mc:AlternateContent xmlns:mc="http://schemas.openxmlformats.org/markup-compatibility/2006">
          <mc:Choice Requires="x14">
            <control shapeId="8441" r:id="rId128" name="Check Box 249">
              <controlPr defaultSize="0" autoFill="0" autoLine="0" autoPict="0">
                <anchor moveWithCells="1">
                  <from>
                    <xdr:col>11</xdr:col>
                    <xdr:colOff>0</xdr:colOff>
                    <xdr:row>116</xdr:row>
                    <xdr:rowOff>266700</xdr:rowOff>
                  </from>
                  <to>
                    <xdr:col>11</xdr:col>
                    <xdr:colOff>1821180</xdr:colOff>
                    <xdr:row>117</xdr:row>
                    <xdr:rowOff>167640</xdr:rowOff>
                  </to>
                </anchor>
              </controlPr>
            </control>
          </mc:Choice>
        </mc:AlternateContent>
        <mc:AlternateContent xmlns:mc="http://schemas.openxmlformats.org/markup-compatibility/2006">
          <mc:Choice Requires="x14">
            <control shapeId="8442" r:id="rId129" name="Check Box 250">
              <controlPr defaultSize="0" autoFill="0" autoLine="0" autoPict="0">
                <anchor moveWithCells="1">
                  <from>
                    <xdr:col>11</xdr:col>
                    <xdr:colOff>0</xdr:colOff>
                    <xdr:row>117</xdr:row>
                    <xdr:rowOff>144780</xdr:rowOff>
                  </from>
                  <to>
                    <xdr:col>11</xdr:col>
                    <xdr:colOff>1821180</xdr:colOff>
                    <xdr:row>118</xdr:row>
                    <xdr:rowOff>45720</xdr:rowOff>
                  </to>
                </anchor>
              </controlPr>
            </control>
          </mc:Choice>
        </mc:AlternateContent>
        <mc:AlternateContent xmlns:mc="http://schemas.openxmlformats.org/markup-compatibility/2006">
          <mc:Choice Requires="x14">
            <control shapeId="8443" r:id="rId130" name="Check Box 251">
              <controlPr defaultSize="0" autoFill="0" autoLine="0" autoPict="0">
                <anchor moveWithCells="1">
                  <from>
                    <xdr:col>11</xdr:col>
                    <xdr:colOff>0</xdr:colOff>
                    <xdr:row>116</xdr:row>
                    <xdr:rowOff>30480</xdr:rowOff>
                  </from>
                  <to>
                    <xdr:col>11</xdr:col>
                    <xdr:colOff>1821180</xdr:colOff>
                    <xdr:row>116</xdr:row>
                    <xdr:rowOff>289560</xdr:rowOff>
                  </to>
                </anchor>
              </controlPr>
            </control>
          </mc:Choice>
        </mc:AlternateContent>
        <mc:AlternateContent xmlns:mc="http://schemas.openxmlformats.org/markup-compatibility/2006">
          <mc:Choice Requires="x14">
            <control shapeId="8444" r:id="rId131" name="Check Box 252">
              <controlPr defaultSize="0" autoFill="0" autoLine="0" autoPict="0">
                <anchor moveWithCells="1">
                  <from>
                    <xdr:col>11</xdr:col>
                    <xdr:colOff>0</xdr:colOff>
                    <xdr:row>118</xdr:row>
                    <xdr:rowOff>266700</xdr:rowOff>
                  </from>
                  <to>
                    <xdr:col>11</xdr:col>
                    <xdr:colOff>1821180</xdr:colOff>
                    <xdr:row>119</xdr:row>
                    <xdr:rowOff>167640</xdr:rowOff>
                  </to>
                </anchor>
              </controlPr>
            </control>
          </mc:Choice>
        </mc:AlternateContent>
        <mc:AlternateContent xmlns:mc="http://schemas.openxmlformats.org/markup-compatibility/2006">
          <mc:Choice Requires="x14">
            <control shapeId="8445" r:id="rId132" name="Check Box 253">
              <controlPr defaultSize="0" autoFill="0" autoLine="0" autoPict="0">
                <anchor moveWithCells="1">
                  <from>
                    <xdr:col>11</xdr:col>
                    <xdr:colOff>0</xdr:colOff>
                    <xdr:row>119</xdr:row>
                    <xdr:rowOff>144780</xdr:rowOff>
                  </from>
                  <to>
                    <xdr:col>11</xdr:col>
                    <xdr:colOff>1821180</xdr:colOff>
                    <xdr:row>120</xdr:row>
                    <xdr:rowOff>45720</xdr:rowOff>
                  </to>
                </anchor>
              </controlPr>
            </control>
          </mc:Choice>
        </mc:AlternateContent>
        <mc:AlternateContent xmlns:mc="http://schemas.openxmlformats.org/markup-compatibility/2006">
          <mc:Choice Requires="x14">
            <control shapeId="8446" r:id="rId133" name="Check Box 254">
              <controlPr defaultSize="0" autoFill="0" autoLine="0" autoPict="0">
                <anchor moveWithCells="1">
                  <from>
                    <xdr:col>11</xdr:col>
                    <xdr:colOff>0</xdr:colOff>
                    <xdr:row>118</xdr:row>
                    <xdr:rowOff>30480</xdr:rowOff>
                  </from>
                  <to>
                    <xdr:col>11</xdr:col>
                    <xdr:colOff>1821180</xdr:colOff>
                    <xdr:row>118</xdr:row>
                    <xdr:rowOff>327660</xdr:rowOff>
                  </to>
                </anchor>
              </controlPr>
            </control>
          </mc:Choice>
        </mc:AlternateContent>
        <mc:AlternateContent xmlns:mc="http://schemas.openxmlformats.org/markup-compatibility/2006">
          <mc:Choice Requires="x14">
            <control shapeId="8453" r:id="rId134" name="Check Box 261">
              <controlPr defaultSize="0" autoFill="0" autoLine="0" autoPict="0">
                <anchor moveWithCells="1">
                  <from>
                    <xdr:col>11</xdr:col>
                    <xdr:colOff>0</xdr:colOff>
                    <xdr:row>122</xdr:row>
                    <xdr:rowOff>266700</xdr:rowOff>
                  </from>
                  <to>
                    <xdr:col>11</xdr:col>
                    <xdr:colOff>1821180</xdr:colOff>
                    <xdr:row>123</xdr:row>
                    <xdr:rowOff>167640</xdr:rowOff>
                  </to>
                </anchor>
              </controlPr>
            </control>
          </mc:Choice>
        </mc:AlternateContent>
        <mc:AlternateContent xmlns:mc="http://schemas.openxmlformats.org/markup-compatibility/2006">
          <mc:Choice Requires="x14">
            <control shapeId="8454" r:id="rId135" name="Check Box 262">
              <controlPr defaultSize="0" autoFill="0" autoLine="0" autoPict="0">
                <anchor moveWithCells="1">
                  <from>
                    <xdr:col>11</xdr:col>
                    <xdr:colOff>0</xdr:colOff>
                    <xdr:row>123</xdr:row>
                    <xdr:rowOff>144780</xdr:rowOff>
                  </from>
                  <to>
                    <xdr:col>11</xdr:col>
                    <xdr:colOff>1821180</xdr:colOff>
                    <xdr:row>124</xdr:row>
                    <xdr:rowOff>68580</xdr:rowOff>
                  </to>
                </anchor>
              </controlPr>
            </control>
          </mc:Choice>
        </mc:AlternateContent>
        <mc:AlternateContent xmlns:mc="http://schemas.openxmlformats.org/markup-compatibility/2006">
          <mc:Choice Requires="x14">
            <control shapeId="8455" r:id="rId136" name="Check Box 263">
              <controlPr defaultSize="0" autoFill="0" autoLine="0" autoPict="0">
                <anchor moveWithCells="1">
                  <from>
                    <xdr:col>11</xdr:col>
                    <xdr:colOff>0</xdr:colOff>
                    <xdr:row>122</xdr:row>
                    <xdr:rowOff>30480</xdr:rowOff>
                  </from>
                  <to>
                    <xdr:col>11</xdr:col>
                    <xdr:colOff>1821180</xdr:colOff>
                    <xdr:row>122</xdr:row>
                    <xdr:rowOff>297180</xdr:rowOff>
                  </to>
                </anchor>
              </controlPr>
            </control>
          </mc:Choice>
        </mc:AlternateContent>
        <mc:AlternateContent xmlns:mc="http://schemas.openxmlformats.org/markup-compatibility/2006">
          <mc:Choice Requires="x14">
            <control shapeId="8535" r:id="rId137" name="Check Box 343">
              <controlPr defaultSize="0" autoFill="0" autoLine="0" autoPict="0">
                <anchor moveWithCells="1">
                  <from>
                    <xdr:col>11</xdr:col>
                    <xdr:colOff>30480</xdr:colOff>
                    <xdr:row>120</xdr:row>
                    <xdr:rowOff>259080</xdr:rowOff>
                  </from>
                  <to>
                    <xdr:col>11</xdr:col>
                    <xdr:colOff>1821180</xdr:colOff>
                    <xdr:row>121</xdr:row>
                    <xdr:rowOff>167640</xdr:rowOff>
                  </to>
                </anchor>
              </controlPr>
            </control>
          </mc:Choice>
        </mc:AlternateContent>
        <mc:AlternateContent xmlns:mc="http://schemas.openxmlformats.org/markup-compatibility/2006">
          <mc:Choice Requires="x14">
            <control shapeId="8305" r:id="rId138" name="Check Box 113">
              <controlPr defaultSize="0" autoFill="0" autoLine="0" autoPict="0">
                <anchor moveWithCells="1">
                  <from>
                    <xdr:col>11</xdr:col>
                    <xdr:colOff>0</xdr:colOff>
                    <xdr:row>54</xdr:row>
                    <xdr:rowOff>266700</xdr:rowOff>
                  </from>
                  <to>
                    <xdr:col>11</xdr:col>
                    <xdr:colOff>1821180</xdr:colOff>
                    <xdr:row>55</xdr:row>
                    <xdr:rowOff>198120</xdr:rowOff>
                  </to>
                </anchor>
              </controlPr>
            </control>
          </mc:Choice>
        </mc:AlternateContent>
        <mc:AlternateContent xmlns:mc="http://schemas.openxmlformats.org/markup-compatibility/2006">
          <mc:Choice Requires="x14">
            <control shapeId="8306" r:id="rId139" name="Check Box 114">
              <controlPr defaultSize="0" autoFill="0" autoLine="0" autoPict="0">
                <anchor moveWithCells="1">
                  <from>
                    <xdr:col>11</xdr:col>
                    <xdr:colOff>0</xdr:colOff>
                    <xdr:row>55</xdr:row>
                    <xdr:rowOff>144780</xdr:rowOff>
                  </from>
                  <to>
                    <xdr:col>11</xdr:col>
                    <xdr:colOff>1821180</xdr:colOff>
                    <xdr:row>55</xdr:row>
                    <xdr:rowOff>342900</xdr:rowOff>
                  </to>
                </anchor>
              </controlPr>
            </control>
          </mc:Choice>
        </mc:AlternateContent>
        <mc:AlternateContent xmlns:mc="http://schemas.openxmlformats.org/markup-compatibility/2006">
          <mc:Choice Requires="x14">
            <control shapeId="8307" r:id="rId140" name="Check Box 115">
              <controlPr defaultSize="0" autoFill="0" autoLine="0" autoPict="0">
                <anchor moveWithCells="1">
                  <from>
                    <xdr:col>11</xdr:col>
                    <xdr:colOff>0</xdr:colOff>
                    <xdr:row>54</xdr:row>
                    <xdr:rowOff>30480</xdr:rowOff>
                  </from>
                  <to>
                    <xdr:col>11</xdr:col>
                    <xdr:colOff>1821180</xdr:colOff>
                    <xdr:row>54</xdr:row>
                    <xdr:rowOff>259080</xdr:rowOff>
                  </to>
                </anchor>
              </controlPr>
            </control>
          </mc:Choice>
        </mc:AlternateContent>
        <mc:AlternateContent xmlns:mc="http://schemas.openxmlformats.org/markup-compatibility/2006">
          <mc:Choice Requires="x14">
            <control shapeId="8308" r:id="rId141" name="Check Box 116">
              <controlPr defaultSize="0" autoFill="0" autoLine="0" autoPict="0">
                <anchor moveWithCells="1">
                  <from>
                    <xdr:col>11</xdr:col>
                    <xdr:colOff>0</xdr:colOff>
                    <xdr:row>56</xdr:row>
                    <xdr:rowOff>266700</xdr:rowOff>
                  </from>
                  <to>
                    <xdr:col>11</xdr:col>
                    <xdr:colOff>1821180</xdr:colOff>
                    <xdr:row>57</xdr:row>
                    <xdr:rowOff>167640</xdr:rowOff>
                  </to>
                </anchor>
              </controlPr>
            </control>
          </mc:Choice>
        </mc:AlternateContent>
        <mc:AlternateContent xmlns:mc="http://schemas.openxmlformats.org/markup-compatibility/2006">
          <mc:Choice Requires="x14">
            <control shapeId="8309" r:id="rId142" name="Check Box 117">
              <controlPr defaultSize="0" autoFill="0" autoLine="0" autoPict="0">
                <anchor moveWithCells="1">
                  <from>
                    <xdr:col>11</xdr:col>
                    <xdr:colOff>0</xdr:colOff>
                    <xdr:row>57</xdr:row>
                    <xdr:rowOff>144780</xdr:rowOff>
                  </from>
                  <to>
                    <xdr:col>11</xdr:col>
                    <xdr:colOff>1821180</xdr:colOff>
                    <xdr:row>57</xdr:row>
                    <xdr:rowOff>342900</xdr:rowOff>
                  </to>
                </anchor>
              </controlPr>
            </control>
          </mc:Choice>
        </mc:AlternateContent>
        <mc:AlternateContent xmlns:mc="http://schemas.openxmlformats.org/markup-compatibility/2006">
          <mc:Choice Requires="x14">
            <control shapeId="8310" r:id="rId143" name="Check Box 118">
              <controlPr defaultSize="0" autoFill="0" autoLine="0" autoPict="0">
                <anchor moveWithCells="1">
                  <from>
                    <xdr:col>11</xdr:col>
                    <xdr:colOff>0</xdr:colOff>
                    <xdr:row>56</xdr:row>
                    <xdr:rowOff>30480</xdr:rowOff>
                  </from>
                  <to>
                    <xdr:col>11</xdr:col>
                    <xdr:colOff>1821180</xdr:colOff>
                    <xdr:row>56</xdr:row>
                    <xdr:rowOff>259080</xdr:rowOff>
                  </to>
                </anchor>
              </controlPr>
            </control>
          </mc:Choice>
        </mc:AlternateContent>
        <mc:AlternateContent xmlns:mc="http://schemas.openxmlformats.org/markup-compatibility/2006">
          <mc:Choice Requires="x14">
            <control shapeId="8566" r:id="rId144" name="Check Box 374">
              <controlPr defaultSize="0" autoFill="0" autoLine="0" autoPict="0">
                <anchor moveWithCells="1">
                  <from>
                    <xdr:col>11</xdr:col>
                    <xdr:colOff>0</xdr:colOff>
                    <xdr:row>124</xdr:row>
                    <xdr:rowOff>266700</xdr:rowOff>
                  </from>
                  <to>
                    <xdr:col>11</xdr:col>
                    <xdr:colOff>1821180</xdr:colOff>
                    <xdr:row>125</xdr:row>
                    <xdr:rowOff>167640</xdr:rowOff>
                  </to>
                </anchor>
              </controlPr>
            </control>
          </mc:Choice>
        </mc:AlternateContent>
        <mc:AlternateContent xmlns:mc="http://schemas.openxmlformats.org/markup-compatibility/2006">
          <mc:Choice Requires="x14">
            <control shapeId="8567" r:id="rId145" name="Check Box 375">
              <controlPr defaultSize="0" autoFill="0" autoLine="0" autoPict="0">
                <anchor moveWithCells="1">
                  <from>
                    <xdr:col>11</xdr:col>
                    <xdr:colOff>0</xdr:colOff>
                    <xdr:row>125</xdr:row>
                    <xdr:rowOff>144780</xdr:rowOff>
                  </from>
                  <to>
                    <xdr:col>11</xdr:col>
                    <xdr:colOff>1821180</xdr:colOff>
                    <xdr:row>126</xdr:row>
                    <xdr:rowOff>68580</xdr:rowOff>
                  </to>
                </anchor>
              </controlPr>
            </control>
          </mc:Choice>
        </mc:AlternateContent>
        <mc:AlternateContent xmlns:mc="http://schemas.openxmlformats.org/markup-compatibility/2006">
          <mc:Choice Requires="x14">
            <control shapeId="8568" r:id="rId146" name="Check Box 376">
              <controlPr defaultSize="0" autoFill="0" autoLine="0" autoPict="0">
                <anchor moveWithCells="1">
                  <from>
                    <xdr:col>11</xdr:col>
                    <xdr:colOff>0</xdr:colOff>
                    <xdr:row>124</xdr:row>
                    <xdr:rowOff>30480</xdr:rowOff>
                  </from>
                  <to>
                    <xdr:col>11</xdr:col>
                    <xdr:colOff>1821180</xdr:colOff>
                    <xdr:row>124</xdr:row>
                    <xdr:rowOff>289560</xdr:rowOff>
                  </to>
                </anchor>
              </controlPr>
            </control>
          </mc:Choice>
        </mc:AlternateContent>
        <mc:AlternateContent xmlns:mc="http://schemas.openxmlformats.org/markup-compatibility/2006">
          <mc:Choice Requires="x14">
            <control shapeId="8569" r:id="rId147" name="Check Box 377">
              <controlPr defaultSize="0" autoFill="0" autoLine="0" autoPict="0">
                <anchor moveWithCells="1">
                  <from>
                    <xdr:col>11</xdr:col>
                    <xdr:colOff>0</xdr:colOff>
                    <xdr:row>126</xdr:row>
                    <xdr:rowOff>266700</xdr:rowOff>
                  </from>
                  <to>
                    <xdr:col>11</xdr:col>
                    <xdr:colOff>1821180</xdr:colOff>
                    <xdr:row>127</xdr:row>
                    <xdr:rowOff>167640</xdr:rowOff>
                  </to>
                </anchor>
              </controlPr>
            </control>
          </mc:Choice>
        </mc:AlternateContent>
        <mc:AlternateContent xmlns:mc="http://schemas.openxmlformats.org/markup-compatibility/2006">
          <mc:Choice Requires="x14">
            <control shapeId="8570" r:id="rId148" name="Check Box 378">
              <controlPr defaultSize="0" autoFill="0" autoLine="0" autoPict="0">
                <anchor moveWithCells="1">
                  <from>
                    <xdr:col>11</xdr:col>
                    <xdr:colOff>0</xdr:colOff>
                    <xdr:row>127</xdr:row>
                    <xdr:rowOff>144780</xdr:rowOff>
                  </from>
                  <to>
                    <xdr:col>11</xdr:col>
                    <xdr:colOff>1821180</xdr:colOff>
                    <xdr:row>128</xdr:row>
                    <xdr:rowOff>68580</xdr:rowOff>
                  </to>
                </anchor>
              </controlPr>
            </control>
          </mc:Choice>
        </mc:AlternateContent>
        <mc:AlternateContent xmlns:mc="http://schemas.openxmlformats.org/markup-compatibility/2006">
          <mc:Choice Requires="x14">
            <control shapeId="8571" r:id="rId149" name="Check Box 379">
              <controlPr defaultSize="0" autoFill="0" autoLine="0" autoPict="0">
                <anchor moveWithCells="1">
                  <from>
                    <xdr:col>11</xdr:col>
                    <xdr:colOff>0</xdr:colOff>
                    <xdr:row>126</xdr:row>
                    <xdr:rowOff>30480</xdr:rowOff>
                  </from>
                  <to>
                    <xdr:col>11</xdr:col>
                    <xdr:colOff>1821180</xdr:colOff>
                    <xdr:row>126</xdr:row>
                    <xdr:rowOff>289560</xdr:rowOff>
                  </to>
                </anchor>
              </controlPr>
            </control>
          </mc:Choice>
        </mc:AlternateContent>
        <mc:AlternateContent xmlns:mc="http://schemas.openxmlformats.org/markup-compatibility/2006">
          <mc:Choice Requires="x14">
            <control shapeId="8573" r:id="rId150" name="Check Box 381">
              <controlPr defaultSize="0" autoFill="0" autoLine="0" autoPict="0">
                <anchor moveWithCells="1">
                  <from>
                    <xdr:col>11</xdr:col>
                    <xdr:colOff>0</xdr:colOff>
                    <xdr:row>136</xdr:row>
                    <xdr:rowOff>266700</xdr:rowOff>
                  </from>
                  <to>
                    <xdr:col>11</xdr:col>
                    <xdr:colOff>1821180</xdr:colOff>
                    <xdr:row>137</xdr:row>
                    <xdr:rowOff>167640</xdr:rowOff>
                  </to>
                </anchor>
              </controlPr>
            </control>
          </mc:Choice>
        </mc:AlternateContent>
        <mc:AlternateContent xmlns:mc="http://schemas.openxmlformats.org/markup-compatibility/2006">
          <mc:Choice Requires="x14">
            <control shapeId="8574" r:id="rId151" name="Check Box 382">
              <controlPr defaultSize="0" autoFill="0" autoLine="0" autoPict="0">
                <anchor moveWithCells="1">
                  <from>
                    <xdr:col>11</xdr:col>
                    <xdr:colOff>0</xdr:colOff>
                    <xdr:row>137</xdr:row>
                    <xdr:rowOff>144780</xdr:rowOff>
                  </from>
                  <to>
                    <xdr:col>11</xdr:col>
                    <xdr:colOff>1821180</xdr:colOff>
                    <xdr:row>138</xdr:row>
                    <xdr:rowOff>68580</xdr:rowOff>
                  </to>
                </anchor>
              </controlPr>
            </control>
          </mc:Choice>
        </mc:AlternateContent>
        <mc:AlternateContent xmlns:mc="http://schemas.openxmlformats.org/markup-compatibility/2006">
          <mc:Choice Requires="x14">
            <control shapeId="8575" r:id="rId152" name="Check Box 383">
              <controlPr defaultSize="0" autoFill="0" autoLine="0" autoPict="0">
                <anchor moveWithCells="1">
                  <from>
                    <xdr:col>11</xdr:col>
                    <xdr:colOff>0</xdr:colOff>
                    <xdr:row>136</xdr:row>
                    <xdr:rowOff>30480</xdr:rowOff>
                  </from>
                  <to>
                    <xdr:col>11</xdr:col>
                    <xdr:colOff>1821180</xdr:colOff>
                    <xdr:row>136</xdr:row>
                    <xdr:rowOff>297180</xdr:rowOff>
                  </to>
                </anchor>
              </controlPr>
            </control>
          </mc:Choice>
        </mc:AlternateContent>
        <mc:AlternateContent xmlns:mc="http://schemas.openxmlformats.org/markup-compatibility/2006">
          <mc:Choice Requires="x14">
            <control shapeId="8576" r:id="rId153" name="Check Box 384">
              <controlPr defaultSize="0" autoFill="0" autoLine="0" autoPict="0">
                <anchor moveWithCells="1">
                  <from>
                    <xdr:col>11</xdr:col>
                    <xdr:colOff>0</xdr:colOff>
                    <xdr:row>138</xdr:row>
                    <xdr:rowOff>266700</xdr:rowOff>
                  </from>
                  <to>
                    <xdr:col>11</xdr:col>
                    <xdr:colOff>1821180</xdr:colOff>
                    <xdr:row>139</xdr:row>
                    <xdr:rowOff>167640</xdr:rowOff>
                  </to>
                </anchor>
              </controlPr>
            </control>
          </mc:Choice>
        </mc:AlternateContent>
        <mc:AlternateContent xmlns:mc="http://schemas.openxmlformats.org/markup-compatibility/2006">
          <mc:Choice Requires="x14">
            <control shapeId="8577" r:id="rId154" name="Check Box 385">
              <controlPr defaultSize="0" autoFill="0" autoLine="0" autoPict="0">
                <anchor moveWithCells="1">
                  <from>
                    <xdr:col>11</xdr:col>
                    <xdr:colOff>0</xdr:colOff>
                    <xdr:row>139</xdr:row>
                    <xdr:rowOff>144780</xdr:rowOff>
                  </from>
                  <to>
                    <xdr:col>11</xdr:col>
                    <xdr:colOff>1821180</xdr:colOff>
                    <xdr:row>140</xdr:row>
                    <xdr:rowOff>68580</xdr:rowOff>
                  </to>
                </anchor>
              </controlPr>
            </control>
          </mc:Choice>
        </mc:AlternateContent>
        <mc:AlternateContent xmlns:mc="http://schemas.openxmlformats.org/markup-compatibility/2006">
          <mc:Choice Requires="x14">
            <control shapeId="8578" r:id="rId155" name="Check Box 386">
              <controlPr defaultSize="0" autoFill="0" autoLine="0" autoPict="0">
                <anchor moveWithCells="1">
                  <from>
                    <xdr:col>11</xdr:col>
                    <xdr:colOff>0</xdr:colOff>
                    <xdr:row>138</xdr:row>
                    <xdr:rowOff>30480</xdr:rowOff>
                  </from>
                  <to>
                    <xdr:col>11</xdr:col>
                    <xdr:colOff>1821180</xdr:colOff>
                    <xdr:row>138</xdr:row>
                    <xdr:rowOff>297180</xdr:rowOff>
                  </to>
                </anchor>
              </controlPr>
            </control>
          </mc:Choice>
        </mc:AlternateContent>
        <mc:AlternateContent xmlns:mc="http://schemas.openxmlformats.org/markup-compatibility/2006">
          <mc:Choice Requires="x14">
            <control shapeId="8579" r:id="rId156" name="Check Box 387">
              <controlPr defaultSize="0" autoFill="0" autoLine="0" autoPict="0">
                <anchor moveWithCells="1">
                  <from>
                    <xdr:col>11</xdr:col>
                    <xdr:colOff>0</xdr:colOff>
                    <xdr:row>132</xdr:row>
                    <xdr:rowOff>266700</xdr:rowOff>
                  </from>
                  <to>
                    <xdr:col>11</xdr:col>
                    <xdr:colOff>1821180</xdr:colOff>
                    <xdr:row>133</xdr:row>
                    <xdr:rowOff>167640</xdr:rowOff>
                  </to>
                </anchor>
              </controlPr>
            </control>
          </mc:Choice>
        </mc:AlternateContent>
        <mc:AlternateContent xmlns:mc="http://schemas.openxmlformats.org/markup-compatibility/2006">
          <mc:Choice Requires="x14">
            <control shapeId="8580" r:id="rId157" name="Check Box 388">
              <controlPr defaultSize="0" autoFill="0" autoLine="0" autoPict="0">
                <anchor moveWithCells="1">
                  <from>
                    <xdr:col>11</xdr:col>
                    <xdr:colOff>0</xdr:colOff>
                    <xdr:row>133</xdr:row>
                    <xdr:rowOff>144780</xdr:rowOff>
                  </from>
                  <to>
                    <xdr:col>11</xdr:col>
                    <xdr:colOff>1821180</xdr:colOff>
                    <xdr:row>134</xdr:row>
                    <xdr:rowOff>68580</xdr:rowOff>
                  </to>
                </anchor>
              </controlPr>
            </control>
          </mc:Choice>
        </mc:AlternateContent>
        <mc:AlternateContent xmlns:mc="http://schemas.openxmlformats.org/markup-compatibility/2006">
          <mc:Choice Requires="x14">
            <control shapeId="8581" r:id="rId158" name="Check Box 389">
              <controlPr defaultSize="0" autoFill="0" autoLine="0" autoPict="0">
                <anchor moveWithCells="1">
                  <from>
                    <xdr:col>11</xdr:col>
                    <xdr:colOff>0</xdr:colOff>
                    <xdr:row>132</xdr:row>
                    <xdr:rowOff>30480</xdr:rowOff>
                  </from>
                  <to>
                    <xdr:col>11</xdr:col>
                    <xdr:colOff>1821180</xdr:colOff>
                    <xdr:row>132</xdr:row>
                    <xdr:rowOff>297180</xdr:rowOff>
                  </to>
                </anchor>
              </controlPr>
            </control>
          </mc:Choice>
        </mc:AlternateContent>
        <mc:AlternateContent xmlns:mc="http://schemas.openxmlformats.org/markup-compatibility/2006">
          <mc:Choice Requires="x14">
            <control shapeId="8582" r:id="rId159" name="Check Box 390">
              <controlPr defaultSize="0" autoFill="0" autoLine="0" autoPict="0">
                <anchor moveWithCells="1">
                  <from>
                    <xdr:col>11</xdr:col>
                    <xdr:colOff>0</xdr:colOff>
                    <xdr:row>134</xdr:row>
                    <xdr:rowOff>266700</xdr:rowOff>
                  </from>
                  <to>
                    <xdr:col>11</xdr:col>
                    <xdr:colOff>1821180</xdr:colOff>
                    <xdr:row>135</xdr:row>
                    <xdr:rowOff>167640</xdr:rowOff>
                  </to>
                </anchor>
              </controlPr>
            </control>
          </mc:Choice>
        </mc:AlternateContent>
        <mc:AlternateContent xmlns:mc="http://schemas.openxmlformats.org/markup-compatibility/2006">
          <mc:Choice Requires="x14">
            <control shapeId="8583" r:id="rId160" name="Check Box 391">
              <controlPr defaultSize="0" autoFill="0" autoLine="0" autoPict="0">
                <anchor moveWithCells="1">
                  <from>
                    <xdr:col>11</xdr:col>
                    <xdr:colOff>0</xdr:colOff>
                    <xdr:row>135</xdr:row>
                    <xdr:rowOff>144780</xdr:rowOff>
                  </from>
                  <to>
                    <xdr:col>11</xdr:col>
                    <xdr:colOff>1821180</xdr:colOff>
                    <xdr:row>136</xdr:row>
                    <xdr:rowOff>68580</xdr:rowOff>
                  </to>
                </anchor>
              </controlPr>
            </control>
          </mc:Choice>
        </mc:AlternateContent>
        <mc:AlternateContent xmlns:mc="http://schemas.openxmlformats.org/markup-compatibility/2006">
          <mc:Choice Requires="x14">
            <control shapeId="8584" r:id="rId161" name="Check Box 392">
              <controlPr defaultSize="0" autoFill="0" autoLine="0" autoPict="0">
                <anchor moveWithCells="1">
                  <from>
                    <xdr:col>11</xdr:col>
                    <xdr:colOff>0</xdr:colOff>
                    <xdr:row>134</xdr:row>
                    <xdr:rowOff>30480</xdr:rowOff>
                  </from>
                  <to>
                    <xdr:col>11</xdr:col>
                    <xdr:colOff>1821180</xdr:colOff>
                    <xdr:row>134</xdr:row>
                    <xdr:rowOff>297180</xdr:rowOff>
                  </to>
                </anchor>
              </controlPr>
            </control>
          </mc:Choice>
        </mc:AlternateContent>
        <mc:AlternateContent xmlns:mc="http://schemas.openxmlformats.org/markup-compatibility/2006">
          <mc:Choice Requires="x14">
            <control shapeId="8585" r:id="rId162" name="Check Box 393">
              <controlPr defaultSize="0" autoFill="0" autoLine="0" autoPict="0">
                <anchor moveWithCells="1">
                  <from>
                    <xdr:col>11</xdr:col>
                    <xdr:colOff>0</xdr:colOff>
                    <xdr:row>128</xdr:row>
                    <xdr:rowOff>266700</xdr:rowOff>
                  </from>
                  <to>
                    <xdr:col>11</xdr:col>
                    <xdr:colOff>1821180</xdr:colOff>
                    <xdr:row>129</xdr:row>
                    <xdr:rowOff>167640</xdr:rowOff>
                  </to>
                </anchor>
              </controlPr>
            </control>
          </mc:Choice>
        </mc:AlternateContent>
        <mc:AlternateContent xmlns:mc="http://schemas.openxmlformats.org/markup-compatibility/2006">
          <mc:Choice Requires="x14">
            <control shapeId="8586" r:id="rId163" name="Check Box 394">
              <controlPr defaultSize="0" autoFill="0" autoLine="0" autoPict="0">
                <anchor moveWithCells="1">
                  <from>
                    <xdr:col>11</xdr:col>
                    <xdr:colOff>0</xdr:colOff>
                    <xdr:row>129</xdr:row>
                    <xdr:rowOff>144780</xdr:rowOff>
                  </from>
                  <to>
                    <xdr:col>11</xdr:col>
                    <xdr:colOff>1821180</xdr:colOff>
                    <xdr:row>130</xdr:row>
                    <xdr:rowOff>68580</xdr:rowOff>
                  </to>
                </anchor>
              </controlPr>
            </control>
          </mc:Choice>
        </mc:AlternateContent>
        <mc:AlternateContent xmlns:mc="http://schemas.openxmlformats.org/markup-compatibility/2006">
          <mc:Choice Requires="x14">
            <control shapeId="8587" r:id="rId164" name="Check Box 395">
              <controlPr defaultSize="0" autoFill="0" autoLine="0" autoPict="0">
                <anchor moveWithCells="1">
                  <from>
                    <xdr:col>11</xdr:col>
                    <xdr:colOff>0</xdr:colOff>
                    <xdr:row>128</xdr:row>
                    <xdr:rowOff>30480</xdr:rowOff>
                  </from>
                  <to>
                    <xdr:col>11</xdr:col>
                    <xdr:colOff>1821180</xdr:colOff>
                    <xdr:row>128</xdr:row>
                    <xdr:rowOff>297180</xdr:rowOff>
                  </to>
                </anchor>
              </controlPr>
            </control>
          </mc:Choice>
        </mc:AlternateContent>
        <mc:AlternateContent xmlns:mc="http://schemas.openxmlformats.org/markup-compatibility/2006">
          <mc:Choice Requires="x14">
            <control shapeId="8588" r:id="rId165" name="Check Box 396">
              <controlPr defaultSize="0" autoFill="0" autoLine="0" autoPict="0">
                <anchor moveWithCells="1">
                  <from>
                    <xdr:col>11</xdr:col>
                    <xdr:colOff>0</xdr:colOff>
                    <xdr:row>130</xdr:row>
                    <xdr:rowOff>266700</xdr:rowOff>
                  </from>
                  <to>
                    <xdr:col>11</xdr:col>
                    <xdr:colOff>1821180</xdr:colOff>
                    <xdr:row>131</xdr:row>
                    <xdr:rowOff>167640</xdr:rowOff>
                  </to>
                </anchor>
              </controlPr>
            </control>
          </mc:Choice>
        </mc:AlternateContent>
        <mc:AlternateContent xmlns:mc="http://schemas.openxmlformats.org/markup-compatibility/2006">
          <mc:Choice Requires="x14">
            <control shapeId="8589" r:id="rId166" name="Check Box 397">
              <controlPr defaultSize="0" autoFill="0" autoLine="0" autoPict="0">
                <anchor moveWithCells="1">
                  <from>
                    <xdr:col>11</xdr:col>
                    <xdr:colOff>0</xdr:colOff>
                    <xdr:row>131</xdr:row>
                    <xdr:rowOff>144780</xdr:rowOff>
                  </from>
                  <to>
                    <xdr:col>11</xdr:col>
                    <xdr:colOff>1821180</xdr:colOff>
                    <xdr:row>132</xdr:row>
                    <xdr:rowOff>68580</xdr:rowOff>
                  </to>
                </anchor>
              </controlPr>
            </control>
          </mc:Choice>
        </mc:AlternateContent>
        <mc:AlternateContent xmlns:mc="http://schemas.openxmlformats.org/markup-compatibility/2006">
          <mc:Choice Requires="x14">
            <control shapeId="8590" r:id="rId167" name="Check Box 398">
              <controlPr defaultSize="0" autoFill="0" autoLine="0" autoPict="0">
                <anchor moveWithCells="1">
                  <from>
                    <xdr:col>11</xdr:col>
                    <xdr:colOff>0</xdr:colOff>
                    <xdr:row>130</xdr:row>
                    <xdr:rowOff>30480</xdr:rowOff>
                  </from>
                  <to>
                    <xdr:col>11</xdr:col>
                    <xdr:colOff>1821180</xdr:colOff>
                    <xdr:row>130</xdr:row>
                    <xdr:rowOff>297180</xdr:rowOff>
                  </to>
                </anchor>
              </controlPr>
            </control>
          </mc:Choice>
        </mc:AlternateContent>
        <mc:AlternateContent xmlns:mc="http://schemas.openxmlformats.org/markup-compatibility/2006">
          <mc:Choice Requires="x14">
            <control shapeId="8371" r:id="rId168" name="Check Box 179">
              <controlPr defaultSize="0" autoFill="0" autoLine="0" autoPict="0">
                <anchor moveWithCells="1">
                  <from>
                    <xdr:col>11</xdr:col>
                    <xdr:colOff>0</xdr:colOff>
                    <xdr:row>92</xdr:row>
                    <xdr:rowOff>266700</xdr:rowOff>
                  </from>
                  <to>
                    <xdr:col>11</xdr:col>
                    <xdr:colOff>1821180</xdr:colOff>
                    <xdr:row>93</xdr:row>
                    <xdr:rowOff>228600</xdr:rowOff>
                  </to>
                </anchor>
              </controlPr>
            </control>
          </mc:Choice>
        </mc:AlternateContent>
        <mc:AlternateContent xmlns:mc="http://schemas.openxmlformats.org/markup-compatibility/2006">
          <mc:Choice Requires="x14">
            <control shapeId="8372" r:id="rId169" name="Check Box 180">
              <controlPr defaultSize="0" autoFill="0" autoLine="0" autoPict="0">
                <anchor moveWithCells="1">
                  <from>
                    <xdr:col>11</xdr:col>
                    <xdr:colOff>0</xdr:colOff>
                    <xdr:row>93</xdr:row>
                    <xdr:rowOff>144780</xdr:rowOff>
                  </from>
                  <to>
                    <xdr:col>11</xdr:col>
                    <xdr:colOff>1821180</xdr:colOff>
                    <xdr:row>94</xdr:row>
                    <xdr:rowOff>0</xdr:rowOff>
                  </to>
                </anchor>
              </controlPr>
            </control>
          </mc:Choice>
        </mc:AlternateContent>
        <mc:AlternateContent xmlns:mc="http://schemas.openxmlformats.org/markup-compatibility/2006">
          <mc:Choice Requires="x14">
            <control shapeId="8592" r:id="rId170" name="Check Box 400">
              <controlPr defaultSize="0" autoFill="0" autoLine="0" autoPict="0">
                <anchor moveWithCells="1">
                  <from>
                    <xdr:col>11</xdr:col>
                    <xdr:colOff>0</xdr:colOff>
                    <xdr:row>92</xdr:row>
                    <xdr:rowOff>30480</xdr:rowOff>
                  </from>
                  <to>
                    <xdr:col>11</xdr:col>
                    <xdr:colOff>1821180</xdr:colOff>
                    <xdr:row>92</xdr:row>
                    <xdr:rowOff>327660</xdr:rowOff>
                  </to>
                </anchor>
              </controlPr>
            </control>
          </mc:Choice>
        </mc:AlternateContent>
        <mc:AlternateContent xmlns:mc="http://schemas.openxmlformats.org/markup-compatibility/2006">
          <mc:Choice Requires="x14">
            <control shapeId="8593" r:id="rId171" name="Check Box 401">
              <controlPr defaultSize="0" autoFill="0" autoLine="0" autoPict="0">
                <anchor moveWithCells="1">
                  <from>
                    <xdr:col>11</xdr:col>
                    <xdr:colOff>0</xdr:colOff>
                    <xdr:row>90</xdr:row>
                    <xdr:rowOff>266700</xdr:rowOff>
                  </from>
                  <to>
                    <xdr:col>11</xdr:col>
                    <xdr:colOff>1821180</xdr:colOff>
                    <xdr:row>91</xdr:row>
                    <xdr:rowOff>228600</xdr:rowOff>
                  </to>
                </anchor>
              </controlPr>
            </control>
          </mc:Choice>
        </mc:AlternateContent>
        <mc:AlternateContent xmlns:mc="http://schemas.openxmlformats.org/markup-compatibility/2006">
          <mc:Choice Requires="x14">
            <control shapeId="8594" r:id="rId172" name="Check Box 402">
              <controlPr defaultSize="0" autoFill="0" autoLine="0" autoPict="0">
                <anchor moveWithCells="1">
                  <from>
                    <xdr:col>11</xdr:col>
                    <xdr:colOff>0</xdr:colOff>
                    <xdr:row>91</xdr:row>
                    <xdr:rowOff>144780</xdr:rowOff>
                  </from>
                  <to>
                    <xdr:col>11</xdr:col>
                    <xdr:colOff>1821180</xdr:colOff>
                    <xdr:row>92</xdr:row>
                    <xdr:rowOff>0</xdr:rowOff>
                  </to>
                </anchor>
              </controlPr>
            </control>
          </mc:Choice>
        </mc:AlternateContent>
        <mc:AlternateContent xmlns:mc="http://schemas.openxmlformats.org/markup-compatibility/2006">
          <mc:Choice Requires="x14">
            <control shapeId="8595" r:id="rId173" name="Check Box 403">
              <controlPr defaultSize="0" autoFill="0" autoLine="0" autoPict="0">
                <anchor moveWithCells="1">
                  <from>
                    <xdr:col>11</xdr:col>
                    <xdr:colOff>0</xdr:colOff>
                    <xdr:row>90</xdr:row>
                    <xdr:rowOff>30480</xdr:rowOff>
                  </from>
                  <to>
                    <xdr:col>11</xdr:col>
                    <xdr:colOff>1821180</xdr:colOff>
                    <xdr:row>90</xdr:row>
                    <xdr:rowOff>327660</xdr:rowOff>
                  </to>
                </anchor>
              </controlPr>
            </control>
          </mc:Choice>
        </mc:AlternateContent>
        <mc:AlternateContent xmlns:mc="http://schemas.openxmlformats.org/markup-compatibility/2006">
          <mc:Choice Requires="x14">
            <control shapeId="8596" r:id="rId174" name="Check Box 404">
              <controlPr defaultSize="0" autoFill="0" autoLine="0" autoPict="0">
                <anchor moveWithCells="1">
                  <from>
                    <xdr:col>11</xdr:col>
                    <xdr:colOff>0</xdr:colOff>
                    <xdr:row>88</xdr:row>
                    <xdr:rowOff>266700</xdr:rowOff>
                  </from>
                  <to>
                    <xdr:col>11</xdr:col>
                    <xdr:colOff>1821180</xdr:colOff>
                    <xdr:row>89</xdr:row>
                    <xdr:rowOff>228600</xdr:rowOff>
                  </to>
                </anchor>
              </controlPr>
            </control>
          </mc:Choice>
        </mc:AlternateContent>
        <mc:AlternateContent xmlns:mc="http://schemas.openxmlformats.org/markup-compatibility/2006">
          <mc:Choice Requires="x14">
            <control shapeId="8597" r:id="rId175" name="Check Box 405">
              <controlPr defaultSize="0" autoFill="0" autoLine="0" autoPict="0">
                <anchor moveWithCells="1">
                  <from>
                    <xdr:col>11</xdr:col>
                    <xdr:colOff>0</xdr:colOff>
                    <xdr:row>89</xdr:row>
                    <xdr:rowOff>144780</xdr:rowOff>
                  </from>
                  <to>
                    <xdr:col>11</xdr:col>
                    <xdr:colOff>1821180</xdr:colOff>
                    <xdr:row>90</xdr:row>
                    <xdr:rowOff>0</xdr:rowOff>
                  </to>
                </anchor>
              </controlPr>
            </control>
          </mc:Choice>
        </mc:AlternateContent>
        <mc:AlternateContent xmlns:mc="http://schemas.openxmlformats.org/markup-compatibility/2006">
          <mc:Choice Requires="x14">
            <control shapeId="8598" r:id="rId176" name="Check Box 406">
              <controlPr defaultSize="0" autoFill="0" autoLine="0" autoPict="0">
                <anchor moveWithCells="1">
                  <from>
                    <xdr:col>11</xdr:col>
                    <xdr:colOff>0</xdr:colOff>
                    <xdr:row>88</xdr:row>
                    <xdr:rowOff>30480</xdr:rowOff>
                  </from>
                  <to>
                    <xdr:col>11</xdr:col>
                    <xdr:colOff>1821180</xdr:colOff>
                    <xdr:row>88</xdr:row>
                    <xdr:rowOff>327660</xdr:rowOff>
                  </to>
                </anchor>
              </controlPr>
            </control>
          </mc:Choice>
        </mc:AlternateContent>
        <mc:AlternateContent xmlns:mc="http://schemas.openxmlformats.org/markup-compatibility/2006">
          <mc:Choice Requires="x14">
            <control shapeId="8607" r:id="rId177" name="Check Box 415">
              <controlPr defaultSize="0" autoFill="0" autoLine="0" autoPict="0">
                <anchor moveWithCells="1">
                  <from>
                    <xdr:col>10</xdr:col>
                    <xdr:colOff>1287780</xdr:colOff>
                    <xdr:row>98</xdr:row>
                    <xdr:rowOff>106680</xdr:rowOff>
                  </from>
                  <to>
                    <xdr:col>11</xdr:col>
                    <xdr:colOff>1821180</xdr:colOff>
                    <xdr:row>98</xdr:row>
                    <xdr:rowOff>297180</xdr:rowOff>
                  </to>
                </anchor>
              </controlPr>
            </control>
          </mc:Choice>
        </mc:AlternateContent>
        <mc:AlternateContent xmlns:mc="http://schemas.openxmlformats.org/markup-compatibility/2006">
          <mc:Choice Requires="x14">
            <control shapeId="8608" r:id="rId178" name="Check Box 416">
              <controlPr defaultSize="0" autoFill="0" autoLine="0" autoPict="0">
                <anchor moveWithCells="1">
                  <from>
                    <xdr:col>10</xdr:col>
                    <xdr:colOff>1287780</xdr:colOff>
                    <xdr:row>100</xdr:row>
                    <xdr:rowOff>68580</xdr:rowOff>
                  </from>
                  <to>
                    <xdr:col>11</xdr:col>
                    <xdr:colOff>1821180</xdr:colOff>
                    <xdr:row>100</xdr:row>
                    <xdr:rowOff>297180</xdr:rowOff>
                  </to>
                </anchor>
              </controlPr>
            </control>
          </mc:Choice>
        </mc:AlternateContent>
        <mc:AlternateContent xmlns:mc="http://schemas.openxmlformats.org/markup-compatibility/2006">
          <mc:Choice Requires="x14">
            <control shapeId="8609" r:id="rId179" name="Check Box 417">
              <controlPr defaultSize="0" autoFill="0" autoLine="0" autoPict="0">
                <anchor moveWithCells="1">
                  <from>
                    <xdr:col>11</xdr:col>
                    <xdr:colOff>0</xdr:colOff>
                    <xdr:row>99</xdr:row>
                    <xdr:rowOff>144780</xdr:rowOff>
                  </from>
                  <to>
                    <xdr:col>11</xdr:col>
                    <xdr:colOff>1821180</xdr:colOff>
                    <xdr:row>99</xdr:row>
                    <xdr:rowOff>335280</xdr:rowOff>
                  </to>
                </anchor>
              </controlPr>
            </control>
          </mc:Choice>
        </mc:AlternateContent>
        <mc:AlternateContent xmlns:mc="http://schemas.openxmlformats.org/markup-compatibility/2006">
          <mc:Choice Requires="x14">
            <control shapeId="8626" r:id="rId180" name="Check Box 434">
              <controlPr defaultSize="0" autoFill="0" autoLine="0" autoPict="0">
                <anchor moveWithCells="1">
                  <from>
                    <xdr:col>10</xdr:col>
                    <xdr:colOff>1287780</xdr:colOff>
                    <xdr:row>104</xdr:row>
                    <xdr:rowOff>68580</xdr:rowOff>
                  </from>
                  <to>
                    <xdr:col>11</xdr:col>
                    <xdr:colOff>1798320</xdr:colOff>
                    <xdr:row>104</xdr:row>
                    <xdr:rowOff>297180</xdr:rowOff>
                  </to>
                </anchor>
              </controlPr>
            </control>
          </mc:Choice>
        </mc:AlternateContent>
        <mc:AlternateContent xmlns:mc="http://schemas.openxmlformats.org/markup-compatibility/2006">
          <mc:Choice Requires="x14">
            <control shapeId="8627" r:id="rId181" name="Check Box 435">
              <controlPr defaultSize="0" autoFill="0" autoLine="0" autoPict="0">
                <anchor moveWithCells="1">
                  <from>
                    <xdr:col>10</xdr:col>
                    <xdr:colOff>1287780</xdr:colOff>
                    <xdr:row>108</xdr:row>
                    <xdr:rowOff>68580</xdr:rowOff>
                  </from>
                  <to>
                    <xdr:col>11</xdr:col>
                    <xdr:colOff>1798320</xdr:colOff>
                    <xdr:row>108</xdr:row>
                    <xdr:rowOff>297180</xdr:rowOff>
                  </to>
                </anchor>
              </controlPr>
            </control>
          </mc:Choice>
        </mc:AlternateContent>
        <mc:AlternateContent xmlns:mc="http://schemas.openxmlformats.org/markup-compatibility/2006">
          <mc:Choice Requires="x14">
            <control shapeId="8648" r:id="rId182" name="Check Box 456">
              <controlPr defaultSize="0" autoFill="0" autoLine="0" autoPict="0">
                <anchor moveWithCells="1">
                  <from>
                    <xdr:col>11</xdr:col>
                    <xdr:colOff>0</xdr:colOff>
                    <xdr:row>70</xdr:row>
                    <xdr:rowOff>83820</xdr:rowOff>
                  </from>
                  <to>
                    <xdr:col>11</xdr:col>
                    <xdr:colOff>1813560</xdr:colOff>
                    <xdr:row>70</xdr:row>
                    <xdr:rowOff>304800</xdr:rowOff>
                  </to>
                </anchor>
              </controlPr>
            </control>
          </mc:Choice>
        </mc:AlternateContent>
      </controls>
    </mc:Choice>
  </mc:AlternateContent>
  <tableParts count="1">
    <tablePart r:id="rId183"/>
  </tableParts>
  <extLst>
    <ext xmlns:x14="http://schemas.microsoft.com/office/spreadsheetml/2009/9/main" uri="{78C0D931-6437-407d-A8EE-F0AAD7539E65}">
      <x14:conditionalFormattings>
        <x14:conditionalFormatting xmlns:xm="http://schemas.microsoft.com/office/excel/2006/main">
          <x14:cfRule type="iconSet" priority="125" id="{410A92BE-CB30-4760-BE24-93FF6AF22C4D}">
            <x14:iconSet iconSet="3Stars">
              <x14:cfvo type="percent">
                <xm:f>0</xm:f>
              </x14:cfvo>
              <x14:cfvo type="percent">
                <xm:f>33</xm:f>
              </x14:cfvo>
              <x14:cfvo type="percent">
                <xm:f>67</xm:f>
              </x14:cfvo>
            </x14:iconSet>
          </x14:cfRule>
          <xm:sqref>O6:P6</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E0836CDE-7850-48D6-B7EE-7F46905DB304}">
          <x14:formula1>
            <xm:f>Parâmetros!$A$28:$A$29</xm:f>
          </x14:formula1>
          <xm:sqref>I148:K169 M55:M144</xm:sqref>
        </x14:dataValidation>
        <x14:dataValidation type="list" allowBlank="1" showInputMessage="1" showErrorMessage="1" xr:uid="{F5877D27-857B-4B1A-9C92-9533ABE800DF}">
          <x14:formula1>
            <xm:f>Parâmetros!$A$31:$A$33</xm:f>
          </x14:formula1>
          <xm:sqref>AL109 AL101 AL105 AL107 AL103 AL123 AL111 AL115 AL119 AL121 AL113 AL117 O57 O55 O59:O144</xm:sqref>
        </x14:dataValidation>
        <x14:dataValidation type="list" allowBlank="1" showInputMessage="1" showErrorMessage="1" xr:uid="{C27FEA21-2A85-473D-984A-EF86134F9EB4}">
          <x14:formula1>
            <xm:f>Parâmetros!$A$36:$A$38</xm:f>
          </x14:formula1>
          <xm:sqref>AE29:AE50 AC29:AC50 AA29:AA51 Y29:Y51 W29:W51 U29:U51 O50:O51 O29:O30 K50:K51 M50:M51 K29:K30 I29:I30 I38:I40 I42:I48 M29:M30 I51 M38:M48 K38:K48 S50:S51 Q29:Q30 P39 Q38:Q40 S38:S48 Q50:Q51 O38:O48 Q42:Q48 S29:S30</xm:sqref>
        </x14:dataValidation>
        <x14:dataValidation type="list" allowBlank="1" showInputMessage="1" showErrorMessage="1" xr:uid="{59BC101E-BE0B-48F8-BAC1-D31D539F45BA}">
          <x14:formula1>
            <xm:f>Parâmetros!$A$21:$A$27</xm:f>
          </x14:formula1>
          <xm:sqref>A55:A144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7265-C537-4C9F-8E83-DFC36F6B4475}">
  <dimension ref="A1:AV430"/>
  <sheetViews>
    <sheetView topLeftCell="D136" zoomScale="70" zoomScaleNormal="70" workbookViewId="0">
      <selection activeCell="H151" sqref="H151:H153"/>
    </sheetView>
  </sheetViews>
  <sheetFormatPr defaultColWidth="8.5546875" defaultRowHeight="14.4" x14ac:dyDescent="0.3"/>
  <cols>
    <col min="1" max="1" width="33.44140625" style="62" customWidth="1"/>
    <col min="2" max="2" width="34.5546875" style="62" customWidth="1"/>
    <col min="3" max="3" width="44.44140625" style="62" bestFit="1" customWidth="1"/>
    <col min="4" max="4" width="57" style="62" customWidth="1"/>
    <col min="5" max="5" width="27.5546875" style="62" customWidth="1"/>
    <col min="6" max="6" width="18" style="62" bestFit="1" customWidth="1"/>
    <col min="7" max="7" width="17.5546875" style="111" bestFit="1" customWidth="1"/>
    <col min="8" max="8" width="46.5546875" style="62" customWidth="1"/>
    <col min="9" max="9" width="40.5546875" style="62" customWidth="1"/>
    <col min="10" max="10" width="19.5546875" style="62" customWidth="1"/>
    <col min="11" max="11" width="26.5546875" style="62" customWidth="1"/>
    <col min="12" max="12" width="28.5546875" style="62" bestFit="1" customWidth="1"/>
    <col min="13" max="13" width="49.44140625" style="62" bestFit="1" customWidth="1"/>
    <col min="14" max="14" width="22.44140625" style="62" customWidth="1"/>
    <col min="15" max="15" width="26.44140625" style="62" bestFit="1" customWidth="1"/>
    <col min="16" max="16" width="41.44140625" style="111" customWidth="1"/>
    <col min="17" max="17" width="22.44140625" style="62" customWidth="1"/>
    <col min="18" max="18" width="21.44140625" style="62" customWidth="1"/>
    <col min="19" max="19" width="17.44140625" style="62" customWidth="1"/>
    <col min="20" max="20" width="20.44140625" style="62" customWidth="1"/>
    <col min="21" max="21" width="17.44140625" style="62" customWidth="1"/>
    <col min="22" max="22" width="18.5546875" style="62" customWidth="1"/>
    <col min="23" max="23" width="19" style="62" customWidth="1"/>
    <col min="24" max="24" width="18.5546875" style="62" customWidth="1"/>
    <col min="25" max="26" width="19" style="62" customWidth="1"/>
    <col min="27" max="27" width="18.5546875" style="62" customWidth="1"/>
    <col min="28" max="29" width="19" style="62" customWidth="1"/>
    <col min="30" max="30" width="26" style="62" customWidth="1"/>
    <col min="31" max="31" width="18.44140625" style="62" customWidth="1"/>
    <col min="32" max="32" width="19" style="62" customWidth="1"/>
    <col min="33" max="33" width="17.44140625" style="62" customWidth="1"/>
    <col min="34" max="34" width="22.44140625" style="62" bestFit="1" customWidth="1"/>
    <col min="35" max="35" width="45.5546875" style="62" customWidth="1"/>
    <col min="36" max="36" width="18.5546875" style="62" customWidth="1"/>
    <col min="37" max="37" width="20.5546875" style="62" customWidth="1"/>
    <col min="38" max="38" width="19" style="62" bestFit="1" customWidth="1"/>
    <col min="39" max="39" width="50" style="47" bestFit="1" customWidth="1"/>
    <col min="40" max="40" width="49.5546875" style="62" bestFit="1" customWidth="1"/>
    <col min="41" max="41" width="22.44140625" style="62" bestFit="1" customWidth="1"/>
    <col min="42" max="42" width="21.44140625" style="62" bestFit="1" customWidth="1"/>
    <col min="43" max="43" width="2.5546875" style="62" bestFit="1" customWidth="1"/>
    <col min="44" max="44" width="20.5546875" style="62" bestFit="1" customWidth="1"/>
    <col min="45" max="45" width="27.44140625" style="62" bestFit="1" customWidth="1"/>
    <col min="46" max="46" width="8.5546875" style="62"/>
    <col min="47" max="48" width="29.5546875" style="62" customWidth="1"/>
    <col min="49" max="16384" width="8.5546875" style="62"/>
  </cols>
  <sheetData>
    <row r="1" spans="1:41" ht="50.1" customHeight="1" x14ac:dyDescent="0.3">
      <c r="A1" s="1434" t="s">
        <v>1389</v>
      </c>
      <c r="B1" s="1434"/>
      <c r="C1" s="1434"/>
      <c r="D1" s="1434"/>
      <c r="E1" s="1434"/>
      <c r="F1" s="1434"/>
      <c r="G1" s="1434"/>
      <c r="H1" s="1434"/>
      <c r="I1" s="1434"/>
      <c r="J1" s="1434"/>
      <c r="K1" s="1434"/>
      <c r="L1" s="1434"/>
      <c r="M1" s="1434"/>
      <c r="N1" s="1434"/>
      <c r="O1" s="1434"/>
      <c r="P1" s="1434"/>
      <c r="Q1" s="1434"/>
      <c r="R1" s="1434"/>
      <c r="S1" s="1434"/>
      <c r="T1" s="1434"/>
      <c r="U1" s="1434"/>
      <c r="V1" s="1434"/>
      <c r="W1" s="1434"/>
      <c r="X1" s="1434"/>
      <c r="Y1" s="1434"/>
      <c r="Z1" s="1434"/>
      <c r="AA1" s="1434"/>
      <c r="AB1" s="1434"/>
      <c r="AC1" s="1434"/>
      <c r="AD1" s="1434"/>
      <c r="AE1" s="1434"/>
      <c r="AF1" s="1434"/>
      <c r="AG1" s="47"/>
      <c r="AH1" s="47"/>
      <c r="AI1" s="47"/>
      <c r="AJ1" s="47"/>
      <c r="AK1" s="47"/>
      <c r="AL1" s="47"/>
    </row>
    <row r="2" spans="1:41" ht="25.35" customHeight="1" x14ac:dyDescent="0.3">
      <c r="A2" s="1443" t="s">
        <v>46</v>
      </c>
      <c r="B2" s="1443"/>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3"/>
      <c r="AD2" s="1443"/>
      <c r="AE2" s="1443"/>
      <c r="AF2" s="1443"/>
      <c r="AG2" s="47"/>
      <c r="AH2" s="47"/>
      <c r="AI2" s="47"/>
      <c r="AJ2" s="47"/>
      <c r="AK2" s="47"/>
      <c r="AL2" s="47"/>
    </row>
    <row r="3" spans="1:41" ht="8.1" customHeight="1" x14ac:dyDescent="0.3">
      <c r="A3" s="47"/>
      <c r="B3" s="47"/>
      <c r="C3" s="47"/>
      <c r="D3" s="47"/>
      <c r="E3" s="47"/>
      <c r="F3" s="47"/>
      <c r="G3" s="59"/>
      <c r="H3" s="47"/>
      <c r="I3" s="47"/>
      <c r="J3" s="47"/>
      <c r="K3" s="47"/>
      <c r="L3" s="47"/>
      <c r="M3" s="47"/>
      <c r="N3" s="47"/>
      <c r="O3" s="47"/>
      <c r="P3" s="59"/>
      <c r="Q3" s="47"/>
      <c r="R3" s="47"/>
      <c r="S3" s="47"/>
      <c r="T3" s="47"/>
      <c r="U3" s="47"/>
      <c r="V3" s="47"/>
      <c r="W3" s="47"/>
      <c r="X3" s="47"/>
      <c r="Y3" s="47"/>
      <c r="Z3" s="47"/>
      <c r="AA3" s="47"/>
      <c r="AB3" s="47"/>
      <c r="AC3" s="47"/>
      <c r="AD3" s="47"/>
      <c r="AE3" s="47"/>
      <c r="AF3" s="47"/>
      <c r="AG3" s="47"/>
      <c r="AH3" s="47"/>
      <c r="AI3" s="47"/>
      <c r="AJ3" s="47"/>
      <c r="AK3" s="47"/>
      <c r="AL3" s="47"/>
    </row>
    <row r="4" spans="1:41" ht="22.35" customHeight="1" x14ac:dyDescent="0.3">
      <c r="A4" s="362" t="s">
        <v>94</v>
      </c>
      <c r="B4" s="475" t="s">
        <v>48</v>
      </c>
      <c r="C4" s="976" t="s">
        <v>49</v>
      </c>
      <c r="D4" s="478" t="s">
        <v>50</v>
      </c>
      <c r="E4" s="1415" t="s">
        <v>51</v>
      </c>
      <c r="F4" s="1415"/>
      <c r="G4" s="1423" t="s">
        <v>102</v>
      </c>
      <c r="H4" s="1424"/>
      <c r="I4" s="903" t="s">
        <v>1390</v>
      </c>
      <c r="J4" s="1435" t="s">
        <v>54</v>
      </c>
      <c r="K4" s="2172"/>
      <c r="L4" s="905" t="s">
        <v>55</v>
      </c>
      <c r="M4" s="47"/>
      <c r="N4" s="47"/>
      <c r="O4" s="1441" t="s">
        <v>129</v>
      </c>
      <c r="P4" s="1442"/>
      <c r="Q4" s="1442"/>
      <c r="R4" s="1442"/>
      <c r="S4" s="1442"/>
      <c r="T4" s="1442"/>
      <c r="U4" s="1442"/>
      <c r="V4" s="1442"/>
      <c r="W4" s="1442"/>
      <c r="X4" s="1442"/>
      <c r="Y4" s="1442"/>
      <c r="Z4" s="1442"/>
      <c r="AA4" s="1442"/>
      <c r="AB4" s="1442"/>
      <c r="AC4" s="1442"/>
      <c r="AD4" s="1442"/>
      <c r="AE4" s="1442"/>
      <c r="AF4" s="1442"/>
      <c r="AG4" s="47"/>
      <c r="AH4" s="47"/>
      <c r="AI4" s="47"/>
      <c r="AJ4" s="47"/>
      <c r="AK4" s="47"/>
      <c r="AL4" s="47"/>
    </row>
    <row r="5" spans="1:41" ht="45" customHeight="1" x14ac:dyDescent="0.3">
      <c r="A5" s="476">
        <f>Parâmetros!E6</f>
        <v>13367000</v>
      </c>
      <c r="B5" s="477">
        <f>SUM(I55:I144)</f>
        <v>13813000.17497622</v>
      </c>
      <c r="C5" s="977">
        <f>AV53</f>
        <v>3423859.186666667</v>
      </c>
      <c r="D5" s="479">
        <f>AU53</f>
        <v>5636966.6789837899</v>
      </c>
      <c r="E5" s="1416">
        <f>SUM(N55:N144)</f>
        <v>2448486.8000000003</v>
      </c>
      <c r="F5" s="1416"/>
      <c r="G5" s="2182">
        <f>SUM(E9,E11:E14)</f>
        <v>1367465.64</v>
      </c>
      <c r="H5" s="2183"/>
      <c r="I5" s="904">
        <f>E8+E10</f>
        <v>2135000.0060000001</v>
      </c>
      <c r="J5" s="1437">
        <f>G5/A5</f>
        <v>0.10230161143113638</v>
      </c>
      <c r="K5" s="2184"/>
      <c r="L5" s="2179">
        <f>SUM(G8:G10)</f>
        <v>21</v>
      </c>
      <c r="M5" s="230"/>
      <c r="N5" s="230"/>
      <c r="O5" s="359" t="s">
        <v>132</v>
      </c>
      <c r="P5" s="359" t="s">
        <v>77</v>
      </c>
      <c r="Q5" s="359" t="s">
        <v>924</v>
      </c>
      <c r="R5" s="363" t="s">
        <v>134</v>
      </c>
      <c r="S5" s="363" t="s">
        <v>135</v>
      </c>
      <c r="T5" s="507" t="s">
        <v>136</v>
      </c>
      <c r="U5" s="2136" t="s">
        <v>137</v>
      </c>
      <c r="V5" s="2136"/>
      <c r="W5" s="2136"/>
      <c r="X5" s="2136"/>
      <c r="Y5" s="2136"/>
      <c r="Z5" s="359" t="s">
        <v>138</v>
      </c>
      <c r="AA5" s="359" t="s">
        <v>139</v>
      </c>
      <c r="AB5" s="359" t="s">
        <v>140</v>
      </c>
      <c r="AC5" s="359" t="s">
        <v>141</v>
      </c>
      <c r="AD5" s="359" t="s">
        <v>142</v>
      </c>
      <c r="AE5" s="363" t="s">
        <v>143</v>
      </c>
      <c r="AF5" s="47" t="s">
        <v>1391</v>
      </c>
      <c r="AG5" s="47" t="s">
        <v>72</v>
      </c>
      <c r="AH5" s="47"/>
      <c r="AI5" s="47"/>
      <c r="AJ5" s="47"/>
      <c r="AK5" s="47"/>
      <c r="AL5" s="47"/>
      <c r="AN5" s="47"/>
    </row>
    <row r="6" spans="1:41" ht="20.100000000000001" customHeight="1" x14ac:dyDescent="0.3">
      <c r="A6" s="755" t="s">
        <v>145</v>
      </c>
      <c r="B6" s="755"/>
      <c r="C6" s="755"/>
      <c r="D6" s="755"/>
      <c r="E6" s="755"/>
      <c r="F6" s="900" t="s">
        <v>64</v>
      </c>
      <c r="G6" s="900"/>
      <c r="H6" s="900"/>
      <c r="I6" s="751" t="s">
        <v>65</v>
      </c>
      <c r="J6" s="754"/>
      <c r="K6" s="754"/>
      <c r="L6" s="2180"/>
      <c r="M6" s="47"/>
      <c r="N6" s="47"/>
      <c r="O6" s="349" cm="1">
        <f t="array" ref="O6:O25">_xlfn.SEQUENCE(20)</f>
        <v>1</v>
      </c>
      <c r="P6" s="349" t="str">
        <f t="shared" ref="P6:P19" si="0">_xlfn.XLOOKUP(U6,$C$55:$C$144,$A$55:$A$144)</f>
        <v>Kaizen - Custo Evitado</v>
      </c>
      <c r="Q6" s="350">
        <f>MAX(I55:I144)</f>
        <v>3000000</v>
      </c>
      <c r="R6" s="436">
        <f t="shared" ref="R6:R25" si="1">_xlfn.XLOOKUP(Q6,$I$55:$I$144,$N$55:$N$144)</f>
        <v>0</v>
      </c>
      <c r="S6" s="875" t="str">
        <f t="shared" ref="S6:S25" si="2">IF(_xlfn.XLOOKUP(U6,$C$55:$C$192,$J$55:$J$192,"Em analise")=0,"Em analise",_xlfn.XLOOKUP(U6,$C$55:$C$192,$J$55:$J$192,"Em analise"))</f>
        <v>Em analise</v>
      </c>
      <c r="T6" s="508" cm="1">
        <f t="array" aca="1" ref="T6" ca="1">SUMPRODUCT(($C$55:$C$191=U6)*(U$54:$AI$54&lt;=TODAY())*(ISNUMBER(R$56:$AF$192)),R$56:$AF$192)</f>
        <v>0.5</v>
      </c>
      <c r="U6" s="2137" t="str">
        <f t="shared" ref="U6:U25" si="3">IFERROR(HYPERLINK(INDEX($D$55:$D$144,MATCH(Q6,$I$55:$I$144,0)),INDEX($C$55:$C$144,MATCH(Q6,$I$55:$I$144,0))
   ),
   ""
)</f>
        <v>01 - Clientes com baixa margem de contribuição.</v>
      </c>
      <c r="V6" s="2137"/>
      <c r="W6" s="2137"/>
      <c r="X6" s="2137"/>
      <c r="Y6" s="2137"/>
      <c r="Z6" s="351">
        <f>Pareto!D4</f>
        <v>9.6544602637794436E-2</v>
      </c>
      <c r="AA6" s="352">
        <f>Pareto!E4</f>
        <v>9.6544602637794436E-2</v>
      </c>
      <c r="AB6" s="360" cm="1">
        <f t="array" aca="1" ref="AB6" ca="1">IFERROR(INDEX($T$55:$T$144,MATCH(1,($AP$55:$AP$144=U6)*($S$55:$S$144="Previsto"), 0) ), "")</f>
        <v>1</v>
      </c>
      <c r="AC6" s="360" cm="1">
        <f t="array" ref="AC6">IFERROR(INDEX($T$55:$T$144,MATCH(1,($AP$55:$AP$144=U6)*($S$55:$S$144="Real"), 0) ), "")</f>
        <v>0.5</v>
      </c>
      <c r="AD6" s="373" t="str">
        <f t="shared" ref="AD6:AD13" ca="1" si="4">IF(OR(AB6="",AC6=""),"",IF(AC6=100%,"CONCLUÍDO",IF(AC6=0,IF(AB6=0,"PROJETO NÃO INICIADO","FALTA DE ACOMPANHAMENTO"),IF(AC6&gt;AB6,"ADIANTADO",IF(AC6=AB6,"CONFORME PLANEJADO","ATRASO")))))</f>
        <v>ATRASO</v>
      </c>
      <c r="AE6" s="353" cm="1">
        <f t="array" ref="AE6:AE25">_xlfn.XLOOKUP($U$6:$U$25,$C$55:$C$144,$R$55:$R$144)</f>
        <v>0.9</v>
      </c>
      <c r="AF6" s="47" t="s">
        <v>1392</v>
      </c>
      <c r="AG6" s="47" t="s">
        <v>1393</v>
      </c>
      <c r="AH6" s="47"/>
      <c r="AI6" s="47"/>
      <c r="AJ6" s="47"/>
      <c r="AK6" s="47"/>
      <c r="AL6" s="47"/>
      <c r="AN6" s="47"/>
    </row>
    <row r="7" spans="1:41" ht="20.100000000000001" customHeight="1" x14ac:dyDescent="0.3">
      <c r="A7" s="15" t="s">
        <v>67</v>
      </c>
      <c r="B7" s="15" t="s">
        <v>68</v>
      </c>
      <c r="C7" s="15" t="s">
        <v>69</v>
      </c>
      <c r="D7" s="753" t="s">
        <v>70</v>
      </c>
      <c r="E7" s="49" t="s">
        <v>71</v>
      </c>
      <c r="F7" s="15" t="s">
        <v>72</v>
      </c>
      <c r="G7" s="15" t="s">
        <v>68</v>
      </c>
      <c r="H7" s="15" t="s">
        <v>73</v>
      </c>
      <c r="I7" s="901" t="s">
        <v>74</v>
      </c>
      <c r="J7" s="1427" t="s">
        <v>75</v>
      </c>
      <c r="K7" s="2140" t="s">
        <v>147</v>
      </c>
      <c r="L7" s="2180"/>
      <c r="M7" s="47"/>
      <c r="N7" s="47"/>
      <c r="O7" s="354">
        <v>2</v>
      </c>
      <c r="P7" s="354" t="str">
        <f t="shared" si="0"/>
        <v>Kaizen - Custo Evitado</v>
      </c>
      <c r="Q7" s="355">
        <f t="shared" ref="Q7:Q25" si="5">IFERROR(LARGE($I$55:$I$144,O7)," ")</f>
        <v>1540000</v>
      </c>
      <c r="R7" s="437">
        <f t="shared" si="1"/>
        <v>0</v>
      </c>
      <c r="S7" s="500">
        <f t="shared" si="2"/>
        <v>46265</v>
      </c>
      <c r="T7" s="509" cm="1">
        <f t="array" aca="1" ref="T7" ca="1">SUMPRODUCT(($C$55:$C$191=U7)*(U$54:$AI$54&lt;=TODAY())*(ISNUMBER(R$56:$AF$192)),R$56:$AF$192)</f>
        <v>0</v>
      </c>
      <c r="U7" s="2137" t="str">
        <f t="shared" si="3"/>
        <v>34 - Redução dos gastos de manutenção com monitoramento do Tractian</v>
      </c>
      <c r="V7" s="2137"/>
      <c r="W7" s="2137"/>
      <c r="X7" s="2137"/>
      <c r="Y7" s="2137"/>
      <c r="Z7" s="356">
        <f>Pareto!D5</f>
        <v>7.1142643543130754E-2</v>
      </c>
      <c r="AA7" s="357">
        <f>Pareto!E5</f>
        <v>0.16768724618092518</v>
      </c>
      <c r="AB7" s="361" cm="1">
        <f t="array" aca="1" ref="AB7" ca="1">IFERROR(INDEX($T$55:$T$144,MATCH(1,($AP$55:$AP$144=U7)*($S$55:$S$144="Previsto"), 0) ), "")</f>
        <v>1</v>
      </c>
      <c r="AC7" s="361" cm="1">
        <f t="array" ref="AC7">IFERROR(INDEX($T$55:$T$144,MATCH(1,($AP$55:$AP$144=U7)*($S$55:$S$144="Real"), 0) ), "")</f>
        <v>0</v>
      </c>
      <c r="AD7" s="374" t="str">
        <f t="shared" ca="1" si="4"/>
        <v>FALTA DE ACOMPANHAMENTO</v>
      </c>
      <c r="AE7" s="358">
        <v>0</v>
      </c>
      <c r="AF7" s="62" t="s">
        <v>1392</v>
      </c>
      <c r="AG7" s="47"/>
      <c r="AH7" s="47"/>
      <c r="AI7" s="47"/>
      <c r="AJ7" s="47"/>
      <c r="AK7" s="47"/>
      <c r="AL7" s="47"/>
      <c r="AN7" s="47"/>
      <c r="AO7" s="47"/>
    </row>
    <row r="8" spans="1:41" ht="20.100000000000001" customHeight="1" x14ac:dyDescent="0.3">
      <c r="A8" s="48" t="s">
        <v>57</v>
      </c>
      <c r="B8" s="884">
        <f t="shared" ref="B8:B14" si="6">COUNTIF($A$55:$A$144,A8)</f>
        <v>1</v>
      </c>
      <c r="C8" s="914">
        <f>SUMIF($A$55:$A$144,A8,$I$55:$I$144)</f>
        <v>195000</v>
      </c>
      <c r="D8" s="914">
        <f>SUMIF($A$55:$A$144,A8,$N$55:$N$144)</f>
        <v>0</v>
      </c>
      <c r="E8" s="915">
        <f>SUMIFS($AK$55:$AK$144,$S$55:$S$144,"Previsto",$AS$55:$AS$144,A8)</f>
        <v>195000</v>
      </c>
      <c r="F8" s="266" t="s">
        <v>81</v>
      </c>
      <c r="G8" s="24">
        <f>COUNTIF($O$55:$O$144,F8)</f>
        <v>12</v>
      </c>
      <c r="H8" s="193">
        <f>SUMIF($O$55:$O$144,F8,$I$55:$I$144)</f>
        <v>3632600.0118561648</v>
      </c>
      <c r="I8" s="902"/>
      <c r="J8" s="1428"/>
      <c r="K8" s="2141"/>
      <c r="L8" s="2180"/>
      <c r="M8" s="47"/>
      <c r="N8" s="47"/>
      <c r="O8" s="349">
        <v>3</v>
      </c>
      <c r="P8" s="349" t="str">
        <f t="shared" si="0"/>
        <v>Você Resolve</v>
      </c>
      <c r="Q8" s="350">
        <f t="shared" si="5"/>
        <v>1000000</v>
      </c>
      <c r="R8" s="436">
        <f t="shared" si="1"/>
        <v>240000</v>
      </c>
      <c r="S8" s="499">
        <f t="shared" si="2"/>
        <v>46325</v>
      </c>
      <c r="T8" s="508" cm="1">
        <f t="array" aca="1" ref="T8" ca="1">SUMPRODUCT(($C$55:$C$191=U8)*(U$54:$AI$54&lt;=TODAY())*(ISNUMBER(R$56:$AF$192)),R$56:$AF$192)</f>
        <v>0.75</v>
      </c>
      <c r="U8" s="2137" t="str">
        <f t="shared" si="3"/>
        <v xml:space="preserve">05 - Nitrogênio da máquina laser </v>
      </c>
      <c r="V8" s="2137"/>
      <c r="W8" s="2137"/>
      <c r="X8" s="2137"/>
      <c r="Y8" s="2137"/>
      <c r="Z8" s="351">
        <f>Pareto!D6</f>
        <v>6.1788545096048225E-2</v>
      </c>
      <c r="AA8" s="352">
        <f>Pareto!E6</f>
        <v>0.2294757912769734</v>
      </c>
      <c r="AB8" s="360" cm="1">
        <f t="array" ref="AB8">IFERROR(INDEX($T$55:$T$144,MATCH(1,($AP$55:$AP$144=U8)*($S$55:$S$144="Previsto"), 0) ), "")</f>
        <v>0.7</v>
      </c>
      <c r="AC8" s="360" cm="1">
        <f t="array" ref="AC8">IFERROR(INDEX($T$55:$T$144,MATCH(1,($AP$55:$AP$144=U8)*($S$55:$S$144="Real"), 0) ), "")</f>
        <v>0.75</v>
      </c>
      <c r="AD8" s="373" t="str">
        <f t="shared" si="4"/>
        <v>ADIANTADO</v>
      </c>
      <c r="AE8" s="353">
        <v>0.1</v>
      </c>
      <c r="AF8" s="62" t="s">
        <v>1394</v>
      </c>
      <c r="AG8" s="47" t="s">
        <v>1395</v>
      </c>
      <c r="AH8" s="47"/>
      <c r="AI8" s="47"/>
      <c r="AJ8" s="47"/>
      <c r="AK8" s="47"/>
      <c r="AL8" s="47"/>
      <c r="AN8" s="47"/>
      <c r="AO8" s="47"/>
    </row>
    <row r="9" spans="1:41" ht="29.25" customHeight="1" x14ac:dyDescent="0.3">
      <c r="A9" s="48" t="s">
        <v>59</v>
      </c>
      <c r="B9" s="884">
        <f t="shared" si="6"/>
        <v>5</v>
      </c>
      <c r="C9" s="914">
        <f t="shared" ref="C9:C14" si="7">SUMIF($A$55:$A$174,A9,$I$55:$I$174)</f>
        <v>1457000.0038561649</v>
      </c>
      <c r="D9" s="914">
        <f t="shared" ref="D9:D14" si="8">SUMIF($A$55:$A$174,A9,$N$55:$N$174)</f>
        <v>1450138.52</v>
      </c>
      <c r="E9" s="915">
        <f>SUMIFS($AK$55:$AK$144,$S$55:$S$144,"Real",$AS$55:$AS$144,A9)</f>
        <v>842335.90999999992</v>
      </c>
      <c r="F9" s="267" t="s">
        <v>83</v>
      </c>
      <c r="G9" s="25">
        <f>COUNTIF($O$55:$O$144,F9)</f>
        <v>6</v>
      </c>
      <c r="H9" s="194">
        <f>SUMIF($O$55:$O$144,F9,$I$55:$I$144)</f>
        <v>4760000.0060000001</v>
      </c>
      <c r="I9" s="2138">
        <f>E175</f>
        <v>1</v>
      </c>
      <c r="J9" s="1429">
        <f>F175</f>
        <v>0.95833333333333337</v>
      </c>
      <c r="K9" s="2142">
        <f>L170</f>
        <v>0.20833333125</v>
      </c>
      <c r="L9" s="2180"/>
      <c r="M9" s="47"/>
      <c r="N9" s="47"/>
      <c r="O9" s="354">
        <v>4</v>
      </c>
      <c r="P9" s="354" t="str">
        <f t="shared" si="0"/>
        <v>Redução de custo</v>
      </c>
      <c r="Q9" s="355">
        <f t="shared" si="5"/>
        <v>900000</v>
      </c>
      <c r="R9" s="437">
        <f t="shared" si="1"/>
        <v>505242.56</v>
      </c>
      <c r="S9" s="500">
        <f t="shared" si="2"/>
        <v>46023</v>
      </c>
      <c r="T9" s="509" cm="1">
        <f t="array" aca="1" ref="T9" ca="1">SUMPRODUCT(($C$55:$C$191=U9)*(U$54:$AI$54&lt;=TODAY())*(ISNUMBER(R$56:$AF$192)),R$56:$AF$192)</f>
        <v>617221.81000000006</v>
      </c>
      <c r="U9" s="2137" t="str">
        <f t="shared" si="3"/>
        <v xml:space="preserve">03 - Consumo de desmoldante </v>
      </c>
      <c r="V9" s="2137"/>
      <c r="W9" s="2137"/>
      <c r="X9" s="2137"/>
      <c r="Y9" s="2137"/>
      <c r="Z9" s="356">
        <f>Pareto!D7</f>
        <v>6.1788544473653062E-2</v>
      </c>
      <c r="AA9" s="357">
        <f>Pareto!E7</f>
        <v>0.29126433575062649</v>
      </c>
      <c r="AB9" s="361" cm="1">
        <f t="array" aca="1" ref="AB9" ca="1">IFERROR(INDEX($T$55:$T$144,MATCH(1,($AP$55:$AP$144=U9)*($S$55:$S$144="Previsto"), 0) ), "")</f>
        <v>1</v>
      </c>
      <c r="AC9" s="361" cm="1">
        <f t="array" ref="AC9">IFERROR(INDEX($T$55:$T$144,MATCH(1,($AP$55:$AP$144=U9)*($S$55:$S$144="Real"), 0) ), "")</f>
        <v>1</v>
      </c>
      <c r="AD9" s="374" t="str">
        <f t="shared" ca="1" si="4"/>
        <v>CONCLUÍDO</v>
      </c>
      <c r="AE9" s="358">
        <v>0.8</v>
      </c>
      <c r="AG9" s="62" t="s">
        <v>1396</v>
      </c>
      <c r="AI9" s="47"/>
      <c r="AJ9" s="47"/>
      <c r="AK9" s="47"/>
      <c r="AL9" s="47"/>
      <c r="AN9" s="47"/>
      <c r="AO9" s="47"/>
    </row>
    <row r="10" spans="1:41" ht="20.100000000000001" customHeight="1" x14ac:dyDescent="0.3">
      <c r="A10" s="48" t="s">
        <v>61</v>
      </c>
      <c r="B10" s="884">
        <f t="shared" si="6"/>
        <v>6</v>
      </c>
      <c r="C10" s="914">
        <f t="shared" si="7"/>
        <v>5240000.1624654001</v>
      </c>
      <c r="D10" s="914">
        <f t="shared" si="8"/>
        <v>0</v>
      </c>
      <c r="E10" s="915">
        <f>SUMIFS($AK$55:$AK$144,$S$55:$S$144,"Previsto",$AS$55:$AS$144,A10)</f>
        <v>1940000.0060000001</v>
      </c>
      <c r="F10" s="268" t="s">
        <v>85</v>
      </c>
      <c r="G10" s="26">
        <f>COUNTIF($O$55:$O$144,F10)</f>
        <v>3</v>
      </c>
      <c r="H10" s="195">
        <f>SUMIF($O$55:$O$144,F10,$I$55:$I$144)</f>
        <v>1030400</v>
      </c>
      <c r="I10" s="2139"/>
      <c r="J10" s="1430"/>
      <c r="K10" s="2143"/>
      <c r="L10" s="2181"/>
      <c r="M10" s="47"/>
      <c r="N10" s="47"/>
      <c r="O10" s="349">
        <v>5</v>
      </c>
      <c r="P10" s="349" t="str">
        <f t="shared" si="0"/>
        <v>Redução de custo</v>
      </c>
      <c r="Q10" s="350">
        <f t="shared" si="5"/>
        <v>900000</v>
      </c>
      <c r="R10" s="436">
        <f t="shared" si="1"/>
        <v>505242.56</v>
      </c>
      <c r="S10" s="499">
        <f t="shared" si="2"/>
        <v>46023</v>
      </c>
      <c r="T10" s="508" cm="1">
        <f t="array" aca="1" ref="T10" ca="1">SUMPRODUCT(($C$55:$C$191=U10)*(U$54:$AI$54&lt;=TODAY())*(ISNUMBER(R$56:$AF$192)),R$56:$AF$192)</f>
        <v>617221.81000000006</v>
      </c>
      <c r="U10" s="2137" t="str">
        <f t="shared" si="3"/>
        <v xml:space="preserve">03 - Consumo de desmoldante </v>
      </c>
      <c r="V10" s="2137"/>
      <c r="W10" s="2137"/>
      <c r="X10" s="2137"/>
      <c r="Y10" s="2137"/>
      <c r="Z10" s="351">
        <f>Pareto!D8</f>
        <v>5.7926760424141452E-2</v>
      </c>
      <c r="AA10" s="352">
        <f>Pareto!E8</f>
        <v>0.34919109617476796</v>
      </c>
      <c r="AB10" s="360" cm="1">
        <f t="array" aca="1" ref="AB10" ca="1">IFERROR(INDEX($T$55:$T$144,MATCH(1,($AP$55:$AP$144=U10)*($S$55:$S$144="Previsto"), 0) ), "")</f>
        <v>1</v>
      </c>
      <c r="AC10" s="360" cm="1">
        <f t="array" ref="AC10">IFERROR(INDEX($T$55:$T$144,MATCH(1,($AP$55:$AP$144=U10)*($S$55:$S$144="Real"), 0) ), "")</f>
        <v>1</v>
      </c>
      <c r="AD10" s="373" t="str">
        <f t="shared" ca="1" si="4"/>
        <v>CONCLUÍDO</v>
      </c>
      <c r="AE10" s="353">
        <v>0.8</v>
      </c>
      <c r="AG10" s="47" t="s">
        <v>1396</v>
      </c>
      <c r="AH10" s="47"/>
      <c r="AI10" s="47"/>
      <c r="AJ10" s="47"/>
      <c r="AK10" s="47"/>
      <c r="AL10" s="47"/>
      <c r="AN10" s="47"/>
      <c r="AO10" s="47"/>
    </row>
    <row r="11" spans="1:41" ht="20.100000000000001" customHeight="1" x14ac:dyDescent="0.3">
      <c r="A11" s="16" t="s">
        <v>925</v>
      </c>
      <c r="B11" s="884">
        <f t="shared" si="6"/>
        <v>5</v>
      </c>
      <c r="C11" s="914">
        <f t="shared" si="7"/>
        <v>1217000.0006546541</v>
      </c>
      <c r="D11" s="914">
        <f t="shared" si="8"/>
        <v>0</v>
      </c>
      <c r="E11" s="915">
        <f>SUMIFS($AK$55:$AK$144,$S$55:$S$144,"Real",$AS$55:$AS$144,A11)</f>
        <v>0</v>
      </c>
      <c r="F11" s="47"/>
      <c r="G11" s="47"/>
      <c r="H11" s="47"/>
      <c r="I11" s="47"/>
      <c r="J11" s="47"/>
      <c r="K11" s="47"/>
      <c r="L11" s="47"/>
      <c r="M11" s="47"/>
      <c r="N11" s="47"/>
      <c r="O11" s="354">
        <v>6</v>
      </c>
      <c r="P11" s="354" t="str">
        <f t="shared" si="0"/>
        <v>Redução de custo</v>
      </c>
      <c r="Q11" s="355">
        <f t="shared" si="5"/>
        <v>800000</v>
      </c>
      <c r="R11" s="437">
        <f t="shared" si="1"/>
        <v>0</v>
      </c>
      <c r="S11" s="500" t="str">
        <f t="shared" si="2"/>
        <v>Em analise</v>
      </c>
      <c r="T11" s="509" cm="1">
        <f t="array" aca="1" ref="T11" ca="1">SUMPRODUCT(($C$55:$C$191=U11)*(U$54:$AI$54&lt;=TODAY())*(ISNUMBER(R$56:$AF$192)),R$56:$AF$192)</f>
        <v>0</v>
      </c>
      <c r="U11" s="2137" t="str">
        <f t="shared" si="3"/>
        <v xml:space="preserve">33 - Venda de sucata </v>
      </c>
      <c r="V11" s="2137"/>
      <c r="W11" s="2137"/>
      <c r="X11" s="2137"/>
      <c r="Y11" s="2137"/>
      <c r="Z11" s="356">
        <f>Pareto!D9</f>
        <v>5.0632279481842159E-2</v>
      </c>
      <c r="AA11" s="357">
        <f>Pareto!E9</f>
        <v>0.39982337565661014</v>
      </c>
      <c r="AB11" s="361" t="str" cm="1">
        <f t="array" aca="1" ref="AB11" ca="1">IFERROR(INDEX($T$55:$T$144,MATCH(1,($AP$55:$AP$144=U11)*($S$55:$S$144="Previsto"), 0) ), "")</f>
        <v/>
      </c>
      <c r="AC11" s="361" cm="1">
        <f t="array" ref="AC11">IFERROR(INDEX($T$55:$T$144,MATCH(1,($AP$55:$AP$144=U11)*($S$55:$S$144="Real"), 0) ), "")</f>
        <v>0</v>
      </c>
      <c r="AD11" s="374" t="str">
        <f t="shared" ca="1" si="4"/>
        <v/>
      </c>
      <c r="AE11" s="358">
        <v>0</v>
      </c>
      <c r="AF11" s="62" t="s">
        <v>1397</v>
      </c>
      <c r="AG11" s="47"/>
      <c r="AH11" s="47"/>
      <c r="AI11" s="47"/>
      <c r="AJ11" s="47"/>
      <c r="AK11" s="47"/>
      <c r="AL11" s="47"/>
      <c r="AN11" s="47"/>
      <c r="AO11" s="47"/>
    </row>
    <row r="12" spans="1:41" ht="20.100000000000001" customHeight="1" x14ac:dyDescent="0.3">
      <c r="A12" s="16" t="s">
        <v>89</v>
      </c>
      <c r="B12" s="884">
        <f t="shared" si="6"/>
        <v>11</v>
      </c>
      <c r="C12" s="914">
        <f t="shared" si="7"/>
        <v>4704000.0079999994</v>
      </c>
      <c r="D12" s="914">
        <f t="shared" si="8"/>
        <v>758348.28</v>
      </c>
      <c r="E12" s="915">
        <f>SUMIFS($AK$55:$AK$144,$S$55:$S$144,"Real",$AS$55:$AS$144,A12)</f>
        <v>525129.73</v>
      </c>
      <c r="F12" s="47"/>
      <c r="G12" s="47"/>
      <c r="H12" s="59"/>
      <c r="I12" s="47"/>
      <c r="J12" s="47"/>
      <c r="K12" s="47"/>
      <c r="L12" s="47"/>
      <c r="M12" s="47"/>
      <c r="N12" s="47"/>
      <c r="O12" s="349">
        <v>7</v>
      </c>
      <c r="P12" s="349" t="str">
        <f t="shared" si="0"/>
        <v>Kaizen - Ganho Recorrente</v>
      </c>
      <c r="Q12" s="350">
        <f t="shared" si="5"/>
        <v>600000.00089999998</v>
      </c>
      <c r="R12" s="436">
        <f t="shared" si="1"/>
        <v>607260.52</v>
      </c>
      <c r="S12" s="499">
        <f t="shared" si="2"/>
        <v>46023</v>
      </c>
      <c r="T12" s="508" cm="1">
        <f t="array" aca="1" ref="T12" ca="1">SUMPRODUCT(($C$55:$C$191=U12)*(U$54:$AI$54&lt;=TODAY())*(ISNUMBER(R$56:$AF$192)),R$56:$AF$192)</f>
        <v>386998.4</v>
      </c>
      <c r="U12" s="2137" t="str">
        <f t="shared" si="3"/>
        <v xml:space="preserve">06 - Reaproveitamento de lixas </v>
      </c>
      <c r="V12" s="2137"/>
      <c r="W12" s="2137"/>
      <c r="X12" s="2137"/>
      <c r="Y12" s="2137"/>
      <c r="Z12" s="351">
        <f>Pareto!D10</f>
        <v>4.9345018139083457E-2</v>
      </c>
      <c r="AA12" s="352">
        <f>Pareto!E10</f>
        <v>0.44916839379569362</v>
      </c>
      <c r="AB12" s="360" cm="1">
        <f t="array" aca="1" ref="AB12" ca="1">IFERROR(INDEX($T$55:$T$144,MATCH(1,($AP$55:$AP$144=U12)*($S$55:$S$144="Previsto"), 0) ), "")</f>
        <v>1</v>
      </c>
      <c r="AC12" s="360" cm="1">
        <f t="array" ref="AC12">IFERROR(INDEX($T$55:$T$144,MATCH(1,($AP$55:$AP$144=U12)*($S$55:$S$144="Real"), 0) ), "")</f>
        <v>1</v>
      </c>
      <c r="AD12" s="373" t="str">
        <f t="shared" ca="1" si="4"/>
        <v>CONCLUÍDO</v>
      </c>
      <c r="AE12" s="353">
        <v>1</v>
      </c>
      <c r="AF12" s="62" t="s">
        <v>1398</v>
      </c>
      <c r="AG12" s="47"/>
      <c r="AH12" s="47"/>
      <c r="AI12" s="47"/>
      <c r="AJ12" s="47"/>
      <c r="AK12" s="47"/>
      <c r="AL12" s="47"/>
      <c r="AN12" s="47"/>
      <c r="AO12" s="47"/>
    </row>
    <row r="13" spans="1:41" ht="20.100000000000001" customHeight="1" x14ac:dyDescent="0.35">
      <c r="A13" s="16" t="s">
        <v>90</v>
      </c>
      <c r="B13" s="884">
        <f t="shared" si="6"/>
        <v>1</v>
      </c>
      <c r="C13" s="914">
        <f t="shared" si="7"/>
        <v>1000000</v>
      </c>
      <c r="D13" s="914">
        <f t="shared" si="8"/>
        <v>240000</v>
      </c>
      <c r="E13" s="915">
        <f>SUMIFS($AK$55:$AK$144,$S$55:$S$144,"Real",$AS$55:$AS$144,A13)</f>
        <v>0</v>
      </c>
      <c r="F13" s="889"/>
      <c r="G13" s="47"/>
      <c r="H13" s="59"/>
      <c r="I13" s="47"/>
      <c r="J13" s="47"/>
      <c r="K13" s="47"/>
      <c r="L13" s="168"/>
      <c r="M13" s="752"/>
      <c r="N13" s="752"/>
      <c r="O13" s="354">
        <v>8</v>
      </c>
      <c r="P13" s="354" t="e">
        <f t="shared" si="0"/>
        <v>#N/A</v>
      </c>
      <c r="Q13" s="355">
        <f t="shared" si="5"/>
        <v>600000</v>
      </c>
      <c r="R13" s="437">
        <f t="shared" si="1"/>
        <v>0</v>
      </c>
      <c r="S13" s="500" t="str">
        <f t="shared" si="2"/>
        <v>Em analise</v>
      </c>
      <c r="T13" s="509" cm="1">
        <f t="array" aca="1" ref="T13" ca="1">SUMPRODUCT(($C$55:$C$191=U13)*(U$54:$AI$54&lt;=TODAY())*(ISNUMBER(R$56:$AF$192)),R$56:$AF$192)</f>
        <v>35659992.568251275</v>
      </c>
      <c r="U13" s="2137" t="str">
        <f t="shared" si="3"/>
        <v/>
      </c>
      <c r="V13" s="2137"/>
      <c r="W13" s="2137"/>
      <c r="X13" s="2137"/>
      <c r="Y13" s="2137"/>
      <c r="Z13" s="356">
        <f>Pareto!D11</f>
        <v>4.8915931024830557E-2</v>
      </c>
      <c r="AA13" s="357">
        <f>Pareto!E11</f>
        <v>0.49808432482052417</v>
      </c>
      <c r="AB13" s="361" t="str" cm="1">
        <f t="array" ref="AB13">IFERROR(INDEX($T$55:$T$144,MATCH(1,($AP$55:$AP$144=U13)*($S$55:$S$144="Previsto"), 0) ), "")</f>
        <v/>
      </c>
      <c r="AC13" s="361" t="str" cm="1">
        <f t="array" ref="AC13">IFERROR(INDEX($T$55:$T$144,MATCH(1,($AP$55:$AP$144=U13)*($S$55:$S$144="Real"), 0) ), "")</f>
        <v/>
      </c>
      <c r="AD13" s="374" t="str">
        <f t="shared" si="4"/>
        <v/>
      </c>
      <c r="AE13" s="358" t="e">
        <v>#N/A</v>
      </c>
      <c r="AG13" s="47" t="s">
        <v>1396</v>
      </c>
      <c r="AH13" s="47"/>
      <c r="AI13" s="47"/>
      <c r="AJ13" s="47"/>
      <c r="AK13" s="47"/>
      <c r="AL13" s="47"/>
      <c r="AN13" s="47"/>
      <c r="AO13" s="47"/>
    </row>
    <row r="14" spans="1:41" ht="20.100000000000001" customHeight="1" x14ac:dyDescent="0.3">
      <c r="A14" s="16" t="s">
        <v>91</v>
      </c>
      <c r="B14" s="884">
        <f t="shared" si="6"/>
        <v>0</v>
      </c>
      <c r="C14" s="914">
        <f t="shared" si="7"/>
        <v>0</v>
      </c>
      <c r="D14" s="914">
        <f t="shared" si="8"/>
        <v>0</v>
      </c>
      <c r="E14" s="915">
        <f>SUMIFS($AK$55:$AK$144,$S$55:$S$144,"Real",$AS$55:$AS$144,A14)</f>
        <v>0</v>
      </c>
      <c r="F14" s="890"/>
      <c r="G14" s="59"/>
      <c r="H14" s="47"/>
      <c r="I14" s="47"/>
      <c r="J14" s="47"/>
      <c r="K14" s="47"/>
      <c r="L14" s="47"/>
      <c r="M14" s="47"/>
      <c r="N14" s="47"/>
      <c r="O14" s="349">
        <v>9</v>
      </c>
      <c r="P14" s="349" t="e">
        <f t="shared" si="0"/>
        <v>#N/A</v>
      </c>
      <c r="Q14" s="350">
        <f t="shared" si="5"/>
        <v>600000</v>
      </c>
      <c r="R14" s="436">
        <f t="shared" si="1"/>
        <v>0</v>
      </c>
      <c r="S14" s="499" t="str">
        <f t="shared" si="2"/>
        <v>Em analise</v>
      </c>
      <c r="T14" s="508" cm="1">
        <f t="array" aca="1" ref="T14" ca="1">SUMPRODUCT(($C$55:$C$191=U14)*(U$54:$AI$54&lt;=TODAY())*(ISNUMBER(R$56:$AF$192)),R$56:$AF$192)</f>
        <v>35659992.568251275</v>
      </c>
      <c r="U14" s="2137" t="str">
        <f t="shared" si="3"/>
        <v/>
      </c>
      <c r="V14" s="2137"/>
      <c r="W14" s="2137"/>
      <c r="X14" s="2137"/>
      <c r="Y14" s="2137"/>
      <c r="Z14" s="351">
        <f>Pareto!D12</f>
        <v>4.7886121950623597E-2</v>
      </c>
      <c r="AA14" s="352">
        <f>Pareto!E12</f>
        <v>0.54597044677114781</v>
      </c>
      <c r="AB14" s="360" t="str" cm="1">
        <f t="array" ref="AB14">IFERROR(INDEX($T$55:$T$144,MATCH(1,($AP$55:$AP$144=U14)*($S$55:$S$144="Previsto"), 0) ), "")</f>
        <v/>
      </c>
      <c r="AC14" s="360" t="str" cm="1">
        <f t="array" ref="AC14">IFERROR(INDEX($T$55:$T$144,MATCH(1,($AP$55:$AP$144=U14)*($S$55:$S$144="Real"), 0) ), "")</f>
        <v/>
      </c>
      <c r="AD14" s="373" t="str">
        <f t="shared" ref="AD14:AD25" si="9">IF(OR(AB14="",AC14=""),"",IF(AC14=100%,"CONCLUÍDO",IF(AC14=0,IF(AB14=0,"PROJETO NÃO INICIADO","FALTA DE ACOMPANHAMENTO"),IF(AC14&gt;AB14,"ADIANTADO",IF(AC14=AB14,"CONFORME PLANEJADO","ATRASO")))))</f>
        <v/>
      </c>
      <c r="AE14" s="353" t="e">
        <v>#N/A</v>
      </c>
      <c r="AF14" s="47" t="s">
        <v>1399</v>
      </c>
      <c r="AG14" s="47"/>
      <c r="AH14" s="47"/>
      <c r="AI14" s="47"/>
      <c r="AJ14" s="47"/>
      <c r="AK14" s="47"/>
      <c r="AL14" s="47"/>
      <c r="AN14" s="47"/>
    </row>
    <row r="15" spans="1:41" ht="20.100000000000001" customHeight="1" x14ac:dyDescent="0.3">
      <c r="A15" s="169" t="s">
        <v>29</v>
      </c>
      <c r="B15" s="170">
        <f>SUM(B8:B14)</f>
        <v>29</v>
      </c>
      <c r="C15" s="61">
        <f>SUM(C8:C14)</f>
        <v>13813000.174976218</v>
      </c>
      <c r="D15" s="61">
        <f>SUM(D8:D14)</f>
        <v>2448486.7999999998</v>
      </c>
      <c r="E15" s="61">
        <f>SUM(E8:E14)</f>
        <v>3502465.6460000002</v>
      </c>
      <c r="F15" s="890" t="s">
        <v>95</v>
      </c>
      <c r="G15" s="832">
        <f>SUMIF($B$55:$B$144,F15,$N$55:$N$144)</f>
        <v>0</v>
      </c>
      <c r="I15" s="47"/>
      <c r="J15" s="47"/>
      <c r="K15" s="47"/>
      <c r="L15" s="47"/>
      <c r="M15" s="47"/>
      <c r="N15" s="47"/>
      <c r="O15" s="354">
        <v>10</v>
      </c>
      <c r="P15" s="354" t="str">
        <f t="shared" si="0"/>
        <v>Kaizen</v>
      </c>
      <c r="Q15" s="355">
        <f t="shared" si="5"/>
        <v>500000.000654654</v>
      </c>
      <c r="R15" s="437">
        <f t="shared" si="1"/>
        <v>0</v>
      </c>
      <c r="S15" s="500" t="str">
        <f t="shared" si="2"/>
        <v>Em analise</v>
      </c>
      <c r="T15" s="509" cm="1">
        <f t="array" aca="1" ref="T15" ca="1">SUMPRODUCT(($C$55:$C$191=U15)*(U$54:$AI$54&lt;=TODAY())*(ISNUMBER(R$56:$AF$192)),R$56:$AF$192)</f>
        <v>0</v>
      </c>
      <c r="U15" s="2137" t="str">
        <f t="shared" si="3"/>
        <v xml:space="preserve">29 - Aproveitamento de ponta de bobina - MP </v>
      </c>
      <c r="V15" s="2137"/>
      <c r="W15" s="2137"/>
      <c r="X15" s="2137"/>
      <c r="Y15" s="2137"/>
      <c r="Z15" s="356">
        <f>Pareto!D13</f>
        <v>4.505414699655446E-2</v>
      </c>
      <c r="AA15" s="357">
        <f>Pareto!E13</f>
        <v>0.59102459376770222</v>
      </c>
      <c r="AB15" s="361" t="str" cm="1">
        <f t="array" ref="AB15">IFERROR(INDEX($T$55:$T$144,MATCH(1,($AP$55:$AP$144=U15)*($S$55:$S$144="Previsto"), 0) ), "")</f>
        <v/>
      </c>
      <c r="AC15" s="361" t="str" cm="1">
        <f t="array" ref="AC15">IFERROR(INDEX($T$55:$T$144,MATCH(1,($AP$55:$AP$144=U15)*($S$55:$S$144="Real"), 0) ), "")</f>
        <v/>
      </c>
      <c r="AD15" s="374" t="str">
        <f t="shared" si="9"/>
        <v/>
      </c>
      <c r="AE15" s="358">
        <v>0</v>
      </c>
      <c r="AF15" s="47" t="s">
        <v>1399</v>
      </c>
      <c r="AG15" s="47"/>
      <c r="AH15" s="47"/>
      <c r="AI15" s="47"/>
      <c r="AJ15" s="47"/>
      <c r="AK15" s="47"/>
      <c r="AL15" s="47"/>
      <c r="AN15" s="47"/>
    </row>
    <row r="16" spans="1:41" ht="20.100000000000001" customHeight="1" x14ac:dyDescent="0.3">
      <c r="A16" s="47"/>
      <c r="B16" s="47"/>
      <c r="C16" s="47"/>
      <c r="D16" s="47"/>
      <c r="E16" s="47"/>
      <c r="F16" s="890" t="s">
        <v>97</v>
      </c>
      <c r="G16" s="832">
        <f>SUMIF($B$55:$B$144,F16,$N$55:$N$144)</f>
        <v>752217.72</v>
      </c>
      <c r="H16" s="47"/>
      <c r="I16" s="47"/>
      <c r="J16" s="47"/>
      <c r="K16" s="47"/>
      <c r="L16" s="47"/>
      <c r="M16" s="47"/>
      <c r="N16" s="47"/>
      <c r="O16" s="349">
        <v>11</v>
      </c>
      <c r="P16" s="349" t="str">
        <f t="shared" si="0"/>
        <v>Kaizen</v>
      </c>
      <c r="Q16" s="350">
        <f t="shared" si="5"/>
        <v>450000</v>
      </c>
      <c r="R16" s="436">
        <f t="shared" si="1"/>
        <v>0</v>
      </c>
      <c r="S16" s="499">
        <f t="shared" si="2"/>
        <v>46171</v>
      </c>
      <c r="T16" s="508" cm="1">
        <f t="array" aca="1" ref="T16" ca="1">SUMPRODUCT(($C$55:$C$191=U16)*(U$54:$AI$54&lt;=TODAY())*(ISNUMBER(R$56:$AF$192)),R$56:$AF$192)</f>
        <v>1</v>
      </c>
      <c r="U16" s="2137" t="str">
        <f t="shared" si="3"/>
        <v xml:space="preserve">04 - Redução dos retrabalhos </v>
      </c>
      <c r="V16" s="2137"/>
      <c r="W16" s="2137"/>
      <c r="X16" s="2137"/>
      <c r="Y16" s="2137"/>
      <c r="Z16" s="351">
        <f>Pareto!D14</f>
        <v>4.0591641008324304E-2</v>
      </c>
      <c r="AA16" s="352">
        <f>Pareto!E14</f>
        <v>0.63161623477602657</v>
      </c>
      <c r="AB16" s="360" cm="1">
        <f t="array" aca="1" ref="AB16" ca="1">IFERROR(INDEX($T$55:$T$144,MATCH(1,($AP$55:$AP$144=U16)*($S$55:$S$144="Previsto"), 0) ), "")</f>
        <v>1</v>
      </c>
      <c r="AC16" s="360" cm="1">
        <f t="array" ref="AC16">IFERROR(INDEX($T$55:$T$144,MATCH(1,($AP$55:$AP$144=U16)*($S$55:$S$144="Real"), 0) ), "")</f>
        <v>1</v>
      </c>
      <c r="AD16" s="373" t="str">
        <f t="shared" ca="1" si="9"/>
        <v>CONCLUÍDO</v>
      </c>
      <c r="AE16" s="353">
        <v>1</v>
      </c>
      <c r="AF16" s="47" t="s">
        <v>1392</v>
      </c>
      <c r="AG16" s="47"/>
      <c r="AH16" s="47"/>
      <c r="AI16" s="47"/>
      <c r="AJ16" s="47"/>
      <c r="AK16" s="47"/>
      <c r="AL16" s="47"/>
      <c r="AN16" s="47"/>
    </row>
    <row r="17" spans="1:40" ht="20.100000000000001" customHeight="1" x14ac:dyDescent="0.3">
      <c r="A17" s="47"/>
      <c r="B17" s="47"/>
      <c r="C17" s="47"/>
      <c r="D17" s="47"/>
      <c r="E17" s="47"/>
      <c r="F17" s="890" t="s">
        <v>99</v>
      </c>
      <c r="G17" s="832">
        <f>SUMIF($B$55:$B$144,F17,$N$55:$N$144)</f>
        <v>1476189.08</v>
      </c>
      <c r="H17" s="47"/>
      <c r="I17" s="47"/>
      <c r="J17" s="47"/>
      <c r="K17" s="47"/>
      <c r="L17" s="47"/>
      <c r="M17" s="47"/>
      <c r="N17" s="47"/>
      <c r="O17" s="354">
        <v>12</v>
      </c>
      <c r="P17" s="354" t="e">
        <f t="shared" si="0"/>
        <v>#N/A</v>
      </c>
      <c r="Q17" s="355">
        <f t="shared" si="5"/>
        <v>442000</v>
      </c>
      <c r="R17" s="437">
        <f t="shared" si="1"/>
        <v>220080</v>
      </c>
      <c r="S17" s="500" t="str">
        <f t="shared" si="2"/>
        <v>Em analise</v>
      </c>
      <c r="T17" s="509" cm="1">
        <f t="array" aca="1" ref="T17" ca="1">SUMPRODUCT(($C$55:$C$191=U17)*(U$54:$AI$54&lt;=TODAY())*(ISNUMBER(R$56:$AF$192)),R$56:$AF$192)</f>
        <v>35659992.568251275</v>
      </c>
      <c r="U17" s="2137" t="str">
        <f t="shared" si="3"/>
        <v/>
      </c>
      <c r="V17" s="2137"/>
      <c r="W17" s="2137"/>
      <c r="X17" s="2137"/>
      <c r="Y17" s="2137"/>
      <c r="Z17" s="356">
        <f>Pareto!D15</f>
        <v>2.4672509069541729E-2</v>
      </c>
      <c r="AA17" s="357">
        <f>Pareto!E15</f>
        <v>0.65628874384556835</v>
      </c>
      <c r="AB17" s="361" t="str" cm="1">
        <f t="array" ref="AB17">IFERROR(INDEX($T$55:$T$144,MATCH(1,($AP$55:$AP$144=U17)*($S$55:$S$144="Previsto"), 0) ), "")</f>
        <v/>
      </c>
      <c r="AC17" s="361" t="str" cm="1">
        <f t="array" ref="AC17">IFERROR(INDEX($T$55:$T$144,MATCH(1,($AP$55:$AP$144=U17)*($S$55:$S$144="Real"), 0) ), "")</f>
        <v/>
      </c>
      <c r="AD17" s="374" t="str">
        <f t="shared" si="9"/>
        <v/>
      </c>
      <c r="AE17" s="358" t="e">
        <v>#N/A</v>
      </c>
      <c r="AF17" s="47" t="s">
        <v>1392</v>
      </c>
      <c r="AG17" s="47"/>
      <c r="AH17" s="47"/>
      <c r="AI17" s="47"/>
      <c r="AJ17" s="47"/>
      <c r="AK17" s="47"/>
      <c r="AL17" s="47"/>
      <c r="AN17" s="47"/>
    </row>
    <row r="18" spans="1:40" ht="20.100000000000001" customHeight="1" x14ac:dyDescent="0.3">
      <c r="A18" s="47"/>
      <c r="B18" s="47"/>
      <c r="C18" s="47"/>
      <c r="D18" s="47"/>
      <c r="E18" s="47"/>
      <c r="F18" s="890" t="s">
        <v>101</v>
      </c>
      <c r="G18" s="832">
        <f>SUMIF($B$55:$B$144,F18,$N$55:$N$144)</f>
        <v>220080</v>
      </c>
      <c r="H18" s="47"/>
      <c r="I18" s="47"/>
      <c r="J18" s="47"/>
      <c r="K18" s="47"/>
      <c r="L18" s="47"/>
      <c r="M18" s="47"/>
      <c r="N18" s="47"/>
      <c r="O18" s="349">
        <v>13</v>
      </c>
      <c r="P18" s="349" t="str">
        <f t="shared" si="0"/>
        <v>Kaizen - Ganho Recorrente</v>
      </c>
      <c r="Q18" s="350">
        <f t="shared" si="5"/>
        <v>400000.00089999998</v>
      </c>
      <c r="R18" s="436">
        <f t="shared" si="1"/>
        <v>405377</v>
      </c>
      <c r="S18" s="499">
        <f t="shared" si="2"/>
        <v>46023</v>
      </c>
      <c r="T18" s="508" cm="1">
        <f t="array" aca="1" ref="T18" ca="1">SUMPRODUCT(($C$55:$C$191=U18)*(U$54:$AI$54&lt;=TODAY())*(ISNUMBER(R$56:$AF$192)),R$56:$AF$192)</f>
        <v>535879.92999999993</v>
      </c>
      <c r="U18" s="2137" t="str">
        <f t="shared" si="3"/>
        <v xml:space="preserve">07 - Consumo de gás </v>
      </c>
      <c r="V18" s="2137"/>
      <c r="W18" s="2137"/>
      <c r="X18" s="2137"/>
      <c r="Y18" s="2137"/>
      <c r="Z18" s="351">
        <f>Pareto!D16</f>
        <v>2.2905348116460302E-2</v>
      </c>
      <c r="AA18" s="352">
        <f>Pareto!E16</f>
        <v>0.67919409196202862</v>
      </c>
      <c r="AB18" s="360" cm="1">
        <f t="array" aca="1" ref="AB18" ca="1">IFERROR(INDEX($T$55:$T$144,MATCH(1,($AP$55:$AP$144=U18)*($S$55:$S$144="Previsto"), 0) ), "")</f>
        <v>0.68358208955223876</v>
      </c>
      <c r="AC18" s="360" cm="1">
        <f t="array" ref="AC18">IFERROR(INDEX($T$55:$T$144,MATCH(1,($AP$55:$AP$144=U18)*($S$55:$S$144="Real"), 0) ), "")</f>
        <v>1</v>
      </c>
      <c r="AD18" s="373" t="str">
        <f t="shared" ca="1" si="9"/>
        <v>CONCLUÍDO</v>
      </c>
      <c r="AE18" s="353">
        <v>1</v>
      </c>
      <c r="AF18" s="47" t="s">
        <v>1392</v>
      </c>
      <c r="AG18" s="47"/>
      <c r="AH18" s="47"/>
      <c r="AI18" s="47"/>
      <c r="AJ18" s="47"/>
      <c r="AK18" s="47"/>
      <c r="AL18" s="47"/>
      <c r="AN18" s="47"/>
    </row>
    <row r="19" spans="1:40" ht="20.100000000000001" customHeight="1" x14ac:dyDescent="0.3">
      <c r="A19" s="47"/>
      <c r="B19" s="47"/>
      <c r="C19" s="47"/>
      <c r="D19" s="47"/>
      <c r="E19" s="47"/>
      <c r="F19" s="890"/>
      <c r="G19" s="59"/>
      <c r="H19" s="47"/>
      <c r="I19" s="47"/>
      <c r="J19" s="47"/>
      <c r="K19" s="47"/>
      <c r="L19" s="47"/>
      <c r="M19" s="47"/>
      <c r="N19" s="47"/>
      <c r="O19" s="354">
        <v>14</v>
      </c>
      <c r="P19" s="354" t="str">
        <f t="shared" si="0"/>
        <v>Kaizen - Ganho Recorrente</v>
      </c>
      <c r="Q19" s="355">
        <f t="shared" si="5"/>
        <v>300000.00099999999</v>
      </c>
      <c r="R19" s="437">
        <f t="shared" si="1"/>
        <v>307015</v>
      </c>
      <c r="S19" s="500">
        <f t="shared" si="2"/>
        <v>46023</v>
      </c>
      <c r="T19" s="509" cm="1">
        <f t="array" aca="1" ref="T19" ca="1">SUMPRODUCT(($C$55:$C$191=U19)*(U$54:$AI$54&lt;=TODAY())*(ISNUMBER(R$56:$AF$192)),R$56:$AF$192)</f>
        <v>148429</v>
      </c>
      <c r="U19" s="2137" t="str">
        <f t="shared" si="3"/>
        <v xml:space="preserve">17 - Consumo de água </v>
      </c>
      <c r="V19" s="2137"/>
      <c r="W19" s="2137"/>
      <c r="X19" s="2137"/>
      <c r="Y19" s="2137"/>
      <c r="Z19" s="356">
        <f>Pareto!D17</f>
        <v>2.274161705540368E-2</v>
      </c>
      <c r="AA19" s="357">
        <f>Pareto!E17</f>
        <v>0.7019357090174323</v>
      </c>
      <c r="AB19" s="361" cm="1">
        <f t="array" aca="1" ref="AB19" ca="1">IFERROR(INDEX($T$55:$T$144,MATCH(1,($AP$55:$AP$144=U19)*($S$55:$S$144="Previsto"), 0) ), "")</f>
        <v>1</v>
      </c>
      <c r="AC19" s="361" cm="1">
        <f t="array" ref="AC19">IFERROR(INDEX($T$55:$T$144,MATCH(1,($AP$55:$AP$144=U19)*($S$55:$S$144="Real"), 0) ), "")</f>
        <v>1</v>
      </c>
      <c r="AD19" s="374" t="str">
        <f t="shared" ca="1" si="9"/>
        <v>CONCLUÍDO</v>
      </c>
      <c r="AE19" s="358">
        <v>1</v>
      </c>
      <c r="AF19" s="47"/>
      <c r="AG19" s="47" t="s">
        <v>1396</v>
      </c>
      <c r="AH19" s="47"/>
      <c r="AI19" s="47"/>
      <c r="AJ19" s="47"/>
      <c r="AK19" s="47"/>
      <c r="AL19" s="47"/>
      <c r="AN19" s="47"/>
    </row>
    <row r="20" spans="1:40" ht="20.100000000000001" customHeight="1" x14ac:dyDescent="0.3">
      <c r="A20" s="47"/>
      <c r="B20" s="47"/>
      <c r="C20" s="47"/>
      <c r="D20" s="47"/>
      <c r="E20" s="47"/>
      <c r="F20" s="47"/>
      <c r="G20" s="59"/>
      <c r="H20" s="47"/>
      <c r="I20" s="47"/>
      <c r="J20" s="47"/>
      <c r="K20" s="47"/>
      <c r="L20" s="47"/>
      <c r="M20" s="47"/>
      <c r="N20" s="47"/>
      <c r="O20" s="349">
        <v>15</v>
      </c>
      <c r="P20" s="349"/>
      <c r="Q20" s="350">
        <f t="shared" si="5"/>
        <v>242000</v>
      </c>
      <c r="R20" s="436">
        <f t="shared" si="1"/>
        <v>0</v>
      </c>
      <c r="S20" s="499" t="str">
        <f t="shared" si="2"/>
        <v>Em analise</v>
      </c>
      <c r="T20" s="508" cm="1">
        <f t="array" aca="1" ref="T20" ca="1">SUMPRODUCT(($C$55:$C$191=U20)*(U$54:$AI$54&lt;=TODAY())*(ISNUMBER(R$56:$AF$192)),R$56:$AF$192)</f>
        <v>35659992.568251275</v>
      </c>
      <c r="U20" s="2137" t="str">
        <f t="shared" si="3"/>
        <v/>
      </c>
      <c r="V20" s="2137"/>
      <c r="W20" s="2137"/>
      <c r="X20" s="2137"/>
      <c r="Y20" s="2137"/>
      <c r="Z20" s="351">
        <f>Pareto!D18</f>
        <v>2.0596181484139182E-2</v>
      </c>
      <c r="AA20" s="352">
        <f>Pareto!E18</f>
        <v>0.72253189050157152</v>
      </c>
      <c r="AB20" s="360" t="str" cm="1">
        <f t="array" ref="AB20">IFERROR(INDEX($T$55:$T$144,MATCH(1,($AP$55:$AP$144=U20)*($S$55:$S$144="Previsto"), 0) ), "")</f>
        <v/>
      </c>
      <c r="AC20" s="360" t="str" cm="1">
        <f t="array" ref="AC20">IFERROR(INDEX($T$55:$T$144,MATCH(1,($AP$55:$AP$144=U20)*($S$55:$S$144="Real"), 0) ), "")</f>
        <v/>
      </c>
      <c r="AD20" s="373" t="str">
        <f t="shared" si="9"/>
        <v/>
      </c>
      <c r="AE20" s="353" t="e">
        <v>#N/A</v>
      </c>
      <c r="AF20" s="47" t="s">
        <v>1397</v>
      </c>
      <c r="AG20" s="47"/>
      <c r="AH20" s="47"/>
      <c r="AI20" s="47"/>
      <c r="AJ20" s="47"/>
      <c r="AK20" s="47"/>
      <c r="AL20" s="47"/>
      <c r="AN20" s="47"/>
    </row>
    <row r="21" spans="1:40" ht="42.6" customHeight="1" x14ac:dyDescent="0.3">
      <c r="A21" s="47"/>
      <c r="B21" s="47"/>
      <c r="C21" s="47"/>
      <c r="D21" s="47"/>
      <c r="E21" s="47"/>
      <c r="F21" s="47"/>
      <c r="G21" s="59"/>
      <c r="H21" s="47"/>
      <c r="I21" s="47"/>
      <c r="J21" s="47"/>
      <c r="K21" s="47"/>
      <c r="L21" s="47"/>
      <c r="M21" s="47"/>
      <c r="N21" s="47"/>
      <c r="O21" s="354">
        <v>16</v>
      </c>
      <c r="P21" s="354" t="str">
        <f>_xlfn.XLOOKUP(U21,$C$55:$C$144,$A$55:$A$144)</f>
        <v>Kaizen - Custo Evitado</v>
      </c>
      <c r="Q21" s="355">
        <f t="shared" si="5"/>
        <v>200000.15646540001</v>
      </c>
      <c r="R21" s="437">
        <f t="shared" si="1"/>
        <v>0</v>
      </c>
      <c r="S21" s="500" t="str">
        <f t="shared" si="2"/>
        <v>Em analise</v>
      </c>
      <c r="T21" s="509" cm="1">
        <f t="array" aca="1" ref="T21" ca="1">SUMPRODUCT(($C$55:$C$191=U21)*(U$54:$AI$54&lt;=TODAY())*(ISNUMBER(R$56:$AF$192)),R$56:$AF$192)</f>
        <v>0</v>
      </c>
      <c r="U21" s="2137" t="str">
        <f t="shared" si="3"/>
        <v xml:space="preserve">35 - Redução de hora exta </v>
      </c>
      <c r="V21" s="2137"/>
      <c r="W21" s="2137"/>
      <c r="X21" s="2137"/>
      <c r="Y21" s="2137"/>
      <c r="Z21" s="356">
        <f>Pareto!D19</f>
        <v>1.9845279034196608E-2</v>
      </c>
      <c r="AA21" s="357">
        <f>Pareto!E19</f>
        <v>0.74237716953576816</v>
      </c>
      <c r="AB21" s="361" t="str" cm="1">
        <f t="array" aca="1" ref="AB21" ca="1">IFERROR(INDEX($T$55:$T$144,MATCH(1,($AP$55:$AP$144=U21)*($S$55:$S$144="Previsto"), 0) ), "")</f>
        <v/>
      </c>
      <c r="AC21" s="361" cm="1">
        <f t="array" ref="AC21">IFERROR(INDEX($T$55:$T$144,MATCH(1,($AP$55:$AP$144=U21)*($S$55:$S$144="Real"), 0) ), "")</f>
        <v>0</v>
      </c>
      <c r="AD21" s="374" t="str">
        <f t="shared" ca="1" si="9"/>
        <v/>
      </c>
      <c r="AE21" s="358">
        <v>0</v>
      </c>
      <c r="AF21" s="47" t="s">
        <v>1392</v>
      </c>
      <c r="AG21" s="47"/>
      <c r="AH21" s="47"/>
      <c r="AI21" s="47"/>
      <c r="AJ21" s="47"/>
      <c r="AK21" s="47"/>
      <c r="AL21" s="47"/>
      <c r="AN21" s="47"/>
    </row>
    <row r="22" spans="1:40" ht="20.100000000000001" customHeight="1" x14ac:dyDescent="0.3">
      <c r="A22" s="47"/>
      <c r="B22" s="47"/>
      <c r="C22" s="47"/>
      <c r="D22" s="47"/>
      <c r="E22" s="47"/>
      <c r="F22" s="47"/>
      <c r="G22" s="59"/>
      <c r="H22" s="47"/>
      <c r="I22" s="47"/>
      <c r="J22" s="47"/>
      <c r="K22" s="47"/>
      <c r="L22" s="47"/>
      <c r="M22" s="47"/>
      <c r="N22" s="47"/>
      <c r="O22" s="349">
        <v>17</v>
      </c>
      <c r="P22" s="349" t="str">
        <f>_xlfn.XLOOKUP(U22,$C$55:$C$144,$A$55:$A$144)</f>
        <v>Kaizen - Custo Evitado</v>
      </c>
      <c r="Q22" s="350">
        <f t="shared" si="5"/>
        <v>200000.00399999999</v>
      </c>
      <c r="R22" s="436">
        <f t="shared" si="1"/>
        <v>0</v>
      </c>
      <c r="S22" s="499">
        <f t="shared" si="2"/>
        <v>46054</v>
      </c>
      <c r="T22" s="508" cm="1">
        <f t="array" aca="1" ref="T22" ca="1">SUMPRODUCT(($C$55:$C$191=U22)*(U$54:$AI$54&lt;=TODAY())*(ISNUMBER(R$56:$AF$192)),R$56:$AF$192)</f>
        <v>1</v>
      </c>
      <c r="U22" s="2137" t="str">
        <f t="shared" si="3"/>
        <v xml:space="preserve">10 - Consumo de energia elétrica: vazamentos de ar </v>
      </c>
      <c r="V22" s="2137"/>
      <c r="W22" s="2137"/>
      <c r="X22" s="2137"/>
      <c r="Y22" s="2137"/>
      <c r="Z22" s="351">
        <f>Pareto!D20</f>
        <v>1.9566372409932222E-2</v>
      </c>
      <c r="AA22" s="352">
        <f>Pareto!E20</f>
        <v>0.76194354194570035</v>
      </c>
      <c r="AB22" s="360" cm="1">
        <f t="array" aca="1" ref="AB22" ca="1">IFERROR(INDEX($T$55:$T$144,MATCH(1,($AP$55:$AP$144=U22)*($S$55:$S$144="Previsto"), 0) ), "")</f>
        <v>1</v>
      </c>
      <c r="AC22" s="360" cm="1">
        <f t="array" ref="AC22">IFERROR(INDEX($T$55:$T$144,MATCH(1,($AP$55:$AP$144=U22)*($S$55:$S$144="Real"), 0) ), "")</f>
        <v>1</v>
      </c>
      <c r="AD22" s="373" t="str">
        <f t="shared" ca="1" si="9"/>
        <v>CONCLUÍDO</v>
      </c>
      <c r="AE22" s="353">
        <v>1</v>
      </c>
      <c r="AF22" s="47" t="s">
        <v>1392</v>
      </c>
      <c r="AG22" s="47"/>
      <c r="AH22" s="47"/>
      <c r="AI22" s="47"/>
      <c r="AJ22" s="47"/>
      <c r="AK22" s="47"/>
      <c r="AL22" s="47"/>
      <c r="AN22" s="47"/>
    </row>
    <row r="23" spans="1:40" ht="20.100000000000001" customHeight="1" x14ac:dyDescent="0.3">
      <c r="A23" s="47"/>
      <c r="B23" s="47"/>
      <c r="C23" s="47"/>
      <c r="D23" s="47"/>
      <c r="E23" s="47"/>
      <c r="F23" s="47"/>
      <c r="G23" s="59"/>
      <c r="H23" s="47"/>
      <c r="I23" s="47"/>
      <c r="J23" s="47"/>
      <c r="K23" s="47"/>
      <c r="L23" s="47"/>
      <c r="M23" s="47"/>
      <c r="N23" s="47"/>
      <c r="O23" s="354">
        <v>18</v>
      </c>
      <c r="P23" s="354" t="str">
        <f>_xlfn.XLOOKUP(U23,$C$55:$C$144,$A$55:$A$144)</f>
        <v>Kaizen - Custo Evitado</v>
      </c>
      <c r="Q23" s="355">
        <f t="shared" si="5"/>
        <v>200000.00200000001</v>
      </c>
      <c r="R23" s="437">
        <f t="shared" si="1"/>
        <v>0</v>
      </c>
      <c r="S23" s="500">
        <f t="shared" si="2"/>
        <v>46265</v>
      </c>
      <c r="T23" s="509" cm="1">
        <f t="array" aca="1" ref="T23" ca="1">SUMPRODUCT(($C$55:$C$191=U23)*(U$54:$AI$54&lt;=TODAY())*(ISNUMBER(R$56:$AF$192)),R$56:$AF$192)</f>
        <v>0.85</v>
      </c>
      <c r="U23" s="2144" t="str">
        <f t="shared" si="3"/>
        <v>12 - Sistema hidráulico 3500T</v>
      </c>
      <c r="V23" s="2145"/>
      <c r="W23" s="2145"/>
      <c r="X23" s="2145"/>
      <c r="Y23" s="2146"/>
      <c r="Z23" s="356">
        <f>Pareto!D21</f>
        <v>1.9308920141401724E-2</v>
      </c>
      <c r="AA23" s="357">
        <f>Pareto!E21</f>
        <v>0.78125246208710208</v>
      </c>
      <c r="AB23" s="361" cm="1">
        <f t="array" aca="1" ref="AB23" ca="1">IFERROR(INDEX($T$55:$T$144,MATCH(1,($AP$55:$AP$144=U23)*($S$55:$S$144="Previsto"), 0) ), "")</f>
        <v>0.92391304347826086</v>
      </c>
      <c r="AC23" s="361" cm="1">
        <f t="array" ref="AC23">IFERROR(INDEX($T$55:$T$144,MATCH(1,($AP$55:$AP$144=U23)*($S$55:$S$144="Real"), 0) ), "")</f>
        <v>0.85</v>
      </c>
      <c r="AD23" s="374" t="str">
        <f t="shared" ca="1" si="9"/>
        <v>ATRASO</v>
      </c>
      <c r="AE23" s="358">
        <v>1</v>
      </c>
      <c r="AF23" s="47" t="s">
        <v>1400</v>
      </c>
      <c r="AG23" s="47"/>
      <c r="AH23" s="47"/>
      <c r="AI23" s="47"/>
      <c r="AJ23" s="47"/>
      <c r="AK23" s="47"/>
      <c r="AL23" s="47"/>
      <c r="AN23" s="47"/>
    </row>
    <row r="24" spans="1:40" ht="20.100000000000001" customHeight="1" x14ac:dyDescent="0.3">
      <c r="A24" s="47"/>
      <c r="B24" s="47"/>
      <c r="C24" s="47"/>
      <c r="D24" s="47"/>
      <c r="E24" s="47"/>
      <c r="F24" s="47"/>
      <c r="G24" s="59"/>
      <c r="H24" s="47"/>
      <c r="I24" s="47"/>
      <c r="J24" s="47"/>
      <c r="K24" s="47"/>
      <c r="L24" s="47"/>
      <c r="M24" s="47"/>
      <c r="N24" s="47"/>
      <c r="O24" s="349">
        <v>19</v>
      </c>
      <c r="P24" s="349" t="str">
        <f>_xlfn.XLOOKUP(U24,$C$55:$C$144,$A$55:$A$144)</f>
        <v>Kaizen - Capital de Giro</v>
      </c>
      <c r="Q24" s="350">
        <f t="shared" si="5"/>
        <v>195000</v>
      </c>
      <c r="R24" s="436">
        <f t="shared" si="1"/>
        <v>0</v>
      </c>
      <c r="S24" s="499">
        <f t="shared" si="2"/>
        <v>46241</v>
      </c>
      <c r="T24" s="508" cm="1">
        <f t="array" aca="1" ref="T24" ca="1">SUMPRODUCT(($C$55:$C$191=U24)*(U$54:$AI$54&lt;=TODAY())*(ISNUMBER(R$56:$AF$192)),R$56:$AF$192)</f>
        <v>0.95</v>
      </c>
      <c r="U24" s="2144" t="str">
        <f t="shared" si="3"/>
        <v>09 - Critério para descarte de consumíveis</v>
      </c>
      <c r="V24" s="2145"/>
      <c r="W24" s="2145"/>
      <c r="X24" s="2145"/>
      <c r="Y24" s="2146"/>
      <c r="Z24" s="351">
        <f>Pareto!D22</f>
        <v>1.4588961884598588E-2</v>
      </c>
      <c r="AA24" s="352">
        <f>Pareto!E22</f>
        <v>0.79584142397170066</v>
      </c>
      <c r="AB24" s="360" cm="1">
        <f t="array" aca="1" ref="AB24" ca="1">IFERROR(INDEX($T$55:$T$144,MATCH(1,($AP$55:$AP$144=U24)*($S$55:$S$144="Previsto"), 0) ), "")</f>
        <v>1</v>
      </c>
      <c r="AC24" s="360" cm="1">
        <f t="array" ref="AC24">IFERROR(INDEX($T$55:$T$144,MATCH(1,($AP$55:$AP$144=U24)*($S$55:$S$144="Real"), 0) ), "")</f>
        <v>0.95</v>
      </c>
      <c r="AD24" s="373" t="str">
        <f t="shared" ca="1" si="9"/>
        <v>ATRASO</v>
      </c>
      <c r="AE24" s="353">
        <v>1</v>
      </c>
      <c r="AF24" s="47" t="s">
        <v>1401</v>
      </c>
      <c r="AG24" s="47"/>
      <c r="AH24" s="47"/>
      <c r="AI24" s="47"/>
      <c r="AJ24" s="47"/>
      <c r="AK24" s="47"/>
      <c r="AL24" s="47"/>
      <c r="AN24" s="47"/>
    </row>
    <row r="25" spans="1:40" ht="20.100000000000001" customHeight="1" x14ac:dyDescent="0.3">
      <c r="A25" s="47"/>
      <c r="B25" s="47"/>
      <c r="C25" s="47"/>
      <c r="D25" s="47"/>
      <c r="E25" s="47"/>
      <c r="F25" s="47"/>
      <c r="G25" s="59"/>
      <c r="H25" s="47"/>
      <c r="I25" s="47"/>
      <c r="J25" s="47"/>
      <c r="K25" s="47"/>
      <c r="L25" s="47"/>
      <c r="M25" s="47"/>
      <c r="N25" s="47"/>
      <c r="O25" s="354">
        <v>20</v>
      </c>
      <c r="P25" s="354" t="str">
        <f>_xlfn.XLOOKUP(U25,$C$55:$C$144,$A$55:$A$144)</f>
        <v>Kaizen</v>
      </c>
      <c r="Q25" s="355">
        <f t="shared" si="5"/>
        <v>165000</v>
      </c>
      <c r="R25" s="437">
        <f t="shared" si="1"/>
        <v>0</v>
      </c>
      <c r="S25" s="500" t="str">
        <f t="shared" si="2"/>
        <v>Em analise</v>
      </c>
      <c r="T25" s="509" cm="1">
        <f t="array" aca="1" ref="T25" ca="1">SUMPRODUCT(($C$55:$C$191=U25)*(U$54:$AI$54&lt;=TODAY())*(ISNUMBER(R$56:$AF$192)),R$56:$AF$192)</f>
        <v>1</v>
      </c>
      <c r="U25" s="2144" t="str">
        <f t="shared" si="3"/>
        <v xml:space="preserve">13 - Transferência Hasenclaver para o plasma </v>
      </c>
      <c r="V25" s="2145"/>
      <c r="W25" s="2145"/>
      <c r="X25" s="2145"/>
      <c r="Y25" s="2146"/>
      <c r="Z25" s="356">
        <f>Pareto!D23</f>
        <v>1.384979282179526E-2</v>
      </c>
      <c r="AA25" s="357">
        <f>Pareto!E23</f>
        <v>0.80969121679349587</v>
      </c>
      <c r="AB25" s="361" cm="1">
        <f t="array" aca="1" ref="AB25" ca="1">IFERROR(INDEX($T$55:$T$144,MATCH(1,($AP$55:$AP$144=U25)*($S$55:$S$144="Previsto"), 0) ), "")</f>
        <v>1</v>
      </c>
      <c r="AC25" s="361" cm="1">
        <f t="array" ref="AC25">IFERROR(INDEX($T$55:$T$144,MATCH(1,($AP$55:$AP$144=U25)*($S$55:$S$144="Real"), 0) ), "")</f>
        <v>1</v>
      </c>
      <c r="AD25" s="374" t="str">
        <f t="shared" ca="1" si="9"/>
        <v>CONCLUÍDO</v>
      </c>
      <c r="AE25" s="358">
        <v>1</v>
      </c>
      <c r="AF25" s="47" t="s">
        <v>1402</v>
      </c>
      <c r="AG25" s="47"/>
      <c r="AH25" s="47"/>
      <c r="AI25" s="47"/>
      <c r="AJ25" s="47"/>
      <c r="AK25" s="47"/>
      <c r="AL25" s="47"/>
      <c r="AN25" s="47"/>
    </row>
    <row r="26" spans="1:40" ht="20.100000000000001" customHeight="1" x14ac:dyDescent="0.3">
      <c r="A26" s="47"/>
      <c r="B26" s="47"/>
      <c r="C26" s="47"/>
      <c r="D26" s="47"/>
      <c r="E26" s="47"/>
      <c r="F26" s="47"/>
      <c r="G26" s="59"/>
      <c r="H26" s="47"/>
      <c r="I26" s="47"/>
      <c r="J26" s="47"/>
      <c r="K26" s="47"/>
      <c r="L26" s="47"/>
      <c r="M26" s="47"/>
      <c r="N26" s="47"/>
      <c r="O26" s="1461" t="s">
        <v>149</v>
      </c>
      <c r="P26" s="1462"/>
      <c r="Q26" s="407">
        <f>SUM(Q6:Q25)</f>
        <v>13234000.165920056</v>
      </c>
      <c r="R26" s="407">
        <f>SUM(R6:R25)</f>
        <v>2790217.64</v>
      </c>
      <c r="S26" s="47"/>
      <c r="T26" s="407">
        <f ca="1">SUM(T6:T25)</f>
        <v>144945727.2730051</v>
      </c>
      <c r="U26" s="47"/>
      <c r="V26" s="47"/>
      <c r="W26" s="47"/>
      <c r="X26" s="47"/>
      <c r="Y26" s="47"/>
      <c r="Z26" s="47"/>
      <c r="AA26" s="47"/>
      <c r="AB26" s="47"/>
      <c r="AC26" s="47"/>
      <c r="AD26" s="47"/>
      <c r="AE26" s="47"/>
      <c r="AF26" s="47"/>
      <c r="AG26" s="47"/>
      <c r="AH26" s="47"/>
      <c r="AI26" s="47"/>
      <c r="AJ26" s="47"/>
      <c r="AK26" s="47"/>
      <c r="AL26" s="47"/>
    </row>
    <row r="27" spans="1:40" ht="15.6" x14ac:dyDescent="0.3">
      <c r="A27" s="63" t="s">
        <v>150</v>
      </c>
      <c r="B27" s="63"/>
      <c r="C27" s="63"/>
      <c r="D27" s="63"/>
      <c r="E27" s="63"/>
      <c r="F27" s="63"/>
      <c r="G27" s="101"/>
      <c r="H27" s="63"/>
      <c r="I27" s="63"/>
      <c r="J27" s="63"/>
      <c r="K27" s="63"/>
      <c r="L27" s="63"/>
      <c r="M27" s="63"/>
      <c r="N27" s="63"/>
      <c r="O27" s="63"/>
      <c r="P27" s="101"/>
      <c r="Q27" s="63"/>
      <c r="R27" s="63"/>
      <c r="S27" s="63"/>
      <c r="T27" s="63"/>
      <c r="U27" s="63"/>
      <c r="V27" s="63"/>
      <c r="W27" s="63"/>
      <c r="X27" s="63"/>
      <c r="Y27" s="63"/>
      <c r="Z27" s="63"/>
      <c r="AA27" s="63"/>
      <c r="AB27" s="63"/>
      <c r="AC27" s="63"/>
      <c r="AD27" s="63"/>
      <c r="AE27" s="63"/>
      <c r="AF27" s="47"/>
      <c r="AG27" s="47"/>
      <c r="AH27" s="47"/>
      <c r="AI27" s="47"/>
      <c r="AJ27" s="47"/>
      <c r="AK27" s="47"/>
      <c r="AL27" s="47"/>
    </row>
    <row r="28" spans="1:40" ht="28.5" customHeight="1" x14ac:dyDescent="0.3">
      <c r="A28" s="64" t="s">
        <v>151</v>
      </c>
      <c r="B28" s="65" t="s">
        <v>31</v>
      </c>
      <c r="C28" s="65" t="s">
        <v>152</v>
      </c>
      <c r="D28" s="65" t="s">
        <v>153</v>
      </c>
      <c r="E28" s="65" t="s">
        <v>154</v>
      </c>
      <c r="F28" s="65" t="s">
        <v>155</v>
      </c>
      <c r="G28" s="65" t="s">
        <v>156</v>
      </c>
      <c r="H28" s="65" t="s">
        <v>157</v>
      </c>
      <c r="I28" s="66" t="s">
        <v>158</v>
      </c>
      <c r="J28" s="65" t="s">
        <v>159</v>
      </c>
      <c r="K28" s="66" t="s">
        <v>160</v>
      </c>
      <c r="L28" s="65" t="s">
        <v>161</v>
      </c>
      <c r="M28" s="66" t="s">
        <v>162</v>
      </c>
      <c r="N28" s="65" t="s">
        <v>163</v>
      </c>
      <c r="O28" s="66" t="s">
        <v>164</v>
      </c>
      <c r="P28" s="65" t="s">
        <v>165</v>
      </c>
      <c r="Q28" s="66" t="s">
        <v>166</v>
      </c>
      <c r="R28" s="65" t="s">
        <v>167</v>
      </c>
      <c r="S28" s="66" t="s">
        <v>168</v>
      </c>
      <c r="T28" s="65" t="s">
        <v>169</v>
      </c>
      <c r="U28" s="66" t="s">
        <v>170</v>
      </c>
      <c r="V28" s="65" t="s">
        <v>171</v>
      </c>
      <c r="W28" s="66" t="s">
        <v>172</v>
      </c>
      <c r="X28" s="65" t="s">
        <v>173</v>
      </c>
      <c r="Y28" s="66" t="s">
        <v>174</v>
      </c>
      <c r="Z28" s="65" t="s">
        <v>175</v>
      </c>
      <c r="AA28" s="66" t="s">
        <v>176</v>
      </c>
      <c r="AB28" s="65" t="s">
        <v>177</v>
      </c>
      <c r="AC28" s="66" t="s">
        <v>178</v>
      </c>
      <c r="AD28" s="65" t="s">
        <v>179</v>
      </c>
      <c r="AE28" s="172" t="s">
        <v>180</v>
      </c>
      <c r="AF28" s="47"/>
      <c r="AG28" s="47"/>
      <c r="AH28" s="47"/>
      <c r="AI28" s="47"/>
      <c r="AJ28" s="47"/>
      <c r="AK28" s="47"/>
      <c r="AL28" s="47"/>
    </row>
    <row r="29" spans="1:40" x14ac:dyDescent="0.3">
      <c r="A29" s="67" t="s">
        <v>181</v>
      </c>
      <c r="B29" s="68" t="s">
        <v>182</v>
      </c>
      <c r="C29" s="68" t="s">
        <v>1403</v>
      </c>
      <c r="D29" s="69" t="s">
        <v>184</v>
      </c>
      <c r="E29" s="69" t="s">
        <v>928</v>
      </c>
      <c r="F29" s="614">
        <v>0.438</v>
      </c>
      <c r="G29" s="614">
        <v>0.50800000000000001</v>
      </c>
      <c r="H29" s="269">
        <v>0.49199999999999999</v>
      </c>
      <c r="I29" s="69" t="s">
        <v>1404</v>
      </c>
      <c r="J29" s="269">
        <v>0.51600000000000001</v>
      </c>
      <c r="K29" s="69" t="s">
        <v>1404</v>
      </c>
      <c r="L29" s="761">
        <v>0.46500000000000002</v>
      </c>
      <c r="M29" s="69" t="s">
        <v>1404</v>
      </c>
      <c r="N29" s="759">
        <v>0.47799999999999998</v>
      </c>
      <c r="O29" s="69" t="s">
        <v>1404</v>
      </c>
      <c r="P29" s="759">
        <v>0.55000000000000004</v>
      </c>
      <c r="Q29" s="69" t="s">
        <v>1404</v>
      </c>
      <c r="R29" s="1024"/>
      <c r="S29" s="69"/>
      <c r="T29" s="1024"/>
      <c r="U29" s="69"/>
      <c r="V29" s="69"/>
      <c r="W29" s="69"/>
      <c r="X29" s="69"/>
      <c r="Y29" s="69"/>
      <c r="Z29" s="69"/>
      <c r="AA29" s="69"/>
      <c r="AB29" s="69"/>
      <c r="AC29" s="69"/>
      <c r="AD29" s="69"/>
      <c r="AE29" s="69"/>
      <c r="AF29" s="47"/>
      <c r="AG29" s="47"/>
      <c r="AH29" s="47"/>
      <c r="AI29" s="47"/>
      <c r="AJ29" s="47"/>
      <c r="AK29" s="47"/>
      <c r="AL29" s="47"/>
    </row>
    <row r="30" spans="1:40" x14ac:dyDescent="0.3">
      <c r="A30" s="67" t="s">
        <v>181</v>
      </c>
      <c r="B30" s="68" t="s">
        <v>187</v>
      </c>
      <c r="C30" s="68" t="s">
        <v>183</v>
      </c>
      <c r="D30" s="68" t="s">
        <v>184</v>
      </c>
      <c r="E30" s="68" t="s">
        <v>929</v>
      </c>
      <c r="F30" s="270">
        <v>1.4E-2</v>
      </c>
      <c r="G30" s="199">
        <v>8.0000000000000002E-3</v>
      </c>
      <c r="H30" s="199">
        <v>7.0000000000000001E-3</v>
      </c>
      <c r="I30" s="68" t="s">
        <v>1405</v>
      </c>
      <c r="J30" s="199">
        <v>4.7999999999999996E-3</v>
      </c>
      <c r="K30" s="68" t="s">
        <v>1405</v>
      </c>
      <c r="L30" s="199">
        <v>3.8E-3</v>
      </c>
      <c r="M30" s="68" t="s">
        <v>1405</v>
      </c>
      <c r="N30" s="295">
        <v>0.39</v>
      </c>
      <c r="O30" s="68" t="s">
        <v>1405</v>
      </c>
      <c r="P30" s="199">
        <v>3.3999999999999998E-3</v>
      </c>
      <c r="Q30" s="68" t="s">
        <v>1405</v>
      </c>
      <c r="R30" s="1016"/>
      <c r="S30" s="68"/>
      <c r="T30" s="1016"/>
      <c r="U30" s="68"/>
      <c r="V30" s="68"/>
      <c r="W30" s="68"/>
      <c r="X30" s="68"/>
      <c r="Y30" s="68"/>
      <c r="Z30" s="68"/>
      <c r="AA30" s="68"/>
      <c r="AB30" s="68"/>
      <c r="AC30" s="68"/>
      <c r="AD30" s="68"/>
      <c r="AE30" s="68"/>
      <c r="AF30" s="47"/>
      <c r="AG30" s="47"/>
      <c r="AH30" s="47"/>
      <c r="AI30" s="47"/>
      <c r="AJ30" s="47"/>
      <c r="AK30" s="47"/>
      <c r="AL30" s="47"/>
    </row>
    <row r="31" spans="1:40" x14ac:dyDescent="0.3">
      <c r="A31" s="67" t="s">
        <v>190</v>
      </c>
      <c r="B31" s="68" t="s">
        <v>931</v>
      </c>
      <c r="C31" s="68" t="s">
        <v>183</v>
      </c>
      <c r="D31" s="68" t="s">
        <v>192</v>
      </c>
      <c r="E31" s="68" t="s">
        <v>928</v>
      </c>
      <c r="F31" s="270">
        <v>0.65</v>
      </c>
      <c r="G31" s="270">
        <v>0.68</v>
      </c>
      <c r="H31" s="270">
        <v>0.63500000000000001</v>
      </c>
      <c r="I31" s="68" t="s">
        <v>1405</v>
      </c>
      <c r="J31" s="295">
        <f>[29]Indicadores!$AK$229</f>
        <v>2372.1833333333334</v>
      </c>
      <c r="K31" s="68" t="s">
        <v>1405</v>
      </c>
      <c r="L31" s="270">
        <v>0.67</v>
      </c>
      <c r="M31" s="68" t="s">
        <v>1405</v>
      </c>
      <c r="N31" s="762">
        <f>N33*N34*N35</f>
        <v>0.62493023999999997</v>
      </c>
      <c r="O31" s="68" t="s">
        <v>1405</v>
      </c>
      <c r="P31" s="199">
        <v>0.65100000000000002</v>
      </c>
      <c r="Q31" s="68" t="s">
        <v>1405</v>
      </c>
      <c r="R31" s="1024"/>
      <c r="S31" s="69"/>
      <c r="T31" s="1024"/>
      <c r="U31" s="68"/>
      <c r="V31" s="68"/>
      <c r="W31" s="68"/>
      <c r="X31" s="68"/>
      <c r="Y31" s="68"/>
      <c r="Z31" s="68"/>
      <c r="AA31" s="68"/>
      <c r="AB31" s="68"/>
      <c r="AC31" s="68"/>
      <c r="AD31" s="68"/>
      <c r="AE31" s="68"/>
      <c r="AF31" s="47"/>
      <c r="AG31" s="47"/>
      <c r="AH31" s="47"/>
      <c r="AI31" s="47"/>
      <c r="AJ31" s="47"/>
      <c r="AK31" s="47"/>
      <c r="AL31" s="47"/>
    </row>
    <row r="32" spans="1:40" x14ac:dyDescent="0.3">
      <c r="A32" s="67" t="s">
        <v>190</v>
      </c>
      <c r="B32" s="68" t="s">
        <v>934</v>
      </c>
      <c r="C32" s="68" t="s">
        <v>183</v>
      </c>
      <c r="D32" s="68" t="s">
        <v>184</v>
      </c>
      <c r="E32" s="68" t="s">
        <v>928</v>
      </c>
      <c r="F32" s="270">
        <v>0.55000000000000004</v>
      </c>
      <c r="G32" s="270">
        <v>0.6</v>
      </c>
      <c r="H32" s="270">
        <v>0.56999999999999995</v>
      </c>
      <c r="I32" s="68" t="s">
        <v>1406</v>
      </c>
      <c r="J32" s="295">
        <f>[29]Indicadores!$AK$211</f>
        <v>0</v>
      </c>
      <c r="K32" s="68" t="s">
        <v>1406</v>
      </c>
      <c r="L32" s="270">
        <v>0.67100000000000004</v>
      </c>
      <c r="M32" s="68" t="s">
        <v>1406</v>
      </c>
      <c r="N32" s="199">
        <v>0.63100000000000001</v>
      </c>
      <c r="O32" s="68" t="s">
        <v>1406</v>
      </c>
      <c r="P32" s="199">
        <v>0.68100000000000005</v>
      </c>
      <c r="Q32" s="68" t="s">
        <v>1406</v>
      </c>
      <c r="R32" s="1016"/>
      <c r="S32" s="68"/>
      <c r="T32" s="1016"/>
      <c r="U32" s="68"/>
      <c r="V32" s="68"/>
      <c r="W32" s="68"/>
      <c r="X32" s="68"/>
      <c r="Y32" s="68"/>
      <c r="Z32" s="68"/>
      <c r="AA32" s="68"/>
      <c r="AB32" s="68"/>
      <c r="AC32" s="68"/>
      <c r="AD32" s="68"/>
      <c r="AE32" s="68"/>
      <c r="AF32" s="47"/>
      <c r="AG32" s="47"/>
      <c r="AH32" s="47"/>
      <c r="AI32" s="47"/>
      <c r="AJ32" s="47"/>
      <c r="AK32" s="47"/>
      <c r="AL32" s="47"/>
    </row>
    <row r="33" spans="1:38" x14ac:dyDescent="0.3">
      <c r="A33" s="67" t="s">
        <v>190</v>
      </c>
      <c r="B33" s="68" t="s">
        <v>937</v>
      </c>
      <c r="C33" s="68" t="s">
        <v>183</v>
      </c>
      <c r="D33" s="68" t="s">
        <v>192</v>
      </c>
      <c r="E33" s="68" t="s">
        <v>928</v>
      </c>
      <c r="F33" s="270">
        <v>0.76</v>
      </c>
      <c r="G33" s="270">
        <v>0.8</v>
      </c>
      <c r="H33" s="270">
        <v>0.87</v>
      </c>
      <c r="I33" s="68" t="s">
        <v>1405</v>
      </c>
      <c r="J33" s="270">
        <v>0.876</v>
      </c>
      <c r="K33" s="68" t="s">
        <v>1405</v>
      </c>
      <c r="L33" s="270">
        <v>0.89400000000000002</v>
      </c>
      <c r="M33" s="68" t="s">
        <v>1405</v>
      </c>
      <c r="N33" s="199">
        <v>0.88</v>
      </c>
      <c r="O33" s="68" t="s">
        <v>1405</v>
      </c>
      <c r="P33" s="199">
        <v>0.78500000000000003</v>
      </c>
      <c r="Q33" s="68" t="s">
        <v>1405</v>
      </c>
      <c r="R33" s="1024"/>
      <c r="S33" s="69"/>
      <c r="T33" s="1024"/>
      <c r="U33" s="68"/>
      <c r="V33" s="68"/>
      <c r="W33" s="68"/>
      <c r="X33" s="68"/>
      <c r="Y33" s="68"/>
      <c r="Z33" s="68"/>
      <c r="AA33" s="68"/>
      <c r="AB33" s="68"/>
      <c r="AC33" s="68"/>
      <c r="AD33" s="68"/>
      <c r="AE33" s="68"/>
      <c r="AF33" s="47"/>
      <c r="AG33" s="47"/>
      <c r="AH33" s="47"/>
      <c r="AI33" s="47"/>
      <c r="AJ33" s="47"/>
      <c r="AK33" s="47"/>
      <c r="AL33" s="47"/>
    </row>
    <row r="34" spans="1:38" x14ac:dyDescent="0.3">
      <c r="A34" s="67" t="s">
        <v>190</v>
      </c>
      <c r="B34" s="68" t="s">
        <v>217</v>
      </c>
      <c r="C34" s="68" t="s">
        <v>183</v>
      </c>
      <c r="D34" s="68" t="s">
        <v>192</v>
      </c>
      <c r="E34" s="68" t="s">
        <v>928</v>
      </c>
      <c r="F34" s="270">
        <v>0.95</v>
      </c>
      <c r="G34" s="270">
        <v>0.95</v>
      </c>
      <c r="H34" s="270">
        <v>0.97599999999999998</v>
      </c>
      <c r="I34" s="68" t="s">
        <v>1405</v>
      </c>
      <c r="J34" s="583">
        <v>0.996</v>
      </c>
      <c r="K34" s="68" t="s">
        <v>1405</v>
      </c>
      <c r="L34" s="270">
        <v>0.996</v>
      </c>
      <c r="M34" s="68" t="s">
        <v>1405</v>
      </c>
      <c r="N34" s="199">
        <v>0.996</v>
      </c>
      <c r="O34" s="68" t="s">
        <v>1405</v>
      </c>
      <c r="P34" s="199">
        <v>0.99099999999999999</v>
      </c>
      <c r="Q34" s="68" t="s">
        <v>1405</v>
      </c>
      <c r="R34" s="1016"/>
      <c r="S34" s="68"/>
      <c r="T34" s="1016"/>
      <c r="U34" s="68"/>
      <c r="V34" s="68"/>
      <c r="W34" s="68"/>
      <c r="X34" s="68"/>
      <c r="Y34" s="68"/>
      <c r="Z34" s="68"/>
      <c r="AA34" s="68"/>
      <c r="AB34" s="68"/>
      <c r="AC34" s="68"/>
      <c r="AD34" s="68"/>
      <c r="AE34" s="68"/>
      <c r="AF34" s="47"/>
      <c r="AG34" s="47"/>
      <c r="AH34" s="47"/>
      <c r="AI34" s="47"/>
      <c r="AJ34" s="47"/>
      <c r="AK34" s="47"/>
      <c r="AL34" s="47"/>
    </row>
    <row r="35" spans="1:38" x14ac:dyDescent="0.3">
      <c r="A35" s="67" t="s">
        <v>190</v>
      </c>
      <c r="B35" s="68" t="s">
        <v>938</v>
      </c>
      <c r="C35" s="68" t="s">
        <v>183</v>
      </c>
      <c r="D35" s="68" t="s">
        <v>192</v>
      </c>
      <c r="E35" s="68" t="s">
        <v>928</v>
      </c>
      <c r="F35" s="270">
        <v>0.9</v>
      </c>
      <c r="G35" s="270">
        <v>0.91500000000000004</v>
      </c>
      <c r="H35" s="295">
        <v>0.73</v>
      </c>
      <c r="I35" s="68" t="s">
        <v>1405</v>
      </c>
      <c r="J35" s="276">
        <f>[29]Indicadores!$AK$239</f>
        <v>7.708333333333333</v>
      </c>
      <c r="K35" s="68" t="s">
        <v>1405</v>
      </c>
      <c r="L35" s="295">
        <v>0.69599999999999995</v>
      </c>
      <c r="M35" s="265" t="s">
        <v>1405</v>
      </c>
      <c r="N35" s="199">
        <v>0.71299999999999997</v>
      </c>
      <c r="O35" s="265" t="s">
        <v>1405</v>
      </c>
      <c r="P35" s="877">
        <v>0.91700000000000004</v>
      </c>
      <c r="Q35" s="265" t="s">
        <v>1405</v>
      </c>
      <c r="R35" s="1024"/>
      <c r="S35" s="69"/>
      <c r="T35" s="1024"/>
      <c r="U35" s="265"/>
      <c r="V35" s="265"/>
      <c r="W35" s="265"/>
      <c r="X35" s="265"/>
      <c r="Y35" s="265"/>
      <c r="Z35" s="265"/>
      <c r="AA35" s="265"/>
      <c r="AB35" s="265"/>
      <c r="AC35" s="265"/>
      <c r="AD35" s="265"/>
      <c r="AE35" s="265"/>
      <c r="AF35" s="47"/>
      <c r="AG35" s="47"/>
      <c r="AH35" s="47"/>
      <c r="AI35" s="47"/>
      <c r="AJ35" s="47"/>
      <c r="AK35" s="47"/>
      <c r="AL35" s="47"/>
    </row>
    <row r="36" spans="1:38" x14ac:dyDescent="0.3">
      <c r="A36" s="67" t="s">
        <v>190</v>
      </c>
      <c r="B36" s="68" t="s">
        <v>201</v>
      </c>
      <c r="C36" s="68" t="s">
        <v>202</v>
      </c>
      <c r="D36" s="68" t="s">
        <v>184</v>
      </c>
      <c r="E36" s="68" t="s">
        <v>928</v>
      </c>
      <c r="F36" s="292">
        <v>180.8</v>
      </c>
      <c r="G36" s="293">
        <v>7.708333333333333</v>
      </c>
      <c r="H36" s="274">
        <v>7.625</v>
      </c>
      <c r="I36" s="68" t="s">
        <v>1405</v>
      </c>
      <c r="J36" s="197">
        <v>185</v>
      </c>
      <c r="K36" s="68" t="s">
        <v>1405</v>
      </c>
      <c r="L36" s="203">
        <v>0.69444444444444442</v>
      </c>
      <c r="M36" s="68" t="s">
        <v>1405</v>
      </c>
      <c r="N36" s="274">
        <v>7.708333333333333</v>
      </c>
      <c r="O36" s="68" t="s">
        <v>1405</v>
      </c>
      <c r="P36" s="294">
        <v>0.70138888888888884</v>
      </c>
      <c r="Q36" s="68" t="s">
        <v>1405</v>
      </c>
      <c r="R36" s="1016"/>
      <c r="S36" s="68"/>
      <c r="T36" s="1016"/>
      <c r="U36" s="68"/>
      <c r="V36" s="68"/>
      <c r="W36" s="68"/>
      <c r="X36" s="68"/>
      <c r="Y36" s="68"/>
      <c r="Z36" s="68"/>
      <c r="AA36" s="68"/>
      <c r="AB36" s="68"/>
      <c r="AC36" s="68"/>
      <c r="AD36" s="68"/>
      <c r="AE36" s="68"/>
      <c r="AF36" s="47"/>
      <c r="AG36" s="47"/>
      <c r="AH36" s="47"/>
      <c r="AI36" s="47"/>
      <c r="AJ36" s="47"/>
      <c r="AK36" s="47"/>
      <c r="AL36" s="47"/>
    </row>
    <row r="37" spans="1:38" x14ac:dyDescent="0.3">
      <c r="A37" s="67" t="s">
        <v>190</v>
      </c>
      <c r="B37" s="68" t="s">
        <v>206</v>
      </c>
      <c r="C37" s="68" t="s">
        <v>202</v>
      </c>
      <c r="D37" s="68" t="s">
        <v>184</v>
      </c>
      <c r="E37" s="68" t="s">
        <v>929</v>
      </c>
      <c r="F37" s="292">
        <v>41.86</v>
      </c>
      <c r="G37" s="292">
        <v>0.70833333333333337</v>
      </c>
      <c r="H37" s="275">
        <v>0.70833333333333337</v>
      </c>
      <c r="I37" s="68" t="s">
        <v>1405</v>
      </c>
      <c r="J37" s="197">
        <v>17</v>
      </c>
      <c r="K37" s="68" t="s">
        <v>1405</v>
      </c>
      <c r="L37" s="203">
        <v>7.7256944444444446</v>
      </c>
      <c r="M37" s="68" t="s">
        <v>1405</v>
      </c>
      <c r="N37" s="294">
        <v>0.70833333333333337</v>
      </c>
      <c r="O37" s="68" t="s">
        <v>1405</v>
      </c>
      <c r="P37" s="274">
        <v>7.7222222222222223</v>
      </c>
      <c r="Q37" s="68" t="s">
        <v>1405</v>
      </c>
      <c r="R37" s="1024"/>
      <c r="S37" s="69"/>
      <c r="T37" s="1024"/>
      <c r="U37" s="68"/>
      <c r="V37" s="68"/>
      <c r="W37" s="68"/>
      <c r="X37" s="68"/>
      <c r="Y37" s="68"/>
      <c r="Z37" s="68"/>
      <c r="AA37" s="68"/>
      <c r="AB37" s="68"/>
      <c r="AC37" s="68"/>
      <c r="AD37" s="68"/>
      <c r="AE37" s="68"/>
      <c r="AF37" s="47"/>
      <c r="AG37" s="47"/>
      <c r="AH37" s="47"/>
      <c r="AI37" s="47"/>
      <c r="AJ37" s="47"/>
      <c r="AK37" s="47"/>
      <c r="AL37" s="47"/>
    </row>
    <row r="38" spans="1:38" x14ac:dyDescent="0.3">
      <c r="A38" s="67" t="s">
        <v>190</v>
      </c>
      <c r="B38" s="68" t="s">
        <v>211</v>
      </c>
      <c r="C38" s="68" t="s">
        <v>212</v>
      </c>
      <c r="D38" s="68" t="s">
        <v>184</v>
      </c>
      <c r="E38" s="68" t="s">
        <v>929</v>
      </c>
      <c r="F38" s="200">
        <v>2416000</v>
      </c>
      <c r="G38" s="200">
        <v>1080000</v>
      </c>
      <c r="H38" s="197">
        <v>61469.21</v>
      </c>
      <c r="I38" s="68" t="s">
        <v>1405</v>
      </c>
      <c r="J38" s="296">
        <v>95264</v>
      </c>
      <c r="K38" s="68" t="s">
        <v>1405</v>
      </c>
      <c r="L38" s="758">
        <v>116000</v>
      </c>
      <c r="M38" s="68" t="s">
        <v>1405</v>
      </c>
      <c r="N38" s="296">
        <v>99127.5</v>
      </c>
      <c r="O38" s="68" t="s">
        <v>1405</v>
      </c>
      <c r="P38" s="296">
        <v>136450.57999999999</v>
      </c>
      <c r="Q38" s="68" t="s">
        <v>1405</v>
      </c>
      <c r="R38" s="1016"/>
      <c r="S38" s="68"/>
      <c r="T38" s="1016"/>
      <c r="U38" s="68"/>
      <c r="V38" s="68"/>
      <c r="W38" s="68"/>
      <c r="X38" s="68"/>
      <c r="Y38" s="68"/>
      <c r="Z38" s="68"/>
      <c r="AA38" s="68"/>
      <c r="AB38" s="68"/>
      <c r="AC38" s="68"/>
      <c r="AD38" s="68"/>
      <c r="AE38" s="68"/>
      <c r="AF38" s="47"/>
      <c r="AG38" s="47"/>
      <c r="AH38" s="47"/>
      <c r="AI38" s="47"/>
      <c r="AJ38" s="47"/>
      <c r="AK38" s="47"/>
      <c r="AL38" s="47"/>
    </row>
    <row r="39" spans="1:38" x14ac:dyDescent="0.3">
      <c r="A39" s="67" t="s">
        <v>190</v>
      </c>
      <c r="B39" s="68" t="s">
        <v>213</v>
      </c>
      <c r="C39" s="68" t="s">
        <v>212</v>
      </c>
      <c r="D39" s="68" t="s">
        <v>192</v>
      </c>
      <c r="E39" s="68" t="s">
        <v>929</v>
      </c>
      <c r="F39" s="201">
        <v>0.85</v>
      </c>
      <c r="G39" s="201">
        <v>0.95</v>
      </c>
      <c r="H39" s="201">
        <v>0.95</v>
      </c>
      <c r="I39" s="68" t="s">
        <v>1406</v>
      </c>
      <c r="J39" s="201">
        <v>0.95</v>
      </c>
      <c r="K39" s="68" t="s">
        <v>1406</v>
      </c>
      <c r="L39" s="614">
        <v>0.98</v>
      </c>
      <c r="M39" s="68" t="s">
        <v>1406</v>
      </c>
      <c r="N39" s="201">
        <v>0.95</v>
      </c>
      <c r="O39" s="68" t="s">
        <v>1406</v>
      </c>
      <c r="P39" s="201">
        <v>0.97</v>
      </c>
      <c r="Q39" s="68" t="s">
        <v>1406</v>
      </c>
      <c r="R39" s="1024"/>
      <c r="S39" s="69"/>
      <c r="T39" s="1024"/>
      <c r="U39" s="68"/>
      <c r="V39" s="68"/>
      <c r="W39" s="68"/>
      <c r="X39" s="68"/>
      <c r="Y39" s="68"/>
      <c r="Z39" s="68"/>
      <c r="AA39" s="68"/>
      <c r="AB39" s="68"/>
      <c r="AC39" s="68"/>
      <c r="AD39" s="68"/>
      <c r="AE39" s="68"/>
      <c r="AF39" s="47"/>
      <c r="AG39" s="47"/>
      <c r="AH39" s="47"/>
      <c r="AI39" s="47"/>
      <c r="AJ39" s="47"/>
      <c r="AK39" s="47"/>
      <c r="AL39" s="47"/>
    </row>
    <row r="40" spans="1:38" x14ac:dyDescent="0.3">
      <c r="A40" s="67" t="s">
        <v>217</v>
      </c>
      <c r="B40" s="68" t="s">
        <v>218</v>
      </c>
      <c r="C40" s="68" t="s">
        <v>219</v>
      </c>
      <c r="D40" s="68" t="s">
        <v>184</v>
      </c>
      <c r="E40" s="68" t="s">
        <v>929</v>
      </c>
      <c r="F40" s="197">
        <v>58541</v>
      </c>
      <c r="G40" s="197">
        <v>42735</v>
      </c>
      <c r="H40" s="197">
        <v>364085</v>
      </c>
      <c r="I40" s="68" t="s">
        <v>1405</v>
      </c>
      <c r="J40" s="197">
        <v>659531</v>
      </c>
      <c r="K40" s="68" t="s">
        <v>1405</v>
      </c>
      <c r="L40" s="197">
        <v>741478</v>
      </c>
      <c r="M40" s="68" t="s">
        <v>1405</v>
      </c>
      <c r="N40" s="197">
        <v>0</v>
      </c>
      <c r="O40" s="68" t="s">
        <v>1405</v>
      </c>
      <c r="P40" s="197">
        <v>0</v>
      </c>
      <c r="Q40" s="68" t="s">
        <v>1405</v>
      </c>
      <c r="R40" s="1016"/>
      <c r="S40" s="68"/>
      <c r="T40" s="1016"/>
      <c r="U40" s="68"/>
      <c r="V40" s="68"/>
      <c r="W40" s="68"/>
      <c r="X40" s="68"/>
      <c r="Y40" s="68"/>
      <c r="Z40" s="68"/>
      <c r="AA40" s="68"/>
      <c r="AB40" s="68"/>
      <c r="AC40" s="68"/>
      <c r="AD40" s="68"/>
      <c r="AE40" s="68"/>
      <c r="AF40" s="47"/>
      <c r="AG40" s="47"/>
      <c r="AH40" s="47"/>
      <c r="AI40" s="47"/>
      <c r="AJ40" s="47"/>
      <c r="AK40" s="47"/>
      <c r="AL40" s="47"/>
    </row>
    <row r="41" spans="1:38" x14ac:dyDescent="0.3">
      <c r="A41" s="67" t="s">
        <v>217</v>
      </c>
      <c r="B41" s="68" t="s">
        <v>221</v>
      </c>
      <c r="C41" s="68" t="s">
        <v>219</v>
      </c>
      <c r="D41" s="68" t="s">
        <v>184</v>
      </c>
      <c r="E41" s="68" t="s">
        <v>929</v>
      </c>
      <c r="F41" s="197">
        <v>3275</v>
      </c>
      <c r="G41" s="197">
        <v>2400</v>
      </c>
      <c r="H41" s="197">
        <v>37</v>
      </c>
      <c r="I41" s="68" t="s">
        <v>1405</v>
      </c>
      <c r="J41" s="197">
        <v>51</v>
      </c>
      <c r="K41" s="68" t="s">
        <v>1405</v>
      </c>
      <c r="L41" s="198">
        <v>10</v>
      </c>
      <c r="M41" s="68" t="s">
        <v>1405</v>
      </c>
      <c r="N41" s="200">
        <v>46097</v>
      </c>
      <c r="O41" s="68" t="s">
        <v>1405</v>
      </c>
      <c r="P41" s="200">
        <v>35558</v>
      </c>
      <c r="Q41" s="68" t="s">
        <v>1405</v>
      </c>
      <c r="R41" s="1024"/>
      <c r="S41" s="69"/>
      <c r="T41" s="1024"/>
      <c r="U41" s="68"/>
      <c r="V41" s="68"/>
      <c r="W41" s="68"/>
      <c r="X41" s="68"/>
      <c r="Y41" s="68"/>
      <c r="Z41" s="68"/>
      <c r="AA41" s="68"/>
      <c r="AB41" s="68"/>
      <c r="AC41" s="68"/>
      <c r="AD41" s="68"/>
      <c r="AE41" s="68"/>
      <c r="AF41" s="47"/>
      <c r="AG41" s="47"/>
      <c r="AH41" s="47"/>
      <c r="AI41" s="47"/>
      <c r="AJ41" s="47"/>
      <c r="AK41" s="47"/>
      <c r="AL41" s="47"/>
    </row>
    <row r="42" spans="1:38" x14ac:dyDescent="0.3">
      <c r="A42" s="67" t="s">
        <v>217</v>
      </c>
      <c r="B42" s="68" t="s">
        <v>228</v>
      </c>
      <c r="C42" s="68" t="s">
        <v>183</v>
      </c>
      <c r="D42" s="68" t="s">
        <v>184</v>
      </c>
      <c r="E42" s="68" t="s">
        <v>929</v>
      </c>
      <c r="F42" s="199">
        <v>2.4299999999999999E-2</v>
      </c>
      <c r="G42" s="199">
        <v>1.23E-2</v>
      </c>
      <c r="H42" s="199">
        <v>9.7000000000000003E-3</v>
      </c>
      <c r="I42" s="68" t="s">
        <v>1406</v>
      </c>
      <c r="J42" s="197">
        <v>0.88</v>
      </c>
      <c r="K42" s="68" t="s">
        <v>1406</v>
      </c>
      <c r="L42" s="759">
        <v>6.4000000000000003E-3</v>
      </c>
      <c r="M42" s="68" t="s">
        <v>1406</v>
      </c>
      <c r="N42" s="199">
        <v>6.7999999999999996E-3</v>
      </c>
      <c r="O42" s="68" t="s">
        <v>1406</v>
      </c>
      <c r="P42" s="199">
        <v>8.6999999999999994E-3</v>
      </c>
      <c r="Q42" s="68" t="s">
        <v>1406</v>
      </c>
      <c r="R42" s="1016"/>
      <c r="S42" s="68"/>
      <c r="T42" s="1016"/>
      <c r="U42" s="68"/>
      <c r="V42" s="68"/>
      <c r="W42" s="68"/>
      <c r="X42" s="68"/>
      <c r="Y42" s="68"/>
      <c r="Z42" s="68"/>
      <c r="AA42" s="68"/>
      <c r="AB42" s="68"/>
      <c r="AC42" s="68"/>
      <c r="AD42" s="68"/>
      <c r="AE42" s="68"/>
      <c r="AF42" s="47"/>
      <c r="AG42" s="47"/>
      <c r="AH42" s="47"/>
      <c r="AI42" s="47"/>
      <c r="AJ42" s="47"/>
      <c r="AK42" s="47"/>
      <c r="AL42" s="47"/>
    </row>
    <row r="43" spans="1:38" x14ac:dyDescent="0.3">
      <c r="A43" s="67" t="s">
        <v>217</v>
      </c>
      <c r="B43" s="68" t="s">
        <v>232</v>
      </c>
      <c r="C43" s="68" t="s">
        <v>233</v>
      </c>
      <c r="D43" s="68" t="s">
        <v>234</v>
      </c>
      <c r="E43" s="68" t="s">
        <v>929</v>
      </c>
      <c r="F43" s="197">
        <v>47</v>
      </c>
      <c r="G43" s="197">
        <v>42</v>
      </c>
      <c r="H43" s="197">
        <v>3</v>
      </c>
      <c r="I43" s="68" t="s">
        <v>1406</v>
      </c>
      <c r="J43" s="197">
        <v>4</v>
      </c>
      <c r="K43" s="68" t="s">
        <v>1406</v>
      </c>
      <c r="L43" s="197">
        <v>1</v>
      </c>
      <c r="M43" s="68" t="s">
        <v>1406</v>
      </c>
      <c r="N43" s="197">
        <v>1</v>
      </c>
      <c r="O43" s="68" t="s">
        <v>1406</v>
      </c>
      <c r="P43" s="197">
        <v>1</v>
      </c>
      <c r="Q43" s="68" t="s">
        <v>1406</v>
      </c>
      <c r="R43" s="1024"/>
      <c r="S43" s="69"/>
      <c r="T43" s="1024"/>
      <c r="U43" s="68"/>
      <c r="V43" s="68"/>
      <c r="W43" s="68"/>
      <c r="X43" s="68"/>
      <c r="Y43" s="68"/>
      <c r="Z43" s="68"/>
      <c r="AA43" s="68"/>
      <c r="AB43" s="68"/>
      <c r="AC43" s="68"/>
      <c r="AD43" s="68"/>
      <c r="AE43" s="68"/>
      <c r="AF43" s="47"/>
      <c r="AG43" s="47"/>
      <c r="AH43" s="47"/>
      <c r="AI43" s="47"/>
      <c r="AJ43" s="47"/>
      <c r="AK43" s="47"/>
      <c r="AL43" s="47"/>
    </row>
    <row r="44" spans="1:38" x14ac:dyDescent="0.3">
      <c r="A44" s="67" t="s">
        <v>236</v>
      </c>
      <c r="B44" s="68" t="s">
        <v>237</v>
      </c>
      <c r="C44" s="68" t="s">
        <v>238</v>
      </c>
      <c r="D44" s="302" t="s">
        <v>184</v>
      </c>
      <c r="E44" s="68" t="s">
        <v>929</v>
      </c>
      <c r="F44" s="197">
        <v>31</v>
      </c>
      <c r="G44" s="197">
        <v>20</v>
      </c>
      <c r="H44" s="197">
        <v>20</v>
      </c>
      <c r="I44" s="68" t="s">
        <v>1406</v>
      </c>
      <c r="J44" s="197">
        <v>36</v>
      </c>
      <c r="K44" s="68" t="s">
        <v>1406</v>
      </c>
      <c r="L44" s="197">
        <v>56</v>
      </c>
      <c r="M44" s="68" t="s">
        <v>1406</v>
      </c>
      <c r="N44" s="197">
        <v>12</v>
      </c>
      <c r="O44" s="68" t="s">
        <v>1406</v>
      </c>
      <c r="P44" s="197">
        <v>12</v>
      </c>
      <c r="Q44" s="68" t="s">
        <v>1406</v>
      </c>
      <c r="R44" s="1016"/>
      <c r="S44" s="68"/>
      <c r="T44" s="1016"/>
      <c r="U44" s="68"/>
      <c r="V44" s="68"/>
      <c r="W44" s="68"/>
      <c r="X44" s="68"/>
      <c r="Y44" s="68"/>
      <c r="Z44" s="68"/>
      <c r="AA44" s="68"/>
      <c r="AB44" s="68"/>
      <c r="AC44" s="68"/>
      <c r="AD44" s="68"/>
      <c r="AE44" s="68"/>
      <c r="AF44" s="47"/>
      <c r="AG44" s="47"/>
      <c r="AH44" s="47"/>
      <c r="AI44" s="47"/>
      <c r="AJ44" s="47"/>
      <c r="AK44" s="47"/>
      <c r="AL44" s="47"/>
    </row>
    <row r="45" spans="1:38" ht="15.6" x14ac:dyDescent="0.3">
      <c r="A45" s="67" t="s">
        <v>240</v>
      </c>
      <c r="B45" s="68" t="s">
        <v>241</v>
      </c>
      <c r="C45" s="68" t="s">
        <v>183</v>
      </c>
      <c r="D45" s="68" t="s">
        <v>242</v>
      </c>
      <c r="E45" s="68" t="s">
        <v>928</v>
      </c>
      <c r="F45" s="276">
        <v>0.6</v>
      </c>
      <c r="G45" s="276">
        <v>0.9</v>
      </c>
      <c r="H45" s="276">
        <v>0.6</v>
      </c>
      <c r="I45" s="68" t="s">
        <v>1406</v>
      </c>
      <c r="J45" s="201">
        <v>0.6</v>
      </c>
      <c r="K45" s="68" t="s">
        <v>1406</v>
      </c>
      <c r="L45" s="201">
        <v>0.65</v>
      </c>
      <c r="M45" s="68" t="s">
        <v>1406</v>
      </c>
      <c r="N45" s="201">
        <v>0.65</v>
      </c>
      <c r="O45" s="68" t="s">
        <v>1406</v>
      </c>
      <c r="P45" s="201">
        <v>0.65</v>
      </c>
      <c r="Q45" s="68" t="s">
        <v>1406</v>
      </c>
      <c r="R45" s="1024"/>
      <c r="S45" s="69"/>
      <c r="T45" s="1024"/>
      <c r="U45" s="68"/>
      <c r="V45" s="68"/>
      <c r="W45" s="68"/>
      <c r="X45" s="68"/>
      <c r="Y45" s="68"/>
      <c r="Z45" s="68"/>
      <c r="AA45" s="68"/>
      <c r="AB45" s="68"/>
      <c r="AC45" s="68"/>
      <c r="AD45" s="68"/>
      <c r="AE45" s="68"/>
      <c r="AF45" s="47"/>
      <c r="AG45" s="450"/>
      <c r="AH45" s="47"/>
      <c r="AI45" s="47"/>
      <c r="AJ45" s="1409" t="s">
        <v>244</v>
      </c>
      <c r="AK45" s="1409"/>
      <c r="AL45" s="47"/>
    </row>
    <row r="46" spans="1:38" x14ac:dyDescent="0.3">
      <c r="A46" s="67" t="s">
        <v>245</v>
      </c>
      <c r="B46" s="68" t="s">
        <v>246</v>
      </c>
      <c r="C46" s="68" t="s">
        <v>183</v>
      </c>
      <c r="D46" s="68" t="s">
        <v>192</v>
      </c>
      <c r="E46" s="68" t="s">
        <v>928</v>
      </c>
      <c r="F46" s="276">
        <v>0.94</v>
      </c>
      <c r="G46" s="201">
        <v>1</v>
      </c>
      <c r="H46" s="276">
        <v>0.94</v>
      </c>
      <c r="I46" s="68" t="s">
        <v>1405</v>
      </c>
      <c r="J46" s="201">
        <v>0.23</v>
      </c>
      <c r="K46" s="68" t="s">
        <v>1405</v>
      </c>
      <c r="L46" s="201">
        <v>0.66</v>
      </c>
      <c r="M46" s="68" t="s">
        <v>1405</v>
      </c>
      <c r="N46" s="201">
        <v>0.75</v>
      </c>
      <c r="O46" s="68" t="s">
        <v>1405</v>
      </c>
      <c r="P46" s="201">
        <v>1</v>
      </c>
      <c r="Q46" s="68" t="s">
        <v>1405</v>
      </c>
      <c r="R46" s="1016"/>
      <c r="S46" s="68"/>
      <c r="T46" s="1016"/>
      <c r="U46" s="68"/>
      <c r="V46" s="68"/>
      <c r="W46" s="68"/>
      <c r="X46" s="68"/>
      <c r="Y46" s="68"/>
      <c r="Z46" s="68"/>
      <c r="AA46" s="68"/>
      <c r="AB46" s="68"/>
      <c r="AC46" s="68"/>
      <c r="AD46" s="68"/>
      <c r="AE46" s="68"/>
      <c r="AF46" s="47"/>
      <c r="AG46" s="47"/>
      <c r="AH46" s="47"/>
      <c r="AI46" s="47"/>
      <c r="AJ46" s="447" t="s">
        <v>249</v>
      </c>
      <c r="AK46" s="447" t="s">
        <v>250</v>
      </c>
      <c r="AL46" s="47"/>
    </row>
    <row r="47" spans="1:38" x14ac:dyDescent="0.3">
      <c r="A47" s="67" t="s">
        <v>190</v>
      </c>
      <c r="B47" s="68" t="s">
        <v>251</v>
      </c>
      <c r="C47" s="68" t="s">
        <v>202</v>
      </c>
      <c r="D47" s="68" t="s">
        <v>184</v>
      </c>
      <c r="E47" s="68" t="s">
        <v>928</v>
      </c>
      <c r="F47" s="197">
        <v>148</v>
      </c>
      <c r="G47" s="274">
        <v>7</v>
      </c>
      <c r="H47" s="381">
        <v>9.9166666666666661</v>
      </c>
      <c r="I47" s="68" t="s">
        <v>1405</v>
      </c>
      <c r="J47" s="197">
        <v>204</v>
      </c>
      <c r="K47" s="68" t="s">
        <v>1405</v>
      </c>
      <c r="L47" s="203">
        <v>6.9444444444444448E-2</v>
      </c>
      <c r="M47" s="68" t="s">
        <v>1405</v>
      </c>
      <c r="N47" s="294">
        <v>9.0277777777777776E-2</v>
      </c>
      <c r="O47" s="68" t="s">
        <v>1405</v>
      </c>
      <c r="P47" s="294">
        <v>8.3333333333333329E-2</v>
      </c>
      <c r="Q47" s="68" t="s">
        <v>1405</v>
      </c>
      <c r="R47" s="1024"/>
      <c r="S47" s="69"/>
      <c r="T47" s="1024"/>
      <c r="U47" s="68"/>
      <c r="V47" s="68"/>
      <c r="W47" s="68"/>
      <c r="X47" s="68"/>
      <c r="Y47" s="68"/>
      <c r="Z47" s="68"/>
      <c r="AA47" s="68"/>
      <c r="AB47" s="68"/>
      <c r="AC47" s="68"/>
      <c r="AD47" s="68"/>
      <c r="AE47" s="68"/>
      <c r="AF47" s="47"/>
      <c r="AG47" s="47"/>
      <c r="AH47" s="47"/>
      <c r="AI47" s="47"/>
      <c r="AJ47" s="228" t="s">
        <v>26</v>
      </c>
      <c r="AK47" s="448">
        <f>SUMIF($AM$55:$AM$144,AJ47,$AO$55:$AO$144)</f>
        <v>0</v>
      </c>
      <c r="AL47" s="47"/>
    </row>
    <row r="48" spans="1:38" x14ac:dyDescent="0.3">
      <c r="A48" s="67" t="s">
        <v>190</v>
      </c>
      <c r="B48" s="68" t="s">
        <v>260</v>
      </c>
      <c r="C48" s="68" t="s">
        <v>202</v>
      </c>
      <c r="D48" s="68" t="s">
        <v>184</v>
      </c>
      <c r="E48" s="68" t="s">
        <v>929</v>
      </c>
      <c r="F48" s="294">
        <v>6.9444444444444448E-2</v>
      </c>
      <c r="G48" s="294">
        <v>6.25E-2</v>
      </c>
      <c r="H48" s="294">
        <v>7.6388888888888895E-2</v>
      </c>
      <c r="I48" s="68" t="s">
        <v>1406</v>
      </c>
      <c r="J48" s="274">
        <v>2.4</v>
      </c>
      <c r="K48" s="68" t="s">
        <v>1406</v>
      </c>
      <c r="L48" s="203">
        <v>6.666666666666667</v>
      </c>
      <c r="M48" s="68" t="s">
        <v>1406</v>
      </c>
      <c r="N48" s="274">
        <v>6.583333333333333</v>
      </c>
      <c r="O48" s="68" t="s">
        <v>1406</v>
      </c>
      <c r="P48" s="274">
        <v>5.708333333333333</v>
      </c>
      <c r="Q48" s="68" t="s">
        <v>1406</v>
      </c>
      <c r="R48" s="1016"/>
      <c r="S48" s="68"/>
      <c r="T48" s="1016"/>
      <c r="U48" s="68"/>
      <c r="V48" s="68"/>
      <c r="W48" s="68"/>
      <c r="X48" s="68"/>
      <c r="Y48" s="68"/>
      <c r="Z48" s="68"/>
      <c r="AA48" s="68"/>
      <c r="AB48" s="68"/>
      <c r="AC48" s="68"/>
      <c r="AD48" s="68"/>
      <c r="AE48" s="68"/>
      <c r="AF48" s="47"/>
      <c r="AG48" s="47"/>
      <c r="AH48" s="47"/>
      <c r="AI48" s="47"/>
      <c r="AJ48" s="251" t="s">
        <v>27</v>
      </c>
      <c r="AK48" s="449">
        <f>SUMIF($AM$55:$AM$144,AJ48,$AO$55:$AO$144)</f>
        <v>0</v>
      </c>
      <c r="AL48" s="47"/>
    </row>
    <row r="49" spans="1:48" x14ac:dyDescent="0.3">
      <c r="A49" s="67" t="s">
        <v>263</v>
      </c>
      <c r="B49" s="68" t="s">
        <v>264</v>
      </c>
      <c r="C49" s="68" t="s">
        <v>265</v>
      </c>
      <c r="D49" s="68" t="s">
        <v>184</v>
      </c>
      <c r="E49" s="197" t="s">
        <v>185</v>
      </c>
      <c r="F49" s="501" t="s">
        <v>93</v>
      </c>
      <c r="G49" s="501" t="s">
        <v>93</v>
      </c>
      <c r="H49" s="296">
        <v>105000</v>
      </c>
      <c r="I49" s="68"/>
      <c r="J49" s="296">
        <v>384000</v>
      </c>
      <c r="K49" s="68"/>
      <c r="L49" s="713"/>
      <c r="M49" s="68"/>
      <c r="N49" s="68"/>
      <c r="O49" s="68"/>
      <c r="P49" s="197"/>
      <c r="Q49" s="68"/>
      <c r="R49" s="68"/>
      <c r="S49" s="68"/>
      <c r="T49" s="68"/>
      <c r="U49" s="68"/>
      <c r="V49" s="68"/>
      <c r="W49" s="68"/>
      <c r="X49" s="68"/>
      <c r="Y49" s="68"/>
      <c r="Z49" s="68"/>
      <c r="AA49" s="68"/>
      <c r="AB49" s="68"/>
      <c r="AC49" s="68"/>
      <c r="AD49" s="68"/>
      <c r="AE49" s="68"/>
      <c r="AF49" s="47"/>
      <c r="AG49" s="47"/>
      <c r="AH49" s="47"/>
      <c r="AI49" s="47"/>
      <c r="AJ49" s="228" t="s">
        <v>266</v>
      </c>
      <c r="AK49" s="448">
        <f>SUMIF($AM$55:$AM$144,AJ49,$AO$55:$AO$144)</f>
        <v>0</v>
      </c>
      <c r="AL49" s="47"/>
    </row>
    <row r="50" spans="1:48" x14ac:dyDescent="0.3">
      <c r="A50" s="67"/>
      <c r="B50" s="68"/>
      <c r="C50" s="68"/>
      <c r="D50" s="68"/>
      <c r="E50" s="68"/>
      <c r="F50" s="68"/>
      <c r="G50" s="68"/>
      <c r="H50" s="197"/>
      <c r="I50" s="68"/>
      <c r="J50" s="68"/>
      <c r="K50" s="68"/>
      <c r="L50" s="68"/>
      <c r="M50" s="68"/>
      <c r="N50" s="68"/>
      <c r="O50" s="68"/>
      <c r="P50" s="197"/>
      <c r="Q50" s="68"/>
      <c r="R50" s="68"/>
      <c r="S50" s="68"/>
      <c r="T50" s="68"/>
      <c r="U50" s="68"/>
      <c r="V50" s="68"/>
      <c r="W50" s="68"/>
      <c r="X50" s="68"/>
      <c r="Y50" s="68"/>
      <c r="Z50" s="68"/>
      <c r="AA50" s="68"/>
      <c r="AB50" s="68"/>
      <c r="AC50" s="68"/>
      <c r="AD50" s="68"/>
      <c r="AE50" s="68"/>
      <c r="AF50" s="47"/>
      <c r="AG50" s="47"/>
      <c r="AH50" s="47"/>
      <c r="AI50" s="47"/>
      <c r="AJ50" s="251" t="s">
        <v>267</v>
      </c>
      <c r="AK50" s="449">
        <f>SUMIF($AM$55:$AM$144,AJ50,$AO$55:$AO$144)</f>
        <v>0</v>
      </c>
      <c r="AL50" s="47"/>
    </row>
    <row r="51" spans="1:48" x14ac:dyDescent="0.3">
      <c r="A51" s="79"/>
      <c r="B51" s="80"/>
      <c r="C51" s="80"/>
      <c r="D51" s="80"/>
      <c r="E51" s="80"/>
      <c r="F51" s="80"/>
      <c r="G51" s="80"/>
      <c r="H51" s="202"/>
      <c r="I51" s="80"/>
      <c r="J51" s="80"/>
      <c r="K51" s="80"/>
      <c r="L51" s="80"/>
      <c r="M51" s="80"/>
      <c r="N51" s="80"/>
      <c r="O51" s="80"/>
      <c r="P51" s="202"/>
      <c r="Q51" s="80"/>
      <c r="R51" s="80"/>
      <c r="S51" s="80"/>
      <c r="T51" s="80"/>
      <c r="U51" s="80"/>
      <c r="V51" s="80"/>
      <c r="W51" s="80"/>
      <c r="X51" s="80"/>
      <c r="Y51" s="80"/>
      <c r="Z51" s="80"/>
      <c r="AA51" s="80"/>
      <c r="AB51" s="80"/>
      <c r="AC51" s="80"/>
      <c r="AD51" s="80"/>
      <c r="AE51" s="80"/>
      <c r="AF51" s="47"/>
      <c r="AG51" s="47"/>
      <c r="AH51" s="47"/>
      <c r="AI51" s="47"/>
      <c r="AJ51" s="228" t="s">
        <v>268</v>
      </c>
      <c r="AK51" s="448">
        <f>SUMIF($AM$55:$AM$144,AJ51,$AO$55:$AO$144)</f>
        <v>0</v>
      </c>
      <c r="AL51" s="47"/>
    </row>
    <row r="52" spans="1:48" x14ac:dyDescent="0.3">
      <c r="V52" s="81"/>
      <c r="AE52" s="47"/>
      <c r="AF52" s="47"/>
      <c r="AG52" s="47"/>
      <c r="AH52" s="47"/>
      <c r="AJ52" s="47"/>
      <c r="AK52" s="47"/>
      <c r="AL52" s="47"/>
    </row>
    <row r="53" spans="1:48" ht="15.6" x14ac:dyDescent="0.3">
      <c r="A53" s="208" t="s">
        <v>269</v>
      </c>
      <c r="B53" s="208"/>
      <c r="C53" s="208"/>
      <c r="D53" s="208"/>
      <c r="E53" s="208"/>
      <c r="F53" s="208"/>
      <c r="G53" s="208"/>
      <c r="H53" s="208"/>
      <c r="I53" s="442"/>
      <c r="J53" s="442"/>
      <c r="K53" s="442"/>
      <c r="L53" s="208"/>
      <c r="M53" s="208"/>
      <c r="N53" s="208"/>
      <c r="O53" s="82"/>
      <c r="P53" s="208"/>
      <c r="Q53" s="208"/>
      <c r="R53" s="442"/>
      <c r="S53" s="82"/>
      <c r="T53" s="82"/>
      <c r="U53" s="204" t="s">
        <v>270</v>
      </c>
      <c r="V53" s="204"/>
      <c r="W53" s="204"/>
      <c r="X53" s="204"/>
      <c r="Y53" s="204" t="s">
        <v>271</v>
      </c>
      <c r="Z53" s="204"/>
      <c r="AA53" s="204"/>
      <c r="AB53" s="204"/>
      <c r="AC53" s="204" t="s">
        <v>272</v>
      </c>
      <c r="AD53" s="204"/>
      <c r="AE53" s="204"/>
      <c r="AF53" s="204"/>
      <c r="AG53" s="204" t="s">
        <v>273</v>
      </c>
      <c r="AH53" s="204"/>
      <c r="AI53" s="204"/>
      <c r="AJ53" s="204"/>
      <c r="AK53" s="83"/>
      <c r="AL53" s="82"/>
      <c r="AM53" s="1410"/>
      <c r="AN53" s="1410"/>
      <c r="AO53" s="1410"/>
      <c r="AP53" s="551" t="s">
        <v>1407</v>
      </c>
      <c r="AQ53" s="47"/>
      <c r="AU53" s="975">
        <f>SUM(AU55:AU212)</f>
        <v>5636966.6789837899</v>
      </c>
      <c r="AV53" s="975">
        <f>SUM(AV55:AV212)</f>
        <v>3423859.186666667</v>
      </c>
    </row>
    <row r="54" spans="1:48" ht="44.85" customHeight="1" x14ac:dyDescent="0.3">
      <c r="A54" s="84" t="s">
        <v>950</v>
      </c>
      <c r="B54" s="84" t="s">
        <v>275</v>
      </c>
      <c r="C54" s="84" t="s">
        <v>276</v>
      </c>
      <c r="D54" s="84" t="s">
        <v>277</v>
      </c>
      <c r="E54" s="84" t="s">
        <v>278</v>
      </c>
      <c r="F54" s="84" t="s">
        <v>279</v>
      </c>
      <c r="G54" s="84" t="s">
        <v>280</v>
      </c>
      <c r="H54" s="84" t="s">
        <v>281</v>
      </c>
      <c r="I54" s="84" t="s">
        <v>951</v>
      </c>
      <c r="J54" s="84" t="s">
        <v>1408</v>
      </c>
      <c r="K54" s="250" t="s">
        <v>284</v>
      </c>
      <c r="L54" s="438" t="s">
        <v>285</v>
      </c>
      <c r="M54" s="84" t="s">
        <v>952</v>
      </c>
      <c r="N54" s="84" t="s">
        <v>287</v>
      </c>
      <c r="O54" s="84" t="s">
        <v>72</v>
      </c>
      <c r="P54" s="84" t="s">
        <v>288</v>
      </c>
      <c r="Q54" s="84" t="s">
        <v>289</v>
      </c>
      <c r="R54" s="84" t="s">
        <v>143</v>
      </c>
      <c r="S54" s="84"/>
      <c r="T54" s="84" t="s">
        <v>291</v>
      </c>
      <c r="U54" s="85">
        <v>46023</v>
      </c>
      <c r="V54" s="85">
        <v>46054</v>
      </c>
      <c r="W54" s="85">
        <v>46082</v>
      </c>
      <c r="X54" s="86" t="s">
        <v>292</v>
      </c>
      <c r="Y54" s="85">
        <v>46113</v>
      </c>
      <c r="Z54" s="85">
        <v>46143</v>
      </c>
      <c r="AA54" s="85">
        <v>46174</v>
      </c>
      <c r="AB54" s="86" t="s">
        <v>293</v>
      </c>
      <c r="AC54" s="85">
        <v>46204</v>
      </c>
      <c r="AD54" s="85">
        <v>46235</v>
      </c>
      <c r="AE54" s="85">
        <v>46266</v>
      </c>
      <c r="AF54" s="86" t="s">
        <v>294</v>
      </c>
      <c r="AG54" s="85">
        <v>46296</v>
      </c>
      <c r="AH54" s="85">
        <v>46327</v>
      </c>
      <c r="AI54" s="85">
        <v>46357</v>
      </c>
      <c r="AJ54" s="84" t="s">
        <v>295</v>
      </c>
      <c r="AK54" s="84" t="s">
        <v>296</v>
      </c>
      <c r="AL54" s="84" t="s">
        <v>297</v>
      </c>
      <c r="AM54" s="84" t="s">
        <v>244</v>
      </c>
      <c r="AN54" s="84" t="s">
        <v>298</v>
      </c>
      <c r="AO54" s="84" t="s">
        <v>299</v>
      </c>
      <c r="AP54" s="84" t="s">
        <v>300</v>
      </c>
      <c r="AR54" s="507" t="s">
        <v>301</v>
      </c>
      <c r="AU54" s="507" t="s">
        <v>302</v>
      </c>
      <c r="AV54" s="507" t="s">
        <v>303</v>
      </c>
    </row>
    <row r="55" spans="1:48" ht="29.1" customHeight="1" x14ac:dyDescent="0.3">
      <c r="A55" s="1380" t="s">
        <v>61</v>
      </c>
      <c r="B55" s="1691" t="s">
        <v>97</v>
      </c>
      <c r="C55" s="1482" t="s">
        <v>1409</v>
      </c>
      <c r="D55" s="1486" t="s">
        <v>1410</v>
      </c>
      <c r="E55" s="1368" t="s">
        <v>1411</v>
      </c>
      <c r="F55" s="1370" t="s">
        <v>1412</v>
      </c>
      <c r="G55" s="1372">
        <v>46054</v>
      </c>
      <c r="H55" s="1372">
        <v>46143</v>
      </c>
      <c r="I55" s="2117">
        <v>3000000</v>
      </c>
      <c r="J55" s="1376"/>
      <c r="K55" s="1389" t="str">
        <f>IF(J55="", "", 12 - MONTH(J55) + 1)</f>
        <v/>
      </c>
      <c r="L55" s="2119"/>
      <c r="M55" s="2147"/>
      <c r="N55" s="2148"/>
      <c r="O55" s="1782" t="s">
        <v>83</v>
      </c>
      <c r="P55" s="2129" t="s">
        <v>1413</v>
      </c>
      <c r="Q55" s="2125"/>
      <c r="R55" s="1327">
        <v>0.9</v>
      </c>
      <c r="S55" s="87" t="s">
        <v>116</v>
      </c>
      <c r="T55" s="91">
        <f ca="1">IF(OR(G55="", H55=""), "", IF(TODAY()&lt;G55, 0, IF(TODAY()&gt;H55, 1, (TODAY()-G55+1)/(H55-G55+1))))</f>
        <v>1</v>
      </c>
      <c r="U55" s="287">
        <f>IFERROR(IF(AND(U$54 &gt;= EOMONTH($J55,-1)+1, U$54 &lt;= EOMONTH($J55,$K55-1)), IF(NOT(ISBLANK($N55)),$N55/$K55,$I55/$K55), 0), 0)</f>
        <v>0</v>
      </c>
      <c r="V55" s="287">
        <f>IFERROR(IF(AND(V$54 &gt;= EOMONTH($J55,-1)+1, V$54 &lt;= EOMONTH($J55,$K55-1)), IF(NOT(ISBLANK($N55)),$N55/$K55,$I55/$K55), 0), 0)</f>
        <v>0</v>
      </c>
      <c r="W55" s="287">
        <f>IFERROR(IF(AND(W$54 &gt;= EOMONTH($J55,-1)+1, W$54 &lt;= EOMONTH($J55,$K55-1)), IF(NOT(ISBLANK($N55)),$N55/$K55,$I55/$K55), 0), 0)</f>
        <v>0</v>
      </c>
      <c r="X55" s="288">
        <f t="shared" ref="X55" si="10">SUM(U55:W55)</f>
        <v>0</v>
      </c>
      <c r="Y55" s="287">
        <f>IFERROR(IF(AND(Y$54 &gt;= EOMONTH($J55,-1)+1, Y$54 &lt;= EOMONTH($J55,$K55-1)), IF(NOT(ISBLANK($N55)),$N55/$K55,$I55/$K55), 0), 0)</f>
        <v>0</v>
      </c>
      <c r="Z55" s="287">
        <f>IFERROR(IF(AND(Z$54 &gt;= EOMONTH($J55,-1)+1, Z$54 &lt;= EOMONTH($J55,$K55-1)), IF(NOT(ISBLANK($N55)),$N55/$K55,$I55/$K55), 0), 0)</f>
        <v>0</v>
      </c>
      <c r="AA55" s="287">
        <f>IFERROR(IF(AND(AA$54 &gt;= EOMONTH($J55,-1)+1, AA$54 &lt;= EOMONTH($J55,$K55-1)), IF(NOT(ISBLANK($N55)),$N55/$K55,$I55/$K55), 0), 0)</f>
        <v>0</v>
      </c>
      <c r="AB55" s="288">
        <f t="shared" ref="AB55" si="11">SUM(Y55:AA55)</f>
        <v>0</v>
      </c>
      <c r="AC55" s="287">
        <f>IFERROR(IF(AND(AC$54 &gt;= EOMONTH($J55,-1)+1, AC$54 &lt;= EOMONTH($J55,$K55-1)), IF(NOT(ISBLANK($N55)),$N55/$K55,$I55/$K55), 0), 0)</f>
        <v>0</v>
      </c>
      <c r="AD55" s="287">
        <f>IFERROR(IF(AND(AD$54 &gt;= EOMONTH($J55,-1)+1, AD$54 &lt;= EOMONTH($J55,$K55-1)), IF(NOT(ISBLANK($N55)),$N55/$K55,$I55/$K55), 0), 0)</f>
        <v>0</v>
      </c>
      <c r="AE55" s="287">
        <f>IFERROR(IF(AND(AE$54 &gt;= EOMONTH($J55,-1)+1, AE$54 &lt;= EOMONTH($J55,$K55-1)), IF(NOT(ISBLANK($N55)),$N55/$K55,$I55/$K55), 0), 0)</f>
        <v>0</v>
      </c>
      <c r="AF55" s="288">
        <f t="shared" ref="AF55:AF58" si="12">SUM(AC55:AE55)</f>
        <v>0</v>
      </c>
      <c r="AG55" s="287">
        <f>IFERROR(IF(AND(AG$54 &gt;= EOMONTH($J55,-1)+1, AG$54 &lt;= EOMONTH($J55,$K55-1)), IF(NOT(ISBLANK($N55)),$N55/$K55,$I55/$K55), 0), 0)</f>
        <v>0</v>
      </c>
      <c r="AH55" s="287">
        <f>IFERROR(IF(AND(AH$54 &gt;= EOMONTH($J55,-1)+1, AH$54 &lt;= EOMONTH($J55,$K55-1)), IF(NOT(ISBLANK($N55)),$N55/$K55,$I55/$K55), 0), 0)</f>
        <v>0</v>
      </c>
      <c r="AI55" s="287">
        <f>IFERROR(IF(AND(AI$54 &gt;= EOMONTH($J55,-1)+1, AI$54 &lt;= EOMONTH($J55,$K55-1)), IF(NOT(ISBLANK($N55)),$N55/$K55,$I55/$K55), 0), 0)</f>
        <v>0</v>
      </c>
      <c r="AJ55" s="89">
        <f t="shared" ref="AJ55:AJ56" si="13">SUM(AG55:AI55)</f>
        <v>0</v>
      </c>
      <c r="AK55" s="90">
        <f>SUM(X55,AB55,AF55,AJ55)</f>
        <v>0</v>
      </c>
      <c r="AL55" s="98"/>
      <c r="AM55" s="1370"/>
      <c r="AN55" s="1411"/>
      <c r="AO55" s="1405">
        <f>N55*AN55</f>
        <v>0</v>
      </c>
      <c r="AP55" s="98" t="str">
        <f>C55</f>
        <v>01 - Clientes com baixa margem de contribuição.</v>
      </c>
      <c r="AQ55" s="62" t="s">
        <v>311</v>
      </c>
      <c r="AR55" s="508" t="s">
        <v>128</v>
      </c>
      <c r="AS55" s="62" t="str">
        <f>A55</f>
        <v>Kaizen - Custo Evitado</v>
      </c>
      <c r="AU55" s="1566">
        <f>IF(OR(I55="",K55=""),0,(I55/12)*K55)</f>
        <v>0</v>
      </c>
      <c r="AV55" s="1566">
        <f>IF(OR(N55="",K55="",K55=0),0,(N55/K55)*12)</f>
        <v>0</v>
      </c>
    </row>
    <row r="56" spans="1:48" ht="29.1" customHeight="1" x14ac:dyDescent="0.3">
      <c r="A56" s="1381"/>
      <c r="B56" s="1692"/>
      <c r="C56" s="1483"/>
      <c r="D56" s="1487"/>
      <c r="E56" s="1369"/>
      <c r="F56" s="1371"/>
      <c r="G56" s="1373"/>
      <c r="H56" s="1373"/>
      <c r="I56" s="2118"/>
      <c r="J56" s="1377"/>
      <c r="K56" s="1390"/>
      <c r="L56" s="2120"/>
      <c r="M56" s="1348"/>
      <c r="N56" s="2149"/>
      <c r="O56" s="1783"/>
      <c r="P56" s="1672"/>
      <c r="Q56" s="2126"/>
      <c r="R56" s="1328"/>
      <c r="S56" s="87" t="s">
        <v>117</v>
      </c>
      <c r="T56" s="91">
        <v>0.5</v>
      </c>
      <c r="U56" s="965"/>
      <c r="V56" s="965"/>
      <c r="W56" s="965"/>
      <c r="X56" s="965">
        <f t="shared" ref="X56" si="14">SUM(U56:W56)</f>
        <v>0</v>
      </c>
      <c r="Y56" s="965"/>
      <c r="Z56" s="965"/>
      <c r="AA56" s="965"/>
      <c r="AB56" s="965">
        <f t="shared" ref="AB56:AB58" si="15">SUM(Y56:AA56)</f>
        <v>0</v>
      </c>
      <c r="AC56" s="965"/>
      <c r="AD56" s="965"/>
      <c r="AE56" s="965"/>
      <c r="AF56" s="965">
        <f t="shared" si="12"/>
        <v>0</v>
      </c>
      <c r="AG56" s="965"/>
      <c r="AH56" s="965"/>
      <c r="AI56" s="965"/>
      <c r="AJ56" s="965">
        <f t="shared" si="13"/>
        <v>0</v>
      </c>
      <c r="AK56" s="966">
        <f t="shared" ref="AK56:AK144" si="16">SUM(X56,AB56,AF56,AJ56)</f>
        <v>0</v>
      </c>
      <c r="AL56" s="337"/>
      <c r="AM56" s="1371"/>
      <c r="AN56" s="1412"/>
      <c r="AO56" s="1406"/>
      <c r="AP56" s="92" t="str">
        <f>C55</f>
        <v>01 - Clientes com baixa margem de contribuição.</v>
      </c>
      <c r="AQ56" s="62" t="s">
        <v>313</v>
      </c>
      <c r="AR56" s="508" t="str" cm="1">
        <f t="array" aca="1" ref="AR56" ca="1">IF(OR(AP56="",AP56=0),"",IF(SUMPRODUCT(($C$55:$C$191=AP56)*(U$54:$AI$54&lt;EOMONTH(TODAY(),-1)+1)*(ISNUMBER(U$56:$AI$192)),U$56:$AI$192)=0,"",SUMPRODUCT(($C$55:$C$191=AP56)*(U$54:$AI$54&lt;EOMONTH(TODAY(),-1)+1)*(ISNUMBER(U$56:$AI$192)),U$56:$AI$192)))</f>
        <v/>
      </c>
      <c r="AS56" s="62" t="str">
        <f>A55</f>
        <v>Kaizen - Custo Evitado</v>
      </c>
      <c r="AU56" s="1567"/>
      <c r="AV56" s="1567"/>
    </row>
    <row r="57" spans="1:48" ht="29.1" customHeight="1" x14ac:dyDescent="0.3">
      <c r="A57" s="1407" t="s">
        <v>59</v>
      </c>
      <c r="B57" s="1407" t="s">
        <v>97</v>
      </c>
      <c r="C57" s="1465" t="s">
        <v>1414</v>
      </c>
      <c r="D57" s="1356" t="s">
        <v>1415</v>
      </c>
      <c r="E57" s="1449" t="s">
        <v>1416</v>
      </c>
      <c r="F57" s="1451" t="s">
        <v>1392</v>
      </c>
      <c r="G57" s="1366">
        <v>46054</v>
      </c>
      <c r="H57" s="1366">
        <v>46087</v>
      </c>
      <c r="I57" s="1488">
        <v>7000.0001561649997</v>
      </c>
      <c r="J57" s="1378">
        <v>46113</v>
      </c>
      <c r="K57" s="1387">
        <f>IF(J57="", "", 12 - MONTH(J57) + 1)</f>
        <v>9</v>
      </c>
      <c r="L57" s="1395"/>
      <c r="M57" s="1720" t="s">
        <v>308</v>
      </c>
      <c r="N57" s="1704">
        <v>6800</v>
      </c>
      <c r="O57" s="1782" t="s">
        <v>81</v>
      </c>
      <c r="P57" s="2129" t="s">
        <v>1417</v>
      </c>
      <c r="Q57" s="2115"/>
      <c r="R57" s="1334">
        <v>1</v>
      </c>
      <c r="S57" s="93" t="s">
        <v>116</v>
      </c>
      <c r="T57" s="96">
        <f ca="1">IF(OR(G57="", H57=""), "", IF(TODAY()&lt;G57, 0, IF(TODAY()&gt;H57, 1, (TODAY()-G57+1)/(H57-G57+1))))</f>
        <v>1</v>
      </c>
      <c r="U57" s="498">
        <f>IFERROR(IF(AND(U$54&gt;=EOMONTH($J57,-1)+1,U$54&lt;=EOMONTH(EOMONTH($J57,-1)+1,$K57-1)),IF(NOT(ISBLANK($N57)),$N57/$K57,$I57/$K57),0),0)</f>
        <v>0</v>
      </c>
      <c r="V57" s="596">
        <f>IFERROR(IF(AND(V$54&gt;=EOMONTH($J57,-1)+1,V$54&lt;=EOMONTH(EOMONTH($J57,-1)+1,$K57-1)),IF(NOT(ISBLANK($N57)),$N57/$K57,$I57/$K57),0),0)</f>
        <v>0</v>
      </c>
      <c r="W57" s="596">
        <f>IFERROR(IF(AND(W$54&gt;=EOMONTH($J57,-1)+1,W$54&lt;=EOMONTH(EOMONTH($J57,-1)+1,$K57-1)),IF(NOT(ISBLANK($N57)),$N57/$K57,$I57/$K57),0),0)</f>
        <v>0</v>
      </c>
      <c r="X57" s="89">
        <f t="shared" ref="X57:X58" si="17">SUM(U57:W57)</f>
        <v>0</v>
      </c>
      <c r="Y57" s="498">
        <f>IFERROR(IF(AND(Y$54&gt;=EOMONTH($J57,-1)+1,Y$54&lt;=EOMONTH(EOMONTH($J57,-1)+1,$K57-1)),IF(NOT(ISBLANK($N57)),$N57/$K57,$I57/$K57),0),0)</f>
        <v>755.55555555555554</v>
      </c>
      <c r="Z57" s="498">
        <f>IFERROR(IF(AND(Z$54&gt;=EOMONTH($J57,-1)+1,Z$54&lt;=EOMONTH(EOMONTH($J57,-1)+1,$K57-1)),IF(NOT(ISBLANK($N57)),$N57/$K57,$I57/$K57),0),0)</f>
        <v>755.55555555555554</v>
      </c>
      <c r="AA57" s="498">
        <f>IFERROR(IF(AND(AA$54&gt;=EOMONTH($J57,-1)+1,AA$54&lt;=EOMONTH(EOMONTH($J57,-1)+1,$K57-1)),IF(NOT(ISBLANK($N57)),$N57/$K57,$I57/$K57),0),0)</f>
        <v>755.55555555555554</v>
      </c>
      <c r="AB57" s="89">
        <f t="shared" si="15"/>
        <v>2266.6666666666665</v>
      </c>
      <c r="AC57" s="498">
        <f>IFERROR(IF(AND(AC$54&gt;=EOMONTH($J57,-1)+1,AC$54&lt;=EOMONTH(EOMONTH($J57,-1)+1,$K57-1)),IF(NOT(ISBLANK($N57)),$N57/$K57,$I57/$K57),0),0)</f>
        <v>755.55555555555554</v>
      </c>
      <c r="AD57" s="498">
        <f>IFERROR(IF(AND(AD$54&gt;=EOMONTH($J57,-1)+1,AD$54&lt;=EOMONTH(EOMONTH($J57,-1)+1,$K57-1)),IF(NOT(ISBLANK($N57)),$N57/$K57,$I57/$K57),0),0)</f>
        <v>755.55555555555554</v>
      </c>
      <c r="AE57" s="498">
        <f>IFERROR(IF(AND(AE$54&gt;=EOMONTH($J57,-1)+1,AE$54&lt;=EOMONTH(EOMONTH($J57,-1)+1,$K57-1)),IF(NOT(ISBLANK($N57)),$N57/$K57,$I57/$K57),0),0)</f>
        <v>755.55555555555554</v>
      </c>
      <c r="AF57" s="89">
        <f t="shared" si="12"/>
        <v>2266.6666666666665</v>
      </c>
      <c r="AG57" s="498">
        <f>IFERROR(IF(AND(AG$54&gt;=EOMONTH($J57,-1)+1,AG$54&lt;=EOMONTH(EOMONTH($J57,-1)+1,$K57-1)),IF(NOT(ISBLANK($N57)),$N57/$K57,$I57/$K57),0),0)</f>
        <v>755.55555555555554</v>
      </c>
      <c r="AH57" s="498">
        <f>IFERROR(IF(AND(AH$54&gt;=EOMONTH($J57,-1)+1,AH$54&lt;=EOMONTH(EOMONTH($J57,-1)+1,$K57-1)),IF(NOT(ISBLANK($N57)),$N57/$K57,$I57/$K57),0),0)</f>
        <v>755.55555555555554</v>
      </c>
      <c r="AI57" s="498">
        <f>IFERROR(IF(AND(AI$54&gt;=EOMONTH($J57,-1)+1,AI$54&lt;=EOMONTH(EOMONTH($J57,-1)+1,$K57-1)),IF(NOT(ISBLANK($N57)),$N57/$K57,$I57/$K57),0),0)</f>
        <v>755.55555555555554</v>
      </c>
      <c r="AJ57" s="89">
        <f t="shared" ref="AJ57:AJ144" si="18">SUM(AG57:AI57)</f>
        <v>2266.6666666666665</v>
      </c>
      <c r="AK57" s="95">
        <f t="shared" si="16"/>
        <v>6800</v>
      </c>
      <c r="AL57" s="97"/>
      <c r="AM57" s="1407"/>
      <c r="AN57" s="1334"/>
      <c r="AO57" s="1403">
        <f>N57*AN57</f>
        <v>0</v>
      </c>
      <c r="AP57" s="97" t="str">
        <f>C57</f>
        <v xml:space="preserve">02 - Eficiência dos planos de corte </v>
      </c>
      <c r="AQ57" s="62" t="s">
        <v>311</v>
      </c>
      <c r="AR57" s="508" cm="1">
        <f t="array" aca="1" ref="AR57" ca="1">IF(OR(AP57="",AP57=0),"",IF(SUMPRODUCT(($C$55:$C$191=AP57)*(U$54:$AI$54&lt;EOMONTH(TODAY(),-1)+1)*(ISNUMBER(U$55:$AI$191)),U$55:$AI$191)=0,"",SUMPRODUCT(($C$55:$C$191=AP57)*(U$54:$AI$54&lt;EOMONTH(TODAY(),-1)+1)*(ISNUMBER(U$55:$AI$191)),U$55:$AI$191)))</f>
        <v>3022.2222222222222</v>
      </c>
      <c r="AS57" s="62" t="str">
        <f>A57</f>
        <v>Kaizen - Ganho Recorrente</v>
      </c>
      <c r="AU57" s="1566">
        <f t="shared" ref="AU57" si="19">IF(OR(I57="",K57=""),0,(I57/12)*K57)</f>
        <v>5250.00011712375</v>
      </c>
      <c r="AV57" s="1566">
        <f t="shared" ref="AV57" si="20">IF(OR(N57="",K57="",K57=0),0,(N57/K57)*12)</f>
        <v>9066.6666666666661</v>
      </c>
    </row>
    <row r="58" spans="1:48" ht="29.1" customHeight="1" x14ac:dyDescent="0.3">
      <c r="A58" s="1408"/>
      <c r="B58" s="1408"/>
      <c r="C58" s="1466"/>
      <c r="D58" s="1455"/>
      <c r="E58" s="1450"/>
      <c r="F58" s="1452"/>
      <c r="G58" s="1367"/>
      <c r="H58" s="1367"/>
      <c r="I58" s="1367"/>
      <c r="J58" s="1379"/>
      <c r="K58" s="1388"/>
      <c r="L58" s="1396"/>
      <c r="M58" s="1721"/>
      <c r="N58" s="1705"/>
      <c r="O58" s="1783"/>
      <c r="P58" s="2150"/>
      <c r="Q58" s="2116"/>
      <c r="R58" s="1330"/>
      <c r="S58" s="93" t="s">
        <v>117</v>
      </c>
      <c r="T58" s="96">
        <v>1</v>
      </c>
      <c r="U58" s="290">
        <v>0</v>
      </c>
      <c r="V58" s="587">
        <v>0</v>
      </c>
      <c r="W58" s="587">
        <v>0</v>
      </c>
      <c r="X58" s="288">
        <f t="shared" si="17"/>
        <v>0</v>
      </c>
      <c r="Y58" s="498">
        <v>0</v>
      </c>
      <c r="Z58" s="498">
        <v>634.19000000000005</v>
      </c>
      <c r="AA58" s="498">
        <v>646.15</v>
      </c>
      <c r="AB58" s="89">
        <f t="shared" si="15"/>
        <v>1280.3400000000001</v>
      </c>
      <c r="AC58" s="498">
        <v>602.28</v>
      </c>
      <c r="AD58" s="498"/>
      <c r="AE58" s="290"/>
      <c r="AF58" s="288">
        <f t="shared" si="12"/>
        <v>602.28</v>
      </c>
      <c r="AG58" s="290"/>
      <c r="AH58" s="290"/>
      <c r="AI58" s="290"/>
      <c r="AJ58" s="288">
        <f t="shared" si="18"/>
        <v>0</v>
      </c>
      <c r="AK58" s="291">
        <f t="shared" si="16"/>
        <v>1882.6200000000001</v>
      </c>
      <c r="AL58" s="97"/>
      <c r="AM58" s="1408"/>
      <c r="AN58" s="1330"/>
      <c r="AO58" s="1404"/>
      <c r="AP58" s="97" t="str">
        <f>C57</f>
        <v xml:space="preserve">02 - Eficiência dos planos de corte </v>
      </c>
      <c r="AQ58" s="62" t="s">
        <v>313</v>
      </c>
      <c r="AR58" s="508" cm="1">
        <f t="array" aca="1" ref="AR58" ca="1">IF(OR(AP58="",AP58=0),"",IF(SUMPRODUCT(($C$55:$C$191=AP58)*(U$54:$AI$54&lt;EOMONTH(TODAY(),-1)+1)*(ISNUMBER(U$56:$AI$192)),U$56:$AI$192)=0,"",SUMPRODUCT(($C$55:$C$191=AP58)*(U$54:$AI$54&lt;EOMONTH(TODAY(),-1)+1)*(ISNUMBER(U$56:$AI$192)),U$56:$AI$192)))</f>
        <v>1882.6200000000001</v>
      </c>
      <c r="AS58" s="62" t="str">
        <f>A57</f>
        <v>Kaizen - Ganho Recorrente</v>
      </c>
      <c r="AU58" s="1567"/>
      <c r="AV58" s="1567"/>
    </row>
    <row r="59" spans="1:48" ht="29.1" customHeight="1" x14ac:dyDescent="0.3">
      <c r="A59" s="1380" t="s">
        <v>953</v>
      </c>
      <c r="B59" s="1691" t="s">
        <v>99</v>
      </c>
      <c r="C59" s="1482" t="s">
        <v>1418</v>
      </c>
      <c r="D59" s="1486" t="s">
        <v>1419</v>
      </c>
      <c r="E59" s="1368" t="s">
        <v>1420</v>
      </c>
      <c r="F59" s="1370" t="s">
        <v>1392</v>
      </c>
      <c r="G59" s="1372">
        <v>46023</v>
      </c>
      <c r="H59" s="1372">
        <v>46127</v>
      </c>
      <c r="I59" s="1354">
        <v>900000</v>
      </c>
      <c r="J59" s="1376">
        <v>46023</v>
      </c>
      <c r="K59" s="1389">
        <f t="shared" ref="K59" si="21">IF(J59="", "", 12 - MONTH(J59) + 1)</f>
        <v>12</v>
      </c>
      <c r="L59" s="1354"/>
      <c r="M59" s="1347" t="s">
        <v>308</v>
      </c>
      <c r="N59" s="1704">
        <v>505242.56</v>
      </c>
      <c r="O59" s="1782" t="s">
        <v>81</v>
      </c>
      <c r="P59" s="2127" t="s">
        <v>1421</v>
      </c>
      <c r="Q59" s="2125"/>
      <c r="R59" s="1327">
        <v>0.8</v>
      </c>
      <c r="S59" s="87" t="s">
        <v>116</v>
      </c>
      <c r="T59" s="91">
        <f ca="1">IF(OR(G59="", H59=""), "", IF(TODAY()&lt;G59, 0, IF(TODAY()&gt;H59, 1, (TODAY()-G59+1)/(H59-G59+1))))</f>
        <v>1</v>
      </c>
      <c r="U59" s="287">
        <f>IFERROR(IF(AND(U$54&gt;=EOMONTH($J59,-1)+1,U$54&lt;=EOMONTH(EOMONTH($J59,-1)+1,$K59-1)),IF(NOT(ISBLANK($N59)),$N59/$K59,$I59/$K59),0),0)</f>
        <v>42103.546666666669</v>
      </c>
      <c r="V59" s="704">
        <f>IFERROR(IF(AND(V$54&gt;=EOMONTH($J59,-1)+1,V$54&lt;=EOMONTH(EOMONTH($J59,-1)+1,$K59-1)),IF(NOT(ISBLANK($N59)),$N59/$K59,$I59/$K59),0),0)</f>
        <v>42103.546666666669</v>
      </c>
      <c r="W59" s="704">
        <f>IFERROR(IF(AND(W$54&gt;=EOMONTH($J59,-1)+1,W$54&lt;=EOMONTH(EOMONTH($J59,-1)+1,$K59-1)),IF(NOT(ISBLANK($N59)),$N59/$K59,$I59/$K59),0),0)</f>
        <v>42103.546666666669</v>
      </c>
      <c r="X59" s="89">
        <f>SUM(U59:W59)</f>
        <v>126310.64000000001</v>
      </c>
      <c r="Y59" s="547">
        <f>IFERROR(IF(AND(Y$54&gt;=EOMONTH($J59,-1)+1,Y$54&lt;=EOMONTH(EOMONTH($J59,-1)+1,$K59-1)),IF(NOT(ISBLANK($N59)),$N59/$K59,$I59/$K59),0),0)</f>
        <v>42103.546666666669</v>
      </c>
      <c r="Z59" s="287">
        <f>IFERROR(IF(AND(Z$54&gt;=EOMONTH($J59,-1)+1,Z$54&lt;=EOMONTH(EOMONTH($J59,-1)+1,$K59-1)),IF(NOT(ISBLANK($N59)),$N59/$K59,$I59/$K59),0),0)</f>
        <v>42103.546666666669</v>
      </c>
      <c r="AA59" s="287">
        <f>IFERROR(IF(AND(AA$54&gt;=EOMONTH($J59,-1)+1,AA$54&lt;=EOMONTH(EOMONTH($J59,-1)+1,$K59-1)),IF(NOT(ISBLANK($N59)),$N59/$K59,$I59/$K59),0),0)</f>
        <v>42103.546666666669</v>
      </c>
      <c r="AB59" s="89">
        <f t="shared" ref="AB59" si="22">SUM(Y59:AA59)</f>
        <v>126310.64000000001</v>
      </c>
      <c r="AC59" s="287">
        <f>IFERROR(IF(AND(AC$54&gt;=EOMONTH($J59,-1)+1,AC$54&lt;=EOMONTH(EOMONTH($J59,-1)+1,$K59-1)),IF(NOT(ISBLANK($N59)),$N59/$K59,$I59/$K59),0),0)</f>
        <v>42103.546666666669</v>
      </c>
      <c r="AD59" s="287">
        <f>IFERROR(IF(AND(AD$54&gt;=EOMONTH($J59,-1)+1,AD$54&lt;=EOMONTH(EOMONTH($J59,-1)+1,$K59-1)),IF(NOT(ISBLANK($N59)),$N59/$K59,$I59/$K59),0),0)</f>
        <v>42103.546666666669</v>
      </c>
      <c r="AE59" s="287">
        <f>IFERROR(IF(AND(AE$54&gt;=EOMONTH($J59,-1)+1,AE$54&lt;=EOMONTH(EOMONTH($J59,-1)+1,$K59-1)),IF(NOT(ISBLANK($N59)),$N59/$K59,$I59/$K59),0),0)</f>
        <v>42103.546666666669</v>
      </c>
      <c r="AF59" s="89">
        <f t="shared" ref="AF59" si="23">SUM(AC59:AE59)</f>
        <v>126310.64000000001</v>
      </c>
      <c r="AG59" s="287">
        <f>IFERROR(IF(AND(AG$54&gt;=EOMONTH($J59,-1)+1,AG$54&lt;=EOMONTH(EOMONTH($J59,-1)+1,$K59-1)),IF(NOT(ISBLANK($N59)),$N59/$K59,$I59/$K59),0),0)</f>
        <v>42103.546666666669</v>
      </c>
      <c r="AH59" s="287">
        <f>IFERROR(IF(AND(AH$54&gt;=EOMONTH($J59,-1)+1,AH$54&lt;=EOMONTH(EOMONTH($J59,-1)+1,$K59-1)),IF(NOT(ISBLANK($N59)),$N59/$K59,$I59/$K59),0),0)</f>
        <v>42103.546666666669</v>
      </c>
      <c r="AI59" s="287">
        <f>IFERROR(IF(AND(AI$54&gt;=EOMONTH($J59,-1)+1,AI$54&lt;=EOMONTH(EOMONTH($J59,-1)+1,$K59-1)),IF(NOT(ISBLANK($N59)),$N59/$K59,$I59/$K59),0),0)</f>
        <v>42103.546666666669</v>
      </c>
      <c r="AJ59" s="89">
        <f t="shared" si="18"/>
        <v>126310.64000000001</v>
      </c>
      <c r="AK59" s="90">
        <f t="shared" si="16"/>
        <v>505242.56000000006</v>
      </c>
      <c r="AL59" s="98"/>
      <c r="AM59" s="1370"/>
      <c r="AN59" s="1411"/>
      <c r="AO59" s="1405">
        <f>N59*AN59</f>
        <v>0</v>
      </c>
      <c r="AP59" s="98" t="str">
        <f>C59</f>
        <v xml:space="preserve">03 - Consumo de desmoldante </v>
      </c>
      <c r="AQ59" s="62" t="s">
        <v>311</v>
      </c>
      <c r="AR59" s="508" cm="1">
        <f t="array" aca="1" ref="AR59" ca="1">IF(OR(AP59="",AP59=0),"",IF(SUMPRODUCT(($C$55:$C$191=AP59)*(U$54:$AI$54&lt;EOMONTH(TODAY(),-1)+1)*(ISNUMBER(U$55:$AI$191)),U$55:$AI$191)=0,"",SUMPRODUCT(($C$55:$C$191=AP59)*(U$54:$AI$54&lt;EOMONTH(TODAY(),-1)+1)*(ISNUMBER(U$55:$AI$191)),U$55:$AI$191)))</f>
        <v>294724.82666666666</v>
      </c>
      <c r="AS59" s="62" t="str">
        <f>A59</f>
        <v>Redução de custo</v>
      </c>
      <c r="AU59" s="1566">
        <f t="shared" ref="AU59" si="24">IF(OR(I59="",K59=""),0,(I59/12)*K59)</f>
        <v>900000</v>
      </c>
      <c r="AV59" s="1566">
        <f t="shared" ref="AV59" si="25">IF(OR(N59="",K59="",K59=0),0,(N59/K59)*12)</f>
        <v>505242.56000000006</v>
      </c>
    </row>
    <row r="60" spans="1:48" ht="29.1" customHeight="1" x14ac:dyDescent="0.3">
      <c r="A60" s="1381"/>
      <c r="B60" s="1692"/>
      <c r="C60" s="1483"/>
      <c r="D60" s="1487"/>
      <c r="E60" s="1369"/>
      <c r="F60" s="1371"/>
      <c r="G60" s="1373"/>
      <c r="H60" s="1373"/>
      <c r="I60" s="1355"/>
      <c r="J60" s="1377"/>
      <c r="K60" s="1390"/>
      <c r="L60" s="1355"/>
      <c r="M60" s="1469"/>
      <c r="N60" s="1705"/>
      <c r="O60" s="1783"/>
      <c r="P60" s="2128"/>
      <c r="Q60" s="2126"/>
      <c r="R60" s="1328"/>
      <c r="S60" s="87" t="s">
        <v>117</v>
      </c>
      <c r="T60" s="91">
        <v>1</v>
      </c>
      <c r="U60" s="547">
        <v>64807.31</v>
      </c>
      <c r="V60" s="547">
        <v>82635.649999999994</v>
      </c>
      <c r="W60" s="547">
        <v>94161.62</v>
      </c>
      <c r="X60" s="288">
        <f t="shared" ref="X60:X67" si="26">SUM(U60:W60)</f>
        <v>241604.58</v>
      </c>
      <c r="Y60" s="547">
        <v>84706.19</v>
      </c>
      <c r="Z60" s="287">
        <v>95590.15</v>
      </c>
      <c r="AA60" s="969">
        <v>103228.81</v>
      </c>
      <c r="AB60" s="288">
        <f t="shared" ref="AB60:AB144" si="27">SUM(Y60:AA60)</f>
        <v>283525.15000000002</v>
      </c>
      <c r="AC60" s="287"/>
      <c r="AD60" s="287"/>
      <c r="AE60" s="287"/>
      <c r="AF60" s="288">
        <f t="shared" ref="AF60:AF144" si="28">SUM(AC60:AE60)</f>
        <v>0</v>
      </c>
      <c r="AG60" s="287"/>
      <c r="AH60" s="287"/>
      <c r="AI60" s="287"/>
      <c r="AJ60" s="288">
        <f t="shared" si="18"/>
        <v>0</v>
      </c>
      <c r="AK60" s="289">
        <f t="shared" si="16"/>
        <v>525129.73</v>
      </c>
      <c r="AL60" s="337"/>
      <c r="AM60" s="1371"/>
      <c r="AN60" s="1412"/>
      <c r="AO60" s="1406"/>
      <c r="AP60" s="92" t="str">
        <f>C59</f>
        <v xml:space="preserve">03 - Consumo de desmoldante </v>
      </c>
      <c r="AQ60" s="62" t="s">
        <v>313</v>
      </c>
      <c r="AR60" s="508" cm="1">
        <f t="array" aca="1" ref="AR60" ca="1">IF(OR(AP60="",AP60=0),"",IF(SUMPRODUCT(($C$55:$C$191=AP60)*(U$54:$AI$54&lt;EOMONTH(TODAY(),-1)+1)*(ISNUMBER(U$56:$AI$192)),U$56:$AI$192)=0,"",SUMPRODUCT(($C$55:$C$191=AP60)*(U$54:$AI$54&lt;EOMONTH(TODAY(),-1)+1)*(ISNUMBER(U$56:$AI$192)),U$56:$AI$192)))</f>
        <v>525129.73</v>
      </c>
      <c r="AS60" s="62" t="str">
        <f>A59</f>
        <v>Redução de custo</v>
      </c>
      <c r="AU60" s="1567"/>
      <c r="AV60" s="1567"/>
    </row>
    <row r="61" spans="1:48" ht="29.1" customHeight="1" x14ac:dyDescent="0.3">
      <c r="A61" s="1380" t="s">
        <v>925</v>
      </c>
      <c r="B61" s="1407" t="s">
        <v>97</v>
      </c>
      <c r="C61" s="1465" t="s">
        <v>1422</v>
      </c>
      <c r="D61" s="1486" t="s">
        <v>1423</v>
      </c>
      <c r="E61" s="1368" t="s">
        <v>1424</v>
      </c>
      <c r="F61" s="1370" t="s">
        <v>1425</v>
      </c>
      <c r="G61" s="2159">
        <v>46023</v>
      </c>
      <c r="H61" s="2159">
        <v>46171</v>
      </c>
      <c r="I61" s="2117">
        <v>450000</v>
      </c>
      <c r="J61" s="1376">
        <v>46171</v>
      </c>
      <c r="K61" s="1389">
        <f t="shared" ref="K61" si="29">IF(J61="", "", 12 - MONTH(J61) + 1)</f>
        <v>8</v>
      </c>
      <c r="L61" s="1354"/>
      <c r="M61" s="1352"/>
      <c r="N61" s="2151"/>
      <c r="O61" s="1782" t="s">
        <v>81</v>
      </c>
      <c r="P61" s="2127" t="s">
        <v>1426</v>
      </c>
      <c r="Q61" s="2115"/>
      <c r="R61" s="1334">
        <v>1</v>
      </c>
      <c r="S61" s="93" t="s">
        <v>116</v>
      </c>
      <c r="T61" s="96">
        <f ca="1">IF(OR(G61="", H61=""), "", IF(TODAY()&lt;G61, 0, IF(TODAY()&gt;H61, 1, (TODAY()-G61+1)/(H61-G61+1))))</f>
        <v>1</v>
      </c>
      <c r="U61" s="498">
        <f>IFERROR(IF(AND(U$54&gt;=EOMONTH($J61,-1)+1,U$54&lt;=EOMONTH(EOMONTH($J61,-1)+1,$K61-1)),IF(NOT(ISBLANK($N61)),$N61/$K61,$I61/$K61),0),0)</f>
        <v>0</v>
      </c>
      <c r="V61" s="498">
        <f>IFERROR(IF(AND(V$54&gt;=EOMONTH($J61,-1)+1,V$54&lt;=EOMONTH(EOMONTH($J61,-1)+1,$K61-1)),IF(NOT(ISBLANK($N61)),$N61/$K61,$I61/$K61),0),0)</f>
        <v>0</v>
      </c>
      <c r="W61" s="498">
        <f>IFERROR(IF(AND(W$54&gt;=EOMONTH($J61,-1)+1,W$54&lt;=EOMONTH(EOMONTH($J61,-1)+1,$K61-1)),IF(NOT(ISBLANK($N61)),$N61/$K61,$I61/$K61),0),0)</f>
        <v>0</v>
      </c>
      <c r="X61" s="89">
        <f t="shared" si="26"/>
        <v>0</v>
      </c>
      <c r="Y61" s="498">
        <f>IFERROR(IF(AND(Y$54&gt;=EOMONTH($J61,-1)+1,Y$54&lt;=EOMONTH(EOMONTH($J61,-1)+1,$K61-1)),IF(NOT(ISBLANK($N61)),$N61/$K61,$I61/$K61),0),0)</f>
        <v>0</v>
      </c>
      <c r="Z61" s="498">
        <f>IFERROR(IF(AND(Z$54&gt;=EOMONTH($J61,-1)+1,Z$54&lt;=EOMONTH(EOMONTH($J61,-1)+1,$K61-1)),IF(NOT(ISBLANK($N61)),$N61/$K61,$I61/$K61),0),0)</f>
        <v>56250</v>
      </c>
      <c r="AA61" s="498">
        <f>IFERROR(IF(AND(AA$54&gt;=EOMONTH($J61,-1)+1,AA$54&lt;=EOMONTH(EOMONTH($J61,-1)+1,$K61-1)),IF(NOT(ISBLANK($N61)),$N61/$K61,$I61/$K61),0),0)</f>
        <v>56250</v>
      </c>
      <c r="AB61" s="89">
        <f t="shared" si="27"/>
        <v>112500</v>
      </c>
      <c r="AC61" s="498">
        <f>IFERROR(IF(AND(AC$54&gt;=EOMONTH($J61,-1)+1,AC$54&lt;=EOMONTH(EOMONTH($J61,-1)+1,$K61-1)),IF(NOT(ISBLANK($N61)),$N61/$K61,$I61/$K61),0),0)</f>
        <v>56250</v>
      </c>
      <c r="AD61" s="498">
        <f>IFERROR(IF(AND(AD$54&gt;=EOMONTH($J61,-1)+1,AD$54&lt;=EOMONTH(EOMONTH($J61,-1)+1,$K61-1)),IF(NOT(ISBLANK($N61)),$N61/$K61,$I61/$K61),0),0)</f>
        <v>56250</v>
      </c>
      <c r="AE61" s="498">
        <f>IFERROR(IF(AND(AE$54&gt;=EOMONTH($J61,-1)+1,AE$54&lt;=EOMONTH(EOMONTH($J61,-1)+1,$K61-1)),IF(NOT(ISBLANK($N61)),$N61/$K61,$I61/$K61),0),0)</f>
        <v>56250</v>
      </c>
      <c r="AF61" s="89">
        <f t="shared" si="28"/>
        <v>168750</v>
      </c>
      <c r="AG61" s="498">
        <f>IFERROR(IF(AND(AG$54&gt;=EOMONTH($J61,-1)+1,AG$54&lt;=EOMONTH(EOMONTH($J61,-1)+1,$K61-1)),IF(NOT(ISBLANK($N61)),$N61/$K61,$I61/$K61),0),0)</f>
        <v>56250</v>
      </c>
      <c r="AH61" s="498">
        <f>IFERROR(IF(AND(AH$54&gt;=EOMONTH($J61,-1)+1,AH$54&lt;=EOMONTH(EOMONTH($J61,-1)+1,$K61-1)),IF(NOT(ISBLANK($N61)),$N61/$K61,$I61/$K61),0),0)</f>
        <v>56250</v>
      </c>
      <c r="AI61" s="498">
        <f>IFERROR(IF(AND(AI$54&gt;=EOMONTH($J61,-1)+1,AI$54&lt;=EOMONTH(EOMONTH($J61,-1)+1,$K61-1)),IF(NOT(ISBLANK($N61)),$N61/$K61,$I61/$K61),0),0)</f>
        <v>56250</v>
      </c>
      <c r="AJ61" s="89">
        <f t="shared" si="18"/>
        <v>168750</v>
      </c>
      <c r="AK61" s="95">
        <f t="shared" si="16"/>
        <v>450000</v>
      </c>
      <c r="AL61" s="97"/>
      <c r="AM61" s="1407"/>
      <c r="AN61" s="1334"/>
      <c r="AO61" s="1403">
        <f>N61*AN61</f>
        <v>0</v>
      </c>
      <c r="AP61" s="97" t="str">
        <f>C61</f>
        <v xml:space="preserve">04 - Redução dos retrabalhos </v>
      </c>
      <c r="AQ61" s="62" t="s">
        <v>311</v>
      </c>
      <c r="AR61" s="508" cm="1">
        <f t="array" aca="1" ref="AR61" ca="1">IF(OR(AP61="",AP61=0),"",IF(SUMPRODUCT(($C$55:$C$191=AP61)*(U$54:$AI$54&lt;EOMONTH(TODAY(),-1)+1)*(ISNUMBER(U$55:$AI$191)),U$55:$AI$191)=0,"",SUMPRODUCT(($C$55:$C$191=AP61)*(U$54:$AI$54&lt;EOMONTH(TODAY(),-1)+1)*(ISNUMBER(U$55:$AI$191)),U$55:$AI$191)))</f>
        <v>168750</v>
      </c>
      <c r="AS61" s="62" t="str">
        <f>A61</f>
        <v>Kaizen</v>
      </c>
      <c r="AU61" s="1566">
        <f t="shared" ref="AU61" si="30">IF(OR(I61="",K61=""),0,(I61/12)*K61)</f>
        <v>300000</v>
      </c>
      <c r="AV61" s="1566">
        <f t="shared" ref="AV61" si="31">IF(OR(N61="",K61="",K61=0),0,(N61/K61)*12)</f>
        <v>0</v>
      </c>
    </row>
    <row r="62" spans="1:48" ht="29.1" customHeight="1" x14ac:dyDescent="0.3">
      <c r="A62" s="1381"/>
      <c r="B62" s="1408"/>
      <c r="C62" s="1466"/>
      <c r="D62" s="1487"/>
      <c r="E62" s="1369"/>
      <c r="F62" s="1371"/>
      <c r="G62" s="1355"/>
      <c r="H62" s="1355"/>
      <c r="I62" s="2118"/>
      <c r="J62" s="1377"/>
      <c r="K62" s="1390"/>
      <c r="L62" s="1355"/>
      <c r="M62" s="1353"/>
      <c r="N62" s="2152"/>
      <c r="O62" s="1783"/>
      <c r="P62" s="1674"/>
      <c r="Q62" s="2116"/>
      <c r="R62" s="1330"/>
      <c r="S62" s="93" t="s">
        <v>117</v>
      </c>
      <c r="T62" s="96">
        <v>1</v>
      </c>
      <c r="U62" s="290"/>
      <c r="V62" s="290"/>
      <c r="W62" s="290"/>
      <c r="X62" s="288">
        <f t="shared" si="26"/>
        <v>0</v>
      </c>
      <c r="Y62" s="290"/>
      <c r="Z62" s="290"/>
      <c r="AA62" s="290"/>
      <c r="AB62" s="288">
        <f t="shared" si="27"/>
        <v>0</v>
      </c>
      <c r="AC62" s="290"/>
      <c r="AD62" s="290"/>
      <c r="AE62" s="290"/>
      <c r="AF62" s="288">
        <f t="shared" si="28"/>
        <v>0</v>
      </c>
      <c r="AG62" s="290"/>
      <c r="AH62" s="290"/>
      <c r="AI62" s="290"/>
      <c r="AJ62" s="288">
        <f t="shared" si="18"/>
        <v>0</v>
      </c>
      <c r="AK62" s="291">
        <f t="shared" si="16"/>
        <v>0</v>
      </c>
      <c r="AL62" s="97"/>
      <c r="AM62" s="1408"/>
      <c r="AN62" s="1330"/>
      <c r="AO62" s="1404"/>
      <c r="AP62" s="97" t="str">
        <f>C61</f>
        <v xml:space="preserve">04 - Redução dos retrabalhos </v>
      </c>
      <c r="AQ62" s="62" t="s">
        <v>313</v>
      </c>
      <c r="AR62" s="508" t="str" cm="1">
        <f t="array" aca="1" ref="AR62" ca="1">IF(OR(AP62="",AP62=0),"",IF(SUMPRODUCT(($C$55:$C$191=AP62)*(U$54:$AI$54&lt;EOMONTH(TODAY(),-1)+1)*(ISNUMBER(U$56:$AI$192)),U$56:$AI$192)=0,"",SUMPRODUCT(($C$55:$C$191=AP62)*(U$54:$AI$54&lt;EOMONTH(TODAY(),-1)+1)*(ISNUMBER(U$56:$AI$192)),U$56:$AI$192)))</f>
        <v/>
      </c>
      <c r="AS62" s="62" t="str">
        <f>A61</f>
        <v>Kaizen</v>
      </c>
      <c r="AU62" s="1567"/>
      <c r="AV62" s="1567"/>
    </row>
    <row r="63" spans="1:48" ht="29.1" customHeight="1" x14ac:dyDescent="0.3">
      <c r="A63" s="1380" t="s">
        <v>90</v>
      </c>
      <c r="B63" s="1691" t="s">
        <v>99</v>
      </c>
      <c r="C63" s="1482" t="s">
        <v>1427</v>
      </c>
      <c r="D63" s="1486" t="s">
        <v>1428</v>
      </c>
      <c r="E63" s="1368" t="s">
        <v>1429</v>
      </c>
      <c r="F63" s="1370" t="s">
        <v>1392</v>
      </c>
      <c r="G63" s="1372">
        <v>46023</v>
      </c>
      <c r="H63" s="1372">
        <v>46325</v>
      </c>
      <c r="I63" s="2163">
        <v>1000000</v>
      </c>
      <c r="J63" s="1376">
        <v>46325</v>
      </c>
      <c r="K63" s="1389">
        <f t="shared" ref="K63" si="32">IF(J63="", "", 12 - MONTH(J63) + 1)</f>
        <v>3</v>
      </c>
      <c r="L63" s="1354"/>
      <c r="M63" s="2175" t="s">
        <v>308</v>
      </c>
      <c r="N63" s="2177">
        <f>(80000*K63)</f>
        <v>240000</v>
      </c>
      <c r="O63" s="1327" t="s">
        <v>83</v>
      </c>
      <c r="P63" s="2127" t="s">
        <v>1430</v>
      </c>
      <c r="Q63" s="2125"/>
      <c r="R63" s="1327">
        <v>0.1</v>
      </c>
      <c r="S63" s="87" t="s">
        <v>116</v>
      </c>
      <c r="T63" s="91">
        <v>0.7</v>
      </c>
      <c r="U63" s="287">
        <f>IFERROR(IF(AND(U$54&gt;=EOMONTH($J63,-1)+1,U$54&lt;=EOMONTH(EOMONTH($J63,-1)+1,$K63-1)),IF(NOT(ISBLANK($N63)),$N63/$K63,$I63/$K63),0),0)</f>
        <v>0</v>
      </c>
      <c r="V63" s="287">
        <f>IFERROR(IF(AND(V$54&gt;=EOMONTH($J63,-1)+1,V$54&lt;=EOMONTH(EOMONTH($J63,-1)+1,$K63-1)),IF(NOT(ISBLANK($N63)),$N63/$K63,$I63/$K63),0),0)</f>
        <v>0</v>
      </c>
      <c r="W63" s="287">
        <f>IFERROR(IF(AND(W$54&gt;=EOMONTH($J63,-1)+1,W$54&lt;=EOMONTH(EOMONTH($J63,-1)+1,$K63-1)),IF(NOT(ISBLANK($N63)),$N63/$K63,$I63/$K63),0),0)</f>
        <v>0</v>
      </c>
      <c r="X63" s="89">
        <f>SUM(U63:W63)</f>
        <v>0</v>
      </c>
      <c r="Y63" s="287">
        <f>IFERROR(IF(AND(Y$54&gt;=EOMONTH($J63,-1)+1,Y$54&lt;=EOMONTH(EOMONTH($J63,-1)+1,$K63-1)),IF(NOT(ISBLANK($N63)),$N63/$K63,$I63/$K63),0),0)</f>
        <v>0</v>
      </c>
      <c r="Z63" s="287">
        <f>IFERROR(IF(AND(Z$54&gt;=EOMONTH($J63,-1)+1,Z$54&lt;=EOMONTH(EOMONTH($J63,-1)+1,$K63-1)),IF(NOT(ISBLANK($N63)),$N63/$K63,$I63/$K63),0),0)</f>
        <v>0</v>
      </c>
      <c r="AA63" s="287">
        <f>IFERROR(IF(AND(AA$54&gt;=EOMONTH($J63,-1)+1,AA$54&lt;=EOMONTH(EOMONTH($J63,-1)+1,$K63-1)),IF(NOT(ISBLANK($N63)),$N63/$K63,$I63/$K63),0),0)</f>
        <v>0</v>
      </c>
      <c r="AB63" s="89">
        <f t="shared" si="27"/>
        <v>0</v>
      </c>
      <c r="AC63" s="287">
        <f>IFERROR(IF(AND(AC$54&gt;=EOMONTH($J63,-1)+1,AC$54&lt;=EOMONTH(EOMONTH($J63,-1)+1,$K63-1)),IF(NOT(ISBLANK($N63)),$N63/$K63,$I63/$K63),0),0)</f>
        <v>0</v>
      </c>
      <c r="AD63" s="287">
        <f>IFERROR(IF(AND(AD$54&gt;=EOMONTH($J63,-1)+1,AD$54&lt;=EOMONTH(EOMONTH($J63,-1)+1,$K63-1)),IF(NOT(ISBLANK($N63)),$N63/$K63,$I63/$K63),0),0)</f>
        <v>0</v>
      </c>
      <c r="AE63" s="287">
        <f>IFERROR(IF(AND(AE$54&gt;=EOMONTH($J63,-1)+1,AE$54&lt;=EOMONTH(EOMONTH($J63,-1)+1,$K63-1)),IF(NOT(ISBLANK($N63)),$N63/$K63,$I63/$K63),0),0)</f>
        <v>0</v>
      </c>
      <c r="AF63" s="89">
        <f t="shared" si="28"/>
        <v>0</v>
      </c>
      <c r="AG63" s="287">
        <f>IFERROR(IF(AND(AG$54&gt;=EOMONTH($J63,-1)+1,AG$54&lt;=EOMONTH(EOMONTH($J63,-1)+1,$K63-1)),IF(NOT(ISBLANK($N63)),$N63/$K63,$I63/$K63),0),0)</f>
        <v>80000</v>
      </c>
      <c r="AH63" s="287">
        <f>IFERROR(IF(AND(AH$54&gt;=EOMONTH($J63,-1)+1,AH$54&lt;=EOMONTH(EOMONTH($J63,-1)+1,$K63-1)),IF(NOT(ISBLANK($N63)),$N63/$K63,$I63/$K63),0),0)</f>
        <v>80000</v>
      </c>
      <c r="AI63" s="287">
        <f>IFERROR(IF(AND(AI$54&gt;=EOMONTH($J63,-1)+1,AI$54&lt;=EOMONTH(EOMONTH($J63,-1)+1,$K63-1)),IF(NOT(ISBLANK($N63)),$N63/$K63,$I63/$K63),0),0)</f>
        <v>80000</v>
      </c>
      <c r="AJ63" s="89">
        <f t="shared" si="18"/>
        <v>240000</v>
      </c>
      <c r="AK63" s="90">
        <f t="shared" si="16"/>
        <v>240000</v>
      </c>
      <c r="AL63" s="98"/>
      <c r="AM63" s="1370"/>
      <c r="AN63" s="1411"/>
      <c r="AO63" s="1405">
        <f>N63*AN63</f>
        <v>0</v>
      </c>
      <c r="AP63" s="98" t="str">
        <f>C63</f>
        <v xml:space="preserve">05 - Nitrogênio da máquina laser </v>
      </c>
      <c r="AQ63" s="62" t="s">
        <v>311</v>
      </c>
      <c r="AR63" s="508" t="str" cm="1">
        <f t="array" aca="1" ref="AR63" ca="1">IF(OR(AP63="",AP63=0),"",IF(SUMPRODUCT(($C$55:$C$191=AP63)*(U$54:$AI$54&lt;EOMONTH(TODAY(),-1)+1)*(ISNUMBER(U$55:$AI$191)),U$55:$AI$191)=0,"",SUMPRODUCT(($C$55:$C$191=AP63)*(U$54:$AI$54&lt;EOMONTH(TODAY(),-1)+1)*(ISNUMBER(U$55:$AI$191)),U$55:$AI$191)))</f>
        <v/>
      </c>
      <c r="AS63" s="62" t="str">
        <f>A63</f>
        <v>Você Resolve</v>
      </c>
      <c r="AU63" s="1566">
        <f t="shared" ref="AU63" si="33">IF(OR(I63="",K63=""),0,(I63/12)*K63)</f>
        <v>250000</v>
      </c>
      <c r="AV63" s="1566">
        <f t="shared" ref="AV63" si="34">IF(OR(N63="",K63="",K63=0),0,(N63/K63)*12)</f>
        <v>960000</v>
      </c>
    </row>
    <row r="64" spans="1:48" ht="29.1" customHeight="1" x14ac:dyDescent="0.3">
      <c r="A64" s="1381"/>
      <c r="B64" s="1692"/>
      <c r="C64" s="1483"/>
      <c r="D64" s="1487"/>
      <c r="E64" s="1369"/>
      <c r="F64" s="1371"/>
      <c r="G64" s="1373"/>
      <c r="H64" s="1373"/>
      <c r="I64" s="2164"/>
      <c r="J64" s="1377"/>
      <c r="K64" s="1390"/>
      <c r="L64" s="1355"/>
      <c r="M64" s="2176"/>
      <c r="N64" s="2178"/>
      <c r="O64" s="1328"/>
      <c r="P64" s="1674"/>
      <c r="Q64" s="2126"/>
      <c r="R64" s="1328"/>
      <c r="S64" s="87" t="s">
        <v>117</v>
      </c>
      <c r="T64" s="91">
        <v>0.75</v>
      </c>
      <c r="U64" s="287"/>
      <c r="V64" s="287"/>
      <c r="W64" s="287"/>
      <c r="X64" s="288">
        <f t="shared" si="26"/>
        <v>0</v>
      </c>
      <c r="Y64" s="287"/>
      <c r="Z64" s="287"/>
      <c r="AA64" s="287"/>
      <c r="AB64" s="288">
        <f t="shared" si="27"/>
        <v>0</v>
      </c>
      <c r="AC64" s="287"/>
      <c r="AD64" s="287"/>
      <c r="AE64" s="287"/>
      <c r="AF64" s="288">
        <f t="shared" si="28"/>
        <v>0</v>
      </c>
      <c r="AG64" s="287"/>
      <c r="AH64" s="287"/>
      <c r="AI64" s="287"/>
      <c r="AJ64" s="288">
        <f t="shared" si="18"/>
        <v>0</v>
      </c>
      <c r="AK64" s="289">
        <f t="shared" si="16"/>
        <v>0</v>
      </c>
      <c r="AL64" s="337"/>
      <c r="AM64" s="1371"/>
      <c r="AN64" s="1412"/>
      <c r="AO64" s="1406"/>
      <c r="AP64" s="92" t="str">
        <f>C63</f>
        <v xml:space="preserve">05 - Nitrogênio da máquina laser </v>
      </c>
      <c r="AQ64" s="62" t="s">
        <v>313</v>
      </c>
      <c r="AR64" s="508" t="str" cm="1">
        <f t="array" aca="1" ref="AR64" ca="1">IF(OR(AP64="",AP64=0),"",IF(SUMPRODUCT(($C$55:$C$191=AP64)*(U$54:$AI$54&lt;EOMONTH(TODAY(),-1)+1)*(ISNUMBER(U$56:$AI$192)),U$56:$AI$192)=0,"",SUMPRODUCT(($C$55:$C$191=AP64)*(U$54:$AI$54&lt;EOMONTH(TODAY(),-1)+1)*(ISNUMBER(U$56:$AI$192)),U$56:$AI$192)))</f>
        <v/>
      </c>
      <c r="AS64" s="62" t="str">
        <f>A63</f>
        <v>Você Resolve</v>
      </c>
      <c r="AU64" s="1567"/>
      <c r="AV64" s="1567"/>
    </row>
    <row r="65" spans="1:48" ht="29.1" customHeight="1" x14ac:dyDescent="0.3">
      <c r="A65" s="1407" t="s">
        <v>59</v>
      </c>
      <c r="B65" s="1407" t="s">
        <v>99</v>
      </c>
      <c r="C65" s="1465" t="s">
        <v>1431</v>
      </c>
      <c r="D65" s="1356" t="s">
        <v>1432</v>
      </c>
      <c r="E65" s="1449" t="s">
        <v>1433</v>
      </c>
      <c r="F65" s="1451" t="s">
        <v>1434</v>
      </c>
      <c r="G65" s="1366">
        <v>46023</v>
      </c>
      <c r="H65" s="1366">
        <v>46054</v>
      </c>
      <c r="I65" s="1488">
        <v>600000.00089999998</v>
      </c>
      <c r="J65" s="1378">
        <v>46023</v>
      </c>
      <c r="K65" s="1387">
        <f t="shared" ref="K65" si="35">IF(J65="", "", 12 - MONTH(J65) + 1)</f>
        <v>12</v>
      </c>
      <c r="L65" s="1395"/>
      <c r="M65" s="1720" t="s">
        <v>308</v>
      </c>
      <c r="N65" s="1547">
        <v>607260.52</v>
      </c>
      <c r="O65" s="1334" t="s">
        <v>81</v>
      </c>
      <c r="P65" s="2127" t="s">
        <v>1421</v>
      </c>
      <c r="Q65" s="2115"/>
      <c r="R65" s="1334">
        <v>1</v>
      </c>
      <c r="S65" s="93" t="s">
        <v>116</v>
      </c>
      <c r="T65" s="96">
        <f ca="1">IF(OR(G65="", H65=""), "", IF(TODAY()&lt;G65, 0, IF(TODAY()&gt;H65, 1, (TODAY()-G65+1)/(H65-G65+1))))</f>
        <v>1</v>
      </c>
      <c r="U65" s="498">
        <f>IFERROR(IF(AND(U$54&gt;=EOMONTH($J65,-1)+1,U$54&lt;=EOMONTH(EOMONTH($J65,-1)+1,$K65-1)),IF(NOT(ISBLANK($N65)),$N65/$K65,$I65/$K65),0),0)</f>
        <v>50605.043333333335</v>
      </c>
      <c r="V65" s="498">
        <f>IFERROR(IF(AND(V$54&gt;=EOMONTH($J65,-1)+1,V$54&lt;=EOMONTH(EOMONTH($J65,-1)+1,$K65-1)),IF(NOT(ISBLANK($N65)),$N65/$K65,$I65/$K65),0),0)</f>
        <v>50605.043333333335</v>
      </c>
      <c r="W65" s="638">
        <f>IFERROR(IF(AND(W$54&gt;=EOMONTH($J65,-1)+1,W$54&lt;=EOMONTH(EOMONTH($J65,-1)+1,$K65-1)),IF(NOT(ISBLANK($N65)),$N65/$K65,$I65/$K65),0),0)</f>
        <v>50605.043333333335</v>
      </c>
      <c r="X65" s="89">
        <f t="shared" ref="X65:X66" si="36">SUM(U65:W65)</f>
        <v>151815.13</v>
      </c>
      <c r="Y65" s="715">
        <f>IFERROR(IF(AND(Y$54&gt;=EOMONTH($J65,-1)+1,Y$54&lt;=EOMONTH(EOMONTH($J65,-1)+1,$K65-1)),IF(NOT(ISBLANK($N65)),$N65/$K65,$I65/$K65),0),0)</f>
        <v>50605.043333333335</v>
      </c>
      <c r="Z65" s="498">
        <f>IFERROR(IF(AND(Z$54&gt;=EOMONTH($J65,-1)+1,Z$54&lt;=EOMONTH(EOMONTH($J65,-1)+1,$K65-1)),IF(NOT(ISBLANK($N65)),$N65/$K65,$I65/$K65),0),0)</f>
        <v>50605.043333333335</v>
      </c>
      <c r="AA65" s="498">
        <f>IFERROR(IF(AND(AA$54&gt;=EOMONTH($J65,-1)+1,AA$54&lt;=EOMONTH(EOMONTH($J65,-1)+1,$K65-1)),IF(NOT(ISBLANK($N65)),$N65/$K65,$I65/$K65),0),0)</f>
        <v>50605.043333333335</v>
      </c>
      <c r="AB65" s="89">
        <f t="shared" ref="AB65" si="37">SUM(Y65:AA65)</f>
        <v>151815.13</v>
      </c>
      <c r="AC65" s="498">
        <f>IFERROR(IF(AND(AC$54&gt;=EOMONTH($J65,-1)+1,AC$54&lt;=EOMONTH(EOMONTH($J65,-1)+1,$K65-1)),IF(NOT(ISBLANK($N65)),$N65/$K65,$I65/$K65),0),0)</f>
        <v>50605.043333333335</v>
      </c>
      <c r="AD65" s="498">
        <f>IFERROR(IF(AND(AD$54&gt;=EOMONTH($J65,-1)+1,AD$54&lt;=EOMONTH(EOMONTH($J65,-1)+1,$K65-1)),IF(NOT(ISBLANK($N65)),$N65/$K65,$I65/$K65),0),0)</f>
        <v>50605.043333333335</v>
      </c>
      <c r="AE65" s="498">
        <f>IFERROR(IF(AND(AE$54&gt;=EOMONTH($J65,-1)+1,AE$54&lt;=EOMONTH(EOMONTH($J65,-1)+1,$K65-1)),IF(NOT(ISBLANK($N65)),$N65/$K65,$I65/$K65),0),0)</f>
        <v>50605.043333333335</v>
      </c>
      <c r="AF65" s="89">
        <f t="shared" ref="AF65" si="38">SUM(AC65:AE65)</f>
        <v>151815.13</v>
      </c>
      <c r="AG65" s="498">
        <f>IFERROR(IF(AND(AG$54&gt;=EOMONTH($J65,-1)+1,AG$54&lt;=EOMONTH(EOMONTH($J65,-1)+1,$K65-1)),IF(NOT(ISBLANK($N65)),$N65/$K65,$I65/$K65),0),0)</f>
        <v>50605.043333333335</v>
      </c>
      <c r="AH65" s="498">
        <f>IFERROR(IF(AND(AH$54&gt;=EOMONTH($J65,-1)+1,AH$54&lt;=EOMONTH(EOMONTH($J65,-1)+1,$K65-1)),IF(NOT(ISBLANK($N65)),$N65/$K65,$I65/$K65),0),0)</f>
        <v>50605.043333333335</v>
      </c>
      <c r="AI65" s="498">
        <f>IFERROR(IF(AND(AI$54&gt;=EOMONTH($J65,-1)+1,AI$54&lt;=EOMONTH(EOMONTH($J65,-1)+1,$K65-1)),IF(NOT(ISBLANK($N65)),$N65/$K65,$I65/$K65),0),0)</f>
        <v>50605.043333333335</v>
      </c>
      <c r="AJ65" s="89">
        <f t="shared" si="18"/>
        <v>151815.13</v>
      </c>
      <c r="AK65" s="95">
        <f t="shared" si="16"/>
        <v>607260.52</v>
      </c>
      <c r="AL65" s="97"/>
      <c r="AM65" s="1407"/>
      <c r="AN65" s="1334"/>
      <c r="AO65" s="1403">
        <f>N65*AN65</f>
        <v>0</v>
      </c>
      <c r="AP65" s="97" t="str">
        <f>C65</f>
        <v xml:space="preserve">06 - Reaproveitamento de lixas </v>
      </c>
      <c r="AQ65" s="62" t="s">
        <v>311</v>
      </c>
      <c r="AR65" s="508" cm="1">
        <f t="array" aca="1" ref="AR65" ca="1">IF(OR(AP65="",AP65=0),"",IF(SUMPRODUCT(($C$55:$C$191=AP65)*(U$54:$AI$54&lt;EOMONTH(TODAY(),-1)+1)*(ISNUMBER(U$55:$AI$191)),U$55:$AI$191)=0,"",SUMPRODUCT(($C$55:$C$191=AP65)*(U$54:$AI$54&lt;EOMONTH(TODAY(),-1)+1)*(ISNUMBER(U$55:$AI$191)),U$55:$AI$191)))</f>
        <v>354235.30333333334</v>
      </c>
      <c r="AS65" s="62" t="str">
        <f>A65</f>
        <v>Kaizen - Ganho Recorrente</v>
      </c>
      <c r="AU65" s="1566">
        <f t="shared" ref="AU65" si="39">IF(OR(I65="",K65=""),0,(I65/12)*K65)</f>
        <v>600000.00089999998</v>
      </c>
      <c r="AV65" s="1566">
        <f t="shared" ref="AV65" si="40">IF(OR(N65="",K65="",K65=0),0,(N65/K65)*12)</f>
        <v>607260.52</v>
      </c>
    </row>
    <row r="66" spans="1:48" ht="29.1" customHeight="1" x14ac:dyDescent="0.3">
      <c r="A66" s="1408"/>
      <c r="B66" s="1408"/>
      <c r="C66" s="1466"/>
      <c r="D66" s="1455"/>
      <c r="E66" s="1450"/>
      <c r="F66" s="1452"/>
      <c r="G66" s="1367"/>
      <c r="H66" s="1367"/>
      <c r="I66" s="1367"/>
      <c r="J66" s="1379"/>
      <c r="K66" s="1388"/>
      <c r="L66" s="1396"/>
      <c r="M66" s="1721"/>
      <c r="N66" s="1548"/>
      <c r="O66" s="1330"/>
      <c r="P66" s="2128"/>
      <c r="Q66" s="2116"/>
      <c r="R66" s="1330"/>
      <c r="S66" s="93" t="s">
        <v>117</v>
      </c>
      <c r="T66" s="96">
        <v>1</v>
      </c>
      <c r="U66" s="587">
        <v>62740.98</v>
      </c>
      <c r="V66" s="587">
        <v>40979.870000000003</v>
      </c>
      <c r="W66" s="587">
        <v>97053.54</v>
      </c>
      <c r="X66" s="89">
        <f t="shared" si="36"/>
        <v>200774.39</v>
      </c>
      <c r="Y66" s="290">
        <v>27431.49</v>
      </c>
      <c r="Z66" s="290">
        <v>48189.599999999999</v>
      </c>
      <c r="AA66" s="1015"/>
      <c r="AB66" s="288">
        <f t="shared" si="27"/>
        <v>75621.09</v>
      </c>
      <c r="AC66" s="1017"/>
      <c r="AD66" s="290"/>
      <c r="AE66" s="290"/>
      <c r="AF66" s="288">
        <f t="shared" si="28"/>
        <v>0</v>
      </c>
      <c r="AG66" s="290"/>
      <c r="AH66" s="290"/>
      <c r="AI66" s="290"/>
      <c r="AJ66" s="288">
        <f t="shared" si="18"/>
        <v>0</v>
      </c>
      <c r="AK66" s="289">
        <f t="shared" si="16"/>
        <v>276395.48</v>
      </c>
      <c r="AL66" s="97"/>
      <c r="AM66" s="1408"/>
      <c r="AN66" s="1330"/>
      <c r="AO66" s="1404"/>
      <c r="AP66" s="97" t="str">
        <f>C65</f>
        <v xml:space="preserve">06 - Reaproveitamento de lixas </v>
      </c>
      <c r="AQ66" s="62" t="s">
        <v>313</v>
      </c>
      <c r="AR66" s="508" cm="1">
        <f t="array" aca="1" ref="AR66" ca="1">IF(OR(AP66="",AP66=0),"",IF(SUMPRODUCT(($C$55:$C$191=AP66)*(U$54:$AI$54&lt;EOMONTH(TODAY(),-1)+1)*(ISNUMBER(U$56:$AI$192)),U$56:$AI$192)=0,"",SUMPRODUCT(($C$55:$C$191=AP66)*(U$54:$AI$54&lt;EOMONTH(TODAY(),-1)+1)*(ISNUMBER(U$56:$AI$192)),U$56:$AI$192)))</f>
        <v>276395.48</v>
      </c>
      <c r="AS66" s="62" t="str">
        <f>A65</f>
        <v>Kaizen - Ganho Recorrente</v>
      </c>
      <c r="AU66" s="1567"/>
      <c r="AV66" s="1567"/>
    </row>
    <row r="67" spans="1:48" ht="30" customHeight="1" x14ac:dyDescent="0.3">
      <c r="A67" s="1407" t="s">
        <v>59</v>
      </c>
      <c r="B67" s="1691" t="s">
        <v>97</v>
      </c>
      <c r="C67" s="1482" t="s">
        <v>1435</v>
      </c>
      <c r="D67" s="1486" t="s">
        <v>1436</v>
      </c>
      <c r="E67" s="1368" t="s">
        <v>1437</v>
      </c>
      <c r="F67" s="1370" t="s">
        <v>1438</v>
      </c>
      <c r="G67" s="1372">
        <v>46023</v>
      </c>
      <c r="H67" s="1372">
        <v>46357</v>
      </c>
      <c r="I67" s="1354">
        <v>400000.00089999998</v>
      </c>
      <c r="J67" s="1376">
        <v>46023</v>
      </c>
      <c r="K67" s="1389">
        <f t="shared" ref="K67" si="41">IF(J67="", "", 12 - MONTH(J67) + 1)</f>
        <v>12</v>
      </c>
      <c r="L67" s="1354"/>
      <c r="M67" s="1350" t="s">
        <v>308</v>
      </c>
      <c r="N67" s="1391">
        <v>405377</v>
      </c>
      <c r="O67" s="1327" t="s">
        <v>81</v>
      </c>
      <c r="P67" s="2127" t="s">
        <v>1421</v>
      </c>
      <c r="Q67" s="2125"/>
      <c r="R67" s="1327">
        <v>1</v>
      </c>
      <c r="S67" s="87" t="s">
        <v>116</v>
      </c>
      <c r="T67" s="91">
        <f ca="1">IF(OR(G67="", H67=""), "", IF(TODAY()&lt;G67, 0, IF(TODAY()&gt;H67, 1, (TODAY()-G67+1)/(H67-G67+1))))</f>
        <v>0.68358208955223876</v>
      </c>
      <c r="U67" s="287">
        <f>IFERROR(IF(AND(U$54&gt;=EOMONTH($J67,-1)+1,U$54&lt;=EOMONTH(EOMONTH($J67,-1)+1,$K67-1)),IF(NOT(ISBLANK($N67)),$N67/$K67,$I67/$K67),0),0)</f>
        <v>33781.416666666664</v>
      </c>
      <c r="V67" s="704">
        <f>IFERROR(IF(AND(V$54&gt;=EOMONTH($J67,-1)+1,V$54&lt;=EOMONTH(EOMONTH($J67,-1)+1,$K67-1)),IF(NOT(ISBLANK($N67)),$N67/$K67,$I67/$K67),0),0)</f>
        <v>33781.416666666664</v>
      </c>
      <c r="W67" s="704">
        <f>IFERROR(IF(AND(W$54&gt;=EOMONTH($J67,-1)+1,W$54&lt;=EOMONTH(EOMONTH($J67,-1)+1,$K67-1)),IF(NOT(ISBLANK($N67)),$N67/$K67,$I67/$K67),0),0)</f>
        <v>33781.416666666664</v>
      </c>
      <c r="X67" s="89">
        <f t="shared" si="26"/>
        <v>101344.25</v>
      </c>
      <c r="Y67" s="547">
        <f>IFERROR(IF(AND(Y$54&gt;=EOMONTH($J67,-1)+1,Y$54&lt;=EOMONTH(EOMONTH($J67,-1)+1,$K67-1)),IF(NOT(ISBLANK($N67)),$N67/$K67,$I67/$K67),0),0)</f>
        <v>33781.416666666664</v>
      </c>
      <c r="Z67" s="287">
        <f>IFERROR(IF(AND(Z$54&gt;=EOMONTH($J67,-1)+1,Z$54&lt;=EOMONTH(EOMONTH($J67,-1)+1,$K67-1)),IF(NOT(ISBLANK($N67)),$N67/$K67,$I67/$K67),0),0)</f>
        <v>33781.416666666664</v>
      </c>
      <c r="AA67" s="287">
        <f>IFERROR(IF(AND(AA$54&gt;=EOMONTH($J67,-1)+1,AA$54&lt;=EOMONTH(EOMONTH($J67,-1)+1,$K67-1)),IF(NOT(ISBLANK($N67)),$N67/$K67,$I67/$K67),0),0)</f>
        <v>33781.416666666664</v>
      </c>
      <c r="AB67" s="89">
        <f t="shared" si="27"/>
        <v>101344.25</v>
      </c>
      <c r="AC67" s="287">
        <f>IFERROR(IF(AND(AC$54&gt;=EOMONTH($J67,-1)+1,AC$54&lt;=EOMONTH(EOMONTH($J67,-1)+1,$K67-1)),IF(NOT(ISBLANK($N67)),$N67/$K67,$I67/$K67),0),0)</f>
        <v>33781.416666666664</v>
      </c>
      <c r="AD67" s="287">
        <f>IFERROR(IF(AND(AD$54&gt;=EOMONTH($J67,-1)+1,AD$54&lt;=EOMONTH(EOMONTH($J67,-1)+1,$K67-1)),IF(NOT(ISBLANK($N67)),$N67/$K67,$I67/$K67),0),0)</f>
        <v>33781.416666666664</v>
      </c>
      <c r="AE67" s="287">
        <f>IFERROR(IF(AND(AE$54&gt;=EOMONTH($J67,-1)+1,AE$54&lt;=EOMONTH(EOMONTH($J67,-1)+1,$K67-1)),IF(NOT(ISBLANK($N67)),$N67/$K67,$I67/$K67),0),0)</f>
        <v>33781.416666666664</v>
      </c>
      <c r="AF67" s="89">
        <f t="shared" si="28"/>
        <v>101344.25</v>
      </c>
      <c r="AG67" s="287">
        <f>IFERROR(IF(AND(AG$54&gt;=EOMONTH($J67,-1)+1,AG$54&lt;=EOMONTH(EOMONTH($J67,-1)+1,$K67-1)),IF(NOT(ISBLANK($N67)),$N67/$K67,$I67/$K67),0),0)</f>
        <v>33781.416666666664</v>
      </c>
      <c r="AH67" s="287">
        <f>IFERROR(IF(AND(AH$54&gt;=EOMONTH($J67,-1)+1,AH$54&lt;=EOMONTH(EOMONTH($J67,-1)+1,$K67-1)),IF(NOT(ISBLANK($N67)),$N67/$K67,$I67/$K67),0),0)</f>
        <v>33781.416666666664</v>
      </c>
      <c r="AI67" s="287">
        <f>IFERROR(IF(AND(AI$54&gt;=EOMONTH($J67,-1)+1,AI$54&lt;=EOMONTH(EOMONTH($J67,-1)+1,$K67-1)),IF(NOT(ISBLANK($N67)),$N67/$K67,$I67/$K67),0),0)</f>
        <v>33781.416666666664</v>
      </c>
      <c r="AJ67" s="89">
        <f t="shared" si="18"/>
        <v>101344.25</v>
      </c>
      <c r="AK67" s="90">
        <f t="shared" si="16"/>
        <v>405377</v>
      </c>
      <c r="AL67" s="98"/>
      <c r="AM67" s="1370"/>
      <c r="AN67" s="1411"/>
      <c r="AO67" s="1405">
        <f>N67*AN67</f>
        <v>0</v>
      </c>
      <c r="AP67" s="98" t="str">
        <f>C67</f>
        <v xml:space="preserve">07 - Consumo de gás </v>
      </c>
      <c r="AQ67" s="62" t="s">
        <v>311</v>
      </c>
      <c r="AR67" s="508" cm="1">
        <f t="array" aca="1" ref="AR67" ca="1">IF(OR(AP67="",AP67=0),"",IF(SUMPRODUCT(($C$55:$C$191=AP67)*(U$54:$AI$54&lt;EOMONTH(TODAY(),-1)+1)*(ISNUMBER(U$55:$AI$191)),U$55:$AI$191)=0,"",SUMPRODUCT(($C$55:$C$191=AP67)*(U$54:$AI$54&lt;EOMONTH(TODAY(),-1)+1)*(ISNUMBER(U$55:$AI$191)),U$55:$AI$191)))</f>
        <v>236469.91666666663</v>
      </c>
      <c r="AS67" s="62" t="str">
        <f>A67</f>
        <v>Kaizen - Ganho Recorrente</v>
      </c>
      <c r="AU67" s="1566">
        <f t="shared" ref="AU67" si="42">IF(OR(I67="",K67=""),0,(I67/12)*K67)</f>
        <v>400000.00089999998</v>
      </c>
      <c r="AV67" s="1566">
        <f t="shared" ref="AV67" si="43">IF(OR(N67="",K67="",K67=0),0,(N67/K67)*12)</f>
        <v>405377</v>
      </c>
    </row>
    <row r="68" spans="1:48" ht="29.1" customHeight="1" x14ac:dyDescent="0.3">
      <c r="A68" s="1408"/>
      <c r="B68" s="1692"/>
      <c r="C68" s="1483"/>
      <c r="D68" s="1487"/>
      <c r="E68" s="1369"/>
      <c r="F68" s="1371"/>
      <c r="G68" s="1373"/>
      <c r="H68" s="1373"/>
      <c r="I68" s="1355"/>
      <c r="J68" s="1377"/>
      <c r="K68" s="1390"/>
      <c r="L68" s="1355"/>
      <c r="M68" s="1351"/>
      <c r="N68" s="1877"/>
      <c r="O68" s="1328"/>
      <c r="P68" s="2128"/>
      <c r="Q68" s="2126"/>
      <c r="R68" s="1328"/>
      <c r="S68" s="87" t="s">
        <v>117</v>
      </c>
      <c r="T68" s="91">
        <v>1</v>
      </c>
      <c r="U68" s="704">
        <v>39832.5</v>
      </c>
      <c r="V68" s="705">
        <v>121745.61</v>
      </c>
      <c r="W68" s="705">
        <v>64983.8</v>
      </c>
      <c r="X68" s="288">
        <f t="shared" ref="X68" si="44">SUM(U68:W68)</f>
        <v>226561.90999999997</v>
      </c>
      <c r="Y68" s="705">
        <v>64676.05</v>
      </c>
      <c r="Z68" s="287">
        <v>122587.61</v>
      </c>
      <c r="AA68" s="1015"/>
      <c r="AB68" s="288">
        <f t="shared" si="27"/>
        <v>187263.66</v>
      </c>
      <c r="AC68" s="1017"/>
      <c r="AD68" s="287"/>
      <c r="AE68" s="287"/>
      <c r="AF68" s="288">
        <f t="shared" si="28"/>
        <v>0</v>
      </c>
      <c r="AG68" s="287"/>
      <c r="AH68" s="287"/>
      <c r="AI68" s="287"/>
      <c r="AJ68" s="288">
        <f t="shared" si="18"/>
        <v>0</v>
      </c>
      <c r="AK68" s="289">
        <f t="shared" si="16"/>
        <v>413825.56999999995</v>
      </c>
      <c r="AL68" s="337"/>
      <c r="AM68" s="1371"/>
      <c r="AN68" s="1412"/>
      <c r="AO68" s="1406"/>
      <c r="AP68" s="92" t="str">
        <f>C67</f>
        <v xml:space="preserve">07 - Consumo de gás </v>
      </c>
      <c r="AQ68" s="62" t="s">
        <v>313</v>
      </c>
      <c r="AR68" s="508" cm="1">
        <f t="array" aca="1" ref="AR68" ca="1">IF(OR(AP68="",AP68=0),"",IF(SUMPRODUCT(($C$55:$C$191=AP68)*(U$54:$AI$54&lt;EOMONTH(TODAY(),-1)+1)*(ISNUMBER(U$56:$AI$192)),U$56:$AI$192)=0,"",SUMPRODUCT(($C$55:$C$191=AP68)*(U$54:$AI$54&lt;EOMONTH(TODAY(),-1)+1)*(ISNUMBER(U$56:$AI$192)),U$56:$AI$192)))</f>
        <v>413825.56999999995</v>
      </c>
      <c r="AS68" s="62" t="str">
        <f>A67</f>
        <v>Kaizen - Ganho Recorrente</v>
      </c>
      <c r="AU68" s="1567"/>
      <c r="AV68" s="1567"/>
    </row>
    <row r="69" spans="1:48" ht="29.1" customHeight="1" x14ac:dyDescent="0.3">
      <c r="A69" s="1407" t="s">
        <v>57</v>
      </c>
      <c r="B69" s="1407" t="s">
        <v>99</v>
      </c>
      <c r="C69" s="1465" t="s">
        <v>1439</v>
      </c>
      <c r="D69" s="1534" t="s">
        <v>1440</v>
      </c>
      <c r="E69" s="1449" t="s">
        <v>1441</v>
      </c>
      <c r="F69" s="1451" t="s">
        <v>1434</v>
      </c>
      <c r="G69" s="1785">
        <v>46082</v>
      </c>
      <c r="H69" s="1785">
        <v>46241</v>
      </c>
      <c r="I69" s="1844">
        <v>195000</v>
      </c>
      <c r="J69" s="1378">
        <v>46241</v>
      </c>
      <c r="K69" s="1502">
        <f t="shared" ref="K69" si="45">IF(J69="", "", 12 - MONTH(J69) + 1)</f>
        <v>5</v>
      </c>
      <c r="L69" s="1555"/>
      <c r="M69" s="2160" t="s">
        <v>363</v>
      </c>
      <c r="N69" s="1863"/>
      <c r="O69" s="1782" t="s">
        <v>83</v>
      </c>
      <c r="P69" s="2129" t="s">
        <v>1442</v>
      </c>
      <c r="Q69" s="2115"/>
      <c r="R69" s="1782">
        <v>1</v>
      </c>
      <c r="S69" s="585" t="s">
        <v>116</v>
      </c>
      <c r="T69" s="586">
        <f ca="1">IF(OR(G69="", H69=""), "", IF(TODAY()&lt;G69, 0, IF(TODAY()&gt;H69, 1, (TODAY()-G69+1)/(H69-G69+1))))</f>
        <v>1</v>
      </c>
      <c r="U69" s="587">
        <f>IFERROR(IF(AND(U$54&gt;=EOMONTH($J69,-1)+1,U$54&lt;=EOMONTH(EOMONTH($J69,-1)+1,$K69-1)),IF(NOT(ISBLANK($N69)),$N69/$K69,$I69/$K69),0),0)</f>
        <v>0</v>
      </c>
      <c r="V69" s="587">
        <f>IFERROR(IF(AND(V$54&gt;=EOMONTH($J69,-1)+1,V$54&lt;=EOMONTH(EOMONTH($J69,-1)+1,$K69-1)),IF(NOT(ISBLANK($N69)),$N69/$K69,$I69/$K69),0),0)</f>
        <v>0</v>
      </c>
      <c r="W69" s="734">
        <f>IFERROR(IF(AND(W$54&gt;=EOMONTH($J69,-1)+1,W$54&lt;=EOMONTH(EOMONTH($J69,-1)+1,$K69-1)),IF(NOT(ISBLANK($N69)),$N69/$K69,$I69/$K69),0),0)</f>
        <v>0</v>
      </c>
      <c r="X69" s="722">
        <f t="shared" ref="X69" si="46">SUM(U69:W69)</f>
        <v>0</v>
      </c>
      <c r="Y69" s="587">
        <f>IFERROR(IF(AND(Y$54&gt;=EOMONTH($J69,-1)+1,Y$54&lt;=EOMONTH(EOMONTH($J69,-1)+1,$K69-1)),IF(NOT(ISBLANK($N69)),$N69/$K69,$I69/$K69),0),0)</f>
        <v>0</v>
      </c>
      <c r="Z69" s="587">
        <f>IFERROR(IF(AND(Z$54&gt;=EOMONTH($J69,-1)+1,Z$54&lt;=EOMONTH(EOMONTH($J69,-1)+1,$K69-1)),IF(NOT(ISBLANK($N69)),$N69/$K69,$I69/$K69),0),0)</f>
        <v>0</v>
      </c>
      <c r="AA69" s="587">
        <f>IFERROR(IF(AND(AA$54&gt;=EOMONTH($J69,-1)+1,AA$54&lt;=EOMONTH(EOMONTH($J69,-1)+1,$K69-1)),IF(NOT(ISBLANK($N69)),$N69/$K69,$I69/$K69),0),0)</f>
        <v>0</v>
      </c>
      <c r="AB69" s="722">
        <f t="shared" si="27"/>
        <v>0</v>
      </c>
      <c r="AC69" s="587">
        <f>IFERROR(IF(AND(AC$54&gt;=EOMONTH($J69,-1)+1,AC$54&lt;=EOMONTH(EOMONTH($J69,-1)+1,$K69-1)),IF(NOT(ISBLANK($N69)),$N69/$K69,$I69/$K69),0),0)</f>
        <v>0</v>
      </c>
      <c r="AD69" s="587">
        <f>IFERROR(IF(AND(AD$54&gt;=EOMONTH($J69,-1)+1,AD$54&lt;=EOMONTH(EOMONTH($J69,-1)+1,$K69-1)),IF(NOT(ISBLANK($N69)),$N69/$K69,$I69/$K69),0),0)</f>
        <v>39000</v>
      </c>
      <c r="AE69" s="587">
        <f>IFERROR(IF(AND(AE$54&gt;=EOMONTH($J69,-1)+1,AE$54&lt;=EOMONTH(EOMONTH($J69,-1)+1,$K69-1)),IF(NOT(ISBLANK($N69)),$N69/$K69,$I69/$K69),0),0)</f>
        <v>39000</v>
      </c>
      <c r="AF69" s="722">
        <f t="shared" si="28"/>
        <v>78000</v>
      </c>
      <c r="AG69" s="587">
        <f>IFERROR(IF(AND(AG$54&gt;=EOMONTH($J69,-1)+1,AG$54&lt;=EOMONTH(EOMONTH($J69,-1)+1,$K69-1)),IF(NOT(ISBLANK($N69)),$N69/$K69,$I69/$K69),0),0)</f>
        <v>39000</v>
      </c>
      <c r="AH69" s="587">
        <f>IFERROR(IF(AND(AH$54&gt;=EOMONTH($J69,-1)+1,AH$54&lt;=EOMONTH(EOMONTH($J69,-1)+1,$K69-1)),IF(NOT(ISBLANK($N69)),$N69/$K69,$I69/$K69),0),0)</f>
        <v>39000</v>
      </c>
      <c r="AI69" s="587">
        <f>IFERROR(IF(AND(AI$54&gt;=EOMONTH($J69,-1)+1,AI$54&lt;=EOMONTH(EOMONTH($J69,-1)+1,$K69-1)),IF(NOT(ISBLANK($N69)),$N69/$K69,$I69/$K69),0),0)</f>
        <v>39000</v>
      </c>
      <c r="AJ69" s="722">
        <f t="shared" si="18"/>
        <v>117000</v>
      </c>
      <c r="AK69" s="723">
        <f t="shared" si="16"/>
        <v>195000</v>
      </c>
      <c r="AL69" s="125"/>
      <c r="AM69" s="1451"/>
      <c r="AN69" s="2134"/>
      <c r="AO69" s="2170">
        <f>N69*AN69</f>
        <v>0</v>
      </c>
      <c r="AP69" s="125" t="str">
        <f>C69</f>
        <v>09 - Critério para descarte de consumíveis</v>
      </c>
      <c r="AQ69" s="62" t="s">
        <v>311</v>
      </c>
      <c r="AR69" s="508" t="str" cm="1">
        <f t="array" aca="1" ref="AR69" ca="1">IF(OR(AP69="",AP69=0),"",IF(SUMPRODUCT(($C$55:$C$191=AP69)*(U$54:$AI$54&lt;EOMONTH(TODAY(),-1)+1)*(ISNUMBER(U$55:$AI$191)),U$55:$AI$191)=0,"",SUMPRODUCT(($C$55:$C$191=AP69)*(U$54:$AI$54&lt;EOMONTH(TODAY(),-1)+1)*(ISNUMBER(U$55:$AI$191)),U$55:$AI$191)))</f>
        <v/>
      </c>
      <c r="AS69" s="62" t="str">
        <f>A69</f>
        <v>Kaizen - Capital de Giro</v>
      </c>
      <c r="AU69" s="1566">
        <f t="shared" ref="AU69" si="47">IF(OR(I69="",K69=""),0,(I69/12)*K69)</f>
        <v>81250</v>
      </c>
      <c r="AV69" s="1566">
        <f t="shared" ref="AV69" si="48">IF(OR(N69="",K69="",K69=0),0,(N69/K69)*12)</f>
        <v>0</v>
      </c>
    </row>
    <row r="70" spans="1:48" ht="29.1" customHeight="1" x14ac:dyDescent="0.3">
      <c r="A70" s="1408"/>
      <c r="B70" s="1408"/>
      <c r="C70" s="1466"/>
      <c r="D70" s="1455"/>
      <c r="E70" s="1450"/>
      <c r="F70" s="1452"/>
      <c r="G70" s="1786"/>
      <c r="H70" s="1786"/>
      <c r="I70" s="1835"/>
      <c r="J70" s="1379"/>
      <c r="K70" s="1503"/>
      <c r="L70" s="1556"/>
      <c r="M70" s="2161"/>
      <c r="N70" s="2162"/>
      <c r="O70" s="1783"/>
      <c r="P70" s="1672"/>
      <c r="Q70" s="2116"/>
      <c r="R70" s="1783"/>
      <c r="S70" s="585" t="s">
        <v>117</v>
      </c>
      <c r="T70" s="586">
        <v>0.95</v>
      </c>
      <c r="U70" s="965"/>
      <c r="V70" s="965"/>
      <c r="W70" s="965"/>
      <c r="X70" s="965">
        <f t="shared" ref="X70" si="49">SUM(U70:W70)</f>
        <v>0</v>
      </c>
      <c r="Y70" s="965"/>
      <c r="Z70" s="965"/>
      <c r="AA70" s="965"/>
      <c r="AB70" s="965">
        <f t="shared" si="27"/>
        <v>0</v>
      </c>
      <c r="AC70" s="965"/>
      <c r="AD70" s="965"/>
      <c r="AE70" s="965"/>
      <c r="AF70" s="965">
        <f t="shared" si="28"/>
        <v>0</v>
      </c>
      <c r="AG70" s="965"/>
      <c r="AH70" s="965"/>
      <c r="AI70" s="965"/>
      <c r="AJ70" s="965">
        <f t="shared" si="18"/>
        <v>0</v>
      </c>
      <c r="AK70" s="966">
        <f t="shared" si="16"/>
        <v>0</v>
      </c>
      <c r="AL70" s="338"/>
      <c r="AM70" s="1452"/>
      <c r="AN70" s="2135"/>
      <c r="AO70" s="2171"/>
      <c r="AP70" s="97" t="str">
        <f>C69</f>
        <v>09 - Critério para descarte de consumíveis</v>
      </c>
      <c r="AQ70" s="62" t="s">
        <v>313</v>
      </c>
      <c r="AR70" s="508" t="str" cm="1">
        <f t="array" aca="1" ref="AR70" ca="1">IF(OR(AP70="",AP70=0),"",IF(SUMPRODUCT(($C$55:$C$191=AP70)*(U$54:$AI$54&lt;EOMONTH(TODAY(),-1)+1)*(ISNUMBER(U$56:$AI$192)),U$56:$AI$192)=0,"",SUMPRODUCT(($C$55:$C$191=AP70)*(U$54:$AI$54&lt;EOMONTH(TODAY(),-1)+1)*(ISNUMBER(U$56:$AI$192)),U$56:$AI$192)))</f>
        <v/>
      </c>
      <c r="AS70" s="62" t="str">
        <f>A69</f>
        <v>Kaizen - Capital de Giro</v>
      </c>
      <c r="AU70" s="1567"/>
      <c r="AV70" s="1567"/>
    </row>
    <row r="71" spans="1:48" ht="29.1" customHeight="1" x14ac:dyDescent="0.3">
      <c r="A71" s="1407" t="s">
        <v>61</v>
      </c>
      <c r="B71" s="1691" t="s">
        <v>97</v>
      </c>
      <c r="C71" s="1482" t="s">
        <v>1443</v>
      </c>
      <c r="D71" s="1356" t="s">
        <v>1444</v>
      </c>
      <c r="E71" s="1449" t="s">
        <v>1445</v>
      </c>
      <c r="F71" s="1451" t="s">
        <v>1438</v>
      </c>
      <c r="G71" s="1366">
        <v>46054</v>
      </c>
      <c r="H71" s="1366">
        <v>46178</v>
      </c>
      <c r="I71" s="1488">
        <v>200000.00399999999</v>
      </c>
      <c r="J71" s="1378">
        <v>46054</v>
      </c>
      <c r="K71" s="1387">
        <f t="shared" ref="K71" si="50">IF(J71="", "", 12 - MONTH(J71) + 1)</f>
        <v>11</v>
      </c>
      <c r="L71" s="1555"/>
      <c r="M71" s="2123"/>
      <c r="N71" s="2130"/>
      <c r="O71" s="1334" t="s">
        <v>83</v>
      </c>
      <c r="P71" s="2127" t="s">
        <v>1421</v>
      </c>
      <c r="Q71" s="2125"/>
      <c r="R71" s="1334">
        <v>1</v>
      </c>
      <c r="S71" s="93" t="s">
        <v>116</v>
      </c>
      <c r="T71" s="96">
        <f ca="1">IF(OR(G71="", H71=""), "", IF(TODAY()&lt;G71, 0, IF(TODAY()&gt;H71, 1, (TODAY()-G71+1)/(H71-G71+1))))</f>
        <v>1</v>
      </c>
      <c r="U71" s="498">
        <f>IFERROR(IF(AND(U$54&gt;=EOMONTH($J71,-1)+1,U$54&lt;=EOMONTH(EOMONTH($J71,-1)+1,$K71-1)),IF(NOT(ISBLANK($N71)),$N71/$K71,$I71/$K71),0),0)</f>
        <v>0</v>
      </c>
      <c r="V71" s="498">
        <f>IFERROR(IF(AND(V$54&gt;=EOMONTH($J71,-1)+1,V$54&lt;=EOMONTH(EOMONTH($J71,-1)+1,$K71-1)),IF(NOT(ISBLANK($N71)),$N71/$K71,$I71/$K71),0),0)</f>
        <v>18181.818545454546</v>
      </c>
      <c r="W71" s="596">
        <f>IFERROR(IF(AND(W$54&gt;=EOMONTH($J71,-1)+1,W$54&lt;=EOMONTH(EOMONTH($J71,-1)+1,$K71-1)),IF(NOT(ISBLANK($N71)),$N71/$K71,$I71/$K71),0),0)</f>
        <v>18181.818545454546</v>
      </c>
      <c r="X71" s="89">
        <f t="shared" ref="X71:X72" si="51">SUM(U71:W71)</f>
        <v>36363.637090909091</v>
      </c>
      <c r="Y71" s="596">
        <f>IFERROR(IF(AND(Y$54&gt;=EOMONTH($J71,-1)+1,Y$54&lt;=EOMONTH(EOMONTH($J71,-1)+1,$K71-1)),IF(NOT(ISBLANK($N71)),$N71/$K71,$I71/$K71),0),0)</f>
        <v>18181.818545454546</v>
      </c>
      <c r="Z71" s="498">
        <f>IFERROR(IF(AND(Z$54&gt;=EOMONTH($J71,-1)+1,Z$54&lt;=EOMONTH(EOMONTH($J71,-1)+1,$K71-1)),IF(NOT(ISBLANK($N71)),$N71/$K71,$I71/$K71),0),0)</f>
        <v>18181.818545454546</v>
      </c>
      <c r="AA71" s="498">
        <f>IFERROR(IF(AND(AA$54&gt;=EOMONTH($J71,-1)+1,AA$54&lt;=EOMONTH(EOMONTH($J71,-1)+1,$K71-1)),IF(NOT(ISBLANK($N71)),$N71/$K71,$I71/$K71),0),0)</f>
        <v>18181.818545454546</v>
      </c>
      <c r="AB71" s="89">
        <f t="shared" si="27"/>
        <v>54545.455636363637</v>
      </c>
      <c r="AC71" s="498">
        <f>IFERROR(IF(AND(AC$54&gt;=EOMONTH($J71,-1)+1,AC$54&lt;=EOMONTH(EOMONTH($J71,-1)+1,$K71-1)),IF(NOT(ISBLANK($N71)),$N71/$K71,$I71/$K71),0),0)</f>
        <v>18181.818545454546</v>
      </c>
      <c r="AD71" s="498">
        <f>IFERROR(IF(AND(AD$54&gt;=EOMONTH($J71,-1)+1,AD$54&lt;=EOMONTH(EOMONTH($J71,-1)+1,$K71-1)),IF(NOT(ISBLANK($N71)),$N71/$K71,$I71/$K71),0),0)</f>
        <v>18181.818545454546</v>
      </c>
      <c r="AE71" s="498">
        <f>IFERROR(IF(AND(AE$54&gt;=EOMONTH($J71,-1)+1,AE$54&lt;=EOMONTH(EOMONTH($J71,-1)+1,$K71-1)),IF(NOT(ISBLANK($N71)),$N71/$K71,$I71/$K71),0),0)</f>
        <v>18181.818545454546</v>
      </c>
      <c r="AF71" s="89">
        <f t="shared" si="28"/>
        <v>54545.455636363637</v>
      </c>
      <c r="AG71" s="498">
        <f>IFERROR(IF(AND(AG$54&gt;=EOMONTH($J71,-1)+1,AG$54&lt;=EOMONTH(EOMONTH($J71,-1)+1,$K71-1)),IF(NOT(ISBLANK($N71)),$N71/$K71,$I71/$K71),0),0)</f>
        <v>18181.818545454546</v>
      </c>
      <c r="AH71" s="498">
        <f>IFERROR(IF(AND(AH$54&gt;=EOMONTH($J71,-1)+1,AH$54&lt;=EOMONTH(EOMONTH($J71,-1)+1,$K71-1)),IF(NOT(ISBLANK($N71)),$N71/$K71,$I71/$K71),0),0)</f>
        <v>18181.818545454546</v>
      </c>
      <c r="AI71" s="498">
        <f>IFERROR(IF(AND(AI$54&gt;=EOMONTH($J71,-1)+1,AI$54&lt;=EOMONTH(EOMONTH($J71,-1)+1,$K71-1)),IF(NOT(ISBLANK($N71)),$N71/$K71,$I71/$K71),0),0)</f>
        <v>18181.818545454546</v>
      </c>
      <c r="AJ71" s="89">
        <f t="shared" si="18"/>
        <v>54545.455636363637</v>
      </c>
      <c r="AK71" s="95">
        <f t="shared" si="16"/>
        <v>200000.00400000002</v>
      </c>
      <c r="AL71" s="97"/>
      <c r="AM71" s="1407"/>
      <c r="AN71" s="1334"/>
      <c r="AO71" s="1403">
        <f>N71*AN71</f>
        <v>0</v>
      </c>
      <c r="AP71" s="97" t="str">
        <f>C71</f>
        <v xml:space="preserve">10 - Consumo de energia elétrica: vazamentos de ar </v>
      </c>
      <c r="AQ71" s="62" t="s">
        <v>311</v>
      </c>
      <c r="AR71" s="508" cm="1">
        <f t="array" aca="1" ref="AR71" ca="1">IF(OR(AP71="",AP71=0),"",IF(SUMPRODUCT(($C$55:$C$191=AP71)*(U$54:$AI$54&lt;EOMONTH(TODAY(),-1)+1)*(ISNUMBER(U$55:$AI$191)),U$55:$AI$191)=0,"",SUMPRODUCT(($C$55:$C$191=AP71)*(U$54:$AI$54&lt;EOMONTH(TODAY(),-1)+1)*(ISNUMBER(U$55:$AI$191)),U$55:$AI$191)))</f>
        <v>109090.91127272727</v>
      </c>
      <c r="AS71" s="62" t="str">
        <f>A71</f>
        <v>Kaizen - Custo Evitado</v>
      </c>
      <c r="AU71" s="1566">
        <f t="shared" ref="AU71" si="52">IF(OR(I71="",K71=""),0,(I71/12)*K71)</f>
        <v>183333.33699999997</v>
      </c>
      <c r="AV71" s="1566">
        <f t="shared" ref="AV71" si="53">IF(OR(N71="",K71="",K71=0),0,(N71/K71)*12)</f>
        <v>0</v>
      </c>
    </row>
    <row r="72" spans="1:48" ht="29.1" customHeight="1" x14ac:dyDescent="0.3">
      <c r="A72" s="1408"/>
      <c r="B72" s="1692"/>
      <c r="C72" s="1483"/>
      <c r="D72" s="1455"/>
      <c r="E72" s="1450"/>
      <c r="F72" s="1452"/>
      <c r="G72" s="1367"/>
      <c r="H72" s="1367"/>
      <c r="I72" s="1367"/>
      <c r="J72" s="1379"/>
      <c r="K72" s="1388"/>
      <c r="L72" s="1556"/>
      <c r="M72" s="2124"/>
      <c r="N72" s="1548"/>
      <c r="O72" s="1330"/>
      <c r="P72" s="2128"/>
      <c r="Q72" s="2126"/>
      <c r="R72" s="1330"/>
      <c r="S72" s="93" t="s">
        <v>117</v>
      </c>
      <c r="T72" s="96">
        <v>1</v>
      </c>
      <c r="U72" s="968"/>
      <c r="V72" s="968"/>
      <c r="W72" s="965"/>
      <c r="X72" s="965">
        <f t="shared" si="51"/>
        <v>0</v>
      </c>
      <c r="Y72" s="965"/>
      <c r="Z72" s="965"/>
      <c r="AA72" s="965"/>
      <c r="AB72" s="965">
        <f t="shared" si="27"/>
        <v>0</v>
      </c>
      <c r="AC72" s="965" t="s">
        <v>128</v>
      </c>
      <c r="AD72" s="965"/>
      <c r="AE72" s="965"/>
      <c r="AF72" s="965">
        <f t="shared" si="28"/>
        <v>0</v>
      </c>
      <c r="AG72" s="965"/>
      <c r="AH72" s="965"/>
      <c r="AI72" s="965"/>
      <c r="AJ72" s="965">
        <f t="shared" si="18"/>
        <v>0</v>
      </c>
      <c r="AK72" s="966">
        <f t="shared" si="16"/>
        <v>0</v>
      </c>
      <c r="AL72" s="97"/>
      <c r="AM72" s="1408"/>
      <c r="AN72" s="1330"/>
      <c r="AO72" s="1404"/>
      <c r="AP72" s="97" t="str">
        <f>C71</f>
        <v xml:space="preserve">10 - Consumo de energia elétrica: vazamentos de ar </v>
      </c>
      <c r="AQ72" s="62" t="s">
        <v>313</v>
      </c>
      <c r="AR72" s="508" t="str" cm="1">
        <f t="array" aca="1" ref="AR72" ca="1">IF(OR(AP72="",AP72=0),"",IF(SUMPRODUCT(($C$55:$C$191=AP72)*(U$54:$AI$54&lt;EOMONTH(TODAY(),-1)+1)*(ISNUMBER(U$56:$AI$192)),U$56:$AI$192)=0,"",SUMPRODUCT(($C$55:$C$191=AP72)*(U$54:$AI$54&lt;EOMONTH(TODAY(),-1)+1)*(ISNUMBER(U$56:$AI$192)),U$56:$AI$192)))</f>
        <v/>
      </c>
      <c r="AS72" s="62" t="str">
        <f>A71</f>
        <v>Kaizen - Custo Evitado</v>
      </c>
      <c r="AU72" s="1567"/>
      <c r="AV72" s="1567"/>
    </row>
    <row r="73" spans="1:48" ht="29.1" customHeight="1" x14ac:dyDescent="0.3">
      <c r="A73" s="1407" t="s">
        <v>61</v>
      </c>
      <c r="B73" s="1691" t="s">
        <v>97</v>
      </c>
      <c r="C73" s="1482" t="s">
        <v>1446</v>
      </c>
      <c r="D73" s="1738" t="s">
        <v>1447</v>
      </c>
      <c r="E73" s="1740" t="s">
        <v>1448</v>
      </c>
      <c r="F73" s="1742" t="s">
        <v>1438</v>
      </c>
      <c r="G73" s="1744">
        <v>46082</v>
      </c>
      <c r="H73" s="1744">
        <v>46265</v>
      </c>
      <c r="I73" s="1488">
        <v>200000.00200000001</v>
      </c>
      <c r="J73" s="1749">
        <v>46265</v>
      </c>
      <c r="K73" s="1387">
        <f>IF(J73="", "", 12 - MONTH(J73) + 1)</f>
        <v>5</v>
      </c>
      <c r="L73" s="1555"/>
      <c r="M73" s="1476"/>
      <c r="N73" s="1863"/>
      <c r="O73" s="1334" t="s">
        <v>83</v>
      </c>
      <c r="P73" s="2129" t="s">
        <v>1449</v>
      </c>
      <c r="Q73" s="2115"/>
      <c r="R73" s="1334">
        <v>1</v>
      </c>
      <c r="S73" s="93" t="s">
        <v>116</v>
      </c>
      <c r="T73" s="96">
        <f ca="1">IF(OR(G73="", H73=""), "", IF(TODAY()&lt;G73, 0, IF(TODAY()&gt;H73, 1, (TODAY()-G73+1)/(H73-G73+1))))</f>
        <v>0.92391304347826086</v>
      </c>
      <c r="U73" s="498">
        <f>IFERROR(IF(AND(U$54&gt;=EOMONTH($J73,-1)+1,U$54&lt;=EOMONTH(EOMONTH($J73,-1)+1,$K73-1)),IF(NOT(ISBLANK($N73)),$N73/$K73,$I73/$K73),0),0)</f>
        <v>0</v>
      </c>
      <c r="V73" s="498">
        <f>IFERROR(IF(AND(V$54&gt;=EOMONTH($J73,-1)+1,V$54&lt;=EOMONTH(EOMONTH($J73,-1)+1,$K73-1)),IF(NOT(ISBLANK($N73)),$N73/$K73,$I73/$K73),0),0)</f>
        <v>0</v>
      </c>
      <c r="W73" s="596">
        <f>IFERROR(IF(AND(W$54&gt;=EOMONTH($J73,-1)+1,W$54&lt;=EOMONTH(EOMONTH($J73,-1)+1,$K73-1)),IF(NOT(ISBLANK($N73)),$N73/$K73,$I73/$K73),0),0)</f>
        <v>0</v>
      </c>
      <c r="X73" s="89">
        <f t="shared" ref="X73:X75" si="54">SUM(U73:W73)</f>
        <v>0</v>
      </c>
      <c r="Y73" s="596">
        <f>IFERROR(IF(AND(Y$54&gt;=EOMONTH($J73,-1)+1,Y$54&lt;=EOMONTH(EOMONTH($J73,-1)+1,$K73-1)),IF(NOT(ISBLANK($N73)),$N73/$K73,$I73/$K73),0),0)</f>
        <v>0</v>
      </c>
      <c r="Z73" s="498">
        <f>IFERROR(IF(AND(Z$54&gt;=EOMONTH($J73,-1)+1,Z$54&lt;=EOMONTH(EOMONTH($J73,-1)+1,$K73-1)),IF(NOT(ISBLANK($N73)),$N73/$K73,$I73/$K73),0),0)</f>
        <v>0</v>
      </c>
      <c r="AA73" s="498">
        <f>IFERROR(IF(AND(AA$54&gt;=EOMONTH($J73,-1)+1,AA$54&lt;=EOMONTH(EOMONTH($J73,-1)+1,$K73-1)),IF(NOT(ISBLANK($N73)),$N73/$K73,$I73/$K73),0),0)</f>
        <v>0</v>
      </c>
      <c r="AB73" s="89">
        <f t="shared" si="27"/>
        <v>0</v>
      </c>
      <c r="AC73" s="498">
        <f>IFERROR(IF(AND(AC$54&gt;=EOMONTH($J73,-1)+1,AC$54&lt;=EOMONTH(EOMONTH($J73,-1)+1,$K73-1)),IF(NOT(ISBLANK($N73)),$N73/$K73,$I73/$K73),0),0)</f>
        <v>0</v>
      </c>
      <c r="AD73" s="498">
        <f>IFERROR(IF(AND(AD$54&gt;=EOMONTH($J73,-1)+1,AD$54&lt;=EOMONTH(EOMONTH($J73,-1)+1,$K73-1)),IF(NOT(ISBLANK($N73)),$N73/$K73,$I73/$K73),0),0)</f>
        <v>40000.000400000004</v>
      </c>
      <c r="AE73" s="498">
        <f>IFERROR(IF(AND(AE$54&gt;=EOMONTH($J73,-1)+1,AE$54&lt;=EOMONTH(EOMONTH($J73,-1)+1,$K73-1)),IF(NOT(ISBLANK($N73)),$N73/$K73,$I73/$K73),0),0)</f>
        <v>40000.000400000004</v>
      </c>
      <c r="AF73" s="89">
        <f t="shared" si="28"/>
        <v>80000.000800000009</v>
      </c>
      <c r="AG73" s="498">
        <f>IFERROR(IF(AND(AG$54&gt;=EOMONTH($J73,-1)+1,AG$54&lt;=EOMONTH(EOMONTH($J73,-1)+1,$K73-1)),IF(NOT(ISBLANK($N73)),$N73/$K73,$I73/$K73),0),0)</f>
        <v>40000.000400000004</v>
      </c>
      <c r="AH73" s="498">
        <f>IFERROR(IF(AND(AH$54&gt;=EOMONTH($J73,-1)+1,AH$54&lt;=EOMONTH(EOMONTH($J73,-1)+1,$K73-1)),IF(NOT(ISBLANK($N73)),$N73/$K73,$I73/$K73),0),0)</f>
        <v>40000.000400000004</v>
      </c>
      <c r="AI73" s="498">
        <f>IFERROR(IF(AND(AI$54&gt;=EOMONTH($J73,-1)+1,AI$54&lt;=EOMONTH(EOMONTH($J73,-1)+1,$K73-1)),IF(NOT(ISBLANK($N73)),$N73/$K73,$I73/$K73),0),0)</f>
        <v>40000.000400000004</v>
      </c>
      <c r="AJ73" s="89">
        <f t="shared" si="18"/>
        <v>120000.00120000001</v>
      </c>
      <c r="AK73" s="95">
        <f t="shared" si="16"/>
        <v>200000.00200000004</v>
      </c>
      <c r="AL73" s="97"/>
      <c r="AM73" s="1407"/>
      <c r="AN73" s="1334"/>
      <c r="AO73" s="1403">
        <f>N73*AN73</f>
        <v>0</v>
      </c>
      <c r="AP73" s="97" t="str">
        <f>C73</f>
        <v>12 - Sistema hidráulico 3500T</v>
      </c>
      <c r="AQ73" s="62" t="s">
        <v>311</v>
      </c>
      <c r="AR73" s="508" t="str" cm="1">
        <f t="array" aca="1" ref="AR73" ca="1">IF(OR(AP73="",AP73=0),"",IF(SUMPRODUCT(($C$55:$C$191=AP73)*(U$54:$AI$54&lt;EOMONTH(TODAY(),-1)+1)*(ISNUMBER(U$55:$AI$191)),U$55:$AI$191)=0,"",SUMPRODUCT(($C$55:$C$191=AP73)*(U$54:$AI$54&lt;EOMONTH(TODAY(),-1)+1)*(ISNUMBER(U$55:$AI$191)),U$55:$AI$191)))</f>
        <v/>
      </c>
      <c r="AS73" s="62" t="str">
        <f>A73</f>
        <v>Kaizen - Custo Evitado</v>
      </c>
      <c r="AU73" s="1566">
        <f t="shared" ref="AU73" si="55">IF(OR(I73="",K73=""),0,(I73/12)*K73)</f>
        <v>83333.334166666667</v>
      </c>
      <c r="AV73" s="1566">
        <f t="shared" ref="AV73" si="56">IF(OR(N73="",K73="",K73=0),0,(N73/K73)*12)</f>
        <v>0</v>
      </c>
    </row>
    <row r="74" spans="1:48" ht="48" customHeight="1" x14ac:dyDescent="0.3">
      <c r="A74" s="1408"/>
      <c r="B74" s="1692"/>
      <c r="C74" s="1483"/>
      <c r="D74" s="1739"/>
      <c r="E74" s="1741"/>
      <c r="F74" s="1743"/>
      <c r="G74" s="1396"/>
      <c r="H74" s="1396"/>
      <c r="I74" s="1367"/>
      <c r="J74" s="1750"/>
      <c r="K74" s="1388"/>
      <c r="L74" s="1556"/>
      <c r="M74" s="1477"/>
      <c r="N74" s="2162"/>
      <c r="O74" s="1330"/>
      <c r="P74" s="1672"/>
      <c r="Q74" s="2116"/>
      <c r="R74" s="1330"/>
      <c r="S74" s="93" t="s">
        <v>117</v>
      </c>
      <c r="T74" s="96">
        <v>0.85</v>
      </c>
      <c r="U74" s="965"/>
      <c r="V74" s="965"/>
      <c r="W74" s="965"/>
      <c r="X74" s="965">
        <f t="shared" si="54"/>
        <v>0</v>
      </c>
      <c r="Y74" s="965"/>
      <c r="Z74" s="965"/>
      <c r="AA74" s="965"/>
      <c r="AB74" s="965">
        <f t="shared" si="27"/>
        <v>0</v>
      </c>
      <c r="AC74" s="965"/>
      <c r="AD74" s="965"/>
      <c r="AE74" s="965"/>
      <c r="AF74" s="965">
        <f t="shared" si="28"/>
        <v>0</v>
      </c>
      <c r="AG74" s="965"/>
      <c r="AH74" s="965"/>
      <c r="AI74" s="965"/>
      <c r="AJ74" s="965">
        <f t="shared" si="18"/>
        <v>0</v>
      </c>
      <c r="AK74" s="966">
        <f t="shared" si="16"/>
        <v>0</v>
      </c>
      <c r="AL74" s="97"/>
      <c r="AM74" s="1408"/>
      <c r="AN74" s="1330"/>
      <c r="AO74" s="1404"/>
      <c r="AP74" s="97" t="str">
        <f>C73</f>
        <v>12 - Sistema hidráulico 3500T</v>
      </c>
      <c r="AQ74" s="62" t="s">
        <v>313</v>
      </c>
      <c r="AR74" s="508" t="str" cm="1">
        <f t="array" aca="1" ref="AR74" ca="1">IF(OR(AP74="",AP74=0),"",IF(SUMPRODUCT(($C$55:$C$191=AP74)*(U$54:$AI$54&lt;EOMONTH(TODAY(),-1)+1)*(ISNUMBER(U$56:$AI$192)),U$56:$AI$192)=0,"",SUMPRODUCT(($C$55:$C$191=AP74)*(U$54:$AI$54&lt;EOMONTH(TODAY(),-1)+1)*(ISNUMBER(U$56:$AI$192)),U$56:$AI$192)))</f>
        <v/>
      </c>
      <c r="AS74" s="62" t="str">
        <f>A73</f>
        <v>Kaizen - Custo Evitado</v>
      </c>
      <c r="AU74" s="1567"/>
      <c r="AV74" s="1567"/>
    </row>
    <row r="75" spans="1:48" ht="29.1" customHeight="1" x14ac:dyDescent="0.3">
      <c r="A75" s="1809" t="s">
        <v>925</v>
      </c>
      <c r="B75" s="1407" t="s">
        <v>97</v>
      </c>
      <c r="C75" s="1465" t="s">
        <v>1450</v>
      </c>
      <c r="D75" s="1738" t="s">
        <v>1451</v>
      </c>
      <c r="E75" s="1740" t="s">
        <v>1452</v>
      </c>
      <c r="F75" s="1742" t="s">
        <v>1392</v>
      </c>
      <c r="G75" s="2165">
        <v>46054</v>
      </c>
      <c r="H75" s="1366">
        <v>46178</v>
      </c>
      <c r="I75" s="2117">
        <v>165000</v>
      </c>
      <c r="J75" s="1749"/>
      <c r="K75" s="1387" t="str">
        <f t="shared" ref="K75" si="57">IF(J75="", "", 12 - MONTH(J75) + 1)</f>
        <v/>
      </c>
      <c r="L75" s="1395"/>
      <c r="M75" s="2121" t="s">
        <v>363</v>
      </c>
      <c r="N75" s="2169"/>
      <c r="O75" s="1327" t="s">
        <v>83</v>
      </c>
      <c r="P75" s="2127" t="s">
        <v>1453</v>
      </c>
      <c r="Q75" s="2125"/>
      <c r="R75" s="1327">
        <v>1</v>
      </c>
      <c r="S75" s="87" t="s">
        <v>116</v>
      </c>
      <c r="T75" s="91">
        <f ca="1">IF(OR(G75="", H75=""), "", IF(TODAY()&lt;G75, 0, IF(TODAY()&gt;H75, 1, (TODAY()-G75+1)/(H75-G75+1))))</f>
        <v>1</v>
      </c>
      <c r="U75" s="287">
        <f>IFERROR(IF(AND(U$54&gt;=EOMONTH($J75,-1)+1,U$54&lt;=EOMONTH(EOMONTH($J75,-1)+1,$K75-1)),IF(NOT(ISBLANK($N75)),$N75/$K75,$I75/$K75),0),0)</f>
        <v>0</v>
      </c>
      <c r="V75" s="527">
        <f>IFERROR(IF(AND(V$54&gt;=EOMONTH($J75,-1)+1,V$54&lt;=EOMONTH(EOMONTH($J75,-1)+1,$K75-1)),IF(NOT(ISBLANK($N75)),$N75/$K75,$I75/$K75),0),0)</f>
        <v>0</v>
      </c>
      <c r="W75" s="527">
        <f>IFERROR(IF(AND(W$54&gt;=EOMONTH($J75,-1)+1,W$54&lt;=EOMONTH(EOMONTH($J75,-1)+1,$K75-1)),IF(NOT(ISBLANK($N75)),$N75/$K75,$I75/$K75),0),0)</f>
        <v>0</v>
      </c>
      <c r="X75" s="89">
        <f t="shared" si="54"/>
        <v>0</v>
      </c>
      <c r="Y75" s="527">
        <f>IFERROR(IF(AND(Y$54&gt;=EOMONTH($J75,-1)+1,Y$54&lt;=EOMONTH(EOMONTH($J75,-1)+1,$K75-1)),IF(NOT(ISBLANK($N75)),$N75/$K75,$I75/$K75),0),0)</f>
        <v>0</v>
      </c>
      <c r="Z75" s="287">
        <f>IFERROR(IF(AND(Z$54&gt;=EOMONTH($J75,-1)+1,Z$54&lt;=EOMONTH(EOMONTH($J75,-1)+1,$K75-1)),IF(NOT(ISBLANK($N75)),$N75/$K75,$I75/$K75),0),0)</f>
        <v>0</v>
      </c>
      <c r="AA75" s="287">
        <f>IFERROR(IF(AND(AA$54&gt;=EOMONTH($J75,-1)+1,AA$54&lt;=EOMONTH(EOMONTH($J75,-1)+1,$K75-1)),IF(NOT(ISBLANK($N75)),$N75/$K75,$I75/$K75),0),0)</f>
        <v>0</v>
      </c>
      <c r="AB75" s="89">
        <f t="shared" si="27"/>
        <v>0</v>
      </c>
      <c r="AC75" s="287">
        <f>IFERROR(IF(AND(AC$54&gt;=EOMONTH($J75,-1)+1,AC$54&lt;=EOMONTH(EOMONTH($J75,-1)+1,$K75-1)),IF(NOT(ISBLANK($N75)),$N75/$K75,$I75/$K75),0),0)</f>
        <v>0</v>
      </c>
      <c r="AD75" s="287">
        <f>IFERROR(IF(AND(AD$54&gt;=EOMONTH($J75,-1)+1,AD$54&lt;=EOMONTH(EOMONTH($J75,-1)+1,$K75-1)),IF(NOT(ISBLANK($N75)),$N75/$K75,$I75/$K75),0),0)</f>
        <v>0</v>
      </c>
      <c r="AE75" s="287">
        <f>IFERROR(IF(AND(AE$54&gt;=EOMONTH($J75,-1)+1,AE$54&lt;=EOMONTH(EOMONTH($J75,-1)+1,$K75-1)),IF(NOT(ISBLANK($N75)),$N75/$K75,$I75/$K75),0),0)</f>
        <v>0</v>
      </c>
      <c r="AF75" s="89">
        <f t="shared" si="28"/>
        <v>0</v>
      </c>
      <c r="AG75" s="287">
        <f>IFERROR(IF(AND(AG$54&gt;=EOMONTH($J75,-1)+1,AG$54&lt;=EOMONTH(EOMONTH($J75,-1)+1,$K75-1)),IF(NOT(ISBLANK($N75)),$N75/$K75,$I75/$K75),0),0)</f>
        <v>0</v>
      </c>
      <c r="AH75" s="287">
        <f>IFERROR(IF(AND(AH$54&gt;=EOMONTH($J75,-1)+1,AH$54&lt;=EOMONTH(EOMONTH($J75,-1)+1,$K75-1)),IF(NOT(ISBLANK($N75)),$N75/$K75,$I75/$K75),0),0)</f>
        <v>0</v>
      </c>
      <c r="AI75" s="287">
        <f>IFERROR(IF(AND(AI$54&gt;=EOMONTH($J75,-1)+1,AI$54&lt;=EOMONTH(EOMONTH($J75,-1)+1,$K75-1)),IF(NOT(ISBLANK($N75)),$N75/$K75,$I75/$K75),0),0)</f>
        <v>0</v>
      </c>
      <c r="AJ75" s="89">
        <f>SUM(AG75:AI75)</f>
        <v>0</v>
      </c>
      <c r="AK75" s="90">
        <f t="shared" si="16"/>
        <v>0</v>
      </c>
      <c r="AL75" s="98"/>
      <c r="AM75" s="1370"/>
      <c r="AN75" s="1411"/>
      <c r="AO75" s="1405">
        <f>N75*AN75</f>
        <v>0</v>
      </c>
      <c r="AP75" s="98" t="str">
        <f>C75</f>
        <v xml:space="preserve">13 - Transferência Hasenclaver para o plasma </v>
      </c>
      <c r="AQ75" s="62" t="s">
        <v>311</v>
      </c>
      <c r="AR75" s="508" t="str" cm="1">
        <f t="array" aca="1" ref="AR75" ca="1">IF(OR(AP75="",AP75=0),"",IF(SUMPRODUCT(($C$55:$C$191=AP75)*(U$54:$AI$54&lt;EOMONTH(TODAY(),-1)+1)*(ISNUMBER(U$55:$AI$191)),U$55:$AI$191)=0,"",SUMPRODUCT(($C$55:$C$191=AP75)*(U$54:$AI$54&lt;EOMONTH(TODAY(),-1)+1)*(ISNUMBER(U$55:$AI$191)),U$55:$AI$191)))</f>
        <v/>
      </c>
      <c r="AS75" s="62" t="str">
        <f>A75</f>
        <v>Kaizen</v>
      </c>
      <c r="AU75" s="1566">
        <f t="shared" ref="AU75" si="58">IF(OR(I75="",K75=""),0,(I75/12)*K75)</f>
        <v>0</v>
      </c>
      <c r="AV75" s="1566">
        <f t="shared" ref="AV75" si="59">IF(OR(N75="",K75="",K75=0),0,(N75/K75)*12)</f>
        <v>0</v>
      </c>
    </row>
    <row r="76" spans="1:48" ht="51" customHeight="1" x14ac:dyDescent="0.3">
      <c r="A76" s="1810"/>
      <c r="B76" s="1408"/>
      <c r="C76" s="1466"/>
      <c r="D76" s="1739"/>
      <c r="E76" s="1741"/>
      <c r="F76" s="1743"/>
      <c r="G76" s="2166"/>
      <c r="H76" s="1367"/>
      <c r="I76" s="2118"/>
      <c r="J76" s="1750"/>
      <c r="K76" s="1388"/>
      <c r="L76" s="1396"/>
      <c r="M76" s="2122"/>
      <c r="N76" s="2162"/>
      <c r="O76" s="1328"/>
      <c r="P76" s="1674"/>
      <c r="Q76" s="2126"/>
      <c r="R76" s="1328"/>
      <c r="S76" s="87" t="s">
        <v>117</v>
      </c>
      <c r="T76" s="91">
        <v>1</v>
      </c>
      <c r="U76" s="287"/>
      <c r="V76" s="287"/>
      <c r="W76" s="287"/>
      <c r="X76" s="288">
        <f t="shared" ref="X76" si="60">SUM(U76:W76)</f>
        <v>0</v>
      </c>
      <c r="Y76" s="287"/>
      <c r="Z76" s="287"/>
      <c r="AA76" s="287"/>
      <c r="AB76" s="288">
        <f t="shared" si="27"/>
        <v>0</v>
      </c>
      <c r="AC76" s="287"/>
      <c r="AD76" s="287"/>
      <c r="AE76" s="287"/>
      <c r="AF76" s="288">
        <f t="shared" si="28"/>
        <v>0</v>
      </c>
      <c r="AG76" s="287"/>
      <c r="AH76" s="287"/>
      <c r="AI76" s="287"/>
      <c r="AJ76" s="288">
        <f t="shared" si="18"/>
        <v>0</v>
      </c>
      <c r="AK76" s="289">
        <f t="shared" si="16"/>
        <v>0</v>
      </c>
      <c r="AL76" s="337"/>
      <c r="AM76" s="1371"/>
      <c r="AN76" s="1412"/>
      <c r="AO76" s="1406"/>
      <c r="AP76" s="92" t="str">
        <f>C75</f>
        <v xml:space="preserve">13 - Transferência Hasenclaver para o plasma </v>
      </c>
      <c r="AQ76" s="62" t="s">
        <v>313</v>
      </c>
      <c r="AR76" s="508" t="str" cm="1">
        <f t="array" aca="1" ref="AR76" ca="1">IF(OR(AP76="",AP76=0),"",IF(SUMPRODUCT(($C$55:$C$191=AP76)*(U$54:$AI$54&lt;EOMONTH(TODAY(),-1)+1)*(ISNUMBER(U$56:$AI$192)),U$56:$AI$192)=0,"",SUMPRODUCT(($C$55:$C$191=AP76)*(U$54:$AI$54&lt;EOMONTH(TODAY(),-1)+1)*(ISNUMBER(U$56:$AI$192)),U$56:$AI$192)))</f>
        <v/>
      </c>
      <c r="AS76" s="62" t="str">
        <f>A75</f>
        <v>Kaizen</v>
      </c>
      <c r="AU76" s="1567"/>
      <c r="AV76" s="1567"/>
    </row>
    <row r="77" spans="1:48" ht="29.1" customHeight="1" x14ac:dyDescent="0.3">
      <c r="A77" s="1407" t="s">
        <v>59</v>
      </c>
      <c r="B77" s="1691" t="s">
        <v>99</v>
      </c>
      <c r="C77" s="1482" t="s">
        <v>1454</v>
      </c>
      <c r="D77" s="1356" t="s">
        <v>1455</v>
      </c>
      <c r="E77" s="1449" t="s">
        <v>1456</v>
      </c>
      <c r="F77" s="1451" t="s">
        <v>1457</v>
      </c>
      <c r="G77" s="1366">
        <v>46023</v>
      </c>
      <c r="H77" s="1366">
        <v>46082</v>
      </c>
      <c r="I77" s="1488">
        <v>150000.00090000001</v>
      </c>
      <c r="J77" s="1378">
        <v>46023</v>
      </c>
      <c r="K77" s="1387">
        <f t="shared" ref="K77" si="61">IF(J77="", "", 12 - MONTH(J77) + 1)</f>
        <v>12</v>
      </c>
      <c r="L77" s="1395"/>
      <c r="M77" s="1720" t="s">
        <v>308</v>
      </c>
      <c r="N77" s="1547">
        <v>123686</v>
      </c>
      <c r="O77" s="1334" t="s">
        <v>81</v>
      </c>
      <c r="P77" s="2127" t="s">
        <v>1421</v>
      </c>
      <c r="Q77" s="2115"/>
      <c r="R77" s="1334">
        <v>1</v>
      </c>
      <c r="S77" s="93" t="s">
        <v>116</v>
      </c>
      <c r="T77" s="96">
        <f ca="1">IF(OR(G77="", H77=""), "", IF(TODAY()&lt;G77, 0, IF(TODAY()&gt;H77, 1, (TODAY()-G77+1)/(H77-G77+1))))</f>
        <v>1</v>
      </c>
      <c r="U77" s="498">
        <f>IFERROR(IF(AND(U$54&gt;=EOMONTH($J77,-1)+1,U$54&lt;=EOMONTH(EOMONTH($J77,-1)+1,$K77-1)),IF(NOT(ISBLANK($N77)),$N77/$K77,$I77/$K77),0),0)</f>
        <v>10307.166666666666</v>
      </c>
      <c r="V77" s="498">
        <f>IFERROR(IF(AND(V$54&gt;=EOMONTH($J77,-1)+1,V$54&lt;=EOMONTH(EOMONTH($J77,-1)+1,$K77-1)),IF(NOT(ISBLANK($N77)),$N77/$K77,$I77/$K77),0),0)</f>
        <v>10307.166666666666</v>
      </c>
      <c r="W77" s="638">
        <f>IFERROR(IF(AND(W$54&gt;=EOMONTH($J77,-1)+1,W$54&lt;=EOMONTH(EOMONTH($J77,-1)+1,$K77-1)),IF(NOT(ISBLANK($N77)),$N77/$K77,$I77/$K77),0),0)</f>
        <v>10307.166666666666</v>
      </c>
      <c r="X77" s="89">
        <f t="shared" ref="X77:X79" si="62">SUM(U77:W77)</f>
        <v>30921.5</v>
      </c>
      <c r="Y77" s="638">
        <f>IFERROR(IF(AND(Y$54&gt;=EOMONTH($J77,-1)+1,Y$54&lt;=EOMONTH(EOMONTH($J77,-1)+1,$K77-1)),IF(NOT(ISBLANK($N77)),$N77/$K77,$I77/$K77),0),0)</f>
        <v>10307.166666666666</v>
      </c>
      <c r="Z77" s="498">
        <f>IFERROR(IF(AND(Z$54&gt;=EOMONTH($J77,-1)+1,Z$54&lt;=EOMONTH(EOMONTH($J77,-1)+1,$K77-1)),IF(NOT(ISBLANK($N77)),$N77/$K77,$I77/$K77),0),0)</f>
        <v>10307.166666666666</v>
      </c>
      <c r="AA77" s="498">
        <f>IFERROR(IF(AND(AA$54&gt;=EOMONTH($J77,-1)+1,AA$54&lt;=EOMONTH(EOMONTH($J77,-1)+1,$K77-1)),IF(NOT(ISBLANK($N77)),$N77/$K77,$I77/$K77),0),0)</f>
        <v>10307.166666666666</v>
      </c>
      <c r="AB77" s="89">
        <f t="shared" si="27"/>
        <v>30921.5</v>
      </c>
      <c r="AC77" s="498">
        <f>IFERROR(IF(AND(AC$54&gt;=EOMONTH($J77,-1)+1,AC$54&lt;=EOMONTH(EOMONTH($J77,-1)+1,$K77-1)),IF(NOT(ISBLANK($N77)),$N77/$K77,$I77/$K77),0),0)</f>
        <v>10307.166666666666</v>
      </c>
      <c r="AD77" s="498">
        <f>IFERROR(IF(AND(AD$54&gt;=EOMONTH($J77,-1)+1,AD$54&lt;=EOMONTH(EOMONTH($J77,-1)+1,$K77-1)),IF(NOT(ISBLANK($N77)),$N77/$K77,$I77/$K77),0),0)</f>
        <v>10307.166666666666</v>
      </c>
      <c r="AE77" s="498">
        <f>IFERROR(IF(AND(AE$54&gt;=EOMONTH($J77,-1)+1,AE$54&lt;=EOMONTH(EOMONTH($J77,-1)+1,$K77-1)),IF(NOT(ISBLANK($N77)),$N77/$K77,$I77/$K77),0),0)</f>
        <v>10307.166666666666</v>
      </c>
      <c r="AF77" s="89">
        <f t="shared" si="28"/>
        <v>30921.5</v>
      </c>
      <c r="AG77" s="498">
        <f>IFERROR(IF(AND(AG$54&gt;=EOMONTH($J77,-1)+1,AG$54&lt;=EOMONTH(EOMONTH($J77,-1)+1,$K77-1)),IF(NOT(ISBLANK($N77)),$N77/$K77,$I77/$K77),0),0)</f>
        <v>10307.166666666666</v>
      </c>
      <c r="AH77" s="498">
        <f>IFERROR(IF(AND(AH$54&gt;=EOMONTH($J77,-1)+1,AH$54&lt;=EOMONTH(EOMONTH($J77,-1)+1,$K77-1)),IF(NOT(ISBLANK($N77)),$N77/$K77,$I77/$K77),0),0)</f>
        <v>10307.166666666666</v>
      </c>
      <c r="AI77" s="498">
        <f>IFERROR(IF(AND(AI$54&gt;=EOMONTH($J77,-1)+1,AI$54&lt;=EOMONTH(EOMONTH($J77,-1)+1,$K77-1)),IF(NOT(ISBLANK($N77)),$N77/$K77,$I77/$K77),0),0)</f>
        <v>10307.166666666666</v>
      </c>
      <c r="AJ77" s="89">
        <f t="shared" si="18"/>
        <v>30921.5</v>
      </c>
      <c r="AK77" s="95">
        <f t="shared" si="16"/>
        <v>123686</v>
      </c>
      <c r="AL77" s="97"/>
      <c r="AM77" s="1407"/>
      <c r="AN77" s="1334"/>
      <c r="AO77" s="1403">
        <f>N77*AN77</f>
        <v>0</v>
      </c>
      <c r="AP77" s="97" t="str">
        <f>C77</f>
        <v>14 - Consumo de EPI's</v>
      </c>
      <c r="AQ77" s="62" t="s">
        <v>311</v>
      </c>
      <c r="AR77" s="508" cm="1">
        <f t="array" aca="1" ref="AR77" ca="1">IF(OR(AP77="",AP77=0),"",IF(SUMPRODUCT(($C$55:$C$191=AP77)*(U$54:$AI$54&lt;EOMONTH(TODAY(),-1)+1)*(ISNUMBER(U$55:$AI$191)),U$55:$AI$191)=0,"",SUMPRODUCT(($C$55:$C$191=AP77)*(U$54:$AI$54&lt;EOMONTH(TODAY(),-1)+1)*(ISNUMBER(U$55:$AI$191)),U$55:$AI$191)))</f>
        <v>72150.166666666657</v>
      </c>
      <c r="AS77" s="62" t="str">
        <f>A77</f>
        <v>Kaizen - Ganho Recorrente</v>
      </c>
      <c r="AU77" s="1566">
        <f t="shared" ref="AU77" si="63">IF(OR(I77="",K77=""),0,(I77/12)*K77)</f>
        <v>150000.00090000001</v>
      </c>
      <c r="AV77" s="1566">
        <f t="shared" ref="AV77" si="64">IF(OR(N77="",K77="",K77=0),0,(N77/K77)*12)</f>
        <v>123686</v>
      </c>
    </row>
    <row r="78" spans="1:48" ht="29.1" customHeight="1" x14ac:dyDescent="0.3">
      <c r="A78" s="1408"/>
      <c r="B78" s="1692"/>
      <c r="C78" s="1483"/>
      <c r="D78" s="1455"/>
      <c r="E78" s="1450"/>
      <c r="F78" s="1452"/>
      <c r="G78" s="1367"/>
      <c r="H78" s="1367"/>
      <c r="I78" s="1367"/>
      <c r="J78" s="1379"/>
      <c r="K78" s="1388"/>
      <c r="L78" s="1396"/>
      <c r="M78" s="1721"/>
      <c r="N78" s="1548"/>
      <c r="O78" s="1330"/>
      <c r="P78" s="2128"/>
      <c r="Q78" s="2116"/>
      <c r="R78" s="1330"/>
      <c r="S78" s="93" t="s">
        <v>117</v>
      </c>
      <c r="T78" s="96">
        <v>1</v>
      </c>
      <c r="U78" s="290">
        <v>13182.28</v>
      </c>
      <c r="V78" s="290">
        <v>602.53</v>
      </c>
      <c r="W78" s="290">
        <v>10263.93</v>
      </c>
      <c r="X78" s="288">
        <f>SUM(U78:W78)</f>
        <v>24048.74</v>
      </c>
      <c r="Y78" s="526">
        <v>-23776.26</v>
      </c>
      <c r="Z78" s="290">
        <v>36607.660000000003</v>
      </c>
      <c r="AA78" s="498">
        <v>34359.5</v>
      </c>
      <c r="AB78" s="89">
        <f t="shared" si="27"/>
        <v>47190.900000000009</v>
      </c>
      <c r="AC78" s="498">
        <v>33894.6</v>
      </c>
      <c r="AD78" s="290"/>
      <c r="AE78" s="290"/>
      <c r="AF78" s="288">
        <f t="shared" si="28"/>
        <v>33894.6</v>
      </c>
      <c r="AG78" s="290"/>
      <c r="AH78" s="290"/>
      <c r="AI78" s="290"/>
      <c r="AJ78" s="288">
        <f t="shared" si="18"/>
        <v>0</v>
      </c>
      <c r="AK78" s="291">
        <f t="shared" si="16"/>
        <v>105134.24000000002</v>
      </c>
      <c r="AL78" s="97"/>
      <c r="AM78" s="1408"/>
      <c r="AN78" s="1330"/>
      <c r="AO78" s="1404"/>
      <c r="AP78" s="97" t="str">
        <f>C77</f>
        <v>14 - Consumo de EPI's</v>
      </c>
      <c r="AQ78" s="62" t="s">
        <v>313</v>
      </c>
      <c r="AR78" s="508" cm="1">
        <f t="array" aca="1" ref="AR78" ca="1">IF(OR(AP78="",AP78=0),"",IF(SUMPRODUCT(($C$55:$C$191=AP78)*(U$54:$AI$54&lt;EOMONTH(TODAY(),-1)+1)*(ISNUMBER(U$56:$AI$192)),U$56:$AI$192)=0,"",SUMPRODUCT(($C$55:$C$191=AP78)*(U$54:$AI$54&lt;EOMONTH(TODAY(),-1)+1)*(ISNUMBER(U$56:$AI$192)),U$56:$AI$192)))</f>
        <v>105134.24000000002</v>
      </c>
      <c r="AS78" s="62" t="str">
        <f>A77</f>
        <v>Kaizen - Ganho Recorrente</v>
      </c>
      <c r="AU78" s="1567"/>
      <c r="AV78" s="1567"/>
    </row>
    <row r="79" spans="1:48" ht="29.1" customHeight="1" x14ac:dyDescent="0.3">
      <c r="A79" s="1809" t="s">
        <v>925</v>
      </c>
      <c r="B79" s="1407" t="s">
        <v>99</v>
      </c>
      <c r="C79" s="1465" t="s">
        <v>1458</v>
      </c>
      <c r="D79" s="1738" t="s">
        <v>1459</v>
      </c>
      <c r="E79" s="1740" t="s">
        <v>1460</v>
      </c>
      <c r="F79" s="1742" t="s">
        <v>1392</v>
      </c>
      <c r="G79" s="2165">
        <v>46363</v>
      </c>
      <c r="H79" s="2165"/>
      <c r="I79" s="2117">
        <v>90000</v>
      </c>
      <c r="J79" s="2157"/>
      <c r="K79" s="1387" t="str">
        <f t="shared" ref="K79" si="65">IF(J79="", "", 12 - MONTH(J79) + 1)</f>
        <v/>
      </c>
      <c r="L79" s="1395"/>
      <c r="M79" s="2153"/>
      <c r="N79" s="2155"/>
      <c r="O79" s="1327" t="s">
        <v>85</v>
      </c>
      <c r="P79" s="1673"/>
      <c r="Q79" s="2125"/>
      <c r="R79" s="1327">
        <v>0.5</v>
      </c>
      <c r="S79" s="87" t="s">
        <v>116</v>
      </c>
      <c r="T79" s="91" t="str">
        <f ca="1">IF(OR(G79="", H79=""), "", IF(TODAY()&lt;G79, 0, IF(TODAY()&gt;H79, 1, (TODAY()-G79+1)/(H79-G79+1))))</f>
        <v/>
      </c>
      <c r="U79" s="287">
        <f>IFERROR(IF(AND(U$54&gt;=EOMONTH($J79,-1)+1,U$54&lt;=EOMONTH(EOMONTH($J79,-1)+1,$K79-1)),IF(NOT(ISBLANK($N79)),$N79/$K79,$I79/$K79),0),0)</f>
        <v>0</v>
      </c>
      <c r="V79" s="287">
        <f>IFERROR(IF(AND(V$54&gt;=EOMONTH($J79,-1)+1,V$54&lt;=EOMONTH(EOMONTH($J79,-1)+1,$K79-1)),IF(NOT(ISBLANK($N79)),$N79/$K79,$I79/$K79),0),0)</f>
        <v>0</v>
      </c>
      <c r="W79" s="287">
        <f>IFERROR(IF(AND(W$54&gt;=EOMONTH($J79,-1)+1,W$54&lt;=EOMONTH(EOMONTH($J79,-1)+1,$K79-1)),IF(NOT(ISBLANK($N79)),$N79/$K79,$I79/$K79),0),0)</f>
        <v>0</v>
      </c>
      <c r="X79" s="89">
        <f t="shared" si="62"/>
        <v>0</v>
      </c>
      <c r="Y79" s="287">
        <f>IFERROR(IF(AND(Y$54&gt;=EOMONTH($J79,-1)+1,Y$54&lt;=EOMONTH(EOMONTH($J79,-1)+1,$K79-1)),IF(NOT(ISBLANK($N79)),$N79/$K79,$I79/$K79),0),0)</f>
        <v>0</v>
      </c>
      <c r="Z79" s="287">
        <f>IFERROR(IF(AND(Z$54&gt;=EOMONTH($J79,-1)+1,Z$54&lt;=EOMONTH(EOMONTH($J79,-1)+1,$K79-1)),IF(NOT(ISBLANK($N79)),$N79/$K79,$I79/$K79),0),0)</f>
        <v>0</v>
      </c>
      <c r="AA79" s="287">
        <f>IFERROR(IF(AND(AA$54&gt;=EOMONTH($J79,-1)+1,AA$54&lt;=EOMONTH(EOMONTH($J79,-1)+1,$K79-1)),IF(NOT(ISBLANK($N79)),$N79/$K79,$I79/$K79),0),0)</f>
        <v>0</v>
      </c>
      <c r="AB79" s="89">
        <f t="shared" si="27"/>
        <v>0</v>
      </c>
      <c r="AC79" s="287">
        <f>IFERROR(IF(AND(AC$54&gt;=EOMONTH($J79,-1)+1,AC$54&lt;=EOMONTH(EOMONTH($J79,-1)+1,$K79-1)),IF(NOT(ISBLANK($N79)),$N79/$K79,$I79/$K79),0),0)</f>
        <v>0</v>
      </c>
      <c r="AD79" s="287">
        <f>IFERROR(IF(AND(AD$54&gt;=EOMONTH($J79,-1)+1,AD$54&lt;=EOMONTH(EOMONTH($J79,-1)+1,$K79-1)),IF(NOT(ISBLANK($N79)),$N79/$K79,$I79/$K79),0),0)</f>
        <v>0</v>
      </c>
      <c r="AE79" s="287">
        <f>IFERROR(IF(AND(AE$54&gt;=EOMONTH($J79,-1)+1,AE$54&lt;=EOMONTH(EOMONTH($J79,-1)+1,$K79-1)),IF(NOT(ISBLANK($N79)),$N79/$K79,$I79/$K79),0),0)</f>
        <v>0</v>
      </c>
      <c r="AF79" s="89">
        <f t="shared" si="28"/>
        <v>0</v>
      </c>
      <c r="AG79" s="287">
        <f>IFERROR(IF(AND(AG$54&gt;=EOMONTH($J79,-1)+1,AG$54&lt;=EOMONTH(EOMONTH($J79,-1)+1,$K79-1)),IF(NOT(ISBLANK($N79)),$N79/$K79,$I79/$K79),0),0)</f>
        <v>0</v>
      </c>
      <c r="AH79" s="287">
        <f>IFERROR(IF(AND(AH$54&gt;=EOMONTH($J79,-1)+1,AH$54&lt;=EOMONTH(EOMONTH($J79,-1)+1,$K79-1)),IF(NOT(ISBLANK($N79)),$N79/$K79,$I79/$K79),0),0)</f>
        <v>0</v>
      </c>
      <c r="AI79" s="287">
        <f>IFERROR(IF(AND(AI$54&gt;=EOMONTH($J79,-1)+1,AI$54&lt;=EOMONTH(EOMONTH($J79,-1)+1,$K79-1)),IF(NOT(ISBLANK($N79)),$N79/$K79,$I79/$K79),0),0)</f>
        <v>0</v>
      </c>
      <c r="AJ79" s="89">
        <f t="shared" si="18"/>
        <v>0</v>
      </c>
      <c r="AK79" s="90">
        <f t="shared" si="16"/>
        <v>0</v>
      </c>
      <c r="AL79" s="98"/>
      <c r="AM79" s="1370"/>
      <c r="AN79" s="1411"/>
      <c r="AO79" s="1405">
        <f>N79*AN79</f>
        <v>0</v>
      </c>
      <c r="AP79" s="98" t="str">
        <f>C79</f>
        <v>15 - Enclausuramento do jato granalha</v>
      </c>
      <c r="AQ79" s="62" t="s">
        <v>311</v>
      </c>
      <c r="AR79" s="508" t="str" cm="1">
        <f t="array" aca="1" ref="AR79" ca="1">IF(OR(AP79="",AP79=0),"",IF(SUMPRODUCT(($C$55:$C$191=AP79)*(U$54:$AI$54&lt;EOMONTH(TODAY(),-1)+1)*(ISNUMBER(U$55:$AI$191)),U$55:$AI$191)=0,"",SUMPRODUCT(($C$55:$C$191=AP79)*(U$54:$AI$54&lt;EOMONTH(TODAY(),-1)+1)*(ISNUMBER(U$55:$AI$191)),U$55:$AI$191)))</f>
        <v/>
      </c>
      <c r="AS79" s="62" t="str">
        <f>A79</f>
        <v>Kaizen</v>
      </c>
      <c r="AU79" s="1566">
        <f t="shared" ref="AU79" si="66">IF(OR(I79="",K79=""),0,(I79/12)*K79)</f>
        <v>0</v>
      </c>
      <c r="AV79" s="1566">
        <f t="shared" ref="AV79" si="67">IF(OR(N79="",K79="",K79=0),0,(N79/K79)*12)</f>
        <v>0</v>
      </c>
    </row>
    <row r="80" spans="1:48" ht="50.25" customHeight="1" x14ac:dyDescent="0.3">
      <c r="A80" s="1810"/>
      <c r="B80" s="1408"/>
      <c r="C80" s="1466"/>
      <c r="D80" s="1739"/>
      <c r="E80" s="1741"/>
      <c r="F80" s="1743"/>
      <c r="G80" s="2166"/>
      <c r="H80" s="2166"/>
      <c r="I80" s="2118"/>
      <c r="J80" s="2158"/>
      <c r="K80" s="1388"/>
      <c r="L80" s="1396"/>
      <c r="M80" s="2154"/>
      <c r="N80" s="2156"/>
      <c r="O80" s="1328"/>
      <c r="P80" s="1674"/>
      <c r="Q80" s="2126"/>
      <c r="R80" s="1328"/>
      <c r="S80" s="87" t="s">
        <v>117</v>
      </c>
      <c r="T80" s="91">
        <v>0</v>
      </c>
      <c r="U80" s="287"/>
      <c r="V80" s="287"/>
      <c r="W80" s="287"/>
      <c r="X80" s="288">
        <f t="shared" ref="X80" si="68">SUM(U80:W80)</f>
        <v>0</v>
      </c>
      <c r="Y80" s="287"/>
      <c r="Z80" s="287"/>
      <c r="AA80" s="287"/>
      <c r="AB80" s="288">
        <f t="shared" si="27"/>
        <v>0</v>
      </c>
      <c r="AC80" s="287"/>
      <c r="AD80" s="287"/>
      <c r="AE80" s="287"/>
      <c r="AF80" s="288">
        <f t="shared" si="28"/>
        <v>0</v>
      </c>
      <c r="AG80" s="287"/>
      <c r="AH80" s="287"/>
      <c r="AI80" s="287"/>
      <c r="AJ80" s="288">
        <f t="shared" si="18"/>
        <v>0</v>
      </c>
      <c r="AK80" s="289">
        <f t="shared" si="16"/>
        <v>0</v>
      </c>
      <c r="AL80" s="337"/>
      <c r="AM80" s="1371"/>
      <c r="AN80" s="1412"/>
      <c r="AO80" s="1406"/>
      <c r="AP80" s="92" t="str">
        <f>C79</f>
        <v>15 - Enclausuramento do jato granalha</v>
      </c>
      <c r="AQ80" s="62" t="s">
        <v>313</v>
      </c>
      <c r="AR80" s="508" t="str" cm="1">
        <f t="array" aca="1" ref="AR80" ca="1">IF(OR(AP80="",AP80=0),"",IF(SUMPRODUCT(($C$55:$C$191=AP80)*(U$54:$AI$54&lt;EOMONTH(TODAY(),-1)+1)*(ISNUMBER(U$56:$AI$192)),U$56:$AI$192)=0,"",SUMPRODUCT(($C$55:$C$191=AP80)*(U$54:$AI$54&lt;EOMONTH(TODAY(),-1)+1)*(ISNUMBER(U$56:$AI$192)),U$56:$AI$192)))</f>
        <v/>
      </c>
      <c r="AS80" s="62" t="str">
        <f>A79</f>
        <v>Kaizen</v>
      </c>
      <c r="AU80" s="1567"/>
      <c r="AV80" s="1567"/>
    </row>
    <row r="81" spans="1:48" ht="29.1" customHeight="1" x14ac:dyDescent="0.3">
      <c r="A81" s="1407"/>
      <c r="B81" s="1691"/>
      <c r="C81" s="1482"/>
      <c r="D81" s="1356"/>
      <c r="E81" s="1449"/>
      <c r="F81" s="1451"/>
      <c r="G81" s="1366"/>
      <c r="H81" s="1366"/>
      <c r="I81" s="2167"/>
      <c r="J81" s="1374"/>
      <c r="K81" s="1387"/>
      <c r="L81" s="1395"/>
      <c r="M81" s="2131"/>
      <c r="N81" s="2169"/>
      <c r="O81" s="1334"/>
      <c r="P81" s="2129"/>
      <c r="Q81" s="2115"/>
      <c r="R81" s="1334"/>
      <c r="S81" s="93"/>
      <c r="T81" s="96"/>
      <c r="U81" s="498"/>
      <c r="V81" s="498"/>
      <c r="W81" s="498"/>
      <c r="X81" s="89"/>
      <c r="Y81" s="498"/>
      <c r="Z81" s="498"/>
      <c r="AA81" s="498"/>
      <c r="AB81" s="89"/>
      <c r="AC81" s="498"/>
      <c r="AD81" s="498"/>
      <c r="AE81" s="498"/>
      <c r="AF81" s="89"/>
      <c r="AG81" s="498"/>
      <c r="AH81" s="498"/>
      <c r="AI81" s="498"/>
      <c r="AJ81" s="89"/>
      <c r="AK81" s="95"/>
      <c r="AL81" s="97"/>
      <c r="AM81" s="1407"/>
      <c r="AN81" s="1334"/>
      <c r="AO81" s="1403"/>
      <c r="AP81" s="97"/>
      <c r="AR81" s="508"/>
      <c r="AU81" s="1566"/>
      <c r="AV81" s="1566"/>
    </row>
    <row r="82" spans="1:48" ht="69.599999999999994" customHeight="1" x14ac:dyDescent="0.3">
      <c r="A82" s="1408"/>
      <c r="B82" s="1692"/>
      <c r="C82" s="1483"/>
      <c r="D82" s="1357"/>
      <c r="E82" s="1450"/>
      <c r="F82" s="1452"/>
      <c r="G82" s="1367"/>
      <c r="H82" s="1367"/>
      <c r="I82" s="2168"/>
      <c r="J82" s="1375"/>
      <c r="K82" s="1388"/>
      <c r="L82" s="1396"/>
      <c r="M82" s="2132"/>
      <c r="N82" s="2162"/>
      <c r="O82" s="1330"/>
      <c r="P82" s="1672"/>
      <c r="Q82" s="2116"/>
      <c r="R82" s="1330"/>
      <c r="S82" s="93"/>
      <c r="T82" s="96"/>
      <c r="U82" s="290"/>
      <c r="V82" s="290"/>
      <c r="W82" s="290"/>
      <c r="X82" s="288"/>
      <c r="Y82" s="290"/>
      <c r="Z82" s="290"/>
      <c r="AA82" s="290"/>
      <c r="AB82" s="288"/>
      <c r="AC82" s="1017"/>
      <c r="AD82" s="290"/>
      <c r="AE82" s="290"/>
      <c r="AF82" s="288"/>
      <c r="AG82" s="290"/>
      <c r="AH82" s="290"/>
      <c r="AI82" s="290"/>
      <c r="AJ82" s="288"/>
      <c r="AK82" s="291"/>
      <c r="AL82" s="97"/>
      <c r="AM82" s="1408"/>
      <c r="AN82" s="1330"/>
      <c r="AO82" s="1404"/>
      <c r="AP82" s="97"/>
      <c r="AR82" s="508"/>
      <c r="AU82" s="1567"/>
      <c r="AV82" s="1567"/>
    </row>
    <row r="83" spans="1:48" ht="29.1" customHeight="1" x14ac:dyDescent="0.3">
      <c r="A83" s="1380" t="s">
        <v>59</v>
      </c>
      <c r="B83" s="1407" t="s">
        <v>97</v>
      </c>
      <c r="C83" s="1465" t="s">
        <v>1461</v>
      </c>
      <c r="D83" s="1486" t="s">
        <v>1462</v>
      </c>
      <c r="E83" s="1368" t="s">
        <v>1463</v>
      </c>
      <c r="F83" s="1370" t="s">
        <v>1401</v>
      </c>
      <c r="G83" s="1372">
        <v>46023</v>
      </c>
      <c r="H83" s="1372">
        <v>46082</v>
      </c>
      <c r="I83" s="1710">
        <v>300000.00099999999</v>
      </c>
      <c r="J83" s="1376">
        <v>46023</v>
      </c>
      <c r="K83" s="1389">
        <f t="shared" ref="K83" si="69">IF(J83="", "", 12 - MONTH(J83) + 1)</f>
        <v>12</v>
      </c>
      <c r="L83" s="1354"/>
      <c r="M83" s="1350" t="s">
        <v>308</v>
      </c>
      <c r="N83" s="1391">
        <v>307015</v>
      </c>
      <c r="O83" s="1327" t="s">
        <v>81</v>
      </c>
      <c r="P83" s="2127" t="s">
        <v>1421</v>
      </c>
      <c r="Q83" s="2125"/>
      <c r="R83" s="1327">
        <v>1</v>
      </c>
      <c r="S83" s="87" t="s">
        <v>116</v>
      </c>
      <c r="T83" s="91">
        <f ca="1">IF(OR(G83="", H83=""), "", IF(TODAY()&lt;G83, 0, IF(TODAY()&gt;H83, 1, (TODAY()-G83+1)/(H83-G83+1))))</f>
        <v>1</v>
      </c>
      <c r="U83" s="287">
        <f>IFERROR(IF(AND(U$54&gt;=EOMONTH($J83,-1)+1,U$54&lt;=EOMONTH(EOMONTH($J83,-1)+1,$K83-1)),IF(NOT(ISBLANK($N83)),$N83/$K83,$I83/$K83),0),0)</f>
        <v>25584.583333333332</v>
      </c>
      <c r="V83" s="287">
        <f>IFERROR(IF(AND(V$54&gt;=EOMONTH($J83,-1)+1,V$54&lt;=EOMONTH(EOMONTH($J83,-1)+1,$K83-1)),IF(NOT(ISBLANK($N83)),$N83/$K83,$I83/$K83),0),0)</f>
        <v>25584.583333333332</v>
      </c>
      <c r="W83" s="527">
        <f>IFERROR(IF(AND(W$54&gt;=EOMONTH($J83,-1)+1,W$54&lt;=EOMONTH(EOMONTH($J83,-1)+1,$K83-1)),IF(NOT(ISBLANK($N83)),$N83/$K83,$I83/$K83),0),0)</f>
        <v>25584.583333333332</v>
      </c>
      <c r="X83" s="89">
        <f t="shared" ref="X83" si="70">SUM(U83:W83)</f>
        <v>76753.75</v>
      </c>
      <c r="Y83" s="527">
        <f>IFERROR(IF(AND(Y$54&gt;=EOMONTH($J83,-1)+1,Y$54&lt;=EOMONTH(EOMONTH($J83,-1)+1,$K83-1)),IF(NOT(ISBLANK($N83)),$N83/$K83,$I83/$K83),0),0)</f>
        <v>25584.583333333332</v>
      </c>
      <c r="Z83" s="287">
        <f>IFERROR(IF(AND(Z$54&gt;=EOMONTH($J83,-1)+1,Z$54&lt;=EOMONTH(EOMONTH($J83,-1)+1,$K83-1)),IF(NOT(ISBLANK($N83)),$N83/$K83,$I83/$K83),0),0)</f>
        <v>25584.583333333332</v>
      </c>
      <c r="AA83" s="287">
        <f>IFERROR(IF(AND(AA$54&gt;=EOMONTH($J83,-1)+1,AA$54&lt;=EOMONTH(EOMONTH($J83,-1)+1,$K83-1)),IF(NOT(ISBLANK($N83)),$N83/$K83,$I83/$K83),0),0)</f>
        <v>25584.583333333332</v>
      </c>
      <c r="AB83" s="89">
        <f t="shared" si="27"/>
        <v>76753.75</v>
      </c>
      <c r="AC83" s="287">
        <f>IFERROR(IF(AND(AC$54&gt;=EOMONTH($J83,-1)+1,AC$54&lt;=EOMONTH(EOMONTH($J83,-1)+1,$K83-1)),IF(NOT(ISBLANK($N83)),$N83/$K83,$I83/$K83),0),0)</f>
        <v>25584.583333333332</v>
      </c>
      <c r="AD83" s="287">
        <f>IFERROR(IF(AND(AD$54&gt;=EOMONTH($J83,-1)+1,AD$54&lt;=EOMONTH(EOMONTH($J83,-1)+1,$K83-1)),IF(NOT(ISBLANK($N83)),$N83/$K83,$I83/$K83),0),0)</f>
        <v>25584.583333333332</v>
      </c>
      <c r="AE83" s="287">
        <f>IFERROR(IF(AND(AE$54&gt;=EOMONTH($J83,-1)+1,AE$54&lt;=EOMONTH(EOMONTH($J83,-1)+1,$K83-1)),IF(NOT(ISBLANK($N83)),$N83/$K83,$I83/$K83),0),0)</f>
        <v>25584.583333333332</v>
      </c>
      <c r="AF83" s="89">
        <f t="shared" si="28"/>
        <v>76753.75</v>
      </c>
      <c r="AG83" s="287">
        <f>IFERROR(IF(AND(AG$54&gt;=EOMONTH($J83,-1)+1,AG$54&lt;=EOMONTH(EOMONTH($J83,-1)+1,$K83-1)),IF(NOT(ISBLANK($N83)),$N83/$K83,$I83/$K83),0),0)</f>
        <v>25584.583333333332</v>
      </c>
      <c r="AH83" s="287">
        <f>IFERROR(IF(AND(AH$54&gt;=EOMONTH($J83,-1)+1,AH$54&lt;=EOMONTH(EOMONTH($J83,-1)+1,$K83-1)),IF(NOT(ISBLANK($N83)),$N83/$K83,$I83/$K83),0),0)</f>
        <v>25584.583333333332</v>
      </c>
      <c r="AI83" s="287">
        <f>IFERROR(IF(AND(AI$54&gt;=EOMONTH($J83,-1)+1,AI$54&lt;=EOMONTH(EOMONTH($J83,-1)+1,$K83-1)),IF(NOT(ISBLANK($N83)),$N83/$K83,$I83/$K83),0),0)</f>
        <v>25584.583333333332</v>
      </c>
      <c r="AJ83" s="89">
        <f t="shared" si="18"/>
        <v>76753.75</v>
      </c>
      <c r="AK83" s="90">
        <f t="shared" si="16"/>
        <v>307015</v>
      </c>
      <c r="AL83" s="98"/>
      <c r="AM83" s="1370"/>
      <c r="AN83" s="1411"/>
      <c r="AO83" s="1405">
        <f>N83*AN83</f>
        <v>0</v>
      </c>
      <c r="AP83" s="98" t="str">
        <f>C83</f>
        <v xml:space="preserve">17 - Consumo de água </v>
      </c>
      <c r="AQ83" s="62" t="s">
        <v>311</v>
      </c>
      <c r="AR83" s="508" cm="1">
        <f t="array" aca="1" ref="AR83" ca="1">IF(OR(AP83="",AP83=0),"",IF(SUMPRODUCT(($C$55:$C$191=AP83)*(U$54:$AI$54&lt;EOMONTH(TODAY(),-1)+1)*(ISNUMBER(U$55:$AI$191)),U$55:$AI$191)=0,"",SUMPRODUCT(($C$55:$C$191=AP83)*(U$54:$AI$54&lt;EOMONTH(TODAY(),-1)+1)*(ISNUMBER(U$55:$AI$191)),U$55:$AI$191)))</f>
        <v>179092.08333333334</v>
      </c>
      <c r="AS83" s="62" t="str">
        <f>A83</f>
        <v>Kaizen - Ganho Recorrente</v>
      </c>
      <c r="AU83" s="1566">
        <f t="shared" ref="AU83" si="71">IF(OR(I83="",K83=""),0,(I83/12)*K83)</f>
        <v>300000.00099999999</v>
      </c>
      <c r="AV83" s="1566">
        <f t="shared" ref="AV83" si="72">IF(OR(N83="",K83="",K83=0),0,(N83/K83)*12)</f>
        <v>307015</v>
      </c>
    </row>
    <row r="84" spans="1:48" ht="29.1" customHeight="1" x14ac:dyDescent="0.3">
      <c r="A84" s="1381"/>
      <c r="B84" s="1408"/>
      <c r="C84" s="1466"/>
      <c r="D84" s="1487"/>
      <c r="E84" s="1369"/>
      <c r="F84" s="1371"/>
      <c r="G84" s="1373"/>
      <c r="H84" s="1373"/>
      <c r="I84" s="1711"/>
      <c r="J84" s="1377"/>
      <c r="K84" s="1390"/>
      <c r="L84" s="1355"/>
      <c r="M84" s="1351"/>
      <c r="N84" s="1877"/>
      <c r="O84" s="1328"/>
      <c r="P84" s="2128"/>
      <c r="Q84" s="2126"/>
      <c r="R84" s="1328"/>
      <c r="S84" s="87" t="s">
        <v>117</v>
      </c>
      <c r="T84" s="91">
        <v>1</v>
      </c>
      <c r="U84" s="527">
        <v>-58232</v>
      </c>
      <c r="V84" s="287">
        <v>103330</v>
      </c>
      <c r="W84" s="1015"/>
      <c r="X84" s="288">
        <f t="shared" ref="X84" si="73">SUM(U84:W84)</f>
        <v>45098</v>
      </c>
      <c r="Y84" s="1015"/>
      <c r="Z84" s="1015"/>
      <c r="AA84" s="1015"/>
      <c r="AB84" s="288">
        <f t="shared" si="27"/>
        <v>0</v>
      </c>
      <c r="AC84" s="1017"/>
      <c r="AD84" s="287"/>
      <c r="AE84" s="287"/>
      <c r="AF84" s="288">
        <f t="shared" si="28"/>
        <v>0</v>
      </c>
      <c r="AG84" s="287"/>
      <c r="AH84" s="287"/>
      <c r="AI84" s="287"/>
      <c r="AJ84" s="288">
        <f t="shared" si="18"/>
        <v>0</v>
      </c>
      <c r="AK84" s="289">
        <f t="shared" si="16"/>
        <v>45098</v>
      </c>
      <c r="AL84" s="337"/>
      <c r="AM84" s="1371"/>
      <c r="AN84" s="1412"/>
      <c r="AO84" s="1406"/>
      <c r="AP84" s="92" t="str">
        <f>C83</f>
        <v xml:space="preserve">17 - Consumo de água </v>
      </c>
      <c r="AQ84" s="62" t="s">
        <v>313</v>
      </c>
      <c r="AR84" s="508" cm="1">
        <f t="array" aca="1" ref="AR84" ca="1">IF(OR(AP84="",AP84=0),"",IF(SUMPRODUCT(($C$55:$C$191=AP84)*(U$54:$AI$54&lt;EOMONTH(TODAY(),-1)+1)*(ISNUMBER(U$56:$AI$192)),U$56:$AI$192)=0,"",SUMPRODUCT(($C$55:$C$191=AP84)*(U$54:$AI$54&lt;EOMONTH(TODAY(),-1)+1)*(ISNUMBER(U$56:$AI$192)),U$56:$AI$192)))</f>
        <v>45098</v>
      </c>
      <c r="AS84" s="62" t="str">
        <f>A83</f>
        <v>Kaizen - Ganho Recorrente</v>
      </c>
      <c r="AU84" s="1567"/>
      <c r="AV84" s="1567"/>
    </row>
    <row r="85" spans="1:48" ht="29.1" customHeight="1" x14ac:dyDescent="0.3">
      <c r="A85" s="1407" t="s">
        <v>953</v>
      </c>
      <c r="B85" s="1691" t="s">
        <v>97</v>
      </c>
      <c r="C85" s="1482" t="s">
        <v>1464</v>
      </c>
      <c r="D85" s="1356" t="s">
        <v>1465</v>
      </c>
      <c r="E85" s="1449" t="s">
        <v>1466</v>
      </c>
      <c r="F85" s="1451" t="s">
        <v>1434</v>
      </c>
      <c r="G85" s="1366">
        <v>46054</v>
      </c>
      <c r="H85" s="1366">
        <v>46082</v>
      </c>
      <c r="I85" s="2173">
        <v>60000.008000000002</v>
      </c>
      <c r="J85" s="1378">
        <v>46204</v>
      </c>
      <c r="K85" s="1387">
        <f t="shared" ref="K85" si="74">IF(J85="", "", 12 - MONTH(J85) + 1)</f>
        <v>6</v>
      </c>
      <c r="L85" s="1395"/>
      <c r="M85" s="1720" t="s">
        <v>308</v>
      </c>
      <c r="N85" s="1865">
        <v>33025.72</v>
      </c>
      <c r="O85" s="1334" t="s">
        <v>81</v>
      </c>
      <c r="P85" s="2129" t="s">
        <v>1417</v>
      </c>
      <c r="Q85" s="2115"/>
      <c r="R85" s="1334">
        <v>1</v>
      </c>
      <c r="S85" s="93" t="s">
        <v>116</v>
      </c>
      <c r="T85" s="96">
        <f ca="1">IF(OR(G85="", H85=""), "", IF(TODAY()&lt;G85, 0, IF(TODAY()&gt;H85, 1, (TODAY()-G85+1)/(H85-G85+1))))</f>
        <v>1</v>
      </c>
      <c r="U85" s="498">
        <f>IFERROR(IF(AND(U$54&gt;=EOMONTH($J85,-1)+1,U$54&lt;=EOMONTH(EOMONTH($J85,-1)+1,$K85-1)),IF(NOT(ISBLANK($N85)),$N85/$K85,$I85/$K85),0),0)</f>
        <v>0</v>
      </c>
      <c r="V85" s="498">
        <f>IFERROR(IF(AND(V$54&gt;=EOMONTH($J85,-1)+1,V$54&lt;=EOMONTH(EOMONTH($J85,-1)+1,$K85-1)),IF(NOT(ISBLANK($N85)),$N85/$K85,$I85/$K85),0),0)</f>
        <v>0</v>
      </c>
      <c r="W85" s="596">
        <f>IFERROR(IF(AND(W$54&gt;=EOMONTH($J85,-1)+1,W$54&lt;=EOMONTH(EOMONTH($J85,-1)+1,$K85-1)),IF(NOT(ISBLANK($N85)),$N85/$K85,$I85/$K85),0),0)</f>
        <v>0</v>
      </c>
      <c r="X85" s="89">
        <f t="shared" ref="X85:X86" si="75">SUM(U85:W85)</f>
        <v>0</v>
      </c>
      <c r="Y85" s="596">
        <f>IFERROR(IF(AND(Y$54&gt;=EOMONTH($J85,-1)+1,Y$54&lt;=EOMONTH(EOMONTH($J85,-1)+1,$K85-1)),IF(NOT(ISBLANK($N85)),$N85/$K85,$I85/$K85),0),0)</f>
        <v>0</v>
      </c>
      <c r="Z85" s="498">
        <f>IFERROR(IF(AND(Z$54&gt;=EOMONTH($J85,-1)+1,Z$54&lt;=EOMONTH(EOMONTH($J85,-1)+1,$K85-1)),IF(NOT(ISBLANK($N85)),$N85/$K85,$I85/$K85),0),0)</f>
        <v>0</v>
      </c>
      <c r="AA85" s="498">
        <f>IFERROR(IF(AND(AA$54&gt;=EOMONTH($J85,-1)+1,AA$54&lt;=EOMONTH(EOMONTH($J85,-1)+1,$K85-1)),IF(NOT(ISBLANK($N85)),$N85/$K85,$I85/$K85),0),0)</f>
        <v>0</v>
      </c>
      <c r="AB85" s="89">
        <f t="shared" si="27"/>
        <v>0</v>
      </c>
      <c r="AC85" s="498">
        <f>IFERROR(IF(AND(AC$54&gt;=EOMONTH($J85,-1)+1,AC$54&lt;=EOMONTH(EOMONTH($J85,-1)+1,$K85-1)),IF(NOT(ISBLANK($N85)),$N85/$K85,$I85/$K85),0),0)</f>
        <v>5504.2866666666669</v>
      </c>
      <c r="AD85" s="498">
        <f>IFERROR(IF(AND(AD$54&gt;=EOMONTH($J85,-1)+1,AD$54&lt;=EOMONTH(EOMONTH($J85,-1)+1,$K85-1)),IF(NOT(ISBLANK($N85)),$N85/$K85,$I85/$K85),0),0)</f>
        <v>5504.2866666666669</v>
      </c>
      <c r="AE85" s="498">
        <f>IFERROR(IF(AND(AE$54&gt;=EOMONTH($J85,-1)+1,AE$54&lt;=EOMONTH(EOMONTH($J85,-1)+1,$K85-1)),IF(NOT(ISBLANK($N85)),$N85/$K85,$I85/$K85),0),0)</f>
        <v>5504.2866666666669</v>
      </c>
      <c r="AF85" s="89">
        <f t="shared" si="28"/>
        <v>16512.86</v>
      </c>
      <c r="AG85" s="498">
        <f>IFERROR(IF(AND(AG$54&gt;=EOMONTH($J85,-1)+1,AG$54&lt;=EOMONTH(EOMONTH($J85,-1)+1,$K85-1)),IF(NOT(ISBLANK($N85)),$N85/$K85,$I85/$K85),0),0)</f>
        <v>5504.2866666666669</v>
      </c>
      <c r="AH85" s="498">
        <f>IFERROR(IF(AND(AH$54&gt;=EOMONTH($J85,-1)+1,AH$54&lt;=EOMONTH(EOMONTH($J85,-1)+1,$K85-1)),IF(NOT(ISBLANK($N85)),$N85/$K85,$I85/$K85),0),0)</f>
        <v>5504.2866666666669</v>
      </c>
      <c r="AI85" s="498">
        <f>IFERROR(IF(AND(AI$54&gt;=EOMONTH($J85,-1)+1,AI$54&lt;=EOMONTH(EOMONTH($J85,-1)+1,$K85-1)),IF(NOT(ISBLANK($N85)),$N85/$K85,$I85/$K85),0),0)</f>
        <v>5504.2866666666669</v>
      </c>
      <c r="AJ85" s="89">
        <f t="shared" si="18"/>
        <v>16512.86</v>
      </c>
      <c r="AK85" s="95">
        <f t="shared" si="16"/>
        <v>33025.72</v>
      </c>
      <c r="AL85" s="97"/>
      <c r="AM85" s="1407"/>
      <c r="AN85" s="1334"/>
      <c r="AO85" s="1403">
        <f>N85*AN85</f>
        <v>0</v>
      </c>
      <c r="AP85" s="97" t="str">
        <f>C85</f>
        <v>20 - Limpador de grelha</v>
      </c>
      <c r="AQ85" s="62" t="s">
        <v>311</v>
      </c>
      <c r="AR85" s="508" cm="1">
        <f t="array" aca="1" ref="AR85" ca="1">IF(OR(AP85="",AP85=0),"",IF(SUMPRODUCT(($C$55:$C$191=AP85)*(U$54:$AI$54&lt;EOMONTH(TODAY(),-1)+1)*(ISNUMBER(U$55:$AI$191)),U$55:$AI$191)=0,"",SUMPRODUCT(($C$55:$C$191=AP85)*(U$54:$AI$54&lt;EOMONTH(TODAY(),-1)+1)*(ISNUMBER(U$55:$AI$191)),U$55:$AI$191)))</f>
        <v>5504.2866666666669</v>
      </c>
      <c r="AS85" s="62" t="str">
        <f>A85</f>
        <v>Redução de custo</v>
      </c>
      <c r="AU85" s="1566">
        <f t="shared" ref="AU85" si="76">IF(OR(I85="",K85=""),0,(I85/12)*K85)</f>
        <v>30000.004000000001</v>
      </c>
      <c r="AV85" s="1566">
        <f t="shared" ref="AV85" si="77">IF(OR(N85="",K85="",K85=0),0,(N85/K85)*12)</f>
        <v>66051.44</v>
      </c>
    </row>
    <row r="86" spans="1:48" ht="56.25" customHeight="1" x14ac:dyDescent="0.3">
      <c r="A86" s="1408"/>
      <c r="B86" s="1692"/>
      <c r="C86" s="1483"/>
      <c r="D86" s="1455"/>
      <c r="E86" s="1450"/>
      <c r="F86" s="1452"/>
      <c r="G86" s="1367"/>
      <c r="H86" s="1367"/>
      <c r="I86" s="2174"/>
      <c r="J86" s="1379"/>
      <c r="K86" s="1388"/>
      <c r="L86" s="1396"/>
      <c r="M86" s="1721"/>
      <c r="N86" s="1866"/>
      <c r="O86" s="1330"/>
      <c r="P86" s="2150"/>
      <c r="Q86" s="2116"/>
      <c r="R86" s="1330"/>
      <c r="S86" s="93" t="s">
        <v>117</v>
      </c>
      <c r="T86" s="96">
        <v>1</v>
      </c>
      <c r="U86" s="290"/>
      <c r="V86" s="290"/>
      <c r="W86" s="457"/>
      <c r="X86" s="288">
        <f t="shared" si="75"/>
        <v>0</v>
      </c>
      <c r="Y86" s="290"/>
      <c r="Z86" s="290"/>
      <c r="AA86" s="290"/>
      <c r="AB86" s="288">
        <f t="shared" si="27"/>
        <v>0</v>
      </c>
      <c r="AC86" s="1017"/>
      <c r="AD86" s="290"/>
      <c r="AE86" s="290"/>
      <c r="AF86" s="288">
        <f t="shared" si="28"/>
        <v>0</v>
      </c>
      <c r="AG86" s="290"/>
      <c r="AH86" s="290"/>
      <c r="AI86" s="290"/>
      <c r="AJ86" s="288">
        <f t="shared" si="18"/>
        <v>0</v>
      </c>
      <c r="AK86" s="291">
        <f t="shared" si="16"/>
        <v>0</v>
      </c>
      <c r="AL86" s="97"/>
      <c r="AM86" s="1408"/>
      <c r="AN86" s="1330"/>
      <c r="AO86" s="1404"/>
      <c r="AP86" s="97" t="str">
        <f>C85</f>
        <v>20 - Limpador de grelha</v>
      </c>
      <c r="AQ86" s="62" t="s">
        <v>313</v>
      </c>
      <c r="AR86" s="508" t="str" cm="1">
        <f t="array" aca="1" ref="AR86" ca="1">IF(OR(AP86="",AP86=0),"",IF(SUMPRODUCT(($C$55:$C$191=AP86)*(U$54:$AI$54&lt;EOMONTH(TODAY(),-1)+1)*(ISNUMBER(U$56:$AI$192)),U$56:$AI$192)=0,"",SUMPRODUCT(($C$55:$C$191=AP86)*(U$54:$AI$54&lt;EOMONTH(TODAY(),-1)+1)*(ISNUMBER(U$56:$AI$192)),U$56:$AI$192)))</f>
        <v/>
      </c>
      <c r="AS86" s="62" t="str">
        <f>A85</f>
        <v>Redução de custo</v>
      </c>
      <c r="AU86" s="1567"/>
      <c r="AV86" s="1567"/>
    </row>
    <row r="87" spans="1:48" ht="29.1" customHeight="1" x14ac:dyDescent="0.3">
      <c r="A87" s="1407" t="s">
        <v>925</v>
      </c>
      <c r="B87" s="1691" t="s">
        <v>101</v>
      </c>
      <c r="C87" s="1482" t="s">
        <v>1467</v>
      </c>
      <c r="D87" s="1356" t="s">
        <v>1468</v>
      </c>
      <c r="E87" s="1449" t="s">
        <v>1469</v>
      </c>
      <c r="F87" s="1451" t="s">
        <v>1470</v>
      </c>
      <c r="G87" s="1366">
        <v>46082</v>
      </c>
      <c r="H87" s="1366">
        <v>46082</v>
      </c>
      <c r="I87" s="2117">
        <v>12000</v>
      </c>
      <c r="J87" s="1378">
        <v>46204</v>
      </c>
      <c r="K87" s="1387">
        <f>IF(J87="", "", 12 - MONTH(J87) + 1)</f>
        <v>6</v>
      </c>
      <c r="L87" s="1395"/>
      <c r="M87" s="2114" t="s">
        <v>363</v>
      </c>
      <c r="N87" s="2169"/>
      <c r="O87" s="1334" t="s">
        <v>81</v>
      </c>
      <c r="P87" s="1671"/>
      <c r="Q87" s="2115"/>
      <c r="R87" s="1334">
        <v>1</v>
      </c>
      <c r="S87" s="93" t="s">
        <v>116</v>
      </c>
      <c r="T87" s="96">
        <f ca="1">IF(OR(G87="", H87=""), "", IF(TODAY()&lt;G87, 0, IF(TODAY()&gt;H87, 1, (TODAY()-G87+1)/(H87-G87+1))))</f>
        <v>1</v>
      </c>
      <c r="U87" s="498">
        <f>IFERROR(IF(AND(U$54&gt;=EOMONTH($J87,-1)+1,U$54&lt;=EOMONTH(EOMONTH($J87,-1)+1,$K87-1)),IF(NOT(ISBLANK($N87)),$N87/$K87,$I87/$K87),0),0)</f>
        <v>0</v>
      </c>
      <c r="V87" s="498">
        <f>IFERROR(IF(AND(V$54&gt;=EOMONTH($J87,-1)+1,V$54&lt;=EOMONTH(EOMONTH($J87,-1)+1,$K87-1)),IF(NOT(ISBLANK($N87)),$N87/$K87,$I87/$K87),0),0)</f>
        <v>0</v>
      </c>
      <c r="W87" s="596">
        <f>IFERROR(IF(AND(W$54&gt;=EOMONTH($J87,-1)+1,W$54&lt;=EOMONTH(EOMONTH($J87,-1)+1,$K87-1)),IF(NOT(ISBLANK($N87)),$N87/$K87,$I87/$K87),0),0)</f>
        <v>0</v>
      </c>
      <c r="X87" s="89">
        <f t="shared" ref="X87:X89" si="78">SUM(U87:W87)</f>
        <v>0</v>
      </c>
      <c r="Y87" s="596">
        <f>IFERROR(IF(AND(Y$54&gt;=EOMONTH($J87,-1)+1,Y$54&lt;=EOMONTH(EOMONTH($J87,-1)+1,$K87-1)),IF(NOT(ISBLANK($N87)),$N87/$K87,$I87/$K87),0),0)</f>
        <v>0</v>
      </c>
      <c r="Z87" s="498">
        <f>IFERROR(IF(AND(Z$54&gt;=EOMONTH($J87,-1)+1,Z$54&lt;=EOMONTH(EOMONTH($J87,-1)+1,$K87-1)),IF(NOT(ISBLANK($N87)),$N87/$K87,$I87/$K87),0),0)</f>
        <v>0</v>
      </c>
      <c r="AA87" s="498">
        <f>IFERROR(IF(AND(AA$54&gt;=EOMONTH($J87,-1)+1,AA$54&lt;=EOMONTH(EOMONTH($J87,-1)+1,$K87-1)),IF(NOT(ISBLANK($N87)),$N87/$K87,$I87/$K87),0),0)</f>
        <v>0</v>
      </c>
      <c r="AB87" s="89">
        <f t="shared" si="27"/>
        <v>0</v>
      </c>
      <c r="AC87" s="498">
        <f>IFERROR(IF(AND(AC$54&gt;=EOMONTH($J87,-1)+1,AC$54&lt;=EOMONTH(EOMONTH($J87,-1)+1,$K87-1)),IF(NOT(ISBLANK($N87)),$N87/$K87,$I87/$K87),0),0)</f>
        <v>2000</v>
      </c>
      <c r="AD87" s="498">
        <f>IFERROR(IF(AND(AD$54&gt;=EOMONTH($J87,-1)+1,AD$54&lt;=EOMONTH(EOMONTH($J87,-1)+1,$K87-1)),IF(NOT(ISBLANK($N87)),$N87/$K87,$I87/$K87),0),0)</f>
        <v>2000</v>
      </c>
      <c r="AE87" s="498">
        <f>IFERROR(IF(AND(AE$54&gt;=EOMONTH($J87,-1)+1,AE$54&lt;=EOMONTH(EOMONTH($J87,-1)+1,$K87-1)),IF(NOT(ISBLANK($N87)),$N87/$K87,$I87/$K87),0),0)</f>
        <v>2000</v>
      </c>
      <c r="AF87" s="89">
        <f t="shared" si="28"/>
        <v>6000</v>
      </c>
      <c r="AG87" s="498">
        <f>IFERROR(IF(AND(AG$54&gt;=EOMONTH($J87,-1)+1,AG$54&lt;=EOMONTH(EOMONTH($J87,-1)+1,$K87-1)),IF(NOT(ISBLANK($N87)),$N87/$K87,$I87/$K87),0),0)</f>
        <v>2000</v>
      </c>
      <c r="AH87" s="498">
        <f>IFERROR(IF(AND(AH$54&gt;=EOMONTH($J87,-1)+1,AH$54&lt;=EOMONTH(EOMONTH($J87,-1)+1,$K87-1)),IF(NOT(ISBLANK($N87)),$N87/$K87,$I87/$K87),0),0)</f>
        <v>2000</v>
      </c>
      <c r="AI87" s="498">
        <f>IFERROR(IF(AND(AI$54&gt;=EOMONTH($J87,-1)+1,AI$54&lt;=EOMONTH(EOMONTH($J87,-1)+1,$K87-1)),IF(NOT(ISBLANK($N87)),$N87/$K87,$I87/$K87),0),0)</f>
        <v>2000</v>
      </c>
      <c r="AJ87" s="89">
        <f t="shared" si="18"/>
        <v>6000</v>
      </c>
      <c r="AK87" s="95">
        <f t="shared" si="16"/>
        <v>12000</v>
      </c>
      <c r="AL87" s="97"/>
      <c r="AM87" s="1407"/>
      <c r="AN87" s="1334"/>
      <c r="AO87" s="1403">
        <f>N87*AN87</f>
        <v>0</v>
      </c>
      <c r="AP87" s="97" t="str">
        <f>C87</f>
        <v xml:space="preserve">22 - Tablet - Dobradeira </v>
      </c>
      <c r="AQ87" s="62" t="s">
        <v>311</v>
      </c>
      <c r="AR87" s="508" cm="1">
        <f t="array" aca="1" ref="AR87" ca="1">IF(OR(AP87="",AP87=0),"",IF(SUMPRODUCT(($C$55:$C$191=AP87)*(U$54:$AI$54&lt;EOMONTH(TODAY(),-1)+1)*(ISNUMBER(U$55:$AI$191)),U$55:$AI$191)=0,"",SUMPRODUCT(($C$55:$C$191=AP87)*(U$54:$AI$54&lt;EOMONTH(TODAY(),-1)+1)*(ISNUMBER(U$55:$AI$191)),U$55:$AI$191)))</f>
        <v>2000</v>
      </c>
      <c r="AS87" s="62" t="str">
        <f>A87</f>
        <v>Kaizen</v>
      </c>
      <c r="AU87" s="1566">
        <f t="shared" ref="AU87" si="79">IF(OR(I87="",K87=""),0,(I87/12)*K87)</f>
        <v>6000</v>
      </c>
      <c r="AV87" s="1566">
        <f t="shared" ref="AV87" si="80">IF(OR(N87="",K87="",K87=0),0,(N87/K87)*12)</f>
        <v>0</v>
      </c>
    </row>
    <row r="88" spans="1:48" ht="29.1" customHeight="1" x14ac:dyDescent="0.3">
      <c r="A88" s="1408"/>
      <c r="B88" s="1692"/>
      <c r="C88" s="1483"/>
      <c r="D88" s="1455"/>
      <c r="E88" s="1450"/>
      <c r="F88" s="1452"/>
      <c r="G88" s="1367"/>
      <c r="H88" s="1367"/>
      <c r="I88" s="2118"/>
      <c r="J88" s="1379"/>
      <c r="K88" s="1388"/>
      <c r="L88" s="1396"/>
      <c r="M88" s="1460"/>
      <c r="N88" s="2162"/>
      <c r="O88" s="1330"/>
      <c r="P88" s="1672"/>
      <c r="Q88" s="2116"/>
      <c r="R88" s="1330"/>
      <c r="S88" s="93" t="s">
        <v>117</v>
      </c>
      <c r="T88" s="96">
        <v>1</v>
      </c>
      <c r="U88" s="290"/>
      <c r="V88" s="290"/>
      <c r="W88" s="498"/>
      <c r="X88" s="288">
        <f t="shared" si="78"/>
        <v>0</v>
      </c>
      <c r="Y88" s="290"/>
      <c r="Z88" s="290"/>
      <c r="AA88" s="290"/>
      <c r="AB88" s="288">
        <f t="shared" si="27"/>
        <v>0</v>
      </c>
      <c r="AC88" s="1017"/>
      <c r="AD88" s="290"/>
      <c r="AE88" s="290"/>
      <c r="AF88" s="288">
        <f t="shared" si="28"/>
        <v>0</v>
      </c>
      <c r="AG88" s="290"/>
      <c r="AH88" s="290"/>
      <c r="AI88" s="290"/>
      <c r="AJ88" s="288">
        <f t="shared" si="18"/>
        <v>0</v>
      </c>
      <c r="AK88" s="291">
        <f t="shared" si="16"/>
        <v>0</v>
      </c>
      <c r="AL88" s="97"/>
      <c r="AM88" s="1408"/>
      <c r="AN88" s="1330"/>
      <c r="AO88" s="1404"/>
      <c r="AP88" s="97" t="str">
        <f>C87</f>
        <v xml:space="preserve">22 - Tablet - Dobradeira </v>
      </c>
      <c r="AQ88" s="62" t="s">
        <v>313</v>
      </c>
      <c r="AR88" s="508" t="str" cm="1">
        <f t="array" aca="1" ref="AR88" ca="1">IF(OR(AP88="",AP88=0),"",IF(SUMPRODUCT(($C$55:$C$191=AP88)*(U$54:$AI$54&lt;EOMONTH(TODAY(),-1)+1)*(ISNUMBER(U$56:$AI$192)),U$56:$AI$192)=0,"",SUMPRODUCT(($C$55:$C$191=AP88)*(U$54:$AI$54&lt;EOMONTH(TODAY(),-1)+1)*(ISNUMBER(U$56:$AI$192)),U$56:$AI$192)))</f>
        <v/>
      </c>
      <c r="AS88" s="62" t="str">
        <f>A87</f>
        <v>Kaizen</v>
      </c>
      <c r="AU88" s="1567"/>
      <c r="AV88" s="1567"/>
    </row>
    <row r="89" spans="1:48" ht="29.1" customHeight="1" x14ac:dyDescent="0.3">
      <c r="A89" s="1380" t="s">
        <v>953</v>
      </c>
      <c r="B89" s="1407" t="s">
        <v>99</v>
      </c>
      <c r="C89" s="1465" t="s">
        <v>1471</v>
      </c>
      <c r="D89" s="1486"/>
      <c r="E89" s="1368" t="s">
        <v>1472</v>
      </c>
      <c r="F89" s="1370" t="s">
        <v>1473</v>
      </c>
      <c r="G89" s="1372">
        <v>46146</v>
      </c>
      <c r="H89" s="1372">
        <v>46146</v>
      </c>
      <c r="I89" s="2117">
        <f>(5800*12)</f>
        <v>69600</v>
      </c>
      <c r="J89" s="1376">
        <v>46204</v>
      </c>
      <c r="K89" s="1389">
        <f t="shared" ref="K89" si="81">IF(J89="", "", 12 - MONTH(J89) + 1)</f>
        <v>6</v>
      </c>
      <c r="L89" s="1354"/>
      <c r="M89" s="2114"/>
      <c r="N89" s="1861"/>
      <c r="O89" s="1334" t="s">
        <v>81</v>
      </c>
      <c r="P89" s="2127" t="s">
        <v>1426</v>
      </c>
      <c r="Q89" s="2125"/>
      <c r="R89" s="1327">
        <v>1</v>
      </c>
      <c r="S89" s="87" t="s">
        <v>116</v>
      </c>
      <c r="T89" s="91">
        <f ca="1">IF(OR(G89="", H89=""), "", IF(TODAY()&lt;G89, 0, IF(TODAY()&gt;H89, 1, (TODAY()-G89+1)/(H89-G89+1))))</f>
        <v>1</v>
      </c>
      <c r="U89" s="287">
        <f>IFERROR(IF(AND(U$54&gt;=EOMONTH($J89,-1)+1,U$54&lt;=EOMONTH(EOMONTH($J89,-1)+1,$K89-1)),IF(NOT(ISBLANK($N89)),$N89/$K89,$I89/$K89),0),0)</f>
        <v>0</v>
      </c>
      <c r="V89" s="287">
        <f>IFERROR(IF(AND(V$54&gt;=EOMONTH($J89,-1)+1,V$54&lt;=EOMONTH(EOMONTH($J89,-1)+1,$K89-1)),IF(NOT(ISBLANK($N89)),$N89/$K89,$I89/$K89),0),0)</f>
        <v>0</v>
      </c>
      <c r="W89" s="287">
        <f>IFERROR(IF(AND(W$54&gt;=EOMONTH($J89,-1)+1,W$54&lt;=EOMONTH(EOMONTH($J89,-1)+1,$K89-1)),IF(NOT(ISBLANK($N89)),$N89/$K89,$I89/$K89),0),0)</f>
        <v>0</v>
      </c>
      <c r="X89" s="89">
        <f t="shared" si="78"/>
        <v>0</v>
      </c>
      <c r="Y89" s="287">
        <f>IFERROR(IF(AND(Y$54&gt;=EOMONTH($J89,-1)+1,Y$54&lt;=EOMONTH(EOMONTH($J89,-1)+1,$K89-1)),IF(NOT(ISBLANK($N89)),$N89/$K89,$I89/$K89),0),0)</f>
        <v>0</v>
      </c>
      <c r="Z89" s="287">
        <f>IFERROR(IF(AND(Z$54&gt;=EOMONTH($J89,-1)+1,Z$54&lt;=EOMONTH(EOMONTH($J89,-1)+1,$K89-1)),IF(NOT(ISBLANK($N89)),$N89/$K89,$I89/$K89),0),0)</f>
        <v>0</v>
      </c>
      <c r="AA89" s="287">
        <f>IFERROR(IF(AND(AA$54&gt;=EOMONTH($J89,-1)+1,AA$54&lt;=EOMONTH(EOMONTH($J89,-1)+1,$K89-1)),IF(NOT(ISBLANK($N89)),$N89/$K89,$I89/$K89),0),0)</f>
        <v>0</v>
      </c>
      <c r="AB89" s="89">
        <f t="shared" si="27"/>
        <v>0</v>
      </c>
      <c r="AC89" s="287">
        <f>IFERROR(IF(AND(AC$54&gt;=EOMONTH($J89,-1)+1,AC$54&lt;=EOMONTH(EOMONTH($J89,-1)+1,$K89-1)),IF(NOT(ISBLANK($N89)),$N89/$K89,$I89/$K89),0),0)</f>
        <v>11600</v>
      </c>
      <c r="AD89" s="287">
        <f>IFERROR(IF(AND(AD$54&gt;=EOMONTH($J89,-1)+1,AD$54&lt;=EOMONTH(EOMONTH($J89,-1)+1,$K89-1)),IF(NOT(ISBLANK($N89)),$N89/$K89,$I89/$K89),0),0)</f>
        <v>11600</v>
      </c>
      <c r="AE89" s="287">
        <f>IFERROR(IF(AND(AE$54&gt;=EOMONTH($J89,-1)+1,AE$54&lt;=EOMONTH(EOMONTH($J89,-1)+1,$K89-1)),IF(NOT(ISBLANK($N89)),$N89/$K89,$I89/$K89),0),0)</f>
        <v>11600</v>
      </c>
      <c r="AF89" s="89">
        <f t="shared" si="28"/>
        <v>34800</v>
      </c>
      <c r="AG89" s="287">
        <f>IFERROR(IF(AND(AG$54&gt;=EOMONTH($J89,-1)+1,AG$54&lt;=EOMONTH(EOMONTH($J89,-1)+1,$K89-1)),IF(NOT(ISBLANK($N89)),$N89/$K89,$I89/$K89),0),0)</f>
        <v>11600</v>
      </c>
      <c r="AH89" s="287">
        <f>IFERROR(IF(AND(AH$54&gt;=EOMONTH($J89,-1)+1,AH$54&lt;=EOMONTH(EOMONTH($J89,-1)+1,$K89-1)),IF(NOT(ISBLANK($N89)),$N89/$K89,$I89/$K89),0),0)</f>
        <v>11600</v>
      </c>
      <c r="AI89" s="287">
        <f>IFERROR(IF(AND(AI$54&gt;=EOMONTH($J89,-1)+1,AI$54&lt;=EOMONTH(EOMONTH($J89,-1)+1,$K89-1)),IF(NOT(ISBLANK($N89)),$N89/$K89,$I89/$K89),0),0)</f>
        <v>11600</v>
      </c>
      <c r="AJ89" s="89">
        <f t="shared" si="18"/>
        <v>34800</v>
      </c>
      <c r="AK89" s="90">
        <f t="shared" si="16"/>
        <v>69600</v>
      </c>
      <c r="AL89" s="98"/>
      <c r="AM89" s="1370"/>
      <c r="AN89" s="1411"/>
      <c r="AO89" s="1405">
        <f>N89*AN89</f>
        <v>0</v>
      </c>
      <c r="AP89" s="98" t="str">
        <f>C89</f>
        <v xml:space="preserve">23 - Devolução das máquinas de solda alugadas </v>
      </c>
      <c r="AQ89" s="62" t="s">
        <v>311</v>
      </c>
      <c r="AR89" s="508" cm="1">
        <f t="array" aca="1" ref="AR89" ca="1">IF(OR(AP89="",AP89=0),"",IF(SUMPRODUCT(($C$55:$C$191=AP89)*(U$54:$AI$54&lt;EOMONTH(TODAY(),-1)+1)*(ISNUMBER(U$55:$AI$191)),U$55:$AI$191)=0,"",SUMPRODUCT(($C$55:$C$191=AP89)*(U$54:$AI$54&lt;EOMONTH(TODAY(),-1)+1)*(ISNUMBER(U$55:$AI$191)),U$55:$AI$191)))</f>
        <v>11600</v>
      </c>
      <c r="AS89" s="62" t="str">
        <f>A89</f>
        <v>Redução de custo</v>
      </c>
      <c r="AU89" s="1566">
        <f t="shared" ref="AU89" si="82">IF(OR(I89="",K89=""),0,(I89/12)*K89)</f>
        <v>34800</v>
      </c>
      <c r="AV89" s="1566">
        <f t="shared" ref="AV89" si="83">IF(OR(N89="",K89="",K89=0),0,(N89/K89)*12)</f>
        <v>0</v>
      </c>
    </row>
    <row r="90" spans="1:48" ht="29.1" customHeight="1" x14ac:dyDescent="0.3">
      <c r="A90" s="1381"/>
      <c r="B90" s="1408"/>
      <c r="C90" s="1466"/>
      <c r="D90" s="1487"/>
      <c r="E90" s="1369"/>
      <c r="F90" s="1371"/>
      <c r="G90" s="1373"/>
      <c r="H90" s="1373"/>
      <c r="I90" s="2118"/>
      <c r="J90" s="1377"/>
      <c r="K90" s="1390"/>
      <c r="L90" s="1355"/>
      <c r="M90" s="1460"/>
      <c r="N90" s="1392"/>
      <c r="O90" s="1330"/>
      <c r="P90" s="1674"/>
      <c r="Q90" s="2126"/>
      <c r="R90" s="1328"/>
      <c r="S90" s="87" t="s">
        <v>117</v>
      </c>
      <c r="T90" s="91">
        <v>1</v>
      </c>
      <c r="U90" s="287"/>
      <c r="V90" s="287"/>
      <c r="W90" s="287"/>
      <c r="X90" s="288">
        <f t="shared" ref="X90" si="84">SUM(U90:W90)</f>
        <v>0</v>
      </c>
      <c r="Y90" s="287"/>
      <c r="Z90" s="287"/>
      <c r="AA90" s="287"/>
      <c r="AB90" s="288">
        <f t="shared" si="27"/>
        <v>0</v>
      </c>
      <c r="AC90" s="1017"/>
      <c r="AD90" s="287"/>
      <c r="AE90" s="287"/>
      <c r="AF90" s="288">
        <f t="shared" si="28"/>
        <v>0</v>
      </c>
      <c r="AG90" s="287"/>
      <c r="AH90" s="287"/>
      <c r="AI90" s="287"/>
      <c r="AJ90" s="288">
        <f t="shared" si="18"/>
        <v>0</v>
      </c>
      <c r="AK90" s="289">
        <f t="shared" si="16"/>
        <v>0</v>
      </c>
      <c r="AL90" s="337"/>
      <c r="AM90" s="1371"/>
      <c r="AN90" s="1412"/>
      <c r="AO90" s="1406"/>
      <c r="AP90" s="92" t="str">
        <f>C89</f>
        <v xml:space="preserve">23 - Devolução das máquinas de solda alugadas </v>
      </c>
      <c r="AQ90" s="62" t="s">
        <v>313</v>
      </c>
      <c r="AR90" s="508" t="str" cm="1">
        <f t="array" aca="1" ref="AR90" ca="1">IF(OR(AP90="",AP90=0),"",IF(SUMPRODUCT(($C$55:$C$191=AP90)*(U$54:$AI$54&lt;EOMONTH(TODAY(),-1)+1)*(ISNUMBER(U$56:$AI$192)),U$56:$AI$192)=0,"",SUMPRODUCT(($C$55:$C$191=AP90)*(U$54:$AI$54&lt;EOMONTH(TODAY(),-1)+1)*(ISNUMBER(U$56:$AI$192)),U$56:$AI$192)))</f>
        <v/>
      </c>
      <c r="AS90" s="62" t="str">
        <f>A89</f>
        <v>Redução de custo</v>
      </c>
      <c r="AU90" s="1567"/>
      <c r="AV90" s="1567"/>
    </row>
    <row r="91" spans="1:48" ht="29.1" customHeight="1" x14ac:dyDescent="0.3">
      <c r="A91" s="1380" t="s">
        <v>953</v>
      </c>
      <c r="B91" s="1691" t="s">
        <v>97</v>
      </c>
      <c r="C91" s="1482" t="s">
        <v>1474</v>
      </c>
      <c r="D91" s="1486" t="s">
        <v>1475</v>
      </c>
      <c r="E91" s="1368" t="s">
        <v>1472</v>
      </c>
      <c r="F91" s="1370" t="s">
        <v>1476</v>
      </c>
      <c r="G91" s="1372">
        <v>46223</v>
      </c>
      <c r="H91" s="1372">
        <v>46237</v>
      </c>
      <c r="I91" s="2117">
        <f>(19200*12)-190000</f>
        <v>40400</v>
      </c>
      <c r="J91" s="1376">
        <v>46237</v>
      </c>
      <c r="K91" s="1389">
        <f t="shared" ref="K91" si="85">IF(J91="", "", 12 - MONTH(J91) + 1)</f>
        <v>5</v>
      </c>
      <c r="L91" s="1354"/>
      <c r="M91" s="2114"/>
      <c r="N91" s="1861"/>
      <c r="O91" s="1327" t="s">
        <v>85</v>
      </c>
      <c r="P91" s="2127" t="s">
        <v>1426</v>
      </c>
      <c r="Q91" s="2115"/>
      <c r="R91" s="1327">
        <v>1</v>
      </c>
      <c r="S91" s="87" t="s">
        <v>116</v>
      </c>
      <c r="T91" s="91">
        <f ca="1">IF(OR(G91="", H91=""), "", IF(TODAY()&lt;G91, 0, IF(TODAY()&gt;H91, 1, (TODAY()-G91+1)/(H91-G91+1))))</f>
        <v>1</v>
      </c>
      <c r="U91" s="287">
        <f>IFERROR(IF(AND(U$54&gt;=EOMONTH($J91,-1)+1,U$54&lt;=EOMONTH(EOMONTH($J91,-1)+1,$K91-1)),IF(NOT(ISBLANK($N91)),$N91/$K91,$I91/$K91),0),0)</f>
        <v>0</v>
      </c>
      <c r="V91" s="287">
        <f>IFERROR(IF(AND(V$54&gt;=EOMONTH($J91,-1)+1,V$54&lt;=EOMONTH(EOMONTH($J91,-1)+1,$K91-1)),IF(NOT(ISBLANK($N91)),$N91/$K91,$I91/$K91),0),0)</f>
        <v>0</v>
      </c>
      <c r="W91" s="287">
        <f>IFERROR(IF(AND(W$54&gt;=EOMONTH($J91,-1)+1,W$54&lt;=EOMONTH(EOMONTH($J91,-1)+1,$K91-1)),IF(NOT(ISBLANK($N91)),$N91/$K91,$I91/$K91),0),0)</f>
        <v>0</v>
      </c>
      <c r="X91" s="89">
        <f t="shared" ref="X91:X105" si="86">SUM(U91:W91)</f>
        <v>0</v>
      </c>
      <c r="Y91" s="287">
        <f>IFERROR(IF(AND(Y$54&gt;=EOMONTH($J91,-1)+1,Y$54&lt;=EOMONTH(EOMONTH($J91,-1)+1,$K91-1)),IF(NOT(ISBLANK($N91)),$N91/$K91,$I91/$K91),0),0)</f>
        <v>0</v>
      </c>
      <c r="Z91" s="287">
        <f>IFERROR(IF(AND(Z$54&gt;=EOMONTH($J91,-1)+1,Z$54&lt;=EOMONTH(EOMONTH($J91,-1)+1,$K91-1)),IF(NOT(ISBLANK($N91)),$N91/$K91,$I91/$K91),0),0)</f>
        <v>0</v>
      </c>
      <c r="AA91" s="287">
        <f>IFERROR(IF(AND(AA$54&gt;=EOMONTH($J91,-1)+1,AA$54&lt;=EOMONTH(EOMONTH($J91,-1)+1,$K91-1)),IF(NOT(ISBLANK($N91)),$N91/$K91,$I91/$K91),0),0)</f>
        <v>0</v>
      </c>
      <c r="AB91" s="89">
        <f t="shared" si="27"/>
        <v>0</v>
      </c>
      <c r="AC91" s="287">
        <f>IFERROR(IF(AND(AC$54&gt;=EOMONTH($J91,-1)+1,AC$54&lt;=EOMONTH(EOMONTH($J91,-1)+1,$K91-1)),IF(NOT(ISBLANK($N91)),$N91/$K91,$I91/$K91),0),0)</f>
        <v>0</v>
      </c>
      <c r="AD91" s="287">
        <f>IFERROR(IF(AND(AD$54&gt;=EOMONTH($J91,-1)+1,AD$54&lt;=EOMONTH(EOMONTH($J91,-1)+1,$K91-1)),IF(NOT(ISBLANK($N91)),$N91/$K91,$I91/$K91),0),0)</f>
        <v>8080</v>
      </c>
      <c r="AE91" s="287">
        <f>IFERROR(IF(AND(AE$54&gt;=EOMONTH($J91,-1)+1,AE$54&lt;=EOMONTH(EOMONTH($J91,-1)+1,$K91-1)),IF(NOT(ISBLANK($N91)),$N91/$K91,$I91/$K91),0),0)</f>
        <v>8080</v>
      </c>
      <c r="AF91" s="89">
        <f t="shared" si="28"/>
        <v>16160</v>
      </c>
      <c r="AG91" s="287">
        <f>IFERROR(IF(AND(AG$54&gt;=EOMONTH($J91,-1)+1,AG$54&lt;=EOMONTH(EOMONTH($J91,-1)+1,$K91-1)),IF(NOT(ISBLANK($N91)),$N91/$K91,$I91/$K91),0),0)</f>
        <v>8080</v>
      </c>
      <c r="AH91" s="287">
        <f>IFERROR(IF(AND(AH$54&gt;=EOMONTH($J91,-1)+1,AH$54&lt;=EOMONTH(EOMONTH($J91,-1)+1,$K91-1)),IF(NOT(ISBLANK($N91)),$N91/$K91,$I91/$K91),0),0)</f>
        <v>8080</v>
      </c>
      <c r="AI91" s="287">
        <f>IFERROR(IF(AND(AI$54&gt;=EOMONTH($J91,-1)+1,AI$54&lt;=EOMONTH(EOMONTH($J91,-1)+1,$K91-1)),IF(NOT(ISBLANK($N91)),$N91/$K91,$I91/$K91),0),0)</f>
        <v>8080</v>
      </c>
      <c r="AJ91" s="89">
        <f t="shared" si="18"/>
        <v>24240</v>
      </c>
      <c r="AK91" s="90">
        <f t="shared" si="16"/>
        <v>40400</v>
      </c>
      <c r="AL91" s="98"/>
      <c r="AM91" s="1370"/>
      <c r="AN91" s="1411"/>
      <c r="AO91" s="1405">
        <f>N91*AN91</f>
        <v>0</v>
      </c>
      <c r="AP91" s="98" t="str">
        <f>C91</f>
        <v xml:space="preserve">24 - Aquisição do equipamento de ultrassom </v>
      </c>
      <c r="AQ91" s="62" t="s">
        <v>311</v>
      </c>
      <c r="AR91" s="508" t="str" cm="1">
        <f t="array" aca="1" ref="AR91" ca="1">IF(OR(AP91="",AP91=0),"",IF(SUMPRODUCT(($C$55:$C$191=AP91)*(U$54:$AI$54&lt;EOMONTH(TODAY(),-1)+1)*(ISNUMBER(U$55:$AI$191)),U$55:$AI$191)=0,"",SUMPRODUCT(($C$55:$C$191=AP91)*(U$54:$AI$54&lt;EOMONTH(TODAY(),-1)+1)*(ISNUMBER(U$55:$AI$191)),U$55:$AI$191)))</f>
        <v/>
      </c>
      <c r="AS91" s="62" t="str">
        <f>A91</f>
        <v>Redução de custo</v>
      </c>
      <c r="AU91" s="1566">
        <f t="shared" ref="AU91" si="87">IF(OR(I91="",K91=""),0,(I91/12)*K91)</f>
        <v>16833.333333333332</v>
      </c>
      <c r="AV91" s="1566">
        <f t="shared" ref="AV91" si="88">IF(OR(N91="",K91="",K91=0),0,(N91/K91)*12)</f>
        <v>0</v>
      </c>
    </row>
    <row r="92" spans="1:48" ht="45.75" customHeight="1" x14ac:dyDescent="0.3">
      <c r="A92" s="1381"/>
      <c r="B92" s="1692"/>
      <c r="C92" s="1483"/>
      <c r="D92" s="1487"/>
      <c r="E92" s="1369"/>
      <c r="F92" s="1371"/>
      <c r="G92" s="1373"/>
      <c r="H92" s="1373"/>
      <c r="I92" s="2118"/>
      <c r="J92" s="1377"/>
      <c r="K92" s="1390"/>
      <c r="L92" s="1355"/>
      <c r="M92" s="1460"/>
      <c r="N92" s="1392"/>
      <c r="O92" s="1328"/>
      <c r="P92" s="1674"/>
      <c r="Q92" s="2116"/>
      <c r="R92" s="1328"/>
      <c r="S92" s="87" t="s">
        <v>117</v>
      </c>
      <c r="T92" s="91">
        <v>1</v>
      </c>
      <c r="U92" s="287"/>
      <c r="V92" s="287"/>
      <c r="W92" s="287"/>
      <c r="X92" s="288">
        <f t="shared" si="86"/>
        <v>0</v>
      </c>
      <c r="Y92" s="287"/>
      <c r="Z92" s="287"/>
      <c r="AA92" s="287"/>
      <c r="AB92" s="288">
        <f t="shared" si="27"/>
        <v>0</v>
      </c>
      <c r="AC92" s="287"/>
      <c r="AD92" s="287"/>
      <c r="AE92" s="287"/>
      <c r="AF92" s="288">
        <f t="shared" si="28"/>
        <v>0</v>
      </c>
      <c r="AG92" s="287"/>
      <c r="AH92" s="287"/>
      <c r="AI92" s="287"/>
      <c r="AJ92" s="288">
        <f t="shared" si="18"/>
        <v>0</v>
      </c>
      <c r="AK92" s="289">
        <f t="shared" si="16"/>
        <v>0</v>
      </c>
      <c r="AL92" s="337"/>
      <c r="AM92" s="1371"/>
      <c r="AN92" s="1412"/>
      <c r="AO92" s="1406"/>
      <c r="AP92" s="92" t="str">
        <f>C91</f>
        <v xml:space="preserve">24 - Aquisição do equipamento de ultrassom </v>
      </c>
      <c r="AQ92" s="62" t="s">
        <v>313</v>
      </c>
      <c r="AR92" s="508" t="str" cm="1">
        <f t="array" aca="1" ref="AR92" ca="1">IF(OR(AP92="",AP92=0),"",IF(SUMPRODUCT(($C$55:$C$191=AP92)*(U$54:$AI$54&lt;EOMONTH(TODAY(),-1)+1)*(ISNUMBER(U$56:$AI$192)),U$56:$AI$192)=0,"",SUMPRODUCT(($C$55:$C$191=AP92)*(U$54:$AI$54&lt;EOMONTH(TODAY(),-1)+1)*(ISNUMBER(U$56:$AI$192)),U$56:$AI$192)))</f>
        <v/>
      </c>
      <c r="AS92" s="62" t="str">
        <f>A91</f>
        <v>Redução de custo</v>
      </c>
      <c r="AU92" s="1567"/>
      <c r="AV92" s="1567"/>
    </row>
    <row r="93" spans="1:48" ht="29.1" customHeight="1" x14ac:dyDescent="0.3">
      <c r="A93" s="1380" t="s">
        <v>953</v>
      </c>
      <c r="B93" s="1407" t="s">
        <v>101</v>
      </c>
      <c r="C93" s="1465" t="s">
        <v>1477</v>
      </c>
      <c r="D93" s="1356"/>
      <c r="E93" s="1449" t="s">
        <v>1478</v>
      </c>
      <c r="F93" s="1451" t="s">
        <v>1479</v>
      </c>
      <c r="G93" s="1366">
        <v>46048</v>
      </c>
      <c r="H93" s="1366">
        <v>46387</v>
      </c>
      <c r="I93" s="2117">
        <v>900000</v>
      </c>
      <c r="J93" s="1378">
        <v>46024</v>
      </c>
      <c r="K93" s="1387">
        <f>IF(J93="", "", 12 - MONTH(J93) + 1)</f>
        <v>12</v>
      </c>
      <c r="L93" s="1395"/>
      <c r="M93" s="1352"/>
      <c r="N93" s="1393"/>
      <c r="O93" s="1334" t="s">
        <v>85</v>
      </c>
      <c r="P93" s="2127" t="s">
        <v>1426</v>
      </c>
      <c r="Q93" s="2125"/>
      <c r="R93" s="1334">
        <v>1</v>
      </c>
      <c r="S93" s="87" t="s">
        <v>116</v>
      </c>
      <c r="T93" s="91">
        <f ca="1">IF(OR(G93="", H93=""), "", IF(TODAY()&lt;G93, 0, IF(TODAY()&gt;H93, 1, (TODAY()-G93+1)/(H93-G93+1))))</f>
        <v>0.6</v>
      </c>
      <c r="U93" s="498"/>
      <c r="V93" s="498"/>
      <c r="W93" s="596"/>
      <c r="X93" s="89"/>
      <c r="Y93" s="498"/>
      <c r="Z93" s="498"/>
      <c r="AA93" s="498"/>
      <c r="AB93" s="89"/>
      <c r="AC93" s="498"/>
      <c r="AD93" s="498"/>
      <c r="AE93" s="498"/>
      <c r="AF93" s="89"/>
      <c r="AG93" s="498"/>
      <c r="AH93" s="498"/>
      <c r="AI93" s="498"/>
      <c r="AJ93" s="89"/>
      <c r="AK93" s="95"/>
      <c r="AL93" s="97"/>
      <c r="AM93" s="1407"/>
      <c r="AN93" s="1334"/>
      <c r="AO93" s="1403"/>
      <c r="AP93" s="98" t="str">
        <f>C93</f>
        <v xml:space="preserve">25 - Redução de scrap </v>
      </c>
      <c r="AQ93" s="62" t="s">
        <v>311</v>
      </c>
      <c r="AR93" s="508" t="str" cm="1">
        <f t="array" aca="1" ref="AR93" ca="1">IF(OR(AP93="",AP93=0),"",IF(SUMPRODUCT(($C$55:$C$191=AP93)*(U$54:$AI$54&lt;EOMONTH(TODAY(),-1)+1)*(ISNUMBER(U$55:$AI$191)),U$55:$AI$191)=0,"",SUMPRODUCT(($C$55:$C$191=AP93)*(U$54:$AI$54&lt;EOMONTH(TODAY(),-1)+1)*(ISNUMBER(U$55:$AI$191)),U$55:$AI$191)))</f>
        <v/>
      </c>
      <c r="AS93" s="62" t="str">
        <f>A93</f>
        <v>Redução de custo</v>
      </c>
      <c r="AU93" s="1566">
        <f t="shared" ref="AU93" si="89">IF(OR(I93="",K93=""),0,(I93/12)*K93)</f>
        <v>900000</v>
      </c>
      <c r="AV93" s="1566">
        <f t="shared" ref="AV93" si="90">IF(OR(N93="",K93="",K93=0),0,(N93/K93)*12)</f>
        <v>0</v>
      </c>
    </row>
    <row r="94" spans="1:48" ht="56.25" customHeight="1" x14ac:dyDescent="0.3">
      <c r="A94" s="1381"/>
      <c r="B94" s="1408"/>
      <c r="C94" s="1466"/>
      <c r="D94" s="1455"/>
      <c r="E94" s="1450"/>
      <c r="F94" s="1452"/>
      <c r="G94" s="1367"/>
      <c r="H94" s="1367"/>
      <c r="I94" s="2118"/>
      <c r="J94" s="1379"/>
      <c r="K94" s="1388"/>
      <c r="L94" s="1396"/>
      <c r="M94" s="1353"/>
      <c r="N94" s="1394"/>
      <c r="O94" s="1330"/>
      <c r="P94" s="1674"/>
      <c r="Q94" s="2126"/>
      <c r="R94" s="1330"/>
      <c r="S94" s="87" t="s">
        <v>117</v>
      </c>
      <c r="T94" s="91">
        <v>1</v>
      </c>
      <c r="U94" s="290"/>
      <c r="V94" s="290"/>
      <c r="W94" s="498"/>
      <c r="X94" s="288"/>
      <c r="Y94" s="290"/>
      <c r="Z94" s="290"/>
      <c r="AA94" s="290"/>
      <c r="AB94" s="288"/>
      <c r="AC94" s="290"/>
      <c r="AD94" s="290"/>
      <c r="AE94" s="290"/>
      <c r="AF94" s="288"/>
      <c r="AG94" s="290"/>
      <c r="AH94" s="290"/>
      <c r="AI94" s="290"/>
      <c r="AJ94" s="288"/>
      <c r="AK94" s="291"/>
      <c r="AL94" s="97"/>
      <c r="AM94" s="1408"/>
      <c r="AN94" s="1330"/>
      <c r="AO94" s="1404"/>
      <c r="AP94" s="92" t="str">
        <f>C93</f>
        <v xml:space="preserve">25 - Redução de scrap </v>
      </c>
      <c r="AQ94" s="62" t="s">
        <v>313</v>
      </c>
      <c r="AR94" s="508" t="str" cm="1">
        <f t="array" aca="1" ref="AR94" ca="1">IF(OR(AP94="",AP94=0),"",IF(SUMPRODUCT(($C$55:$C$191=AP94)*(U$54:$AI$54&lt;EOMONTH(TODAY(),-1)+1)*(ISNUMBER(U$56:$AI$192)),U$56:$AI$192)=0,"",SUMPRODUCT(($C$55:$C$191=AP94)*(U$54:$AI$54&lt;EOMONTH(TODAY(),-1)+1)*(ISNUMBER(U$56:$AI$192)),U$56:$AI$192)))</f>
        <v/>
      </c>
      <c r="AS94" s="62" t="str">
        <f>A93</f>
        <v>Redução de custo</v>
      </c>
      <c r="AU94" s="1567"/>
      <c r="AV94" s="1567"/>
    </row>
    <row r="95" spans="1:48" ht="29.1" customHeight="1" x14ac:dyDescent="0.3">
      <c r="A95" s="1380" t="s">
        <v>953</v>
      </c>
      <c r="B95" s="1407" t="s">
        <v>101</v>
      </c>
      <c r="C95" s="1482" t="s">
        <v>1480</v>
      </c>
      <c r="D95" s="1486" t="s">
        <v>1481</v>
      </c>
      <c r="E95" s="1368" t="s">
        <v>1482</v>
      </c>
      <c r="F95" s="1451" t="s">
        <v>1479</v>
      </c>
      <c r="G95" s="1366">
        <v>46209</v>
      </c>
      <c r="H95" s="1366">
        <v>46209</v>
      </c>
      <c r="I95" s="1354">
        <v>442000</v>
      </c>
      <c r="J95" s="1378">
        <v>46209</v>
      </c>
      <c r="K95" s="1387">
        <f>IF(J95="", "", 12 - MONTH(J95) + 1)</f>
        <v>6</v>
      </c>
      <c r="L95" s="1354"/>
      <c r="M95" s="2114" t="s">
        <v>308</v>
      </c>
      <c r="N95" s="1861">
        <f>36680*K95</f>
        <v>220080</v>
      </c>
      <c r="O95" s="1327" t="s">
        <v>81</v>
      </c>
      <c r="P95" s="2129" t="s">
        <v>1483</v>
      </c>
      <c r="Q95" s="2115"/>
      <c r="R95" s="1327">
        <v>1</v>
      </c>
      <c r="S95" s="87" t="s">
        <v>116</v>
      </c>
      <c r="T95" s="91">
        <f ca="1">IF(OR(G95="", H95=""), "", IF(TODAY()&lt;G95, 0, IF(TODAY()&gt;H95, 1, (TODAY()-G95+1)/(H95-G95+1))))</f>
        <v>1</v>
      </c>
      <c r="U95" s="287"/>
      <c r="V95" s="287"/>
      <c r="W95" s="287"/>
      <c r="X95" s="89"/>
      <c r="Y95" s="287"/>
      <c r="Z95" s="287"/>
      <c r="AA95" s="287"/>
      <c r="AB95" s="89"/>
      <c r="AC95" s="287"/>
      <c r="AD95" s="287"/>
      <c r="AE95" s="287"/>
      <c r="AF95" s="89"/>
      <c r="AG95" s="287"/>
      <c r="AH95" s="287"/>
      <c r="AI95" s="287"/>
      <c r="AJ95" s="89"/>
      <c r="AK95" s="90"/>
      <c r="AL95" s="98"/>
      <c r="AM95" s="1370"/>
      <c r="AN95" s="1411"/>
      <c r="AO95" s="1405"/>
      <c r="AP95" s="98" t="str">
        <f>C95</f>
        <v>26 - Redução da MO do processo do Crossmember Scania</v>
      </c>
      <c r="AQ95" s="62" t="s">
        <v>311</v>
      </c>
      <c r="AR95" s="508" t="str" cm="1">
        <f t="array" aca="1" ref="AR95" ca="1">IF(OR(AP95="",AP95=0),"",IF(SUMPRODUCT(($C$55:$C$191=AP95)*(U$54:$AI$54&lt;EOMONTH(TODAY(),-1)+1)*(ISNUMBER(U$55:$AI$191)),U$55:$AI$191)=0,"",SUMPRODUCT(($C$55:$C$191=AP95)*(U$54:$AI$54&lt;EOMONTH(TODAY(),-1)+1)*(ISNUMBER(U$55:$AI$191)),U$55:$AI$191)))</f>
        <v/>
      </c>
      <c r="AS95" s="62" t="str">
        <f>A95</f>
        <v>Redução de custo</v>
      </c>
      <c r="AU95" s="1566">
        <f t="shared" ref="AU95" si="91">IF(OR(I95="",K95=""),0,(I95/12)*K95)</f>
        <v>221000</v>
      </c>
      <c r="AV95" s="1566">
        <f t="shared" ref="AV95" si="92">IF(OR(N95="",K95="",K95=0),0,(N95/K95)*12)</f>
        <v>440160</v>
      </c>
    </row>
    <row r="96" spans="1:48" ht="45.75" customHeight="1" x14ac:dyDescent="0.3">
      <c r="A96" s="1381"/>
      <c r="B96" s="1408"/>
      <c r="C96" s="1483"/>
      <c r="D96" s="1487"/>
      <c r="E96" s="1369"/>
      <c r="F96" s="1452"/>
      <c r="G96" s="1367"/>
      <c r="H96" s="1367"/>
      <c r="I96" s="1355"/>
      <c r="J96" s="1379"/>
      <c r="K96" s="1388"/>
      <c r="L96" s="1355"/>
      <c r="M96" s="1460"/>
      <c r="N96" s="1392"/>
      <c r="O96" s="1328"/>
      <c r="P96" s="1672"/>
      <c r="Q96" s="2116"/>
      <c r="R96" s="1328"/>
      <c r="S96" s="87" t="s">
        <v>117</v>
      </c>
      <c r="T96" s="91">
        <v>1</v>
      </c>
      <c r="U96" s="287"/>
      <c r="V96" s="287"/>
      <c r="W96" s="287"/>
      <c r="X96" s="288"/>
      <c r="Y96" s="287"/>
      <c r="Z96" s="287"/>
      <c r="AA96" s="287"/>
      <c r="AB96" s="288"/>
      <c r="AC96" s="287"/>
      <c r="AD96" s="287"/>
      <c r="AE96" s="287"/>
      <c r="AF96" s="288"/>
      <c r="AG96" s="287"/>
      <c r="AH96" s="287"/>
      <c r="AI96" s="287"/>
      <c r="AJ96" s="288"/>
      <c r="AK96" s="289"/>
      <c r="AL96" s="337"/>
      <c r="AM96" s="1371"/>
      <c r="AN96" s="1412"/>
      <c r="AO96" s="1406"/>
      <c r="AP96" s="92" t="str">
        <f>C95</f>
        <v>26 - Redução da MO do processo do Crossmember Scania</v>
      </c>
      <c r="AQ96" s="62" t="s">
        <v>313</v>
      </c>
      <c r="AR96" s="508" t="str" cm="1">
        <f t="array" aca="1" ref="AR96" ca="1">IF(OR(AP96="",AP96=0),"",IF(SUMPRODUCT(($C$55:$C$191=AP96)*(U$54:$AI$54&lt;EOMONTH(TODAY(),-1)+1)*(ISNUMBER(U$56:$AI$192)),U$56:$AI$192)=0,"",SUMPRODUCT(($C$55:$C$191=AP96)*(U$54:$AI$54&lt;EOMONTH(TODAY(),-1)+1)*(ISNUMBER(U$56:$AI$192)),U$56:$AI$192)))</f>
        <v/>
      </c>
      <c r="AS96" s="62" t="str">
        <f>A95</f>
        <v>Redução de custo</v>
      </c>
      <c r="AU96" s="1567"/>
      <c r="AV96" s="1567"/>
    </row>
    <row r="97" spans="1:48" ht="29.1" customHeight="1" x14ac:dyDescent="0.3">
      <c r="A97" s="1380" t="s">
        <v>953</v>
      </c>
      <c r="B97" s="1407" t="s">
        <v>101</v>
      </c>
      <c r="C97" s="1465" t="s">
        <v>1484</v>
      </c>
      <c r="D97" s="1356" t="s">
        <v>1485</v>
      </c>
      <c r="E97" s="1368" t="s">
        <v>1486</v>
      </c>
      <c r="F97" s="1451" t="s">
        <v>1479</v>
      </c>
      <c r="G97" s="1366">
        <v>46209</v>
      </c>
      <c r="H97" s="1366">
        <v>46209</v>
      </c>
      <c r="I97" s="1354">
        <v>242000</v>
      </c>
      <c r="J97" s="1378">
        <v>46209</v>
      </c>
      <c r="K97" s="1387">
        <f>IF(J97="", "", 12 - MONTH(J97) + 1)</f>
        <v>6</v>
      </c>
      <c r="L97" s="1395"/>
      <c r="M97" s="2131"/>
      <c r="N97" s="1393"/>
      <c r="O97" s="1327" t="s">
        <v>81</v>
      </c>
      <c r="P97" s="2127" t="s">
        <v>1426</v>
      </c>
      <c r="Q97" s="2125"/>
      <c r="R97" s="1334">
        <v>1</v>
      </c>
      <c r="S97" s="87" t="s">
        <v>116</v>
      </c>
      <c r="T97" s="91">
        <f ca="1">IF(OR(G97="", H97=""), "", IF(TODAY()&lt;G97, 0, IF(TODAY()&gt;H97, 1, (TODAY()-G97+1)/(H97-G97+1))))</f>
        <v>1</v>
      </c>
      <c r="U97" s="498"/>
      <c r="V97" s="498"/>
      <c r="W97" s="596"/>
      <c r="X97" s="89"/>
      <c r="Y97" s="498"/>
      <c r="Z97" s="498"/>
      <c r="AA97" s="498"/>
      <c r="AB97" s="89"/>
      <c r="AC97" s="498"/>
      <c r="AD97" s="498"/>
      <c r="AE97" s="498"/>
      <c r="AF97" s="89"/>
      <c r="AG97" s="498"/>
      <c r="AH97" s="498"/>
      <c r="AI97" s="498"/>
      <c r="AJ97" s="89"/>
      <c r="AK97" s="95"/>
      <c r="AL97" s="97"/>
      <c r="AM97" s="1407"/>
      <c r="AN97" s="1334"/>
      <c r="AO97" s="1403"/>
      <c r="AP97" s="98" t="str">
        <f>C97</f>
        <v>27 - Transferência do processo Volvo da tampa de fogão - Metalsa</v>
      </c>
      <c r="AQ97" s="62" t="s">
        <v>311</v>
      </c>
      <c r="AR97" s="508" t="str" cm="1">
        <f t="array" aca="1" ref="AR97" ca="1">IF(OR(AP97="",AP97=0),"",IF(SUMPRODUCT(($C$55:$C$191=AP97)*(U$54:$AI$54&lt;EOMONTH(TODAY(),-1)+1)*(ISNUMBER(U$55:$AI$191)),U$55:$AI$191)=0,"",SUMPRODUCT(($C$55:$C$191=AP97)*(U$54:$AI$54&lt;EOMONTH(TODAY(),-1)+1)*(ISNUMBER(U$55:$AI$191)),U$55:$AI$191)))</f>
        <v/>
      </c>
      <c r="AS97" s="62" t="str">
        <f>A97</f>
        <v>Redução de custo</v>
      </c>
      <c r="AU97" s="1566">
        <f t="shared" ref="AU97" si="93">IF(OR(I97="",K97=""),0,(I97/12)*K97)</f>
        <v>121000</v>
      </c>
      <c r="AV97" s="1566">
        <f t="shared" ref="AV97" si="94">IF(OR(N97="",K97="",K97=0),0,(N97/K97)*12)</f>
        <v>0</v>
      </c>
    </row>
    <row r="98" spans="1:48" ht="56.25" customHeight="1" x14ac:dyDescent="0.3">
      <c r="A98" s="1381"/>
      <c r="B98" s="1408"/>
      <c r="C98" s="1466"/>
      <c r="D98" s="1455"/>
      <c r="E98" s="1369"/>
      <c r="F98" s="1452"/>
      <c r="G98" s="1367"/>
      <c r="H98" s="1367"/>
      <c r="I98" s="1355"/>
      <c r="J98" s="1379"/>
      <c r="K98" s="1388"/>
      <c r="L98" s="1396"/>
      <c r="M98" s="2132"/>
      <c r="N98" s="1394"/>
      <c r="O98" s="1328"/>
      <c r="P98" s="1674"/>
      <c r="Q98" s="2126"/>
      <c r="R98" s="1330"/>
      <c r="S98" s="87" t="s">
        <v>117</v>
      </c>
      <c r="T98" s="91">
        <v>1</v>
      </c>
      <c r="U98" s="290"/>
      <c r="V98" s="290"/>
      <c r="W98" s="498"/>
      <c r="X98" s="288"/>
      <c r="Y98" s="290"/>
      <c r="Z98" s="290"/>
      <c r="AA98" s="290"/>
      <c r="AB98" s="288"/>
      <c r="AC98" s="290"/>
      <c r="AD98" s="290"/>
      <c r="AE98" s="290"/>
      <c r="AF98" s="288"/>
      <c r="AG98" s="290"/>
      <c r="AH98" s="290"/>
      <c r="AI98" s="290"/>
      <c r="AJ98" s="288"/>
      <c r="AK98" s="291"/>
      <c r="AL98" s="97"/>
      <c r="AM98" s="1408"/>
      <c r="AN98" s="1330"/>
      <c r="AO98" s="1404"/>
      <c r="AP98" s="92" t="str">
        <f>C97</f>
        <v>27 - Transferência do processo Volvo da tampa de fogão - Metalsa</v>
      </c>
      <c r="AQ98" s="62" t="s">
        <v>313</v>
      </c>
      <c r="AR98" s="508" t="str" cm="1">
        <f t="array" aca="1" ref="AR98" ca="1">IF(OR(AP98="",AP98=0),"",IF(SUMPRODUCT(($C$55:$C$191=AP98)*(U$54:$AI$54&lt;EOMONTH(TODAY(),-1)+1)*(ISNUMBER(U$56:$AI$192)),U$56:$AI$192)=0,"",SUMPRODUCT(($C$55:$C$191=AP98)*(U$54:$AI$54&lt;EOMONTH(TODAY(),-1)+1)*(ISNUMBER(U$56:$AI$192)),U$56:$AI$192)))</f>
        <v/>
      </c>
      <c r="AS98" s="62" t="str">
        <f>A97</f>
        <v>Redução de custo</v>
      </c>
      <c r="AU98" s="1567"/>
      <c r="AV98" s="1567"/>
    </row>
    <row r="99" spans="1:48" ht="29.1" customHeight="1" x14ac:dyDescent="0.3">
      <c r="A99" s="1380" t="s">
        <v>953</v>
      </c>
      <c r="B99" s="1407" t="s">
        <v>101</v>
      </c>
      <c r="C99" s="1482" t="s">
        <v>1487</v>
      </c>
      <c r="D99" s="1534" t="s">
        <v>1488</v>
      </c>
      <c r="E99" s="1368" t="s">
        <v>1489</v>
      </c>
      <c r="F99" s="1370" t="s">
        <v>1490</v>
      </c>
      <c r="G99" s="1372">
        <v>46023</v>
      </c>
      <c r="H99" s="1372">
        <v>46235</v>
      </c>
      <c r="I99" s="2117">
        <v>50000</v>
      </c>
      <c r="J99" s="1749">
        <v>46265</v>
      </c>
      <c r="K99" s="1387">
        <f>IF(J99="", "", 12 - MONTH(J99) + 1)</f>
        <v>5</v>
      </c>
      <c r="L99" s="1354"/>
      <c r="M99" s="2114"/>
      <c r="N99" s="1861"/>
      <c r="O99" s="1327"/>
      <c r="P99" s="2127" t="s">
        <v>1426</v>
      </c>
      <c r="Q99" s="2115"/>
      <c r="R99" s="1327"/>
      <c r="S99" s="87"/>
      <c r="T99" s="91"/>
      <c r="U99" s="287"/>
      <c r="V99" s="287"/>
      <c r="W99" s="287"/>
      <c r="X99" s="89"/>
      <c r="Y99" s="287"/>
      <c r="Z99" s="287"/>
      <c r="AA99" s="287"/>
      <c r="AB99" s="89"/>
      <c r="AC99" s="287"/>
      <c r="AD99" s="287"/>
      <c r="AE99" s="287"/>
      <c r="AF99" s="89"/>
      <c r="AG99" s="287"/>
      <c r="AH99" s="287"/>
      <c r="AI99" s="287"/>
      <c r="AJ99" s="89"/>
      <c r="AK99" s="90"/>
      <c r="AL99" s="98"/>
      <c r="AM99" s="1370"/>
      <c r="AN99" s="1411"/>
      <c r="AO99" s="1405"/>
      <c r="AP99" s="98" t="str">
        <f>C99</f>
        <v xml:space="preserve">28 - Manutenção de lixadeiras </v>
      </c>
      <c r="AQ99" s="62" t="s">
        <v>311</v>
      </c>
      <c r="AR99" s="508" t="str" cm="1">
        <f t="array" aca="1" ref="AR99" ca="1">IF(OR(AP99="",AP99=0),"",IF(SUMPRODUCT(($C$55:$C$191=AP99)*(U$54:$AI$54&lt;EOMONTH(TODAY(),-1)+1)*(ISNUMBER(U$55:$AI$191)),U$55:$AI$191)=0,"",SUMPRODUCT(($C$55:$C$191=AP99)*(U$54:$AI$54&lt;EOMONTH(TODAY(),-1)+1)*(ISNUMBER(U$55:$AI$191)),U$55:$AI$191)))</f>
        <v/>
      </c>
      <c r="AS99" s="62" t="str">
        <f>A99</f>
        <v>Redução de custo</v>
      </c>
      <c r="AU99" s="1566">
        <f t="shared" ref="AU99" si="95">IF(OR(I99="",K99=""),0,(I99/12)*K99)</f>
        <v>20833.333333333336</v>
      </c>
      <c r="AV99" s="1566">
        <f t="shared" ref="AV99" si="96">IF(OR(N99="",K99="",K99=0),0,(N99/K99)*12)</f>
        <v>0</v>
      </c>
    </row>
    <row r="100" spans="1:48" ht="45.75" customHeight="1" x14ac:dyDescent="0.3">
      <c r="A100" s="1381"/>
      <c r="B100" s="1408"/>
      <c r="C100" s="1483"/>
      <c r="D100" s="1455"/>
      <c r="E100" s="1369"/>
      <c r="F100" s="1371"/>
      <c r="G100" s="1373"/>
      <c r="H100" s="1373"/>
      <c r="I100" s="2118"/>
      <c r="J100" s="1750"/>
      <c r="K100" s="1388"/>
      <c r="L100" s="1355"/>
      <c r="M100" s="1460"/>
      <c r="N100" s="1392"/>
      <c r="O100" s="1328"/>
      <c r="P100" s="1674"/>
      <c r="Q100" s="2116"/>
      <c r="R100" s="1328"/>
      <c r="S100" s="87"/>
      <c r="T100" s="91"/>
      <c r="U100" s="287"/>
      <c r="V100" s="287"/>
      <c r="W100" s="287"/>
      <c r="X100" s="288"/>
      <c r="Y100" s="287"/>
      <c r="Z100" s="287"/>
      <c r="AA100" s="287"/>
      <c r="AB100" s="288"/>
      <c r="AC100" s="287"/>
      <c r="AD100" s="287"/>
      <c r="AE100" s="287"/>
      <c r="AF100" s="288"/>
      <c r="AG100" s="287"/>
      <c r="AH100" s="287"/>
      <c r="AI100" s="287"/>
      <c r="AJ100" s="288"/>
      <c r="AK100" s="289"/>
      <c r="AL100" s="337"/>
      <c r="AM100" s="1371"/>
      <c r="AN100" s="1412"/>
      <c r="AO100" s="1406"/>
      <c r="AP100" s="92" t="str">
        <f>C99</f>
        <v xml:space="preserve">28 - Manutenção de lixadeiras </v>
      </c>
      <c r="AQ100" s="62" t="s">
        <v>313</v>
      </c>
      <c r="AR100" s="508" t="str" cm="1">
        <f t="array" aca="1" ref="AR100" ca="1">IF(OR(AP100="",AP100=0),"",IF(SUMPRODUCT(($C$55:$C$191=AP100)*(U$54:$AI$54&lt;EOMONTH(TODAY(),-1)+1)*(ISNUMBER(U$56:$AI$192)),U$56:$AI$192)=0,"",SUMPRODUCT(($C$55:$C$191=AP100)*(U$54:$AI$54&lt;EOMONTH(TODAY(),-1)+1)*(ISNUMBER(U$56:$AI$192)),U$56:$AI$192)))</f>
        <v/>
      </c>
      <c r="AS100" s="62" t="str">
        <f>A99</f>
        <v>Redução de custo</v>
      </c>
      <c r="AU100" s="1567"/>
      <c r="AV100" s="1567"/>
    </row>
    <row r="101" spans="1:48" ht="29.1" customHeight="1" x14ac:dyDescent="0.3">
      <c r="A101" s="1407" t="s">
        <v>925</v>
      </c>
      <c r="B101" s="1407" t="s">
        <v>95</v>
      </c>
      <c r="C101" s="1465" t="s">
        <v>1491</v>
      </c>
      <c r="D101" s="1534"/>
      <c r="E101" s="1449" t="s">
        <v>1492</v>
      </c>
      <c r="F101" s="1451" t="s">
        <v>1493</v>
      </c>
      <c r="G101" s="1366">
        <v>46023</v>
      </c>
      <c r="H101" s="1366">
        <v>46235</v>
      </c>
      <c r="I101" s="2117">
        <v>500000.000654654</v>
      </c>
      <c r="J101" s="1749"/>
      <c r="K101" s="1387"/>
      <c r="L101" s="1395"/>
      <c r="M101" s="1352"/>
      <c r="N101" s="1393"/>
      <c r="O101" s="1334"/>
      <c r="P101" s="2127" t="s">
        <v>1426</v>
      </c>
      <c r="Q101" s="2125"/>
      <c r="R101" s="1334"/>
      <c r="S101" s="93"/>
      <c r="T101" s="96"/>
      <c r="U101" s="498"/>
      <c r="V101" s="498"/>
      <c r="W101" s="596"/>
      <c r="X101" s="89"/>
      <c r="Y101" s="498"/>
      <c r="Z101" s="498"/>
      <c r="AA101" s="498"/>
      <c r="AB101" s="89"/>
      <c r="AC101" s="498"/>
      <c r="AD101" s="498"/>
      <c r="AE101" s="498"/>
      <c r="AF101" s="89"/>
      <c r="AG101" s="498"/>
      <c r="AH101" s="498"/>
      <c r="AI101" s="498"/>
      <c r="AJ101" s="89"/>
      <c r="AK101" s="95"/>
      <c r="AL101" s="97"/>
      <c r="AM101" s="1407"/>
      <c r="AN101" s="1334"/>
      <c r="AO101" s="1403"/>
      <c r="AP101" s="98" t="str">
        <f>C101</f>
        <v xml:space="preserve">29 - Aproveitamento de ponta de bobina - MP </v>
      </c>
      <c r="AQ101" s="62" t="s">
        <v>311</v>
      </c>
      <c r="AR101" s="508" t="str" cm="1">
        <f t="array" aca="1" ref="AR101" ca="1">IF(OR(AP101="",AP101=0),"",IF(SUMPRODUCT(($C$55:$C$191=AP101)*(U$54:$AI$54&lt;EOMONTH(TODAY(),-1)+1)*(ISNUMBER(U$55:$AI$191)),U$55:$AI$191)=0,"",SUMPRODUCT(($C$55:$C$191=AP101)*(U$54:$AI$54&lt;EOMONTH(TODAY(),-1)+1)*(ISNUMBER(U$55:$AI$191)),U$55:$AI$191)))</f>
        <v/>
      </c>
      <c r="AS101" s="62" t="str">
        <f>A101</f>
        <v>Kaizen</v>
      </c>
      <c r="AU101" s="1566">
        <f t="shared" ref="AU101" si="97">IF(OR(I101="",K101=""),0,(I101/12)*K101)</f>
        <v>0</v>
      </c>
      <c r="AV101" s="1566">
        <f t="shared" ref="AV101" si="98">IF(OR(N101="",K101="",K101=0),0,(N101/K101)*12)</f>
        <v>0</v>
      </c>
    </row>
    <row r="102" spans="1:48" ht="56.25" customHeight="1" x14ac:dyDescent="0.3">
      <c r="A102" s="1408"/>
      <c r="B102" s="1408"/>
      <c r="C102" s="1466"/>
      <c r="D102" s="1455"/>
      <c r="E102" s="1450"/>
      <c r="F102" s="1452"/>
      <c r="G102" s="1367"/>
      <c r="H102" s="1367"/>
      <c r="I102" s="2118"/>
      <c r="J102" s="1750"/>
      <c r="K102" s="1388"/>
      <c r="L102" s="1396"/>
      <c r="M102" s="1353"/>
      <c r="N102" s="1394"/>
      <c r="O102" s="1330"/>
      <c r="P102" s="1674"/>
      <c r="Q102" s="2126"/>
      <c r="R102" s="1330"/>
      <c r="S102" s="93"/>
      <c r="T102" s="96"/>
      <c r="U102" s="290"/>
      <c r="V102" s="290"/>
      <c r="W102" s="528"/>
      <c r="X102" s="288"/>
      <c r="Y102" s="290"/>
      <c r="Z102" s="290"/>
      <c r="AA102" s="290"/>
      <c r="AB102" s="288"/>
      <c r="AC102" s="290"/>
      <c r="AD102" s="290"/>
      <c r="AE102" s="290"/>
      <c r="AF102" s="288"/>
      <c r="AG102" s="290"/>
      <c r="AH102" s="290"/>
      <c r="AI102" s="290"/>
      <c r="AJ102" s="288"/>
      <c r="AK102" s="291"/>
      <c r="AL102" s="97"/>
      <c r="AM102" s="1408"/>
      <c r="AN102" s="1330"/>
      <c r="AO102" s="1404"/>
      <c r="AP102" s="92" t="str">
        <f>C101</f>
        <v xml:space="preserve">29 - Aproveitamento de ponta de bobina - MP </v>
      </c>
      <c r="AQ102" s="62" t="s">
        <v>313</v>
      </c>
      <c r="AR102" s="508" t="str" cm="1">
        <f t="array" aca="1" ref="AR102" ca="1">IF(OR(AP102="",AP102=0),"",IF(SUMPRODUCT(($C$55:$C$191=AP102)*(U$54:$AI$54&lt;EOMONTH(TODAY(),-1)+1)*(ISNUMBER(U$56:$AI$192)),U$56:$AI$192)=0,"",SUMPRODUCT(($C$55:$C$191=AP102)*(U$54:$AI$54&lt;EOMONTH(TODAY(),-1)+1)*(ISNUMBER(U$56:$AI$192)),U$56:$AI$192)))</f>
        <v/>
      </c>
      <c r="AS102" s="62" t="str">
        <f>A101</f>
        <v>Kaizen</v>
      </c>
      <c r="AU102" s="1567"/>
      <c r="AV102" s="1567"/>
    </row>
    <row r="103" spans="1:48" ht="29.1" customHeight="1" x14ac:dyDescent="0.3">
      <c r="A103" s="1380" t="s">
        <v>61</v>
      </c>
      <c r="B103" s="1407" t="s">
        <v>95</v>
      </c>
      <c r="C103" s="1482" t="s">
        <v>2755</v>
      </c>
      <c r="D103" s="1534" t="s">
        <v>1494</v>
      </c>
      <c r="E103" s="1368" t="s">
        <v>2756</v>
      </c>
      <c r="F103" s="1370" t="s">
        <v>1490</v>
      </c>
      <c r="G103" s="1372">
        <v>46023</v>
      </c>
      <c r="H103" s="1372">
        <v>46235</v>
      </c>
      <c r="I103" s="2117">
        <v>100000</v>
      </c>
      <c r="J103" s="1749">
        <v>46265</v>
      </c>
      <c r="K103" s="1387">
        <f>IF(J103="", "", 12 - MONTH(J103) + 1)</f>
        <v>5</v>
      </c>
      <c r="L103" s="1354"/>
      <c r="M103" s="2114"/>
      <c r="N103" s="1861"/>
      <c r="O103" s="1327"/>
      <c r="P103" s="2127" t="s">
        <v>1426</v>
      </c>
      <c r="Q103" s="2115"/>
      <c r="R103" s="1327"/>
      <c r="S103" s="87"/>
      <c r="T103" s="91"/>
      <c r="U103" s="287"/>
      <c r="V103" s="287"/>
      <c r="W103" s="287"/>
      <c r="X103" s="89"/>
      <c r="Y103" s="287"/>
      <c r="Z103" s="287"/>
      <c r="AA103" s="287"/>
      <c r="AB103" s="89"/>
      <c r="AC103" s="287"/>
      <c r="AD103" s="287"/>
      <c r="AE103" s="287"/>
      <c r="AF103" s="89"/>
      <c r="AG103" s="287"/>
      <c r="AH103" s="287"/>
      <c r="AI103" s="287"/>
      <c r="AJ103" s="89"/>
      <c r="AK103" s="90"/>
      <c r="AL103" s="98"/>
      <c r="AM103" s="1370"/>
      <c r="AN103" s="1411"/>
      <c r="AO103" s="1405"/>
      <c r="AP103" s="98" t="str">
        <f>C103</f>
        <v>30 - Redução de hora extra - Manutenção</v>
      </c>
      <c r="AQ103" s="62" t="s">
        <v>311</v>
      </c>
      <c r="AR103" s="508" t="str" cm="1">
        <f t="array" aca="1" ref="AR103" ca="1">IF(OR(AP103="",AP103=0),"",IF(SUMPRODUCT(($C$55:$C$191=AP103)*(U$54:$AI$54&lt;EOMONTH(TODAY(),-1)+1)*(ISNUMBER(U$55:$AI$191)),U$55:$AI$191)=0,"",SUMPRODUCT(($C$55:$C$191=AP103)*(U$54:$AI$54&lt;EOMONTH(TODAY(),-1)+1)*(ISNUMBER(U$55:$AI$191)),U$55:$AI$191)))</f>
        <v/>
      </c>
      <c r="AS103" s="62" t="str">
        <f>A103</f>
        <v>Kaizen - Custo Evitado</v>
      </c>
      <c r="AU103" s="1566">
        <f t="shared" ref="AU103" si="99">IF(OR(I103="",K103=""),0,(I103/12)*K103)</f>
        <v>41666.666666666672</v>
      </c>
      <c r="AV103" s="1566">
        <f t="shared" ref="AV103" si="100">IF(OR(N103="",K103="",K103=0),0,(N103/K103)*12)</f>
        <v>0</v>
      </c>
    </row>
    <row r="104" spans="1:48" ht="45.75" customHeight="1" x14ac:dyDescent="0.3">
      <c r="A104" s="1381"/>
      <c r="B104" s="1408"/>
      <c r="C104" s="1483"/>
      <c r="D104" s="1455"/>
      <c r="E104" s="1369"/>
      <c r="F104" s="1371"/>
      <c r="G104" s="1373"/>
      <c r="H104" s="1373"/>
      <c r="I104" s="2118"/>
      <c r="J104" s="1750"/>
      <c r="K104" s="1388"/>
      <c r="L104" s="1355"/>
      <c r="M104" s="1460"/>
      <c r="N104" s="1392"/>
      <c r="O104" s="1328"/>
      <c r="P104" s="1674"/>
      <c r="Q104" s="2116"/>
      <c r="R104" s="1328"/>
      <c r="S104" s="87"/>
      <c r="T104" s="91"/>
      <c r="U104" s="287"/>
      <c r="V104" s="287"/>
      <c r="W104" s="287"/>
      <c r="X104" s="288"/>
      <c r="Y104" s="287"/>
      <c r="Z104" s="287"/>
      <c r="AA104" s="287"/>
      <c r="AB104" s="288"/>
      <c r="AC104" s="287"/>
      <c r="AD104" s="287"/>
      <c r="AE104" s="287"/>
      <c r="AF104" s="288"/>
      <c r="AG104" s="287"/>
      <c r="AH104" s="287"/>
      <c r="AI104" s="287"/>
      <c r="AJ104" s="288"/>
      <c r="AK104" s="289"/>
      <c r="AL104" s="337"/>
      <c r="AM104" s="1371"/>
      <c r="AN104" s="1412"/>
      <c r="AO104" s="1406"/>
      <c r="AP104" s="92" t="str">
        <f>C103</f>
        <v>30 - Redução de hora extra - Manutenção</v>
      </c>
      <c r="AQ104" s="62" t="s">
        <v>313</v>
      </c>
      <c r="AR104" s="508" t="str" cm="1">
        <f t="array" aca="1" ref="AR104" ca="1">IF(OR(AP104="",AP104=0),"",IF(SUMPRODUCT(($C$55:$C$191=AP104)*(U$54:$AI$54&lt;EOMONTH(TODAY(),-1)+1)*(ISNUMBER(U$56:$AI$192)),U$56:$AI$192)=0,"",SUMPRODUCT(($C$55:$C$191=AP104)*(U$54:$AI$54&lt;EOMONTH(TODAY(),-1)+1)*(ISNUMBER(U$56:$AI$192)),U$56:$AI$192)))</f>
        <v/>
      </c>
      <c r="AS104" s="62" t="str">
        <f>A103</f>
        <v>Kaizen - Custo Evitado</v>
      </c>
      <c r="AU104" s="1567"/>
      <c r="AV104" s="1567"/>
    </row>
    <row r="105" spans="1:48" ht="29.1" customHeight="1" x14ac:dyDescent="0.3">
      <c r="A105" s="1380" t="s">
        <v>953</v>
      </c>
      <c r="B105" s="1407" t="s">
        <v>101</v>
      </c>
      <c r="C105" s="1465" t="s">
        <v>1495</v>
      </c>
      <c r="D105" s="1534" t="s">
        <v>1496</v>
      </c>
      <c r="E105" s="1449"/>
      <c r="F105" s="1451" t="s">
        <v>1497</v>
      </c>
      <c r="G105" s="1366">
        <v>46023</v>
      </c>
      <c r="H105" s="1366">
        <v>46235</v>
      </c>
      <c r="I105" s="2117">
        <v>600000</v>
      </c>
      <c r="J105" s="1749">
        <v>46265</v>
      </c>
      <c r="K105" s="1387">
        <f>IF(J105="", "", 12 - MONTH(J105) + 1)</f>
        <v>5</v>
      </c>
      <c r="L105" s="1395"/>
      <c r="M105" s="1352"/>
      <c r="N105" s="1393"/>
      <c r="O105" s="1334"/>
      <c r="P105" s="2127" t="s">
        <v>1426</v>
      </c>
      <c r="Q105" s="2125"/>
      <c r="R105" s="1334"/>
      <c r="S105" s="93" t="s">
        <v>116</v>
      </c>
      <c r="T105" s="96">
        <f ca="1">IF(OR(G105="", H105=""), "", IF(TODAY()&lt;G105, 0, IF(TODAY()&gt;H105, 1, (TODAY()-G105+1)/(H105-G105+1))))</f>
        <v>1</v>
      </c>
      <c r="U105" s="498">
        <f>IFERROR(IF(AND(U$54&gt;=EOMONTH($J105,-1)+1,U$54&lt;=EOMONTH(EOMONTH($J105,-1)+1,$K105-1)),IF(NOT(ISBLANK($N105)),$N105/$K105,$I105/$K105),0),0)</f>
        <v>0</v>
      </c>
      <c r="V105" s="498">
        <f>IFERROR(IF(AND(V$54&gt;=EOMONTH($J105,-1)+1,V$54&lt;=EOMONTH(EOMONTH($J105,-1)+1,$K105-1)),IF(NOT(ISBLANK($N105)),$N105/$K105,$I105/$K105),0),0)</f>
        <v>0</v>
      </c>
      <c r="W105" s="596">
        <f>IFERROR(IF(AND(W$54&gt;=EOMONTH($J105,-1)+1,W$54&lt;=EOMONTH(EOMONTH($J105,-1)+1,$K105-1)),IF(NOT(ISBLANK($N105)),$N105/$K105,$I105/$K105),0),0)</f>
        <v>0</v>
      </c>
      <c r="X105" s="89">
        <f t="shared" si="86"/>
        <v>0</v>
      </c>
      <c r="Y105" s="498">
        <f>IFERROR(IF(AND(Y$54&gt;=EOMONTH($J105,-1)+1,Y$54&lt;=EOMONTH(EOMONTH($J105,-1)+1,$K105-1)),IF(NOT(ISBLANK($N105)),$N105/$K105,$I105/$K105),0),0)</f>
        <v>0</v>
      </c>
      <c r="Z105" s="498">
        <f>IFERROR(IF(AND(Z$54&gt;=EOMONTH($J105,-1)+1,Z$54&lt;=EOMONTH(EOMONTH($J105,-1)+1,$K105-1)),IF(NOT(ISBLANK($N105)),$N105/$K105,$I105/$K105),0),0)</f>
        <v>0</v>
      </c>
      <c r="AA105" s="498">
        <f>IFERROR(IF(AND(AA$54&gt;=EOMONTH($J105,-1)+1,AA$54&lt;=EOMONTH(EOMONTH($J105,-1)+1,$K105-1)),IF(NOT(ISBLANK($N105)),$N105/$K105,$I105/$K105),0),0)</f>
        <v>0</v>
      </c>
      <c r="AB105" s="89">
        <f t="shared" si="27"/>
        <v>0</v>
      </c>
      <c r="AC105" s="498">
        <f>IFERROR(IF(AND(AC$54&gt;=EOMONTH($J105,-1)+1,AC$54&lt;=EOMONTH(EOMONTH($J105,-1)+1,$K105-1)),IF(NOT(ISBLANK($N105)),$N105/$K105,$I105/$K105),0),0)</f>
        <v>0</v>
      </c>
      <c r="AD105" s="498">
        <f>IFERROR(IF(AND(AD$54&gt;=EOMONTH($J105,-1)+1,AD$54&lt;=EOMONTH(EOMONTH($J105,-1)+1,$K105-1)),IF(NOT(ISBLANK($N105)),$N105/$K105,$I105/$K105),0),0)</f>
        <v>120000</v>
      </c>
      <c r="AE105" s="498">
        <f>IFERROR(IF(AND(AE$54&gt;=EOMONTH($J105,-1)+1,AE$54&lt;=EOMONTH(EOMONTH($J105,-1)+1,$K105-1)),IF(NOT(ISBLANK($N105)),$N105/$K105,$I105/$K105),0),0)</f>
        <v>120000</v>
      </c>
      <c r="AF105" s="89">
        <f t="shared" si="28"/>
        <v>240000</v>
      </c>
      <c r="AG105" s="498">
        <f>IFERROR(IF(AND(AG$54&gt;=EOMONTH($J105,-1)+1,AG$54&lt;=EOMONTH(EOMONTH($J105,-1)+1,$K105-1)),IF(NOT(ISBLANK($N105)),$N105/$K105,$I105/$K105),0),0)</f>
        <v>120000</v>
      </c>
      <c r="AH105" s="498">
        <f>IFERROR(IF(AND(AH$54&gt;=EOMONTH($J105,-1)+1,AH$54&lt;=EOMONTH(EOMONTH($J105,-1)+1,$K105-1)),IF(NOT(ISBLANK($N105)),$N105/$K105,$I105/$K105),0),0)</f>
        <v>120000</v>
      </c>
      <c r="AI105" s="498">
        <f>IFERROR(IF(AND(AI$54&gt;=EOMONTH($J105,-1)+1,AI$54&lt;=EOMONTH(EOMONTH($J105,-1)+1,$K105-1)),IF(NOT(ISBLANK($N105)),$N105/$K105,$I105/$K105),0),0)</f>
        <v>120000</v>
      </c>
      <c r="AJ105" s="89">
        <f t="shared" si="18"/>
        <v>360000</v>
      </c>
      <c r="AK105" s="95">
        <f t="shared" si="16"/>
        <v>600000</v>
      </c>
      <c r="AL105" s="97"/>
      <c r="AM105" s="1407"/>
      <c r="AN105" s="1334"/>
      <c r="AO105" s="1403">
        <f>N105*AN105</f>
        <v>0</v>
      </c>
      <c r="AP105" s="98" t="str">
        <f>C105</f>
        <v xml:space="preserve">31 - Redução da nota de débitos de clientes </v>
      </c>
      <c r="AQ105" s="62" t="s">
        <v>311</v>
      </c>
      <c r="AR105" s="508" t="str" cm="1">
        <f t="array" aca="1" ref="AR105" ca="1">IF(OR(AP105="",AP105=0),"",IF(SUMPRODUCT(($C$55:$C$191=AP105)*(U$54:$AI$54&lt;EOMONTH(TODAY(),-1)+1)*(ISNUMBER(U$55:$AI$191)),U$55:$AI$191)=0,"",SUMPRODUCT(($C$55:$C$191=AP105)*(U$54:$AI$54&lt;EOMONTH(TODAY(),-1)+1)*(ISNUMBER(U$55:$AI$191)),U$55:$AI$191)))</f>
        <v/>
      </c>
      <c r="AS105" s="62" t="str">
        <f>A105</f>
        <v>Redução de custo</v>
      </c>
      <c r="AU105" s="1566">
        <f t="shared" ref="AU105" si="101">IF(OR(I105="",K105=""),0,(I105/12)*K105)</f>
        <v>250000</v>
      </c>
      <c r="AV105" s="1566">
        <f t="shared" ref="AV105" si="102">IF(OR(N105="",K105="",K105=0),0,(N105/K105)*12)</f>
        <v>0</v>
      </c>
    </row>
    <row r="106" spans="1:48" ht="56.25" customHeight="1" x14ac:dyDescent="0.3">
      <c r="A106" s="1381"/>
      <c r="B106" s="1408"/>
      <c r="C106" s="1466"/>
      <c r="D106" s="1455"/>
      <c r="E106" s="1450"/>
      <c r="F106" s="1452"/>
      <c r="G106" s="1367"/>
      <c r="H106" s="1367"/>
      <c r="I106" s="2118"/>
      <c r="J106" s="1750"/>
      <c r="K106" s="1388"/>
      <c r="L106" s="1396"/>
      <c r="M106" s="1353"/>
      <c r="N106" s="1394"/>
      <c r="O106" s="1330"/>
      <c r="P106" s="1674"/>
      <c r="Q106" s="2126"/>
      <c r="R106" s="1330"/>
      <c r="S106" s="93" t="s">
        <v>117</v>
      </c>
      <c r="T106" s="96"/>
      <c r="U106" s="290"/>
      <c r="V106" s="290"/>
      <c r="W106" s="528"/>
      <c r="X106" s="288">
        <f t="shared" ref="X106:X108" si="103">SUM(U106:W106)</f>
        <v>0</v>
      </c>
      <c r="Y106" s="290"/>
      <c r="Z106" s="290"/>
      <c r="AA106" s="290"/>
      <c r="AB106" s="288">
        <f t="shared" si="27"/>
        <v>0</v>
      </c>
      <c r="AC106" s="290"/>
      <c r="AD106" s="290"/>
      <c r="AE106" s="290"/>
      <c r="AF106" s="288">
        <f t="shared" si="28"/>
        <v>0</v>
      </c>
      <c r="AG106" s="290"/>
      <c r="AH106" s="290"/>
      <c r="AI106" s="290"/>
      <c r="AJ106" s="288">
        <f t="shared" si="18"/>
        <v>0</v>
      </c>
      <c r="AK106" s="291">
        <f t="shared" si="16"/>
        <v>0</v>
      </c>
      <c r="AL106" s="97"/>
      <c r="AM106" s="1408"/>
      <c r="AN106" s="1330"/>
      <c r="AO106" s="1404"/>
      <c r="AP106" s="92" t="str">
        <f>C105</f>
        <v xml:space="preserve">31 - Redução da nota de débitos de clientes </v>
      </c>
      <c r="AQ106" s="62" t="s">
        <v>313</v>
      </c>
      <c r="AR106" s="508" t="str" cm="1">
        <f t="array" aca="1" ref="AR106" ca="1">IF(OR(AP106="",AP106=0),"",IF(SUMPRODUCT(($C$55:$C$191=AP106)*(U$54:$AI$54&lt;EOMONTH(TODAY(),-1)+1)*(ISNUMBER(U$56:$AI$192)),U$56:$AI$192)=0,"",SUMPRODUCT(($C$55:$C$191=AP106)*(U$54:$AI$54&lt;EOMONTH(TODAY(),-1)+1)*(ISNUMBER(U$56:$AI$192)),U$56:$AI$192)))</f>
        <v/>
      </c>
      <c r="AS106" s="62" t="str">
        <f>A105</f>
        <v>Redução de custo</v>
      </c>
      <c r="AU106" s="1567"/>
      <c r="AV106" s="1567"/>
    </row>
    <row r="107" spans="1:48" ht="29.1" customHeight="1" x14ac:dyDescent="0.3">
      <c r="A107" s="1380" t="s">
        <v>953</v>
      </c>
      <c r="B107" s="1407" t="s">
        <v>95</v>
      </c>
      <c r="C107" s="1482" t="s">
        <v>1498</v>
      </c>
      <c r="D107" s="1534" t="s">
        <v>2759</v>
      </c>
      <c r="E107" s="1368" t="s">
        <v>2760</v>
      </c>
      <c r="F107" s="1370" t="s">
        <v>1499</v>
      </c>
      <c r="G107" s="1372">
        <v>46174</v>
      </c>
      <c r="H107" s="1372">
        <v>46327</v>
      </c>
      <c r="I107" s="2117">
        <v>600000</v>
      </c>
      <c r="J107" s="1378">
        <v>46356</v>
      </c>
      <c r="K107" s="1389">
        <f>IF(J107="", "", 12 - MONTH(J107) + 1)</f>
        <v>2</v>
      </c>
      <c r="L107" s="1354"/>
      <c r="M107" s="2114"/>
      <c r="N107" s="1861"/>
      <c r="O107" s="1327"/>
      <c r="P107" s="1671"/>
      <c r="Q107" s="2115"/>
      <c r="R107" s="1327"/>
      <c r="S107" s="87" t="s">
        <v>116</v>
      </c>
      <c r="T107" s="91">
        <f ca="1">IF(OR(G107="", H107=""), "", IF(TODAY()&lt;G107, 0, IF(TODAY()&gt;H107, 1, (TODAY()-G107+1)/(H107-G107+1))))</f>
        <v>0.50649350649350644</v>
      </c>
      <c r="U107" s="287">
        <f>IFERROR(IF(AND(U$54&gt;=EOMONTH($J107,-1)+1,U$54&lt;=EOMONTH(EOMONTH($J107,-1)+1,$K107-1)),IF(NOT(ISBLANK($N107)),$N107/$K107,$I107/$K107),0),0)</f>
        <v>0</v>
      </c>
      <c r="V107" s="287">
        <f>IFERROR(IF(AND(V$54&gt;=EOMONTH($J107,-1)+1,V$54&lt;=EOMONTH(EOMONTH($J107,-1)+1,$K107-1)),IF(NOT(ISBLANK($N107)),$N107/$K107,$I107/$K107),0),0)</f>
        <v>0</v>
      </c>
      <c r="W107" s="287">
        <f>IFERROR(IF(AND(W$54&gt;=EOMONTH($J107,-1)+1,W$54&lt;=EOMONTH(EOMONTH($J107,-1)+1,$K107-1)),IF(NOT(ISBLANK($N107)),$N107/$K107,$I107/$K107),0),0)</f>
        <v>0</v>
      </c>
      <c r="X107" s="89">
        <f t="shared" si="103"/>
        <v>0</v>
      </c>
      <c r="Y107" s="287">
        <f>IFERROR(IF(AND(Y$54&gt;=EOMONTH($J107,-1)+1,Y$54&lt;=EOMONTH(EOMONTH($J107,-1)+1,$K107-1)),IF(NOT(ISBLANK($N107)),$N107/$K107,$I107/$K107),0),0)</f>
        <v>0</v>
      </c>
      <c r="Z107" s="287">
        <f>IFERROR(IF(AND(Z$54&gt;=EOMONTH($J107,-1)+1,Z$54&lt;=EOMONTH(EOMONTH($J107,-1)+1,$K107-1)),IF(NOT(ISBLANK($N107)),$N107/$K107,$I107/$K107),0),0)</f>
        <v>0</v>
      </c>
      <c r="AA107" s="287">
        <f>IFERROR(IF(AND(AA$54&gt;=EOMONTH($J107,-1)+1,AA$54&lt;=EOMONTH(EOMONTH($J107,-1)+1,$K107-1)),IF(NOT(ISBLANK($N107)),$N107/$K107,$I107/$K107),0),0)</f>
        <v>0</v>
      </c>
      <c r="AB107" s="89">
        <f t="shared" ref="AB107:AB108" si="104">SUM(Y107:AA107)</f>
        <v>0</v>
      </c>
      <c r="AC107" s="287">
        <f>IFERROR(IF(AND(AC$54&gt;=EOMONTH($J107,-1)+1,AC$54&lt;=EOMONTH(EOMONTH($J107,-1)+1,$K107-1)),IF(NOT(ISBLANK($N107)),$N107/$K107,$I107/$K107),0),0)</f>
        <v>0</v>
      </c>
      <c r="AD107" s="287">
        <f>IFERROR(IF(AND(AD$54&gt;=EOMONTH($J107,-1)+1,AD$54&lt;=EOMONTH(EOMONTH($J107,-1)+1,$K107-1)),IF(NOT(ISBLANK($N107)),$N107/$K107,$I107/$K107),0),0)</f>
        <v>0</v>
      </c>
      <c r="AE107" s="287">
        <f>IFERROR(IF(AND(AE$54&gt;=EOMONTH($J107,-1)+1,AE$54&lt;=EOMONTH(EOMONTH($J107,-1)+1,$K107-1)),IF(NOT(ISBLANK($N107)),$N107/$K107,$I107/$K107),0),0)</f>
        <v>0</v>
      </c>
      <c r="AF107" s="89">
        <f t="shared" ref="AF107:AF108" si="105">SUM(AC107:AE107)</f>
        <v>0</v>
      </c>
      <c r="AG107" s="287">
        <f>IFERROR(IF(AND(AG$54&gt;=EOMONTH($J107,-1)+1,AG$54&lt;=EOMONTH(EOMONTH($J107,-1)+1,$K107-1)),IF(NOT(ISBLANK($N107)),$N107/$K107,$I107/$K107),0),0)</f>
        <v>0</v>
      </c>
      <c r="AH107" s="287">
        <f>IFERROR(IF(AND(AH$54&gt;=EOMONTH($J107,-1)+1,AH$54&lt;=EOMONTH(EOMONTH($J107,-1)+1,$K107-1)),IF(NOT(ISBLANK($N107)),$N107/$K107,$I107/$K107),0),0)</f>
        <v>300000</v>
      </c>
      <c r="AI107" s="287">
        <f>IFERROR(IF(AND(AI$54&gt;=EOMONTH($J107,-1)+1,AI$54&lt;=EOMONTH(EOMONTH($J107,-1)+1,$K107-1)),IF(NOT(ISBLANK($N107)),$N107/$K107,$I107/$K107),0),0)</f>
        <v>300000</v>
      </c>
      <c r="AJ107" s="89">
        <f t="shared" ref="AJ107:AJ108" si="106">SUM(AG107:AI107)</f>
        <v>600000</v>
      </c>
      <c r="AK107" s="90">
        <f t="shared" ref="AK107:AK108" si="107">SUM(X107,AB107,AF107,AJ107)</f>
        <v>600000</v>
      </c>
      <c r="AL107" s="98"/>
      <c r="AM107" s="1370"/>
      <c r="AN107" s="1411"/>
      <c r="AO107" s="1405">
        <f>N107*AN107</f>
        <v>0</v>
      </c>
      <c r="AP107" s="98" t="str">
        <f>C107</f>
        <v>32 - Aumento de 2% da eficiência de M.O.D</v>
      </c>
      <c r="AQ107" s="62" t="s">
        <v>311</v>
      </c>
      <c r="AR107" s="508" t="str" cm="1">
        <f t="array" aca="1" ref="AR107" ca="1">IF(OR(AP107="",AP107=0),"",IF(SUMPRODUCT(($C$55:$C$191=AP107)*(U$54:$AI$54&lt;EOMONTH(TODAY(),-1)+1)*(ISNUMBER(U$55:$AI$191)),U$55:$AI$191)=0,"",SUMPRODUCT(($C$55:$C$191=AP107)*(U$54:$AI$54&lt;EOMONTH(TODAY(),-1)+1)*(ISNUMBER(U$55:$AI$191)),U$55:$AI$191)))</f>
        <v/>
      </c>
      <c r="AS107" s="62" t="str">
        <f>A107</f>
        <v>Redução de custo</v>
      </c>
      <c r="AU107" s="1566">
        <f t="shared" ref="AU107" si="108">IF(OR(I107="",K107=""),0,(I107/12)*K107)</f>
        <v>100000</v>
      </c>
      <c r="AV107" s="1566">
        <f t="shared" ref="AV107" si="109">IF(OR(N107="",K107="",K107=0),0,(N107/K107)*12)</f>
        <v>0</v>
      </c>
    </row>
    <row r="108" spans="1:48" ht="45.75" customHeight="1" x14ac:dyDescent="0.3">
      <c r="A108" s="1381"/>
      <c r="B108" s="1408"/>
      <c r="C108" s="1483"/>
      <c r="D108" s="1357"/>
      <c r="E108" s="1369"/>
      <c r="F108" s="1371"/>
      <c r="G108" s="1373"/>
      <c r="H108" s="1373"/>
      <c r="I108" s="2118"/>
      <c r="J108" s="1379"/>
      <c r="K108" s="1390"/>
      <c r="L108" s="1355"/>
      <c r="M108" s="1460"/>
      <c r="N108" s="1392"/>
      <c r="O108" s="1328"/>
      <c r="P108" s="1672"/>
      <c r="Q108" s="2116"/>
      <c r="R108" s="1328"/>
      <c r="S108" s="87" t="s">
        <v>117</v>
      </c>
      <c r="T108" s="91"/>
      <c r="U108" s="287"/>
      <c r="V108" s="287"/>
      <c r="W108" s="287"/>
      <c r="X108" s="288">
        <f t="shared" si="103"/>
        <v>0</v>
      </c>
      <c r="Y108" s="287"/>
      <c r="Z108" s="287"/>
      <c r="AA108" s="287"/>
      <c r="AB108" s="288">
        <f t="shared" si="104"/>
        <v>0</v>
      </c>
      <c r="AC108" s="287"/>
      <c r="AD108" s="287"/>
      <c r="AE108" s="287"/>
      <c r="AF108" s="288">
        <f t="shared" si="105"/>
        <v>0</v>
      </c>
      <c r="AG108" s="287"/>
      <c r="AH108" s="287"/>
      <c r="AI108" s="287"/>
      <c r="AJ108" s="288">
        <f t="shared" si="106"/>
        <v>0</v>
      </c>
      <c r="AK108" s="289">
        <f t="shared" si="107"/>
        <v>0</v>
      </c>
      <c r="AL108" s="337"/>
      <c r="AM108" s="1371"/>
      <c r="AN108" s="1412"/>
      <c r="AO108" s="1406"/>
      <c r="AP108" s="92" t="str">
        <f>C107</f>
        <v>32 - Aumento de 2% da eficiência de M.O.D</v>
      </c>
      <c r="AQ108" s="62" t="s">
        <v>313</v>
      </c>
      <c r="AR108" s="508" t="str" cm="1">
        <f t="array" aca="1" ref="AR108" ca="1">IF(OR(AP108="",AP108=0),"",IF(SUMPRODUCT(($C$55:$C$191=AP108)*(U$54:$AI$54&lt;EOMONTH(TODAY(),-1)+1)*(ISNUMBER(U$56:$AI$192)),U$56:$AI$192)=0,"",SUMPRODUCT(($C$55:$C$191=AP108)*(U$54:$AI$54&lt;EOMONTH(TODAY(),-1)+1)*(ISNUMBER(U$56:$AI$192)),U$56:$AI$192)))</f>
        <v/>
      </c>
      <c r="AS108" s="62" t="str">
        <f>A107</f>
        <v>Redução de custo</v>
      </c>
      <c r="AU108" s="1567"/>
      <c r="AV108" s="1567"/>
    </row>
    <row r="109" spans="1:48" ht="29.1" customHeight="1" x14ac:dyDescent="0.3">
      <c r="A109" s="1380" t="s">
        <v>953</v>
      </c>
      <c r="B109" s="1407" t="s">
        <v>101</v>
      </c>
      <c r="C109" s="1482" t="s">
        <v>1500</v>
      </c>
      <c r="D109" s="1534"/>
      <c r="E109" s="1368"/>
      <c r="F109" s="1370" t="s">
        <v>1501</v>
      </c>
      <c r="G109" s="1372"/>
      <c r="H109" s="1372"/>
      <c r="I109" s="2117">
        <v>800000</v>
      </c>
      <c r="J109" s="1378"/>
      <c r="K109" s="1389" t="str">
        <f>IF(J109="", "", 12 - MONTH(J109) + 1)</f>
        <v/>
      </c>
      <c r="L109" s="1354"/>
      <c r="M109" s="2114"/>
      <c r="N109" s="1861"/>
      <c r="O109" s="1327"/>
      <c r="P109" s="1671"/>
      <c r="Q109" s="2115"/>
      <c r="R109" s="1327"/>
      <c r="S109" s="87" t="s">
        <v>116</v>
      </c>
      <c r="T109" s="91" t="str">
        <f ca="1">IF(OR(G109="", H109=""), "", IF(TODAY()&lt;G109, 0, IF(TODAY()&gt;H109, 1, (TODAY()-G109+1)/(H109-G109+1))))</f>
        <v/>
      </c>
      <c r="U109" s="287">
        <f>IFERROR(IF(AND(U$54&gt;=EOMONTH($J109,-1)+1,U$54&lt;=EOMONTH(EOMONTH($J109,-1)+1,$K109-1)),IF(NOT(ISBLANK($N109)),$N109/$K109,$I109/$K109),0),0)</f>
        <v>0</v>
      </c>
      <c r="V109" s="287">
        <f>IFERROR(IF(AND(V$54&gt;=EOMONTH($J109,-1)+1,V$54&lt;=EOMONTH(EOMONTH($J109,-1)+1,$K109-1)),IF(NOT(ISBLANK($N109)),$N109/$K109,$I109/$K109),0),0)</f>
        <v>0</v>
      </c>
      <c r="W109" s="287">
        <f>IFERROR(IF(AND(W$54&gt;=EOMONTH($J109,-1)+1,W$54&lt;=EOMONTH(EOMONTH($J109,-1)+1,$K109-1)),IF(NOT(ISBLANK($N109)),$N109/$K109,$I109/$K109),0),0)</f>
        <v>0</v>
      </c>
      <c r="X109" s="89">
        <f t="shared" ref="X109:X140" si="110">SUM(U109:W109)</f>
        <v>0</v>
      </c>
      <c r="Y109" s="287">
        <f>IFERROR(IF(AND(Y$54&gt;=EOMONTH($J109,-1)+1,Y$54&lt;=EOMONTH(EOMONTH($J109,-1)+1,$K109-1)),IF(NOT(ISBLANK($N109)),$N109/$K109,$I109/$K109),0),0)</f>
        <v>0</v>
      </c>
      <c r="Z109" s="287">
        <f>IFERROR(IF(AND(Z$54&gt;=EOMONTH($J109,-1)+1,Z$54&lt;=EOMONTH(EOMONTH($J109,-1)+1,$K109-1)),IF(NOT(ISBLANK($N109)),$N109/$K109,$I109/$K109),0),0)</f>
        <v>0</v>
      </c>
      <c r="AA109" s="287">
        <f>IFERROR(IF(AND(AA$54&gt;=EOMONTH($J109,-1)+1,AA$54&lt;=EOMONTH(EOMONTH($J109,-1)+1,$K109-1)),IF(NOT(ISBLANK($N109)),$N109/$K109,$I109/$K109),0),0)</f>
        <v>0</v>
      </c>
      <c r="AB109" s="89">
        <f t="shared" ref="AB109:AB140" si="111">SUM(Y109:AA109)</f>
        <v>0</v>
      </c>
      <c r="AC109" s="287">
        <f>IFERROR(IF(AND(AC$54&gt;=EOMONTH($J109,-1)+1,AC$54&lt;=EOMONTH(EOMONTH($J109,-1)+1,$K109-1)),IF(NOT(ISBLANK($N109)),$N109/$K109,$I109/$K109),0),0)</f>
        <v>0</v>
      </c>
      <c r="AD109" s="287">
        <f>IFERROR(IF(AND(AD$54&gt;=EOMONTH($J109,-1)+1,AD$54&lt;=EOMONTH(EOMONTH($J109,-1)+1,$K109-1)),IF(NOT(ISBLANK($N109)),$N109/$K109,$I109/$K109),0),0)</f>
        <v>0</v>
      </c>
      <c r="AE109" s="287">
        <f>IFERROR(IF(AND(AE$54&gt;=EOMONTH($J109,-1)+1,AE$54&lt;=EOMONTH(EOMONTH($J109,-1)+1,$K109-1)),IF(NOT(ISBLANK($N109)),$N109/$K109,$I109/$K109),0),0)</f>
        <v>0</v>
      </c>
      <c r="AF109" s="89">
        <f t="shared" ref="AF109:AF140" si="112">SUM(AC109:AE109)</f>
        <v>0</v>
      </c>
      <c r="AG109" s="287">
        <f>IFERROR(IF(AND(AG$54&gt;=EOMONTH($J109,-1)+1,AG$54&lt;=EOMONTH(EOMONTH($J109,-1)+1,$K109-1)),IF(NOT(ISBLANK($N109)),$N109/$K109,$I109/$K109),0),0)</f>
        <v>0</v>
      </c>
      <c r="AH109" s="287">
        <f>IFERROR(IF(AND(AH$54&gt;=EOMONTH($J109,-1)+1,AH$54&lt;=EOMONTH(EOMONTH($J109,-1)+1,$K109-1)),IF(NOT(ISBLANK($N109)),$N109/$K109,$I109/$K109),0),0)</f>
        <v>0</v>
      </c>
      <c r="AI109" s="287">
        <f>IFERROR(IF(AND(AI$54&gt;=EOMONTH($J109,-1)+1,AI$54&lt;=EOMONTH(EOMONTH($J109,-1)+1,$K109-1)),IF(NOT(ISBLANK($N109)),$N109/$K109,$I109/$K109),0),0)</f>
        <v>0</v>
      </c>
      <c r="AJ109" s="89">
        <f t="shared" ref="AJ109:AJ140" si="113">SUM(AG109:AI109)</f>
        <v>0</v>
      </c>
      <c r="AK109" s="90">
        <f t="shared" ref="AK109:AK140" si="114">SUM(X109,AB109,AF109,AJ109)</f>
        <v>0</v>
      </c>
      <c r="AL109" s="98"/>
      <c r="AM109" s="1370"/>
      <c r="AN109" s="1411"/>
      <c r="AO109" s="1405">
        <f>N109*AN109</f>
        <v>0</v>
      </c>
      <c r="AP109" s="98" t="str">
        <f>C109</f>
        <v xml:space="preserve">33 - Venda de sucata </v>
      </c>
      <c r="AQ109" s="62" t="s">
        <v>311</v>
      </c>
      <c r="AR109" s="508" t="str" cm="1">
        <f t="array" aca="1" ref="AR109" ca="1">IF(OR(AP109="",AP109=0),"",IF(SUMPRODUCT(($C$55:$C$191=AP109)*(U$54:$AI$54&lt;EOMONTH(TODAY(),-1)+1)*(ISNUMBER(U$55:$AI$191)),U$55:$AI$191)=0,"",SUMPRODUCT(($C$55:$C$191=AP109)*(U$54:$AI$54&lt;EOMONTH(TODAY(),-1)+1)*(ISNUMBER(U$55:$AI$191)),U$55:$AI$191)))</f>
        <v/>
      </c>
      <c r="AS109" s="62" t="str">
        <f>A109</f>
        <v>Redução de custo</v>
      </c>
      <c r="AU109" s="1566">
        <f t="shared" ref="AU109" si="115">IF(OR(I109="",K109=""),0,(I109/12)*K109)</f>
        <v>0</v>
      </c>
      <c r="AV109" s="1566">
        <f t="shared" ref="AV109" si="116">IF(OR(N109="",K109="",K109=0),0,(N109/K109)*12)</f>
        <v>0</v>
      </c>
    </row>
    <row r="110" spans="1:48" ht="45.75" customHeight="1" x14ac:dyDescent="0.3">
      <c r="A110" s="1381"/>
      <c r="B110" s="1408"/>
      <c r="C110" s="1483"/>
      <c r="D110" s="1455"/>
      <c r="E110" s="1369"/>
      <c r="F110" s="1371"/>
      <c r="G110" s="1373"/>
      <c r="H110" s="1373"/>
      <c r="I110" s="2118"/>
      <c r="J110" s="1379"/>
      <c r="K110" s="1390"/>
      <c r="L110" s="1355"/>
      <c r="M110" s="1460"/>
      <c r="N110" s="1392"/>
      <c r="O110" s="1328"/>
      <c r="P110" s="1672"/>
      <c r="Q110" s="2116"/>
      <c r="R110" s="1328"/>
      <c r="S110" s="87" t="s">
        <v>117</v>
      </c>
      <c r="T110" s="91"/>
      <c r="U110" s="287"/>
      <c r="V110" s="287"/>
      <c r="W110" s="287"/>
      <c r="X110" s="288">
        <f t="shared" si="110"/>
        <v>0</v>
      </c>
      <c r="Y110" s="287"/>
      <c r="Z110" s="287"/>
      <c r="AA110" s="287"/>
      <c r="AB110" s="288">
        <f t="shared" si="111"/>
        <v>0</v>
      </c>
      <c r="AC110" s="287"/>
      <c r="AD110" s="287"/>
      <c r="AE110" s="287"/>
      <c r="AF110" s="288">
        <f t="shared" si="112"/>
        <v>0</v>
      </c>
      <c r="AG110" s="287"/>
      <c r="AH110" s="287"/>
      <c r="AI110" s="287"/>
      <c r="AJ110" s="288">
        <f t="shared" si="113"/>
        <v>0</v>
      </c>
      <c r="AK110" s="289">
        <f t="shared" si="114"/>
        <v>0</v>
      </c>
      <c r="AL110" s="337"/>
      <c r="AM110" s="1371"/>
      <c r="AN110" s="1412"/>
      <c r="AO110" s="1406"/>
      <c r="AP110" s="92" t="str">
        <f>C109</f>
        <v xml:space="preserve">33 - Venda de sucata </v>
      </c>
      <c r="AQ110" s="62" t="s">
        <v>313</v>
      </c>
      <c r="AR110" s="508" t="str" cm="1">
        <f t="array" aca="1" ref="AR110" ca="1">IF(OR(AP110="",AP110=0),"",IF(SUMPRODUCT(($C$55:$C$191=AP110)*(U$54:$AI$54&lt;EOMONTH(TODAY(),-1)+1)*(ISNUMBER(U$56:$AI$192)),U$56:$AI$192)=0,"",SUMPRODUCT(($C$55:$C$191=AP110)*(U$54:$AI$54&lt;EOMONTH(TODAY(),-1)+1)*(ISNUMBER(U$56:$AI$192)),U$56:$AI$192)))</f>
        <v/>
      </c>
      <c r="AS110" s="62" t="str">
        <f>A109</f>
        <v>Redução de custo</v>
      </c>
      <c r="AU110" s="1567"/>
      <c r="AV110" s="1567"/>
    </row>
    <row r="111" spans="1:48" ht="29.1" customHeight="1" x14ac:dyDescent="0.3">
      <c r="A111" s="1380" t="s">
        <v>61</v>
      </c>
      <c r="B111" s="1407" t="s">
        <v>101</v>
      </c>
      <c r="C111" s="1482" t="s">
        <v>1502</v>
      </c>
      <c r="D111" s="1534" t="s">
        <v>2753</v>
      </c>
      <c r="E111" s="1368" t="s">
        <v>2754</v>
      </c>
      <c r="F111" s="1370" t="s">
        <v>1490</v>
      </c>
      <c r="G111" s="1372">
        <v>46023</v>
      </c>
      <c r="H111" s="1372">
        <v>46235</v>
      </c>
      <c r="I111" s="2117">
        <v>1540000</v>
      </c>
      <c r="J111" s="1749">
        <v>46265</v>
      </c>
      <c r="K111" s="1387">
        <f>IF(J111="", "", 12 - MONTH(J111) + 1)</f>
        <v>5</v>
      </c>
      <c r="L111" s="1354"/>
      <c r="M111" s="2114"/>
      <c r="N111" s="1861"/>
      <c r="O111" s="1327"/>
      <c r="P111" s="1671"/>
      <c r="Q111" s="2115"/>
      <c r="R111" s="1327"/>
      <c r="S111" s="87" t="s">
        <v>116</v>
      </c>
      <c r="T111" s="91">
        <f ca="1">IF(OR(G111="", H111=""), "", IF(TODAY()&lt;G111, 0, IF(TODAY()&gt;H111, 1, (TODAY()-G111+1)/(H111-G111+1))))</f>
        <v>1</v>
      </c>
      <c r="U111" s="287">
        <f>IFERROR(IF(AND(U$54&gt;=EOMONTH($J111,-1)+1,U$54&lt;=EOMONTH(EOMONTH($J111,-1)+1,$K111-1)),IF(NOT(ISBLANK($N111)),$N111/$K111,$I111/$K111),0),0)</f>
        <v>0</v>
      </c>
      <c r="V111" s="287">
        <f>IFERROR(IF(AND(V$54&gt;=EOMONTH($J111,-1)+1,V$54&lt;=EOMONTH(EOMONTH($J111,-1)+1,$K111-1)),IF(NOT(ISBLANK($N111)),$N111/$K111,$I111/$K111),0),0)</f>
        <v>0</v>
      </c>
      <c r="W111" s="287">
        <f>IFERROR(IF(AND(W$54&gt;=EOMONTH($J111,-1)+1,W$54&lt;=EOMONTH(EOMONTH($J111,-1)+1,$K111-1)),IF(NOT(ISBLANK($N111)),$N111/$K111,$I111/$K111),0),0)</f>
        <v>0</v>
      </c>
      <c r="X111" s="89">
        <f t="shared" si="110"/>
        <v>0</v>
      </c>
      <c r="Y111" s="287">
        <f>IFERROR(IF(AND(Y$54&gt;=EOMONTH($J111,-1)+1,Y$54&lt;=EOMONTH(EOMONTH($J111,-1)+1,$K111-1)),IF(NOT(ISBLANK($N111)),$N111/$K111,$I111/$K111),0),0)</f>
        <v>0</v>
      </c>
      <c r="Z111" s="287">
        <f>IFERROR(IF(AND(Z$54&gt;=EOMONTH($J111,-1)+1,Z$54&lt;=EOMONTH(EOMONTH($J111,-1)+1,$K111-1)),IF(NOT(ISBLANK($N111)),$N111/$K111,$I111/$K111),0),0)</f>
        <v>0</v>
      </c>
      <c r="AA111" s="287">
        <f>IFERROR(IF(AND(AA$54&gt;=EOMONTH($J111,-1)+1,AA$54&lt;=EOMONTH(EOMONTH($J111,-1)+1,$K111-1)),IF(NOT(ISBLANK($N111)),$N111/$K111,$I111/$K111),0),0)</f>
        <v>0</v>
      </c>
      <c r="AB111" s="89">
        <f t="shared" si="111"/>
        <v>0</v>
      </c>
      <c r="AC111" s="287">
        <f>IFERROR(IF(AND(AC$54&gt;=EOMONTH($J111,-1)+1,AC$54&lt;=EOMONTH(EOMONTH($J111,-1)+1,$K111-1)),IF(NOT(ISBLANK($N111)),$N111/$K111,$I111/$K111),0),0)</f>
        <v>0</v>
      </c>
      <c r="AD111" s="287">
        <f>IFERROR(IF(AND(AD$54&gt;=EOMONTH($J111,-1)+1,AD$54&lt;=EOMONTH(EOMONTH($J111,-1)+1,$K111-1)),IF(NOT(ISBLANK($N111)),$N111/$K111,$I111/$K111),0),0)</f>
        <v>308000</v>
      </c>
      <c r="AE111" s="287">
        <f>IFERROR(IF(AND(AE$54&gt;=EOMONTH($J111,-1)+1,AE$54&lt;=EOMONTH(EOMONTH($J111,-1)+1,$K111-1)),IF(NOT(ISBLANK($N111)),$N111/$K111,$I111/$K111),0),0)</f>
        <v>308000</v>
      </c>
      <c r="AF111" s="89">
        <f t="shared" si="112"/>
        <v>616000</v>
      </c>
      <c r="AG111" s="287">
        <f>IFERROR(IF(AND(AG$54&gt;=EOMONTH($J111,-1)+1,AG$54&lt;=EOMONTH(EOMONTH($J111,-1)+1,$K111-1)),IF(NOT(ISBLANK($N111)),$N111/$K111,$I111/$K111),0),0)</f>
        <v>308000</v>
      </c>
      <c r="AH111" s="287">
        <f>IFERROR(IF(AND(AH$54&gt;=EOMONTH($J111,-1)+1,AH$54&lt;=EOMONTH(EOMONTH($J111,-1)+1,$K111-1)),IF(NOT(ISBLANK($N111)),$N111/$K111,$I111/$K111),0),0)</f>
        <v>308000</v>
      </c>
      <c r="AI111" s="287">
        <f>IFERROR(IF(AND(AI$54&gt;=EOMONTH($J111,-1)+1,AI$54&lt;=EOMONTH(EOMONTH($J111,-1)+1,$K111-1)),IF(NOT(ISBLANK($N111)),$N111/$K111,$I111/$K111),0),0)</f>
        <v>308000</v>
      </c>
      <c r="AJ111" s="89">
        <f t="shared" si="113"/>
        <v>924000</v>
      </c>
      <c r="AK111" s="90">
        <f t="shared" si="114"/>
        <v>1540000</v>
      </c>
      <c r="AL111" s="98"/>
      <c r="AM111" s="1370"/>
      <c r="AN111" s="1411"/>
      <c r="AO111" s="1405">
        <f>N111*AN111</f>
        <v>0</v>
      </c>
      <c r="AP111" s="98" t="str">
        <f>C111</f>
        <v>34 - Redução dos gastos de manutenção com monitoramento do Tractian</v>
      </c>
      <c r="AQ111" s="62" t="s">
        <v>311</v>
      </c>
      <c r="AR111" s="508" t="str" cm="1">
        <f t="array" aca="1" ref="AR111" ca="1">IF(OR(AP111="",AP111=0),"",IF(SUMPRODUCT(($C$55:$C$191=AP111)*(U$54:$AI$54&lt;EOMONTH(TODAY(),-1)+1)*(ISNUMBER(U$55:$AI$191)),U$55:$AI$191)=0,"",SUMPRODUCT(($C$55:$C$191=AP111)*(U$54:$AI$54&lt;EOMONTH(TODAY(),-1)+1)*(ISNUMBER(U$55:$AI$191)),U$55:$AI$191)))</f>
        <v/>
      </c>
      <c r="AS111" s="62" t="str">
        <f>A111</f>
        <v>Kaizen - Custo Evitado</v>
      </c>
      <c r="AU111" s="1566">
        <f t="shared" ref="AU111" si="117">IF(OR(I111="",K111=""),0,(I111/12)*K111)</f>
        <v>641666.66666666663</v>
      </c>
      <c r="AV111" s="1566">
        <f t="shared" ref="AV111" si="118">IF(OR(N111="",K111="",K111=0),0,(N111/K111)*12)</f>
        <v>0</v>
      </c>
    </row>
    <row r="112" spans="1:48" ht="45.75" customHeight="1" x14ac:dyDescent="0.3">
      <c r="A112" s="1381"/>
      <c r="B112" s="1408"/>
      <c r="C112" s="1483"/>
      <c r="D112" s="1455"/>
      <c r="E112" s="1369"/>
      <c r="F112" s="1371"/>
      <c r="G112" s="1373"/>
      <c r="H112" s="1373"/>
      <c r="I112" s="2118"/>
      <c r="J112" s="1750"/>
      <c r="K112" s="1388"/>
      <c r="L112" s="1355"/>
      <c r="M112" s="1460"/>
      <c r="N112" s="1392"/>
      <c r="O112" s="1328"/>
      <c r="P112" s="1672"/>
      <c r="Q112" s="2116"/>
      <c r="R112" s="1328"/>
      <c r="S112" s="87" t="s">
        <v>117</v>
      </c>
      <c r="T112" s="91"/>
      <c r="U112" s="287"/>
      <c r="V112" s="287"/>
      <c r="W112" s="287"/>
      <c r="X112" s="288">
        <f t="shared" si="110"/>
        <v>0</v>
      </c>
      <c r="Y112" s="287"/>
      <c r="Z112" s="287"/>
      <c r="AA112" s="287"/>
      <c r="AB112" s="288">
        <f t="shared" si="111"/>
        <v>0</v>
      </c>
      <c r="AC112" s="287"/>
      <c r="AD112" s="287"/>
      <c r="AE112" s="287"/>
      <c r="AF112" s="288">
        <f t="shared" si="112"/>
        <v>0</v>
      </c>
      <c r="AG112" s="287"/>
      <c r="AH112" s="287"/>
      <c r="AI112" s="287"/>
      <c r="AJ112" s="288">
        <f t="shared" si="113"/>
        <v>0</v>
      </c>
      <c r="AK112" s="289">
        <f t="shared" si="114"/>
        <v>0</v>
      </c>
      <c r="AL112" s="337"/>
      <c r="AM112" s="1371"/>
      <c r="AN112" s="1412"/>
      <c r="AO112" s="1406"/>
      <c r="AP112" s="92" t="str">
        <f>C111</f>
        <v>34 - Redução dos gastos de manutenção com monitoramento do Tractian</v>
      </c>
      <c r="AQ112" s="62" t="s">
        <v>313</v>
      </c>
      <c r="AR112" s="508" t="str" cm="1">
        <f t="array" aca="1" ref="AR112" ca="1">IF(OR(AP112="",AP112=0),"",IF(SUMPRODUCT(($C$55:$C$191=AP112)*(U$54:$AI$54&lt;EOMONTH(TODAY(),-1)+1)*(ISNUMBER(U$56:$AI$192)),U$56:$AI$192)=0,"",SUMPRODUCT(($C$55:$C$191=AP112)*(U$54:$AI$54&lt;EOMONTH(TODAY(),-1)+1)*(ISNUMBER(U$56:$AI$192)),U$56:$AI$192)))</f>
        <v/>
      </c>
      <c r="AS112" s="62" t="str">
        <f>A111</f>
        <v>Kaizen - Custo Evitado</v>
      </c>
      <c r="AU112" s="1567"/>
      <c r="AV112" s="1567"/>
    </row>
    <row r="113" spans="1:48" ht="29.1" customHeight="1" x14ac:dyDescent="0.3">
      <c r="A113" s="1380" t="s">
        <v>61</v>
      </c>
      <c r="B113" s="1407" t="s">
        <v>101</v>
      </c>
      <c r="C113" s="1482" t="s">
        <v>2757</v>
      </c>
      <c r="D113" s="1534"/>
      <c r="E113" s="1368"/>
      <c r="F113" s="1370"/>
      <c r="G113" s="1372"/>
      <c r="H113" s="1372"/>
      <c r="I113" s="2117">
        <v>200000.15646540001</v>
      </c>
      <c r="J113" s="1378"/>
      <c r="K113" s="1389" t="str">
        <f>IF(J113="", "", 12 - MONTH(J113) + 1)</f>
        <v/>
      </c>
      <c r="L113" s="1354"/>
      <c r="M113" s="2114"/>
      <c r="N113" s="1861"/>
      <c r="O113" s="1327"/>
      <c r="P113" s="1671"/>
      <c r="Q113" s="2115"/>
      <c r="R113" s="1327"/>
      <c r="S113" s="87" t="s">
        <v>116</v>
      </c>
      <c r="T113" s="91" t="str">
        <f ca="1">IF(OR(G113="", H113=""), "", IF(TODAY()&lt;G113, 0, IF(TODAY()&gt;H113, 1, (TODAY()-G113+1)/(H113-G113+1))))</f>
        <v/>
      </c>
      <c r="U113" s="287">
        <f>IFERROR(IF(AND(U$54&gt;=EOMONTH($J113,-1)+1,U$54&lt;=EOMONTH(EOMONTH($J113,-1)+1,$K113-1)),IF(NOT(ISBLANK($N113)),$N113/$K113,$I113/$K113),0),0)</f>
        <v>0</v>
      </c>
      <c r="V113" s="287">
        <f>IFERROR(IF(AND(V$54&gt;=EOMONTH($J113,-1)+1,V$54&lt;=EOMONTH(EOMONTH($J113,-1)+1,$K113-1)),IF(NOT(ISBLANK($N113)),$N113/$K113,$I113/$K113),0),0)</f>
        <v>0</v>
      </c>
      <c r="W113" s="287">
        <f>IFERROR(IF(AND(W$54&gt;=EOMONTH($J113,-1)+1,W$54&lt;=EOMONTH(EOMONTH($J113,-1)+1,$K113-1)),IF(NOT(ISBLANK($N113)),$N113/$K113,$I113/$K113),0),0)</f>
        <v>0</v>
      </c>
      <c r="X113" s="89">
        <f t="shared" si="110"/>
        <v>0</v>
      </c>
      <c r="Y113" s="287">
        <f>IFERROR(IF(AND(Y$54&gt;=EOMONTH($J113,-1)+1,Y$54&lt;=EOMONTH(EOMONTH($J113,-1)+1,$K113-1)),IF(NOT(ISBLANK($N113)),$N113/$K113,$I113/$K113),0),0)</f>
        <v>0</v>
      </c>
      <c r="Z113" s="287">
        <f>IFERROR(IF(AND(Z$54&gt;=EOMONTH($J113,-1)+1,Z$54&lt;=EOMONTH(EOMONTH($J113,-1)+1,$K113-1)),IF(NOT(ISBLANK($N113)),$N113/$K113,$I113/$K113),0),0)</f>
        <v>0</v>
      </c>
      <c r="AA113" s="287">
        <f>IFERROR(IF(AND(AA$54&gt;=EOMONTH($J113,-1)+1,AA$54&lt;=EOMONTH(EOMONTH($J113,-1)+1,$K113-1)),IF(NOT(ISBLANK($N113)),$N113/$K113,$I113/$K113),0),0)</f>
        <v>0</v>
      </c>
      <c r="AB113" s="89">
        <f t="shared" si="111"/>
        <v>0</v>
      </c>
      <c r="AC113" s="287">
        <f>IFERROR(IF(AND(AC$54&gt;=EOMONTH($J113,-1)+1,AC$54&lt;=EOMONTH(EOMONTH($J113,-1)+1,$K113-1)),IF(NOT(ISBLANK($N113)),$N113/$K113,$I113/$K113),0),0)</f>
        <v>0</v>
      </c>
      <c r="AD113" s="287">
        <f>IFERROR(IF(AND(AD$54&gt;=EOMONTH($J113,-1)+1,AD$54&lt;=EOMONTH(EOMONTH($J113,-1)+1,$K113-1)),IF(NOT(ISBLANK($N113)),$N113/$K113,$I113/$K113),0),0)</f>
        <v>0</v>
      </c>
      <c r="AE113" s="287">
        <f>IFERROR(IF(AND(AE$54&gt;=EOMONTH($J113,-1)+1,AE$54&lt;=EOMONTH(EOMONTH($J113,-1)+1,$K113-1)),IF(NOT(ISBLANK($N113)),$N113/$K113,$I113/$K113),0),0)</f>
        <v>0</v>
      </c>
      <c r="AF113" s="89">
        <f t="shared" si="112"/>
        <v>0</v>
      </c>
      <c r="AG113" s="287">
        <f>IFERROR(IF(AND(AG$54&gt;=EOMONTH($J113,-1)+1,AG$54&lt;=EOMONTH(EOMONTH($J113,-1)+1,$K113-1)),IF(NOT(ISBLANK($N113)),$N113/$K113,$I113/$K113),0),0)</f>
        <v>0</v>
      </c>
      <c r="AH113" s="287">
        <f>IFERROR(IF(AND(AH$54&gt;=EOMONTH($J113,-1)+1,AH$54&lt;=EOMONTH(EOMONTH($J113,-1)+1,$K113-1)),IF(NOT(ISBLANK($N113)),$N113/$K113,$I113/$K113),0),0)</f>
        <v>0</v>
      </c>
      <c r="AI113" s="287">
        <f>IFERROR(IF(AND(AI$54&gt;=EOMONTH($J113,-1)+1,AI$54&lt;=EOMONTH(EOMONTH($J113,-1)+1,$K113-1)),IF(NOT(ISBLANK($N113)),$N113/$K113,$I113/$K113),0),0)</f>
        <v>0</v>
      </c>
      <c r="AJ113" s="89">
        <f t="shared" si="113"/>
        <v>0</v>
      </c>
      <c r="AK113" s="90">
        <f t="shared" si="114"/>
        <v>0</v>
      </c>
      <c r="AL113" s="98"/>
      <c r="AM113" s="1370"/>
      <c r="AN113" s="1411"/>
      <c r="AO113" s="1405">
        <f>N113*AN113</f>
        <v>0</v>
      </c>
      <c r="AP113" s="98" t="str">
        <f>C113</f>
        <v xml:space="preserve">35 - Redução de hora exta </v>
      </c>
      <c r="AQ113" s="62" t="s">
        <v>311</v>
      </c>
      <c r="AR113" s="508" t="str" cm="1">
        <f t="array" aca="1" ref="AR113" ca="1">IF(OR(AP113="",AP113=0),"",IF(SUMPRODUCT(($C$55:$C$191=AP113)*(U$54:$AI$54&lt;EOMONTH(TODAY(),-1)+1)*(ISNUMBER(U$55:$AI$191)),U$55:$AI$191)=0,"",SUMPRODUCT(($C$55:$C$191=AP113)*(U$54:$AI$54&lt;EOMONTH(TODAY(),-1)+1)*(ISNUMBER(U$55:$AI$191)),U$55:$AI$191)))</f>
        <v/>
      </c>
      <c r="AS113" s="62" t="str">
        <f>A113</f>
        <v>Kaizen - Custo Evitado</v>
      </c>
      <c r="AU113" s="1566">
        <f t="shared" ref="AU113" si="119">IF(OR(I113="",K113=""),0,(I113/12)*K113)</f>
        <v>0</v>
      </c>
      <c r="AV113" s="1566">
        <f t="shared" ref="AV113" si="120">IF(OR(N113="",K113="",K113=0),0,(N113/K113)*12)</f>
        <v>0</v>
      </c>
    </row>
    <row r="114" spans="1:48" ht="45.75" customHeight="1" x14ac:dyDescent="0.3">
      <c r="A114" s="1381"/>
      <c r="B114" s="1408"/>
      <c r="C114" s="1483"/>
      <c r="D114" s="1535"/>
      <c r="E114" s="1369"/>
      <c r="F114" s="1371"/>
      <c r="G114" s="1373"/>
      <c r="H114" s="1373"/>
      <c r="I114" s="2118"/>
      <c r="J114" s="1379"/>
      <c r="K114" s="1390"/>
      <c r="L114" s="1355"/>
      <c r="M114" s="1460"/>
      <c r="N114" s="1392"/>
      <c r="O114" s="1328"/>
      <c r="P114" s="1672"/>
      <c r="Q114" s="2116"/>
      <c r="R114" s="1328"/>
      <c r="S114" s="87" t="s">
        <v>117</v>
      </c>
      <c r="T114" s="91"/>
      <c r="U114" s="287"/>
      <c r="V114" s="287"/>
      <c r="W114" s="287"/>
      <c r="X114" s="288">
        <f t="shared" si="110"/>
        <v>0</v>
      </c>
      <c r="Y114" s="287"/>
      <c r="Z114" s="287"/>
      <c r="AA114" s="287"/>
      <c r="AB114" s="288">
        <f t="shared" si="111"/>
        <v>0</v>
      </c>
      <c r="AC114" s="287"/>
      <c r="AD114" s="287"/>
      <c r="AE114" s="287"/>
      <c r="AF114" s="288">
        <f t="shared" si="112"/>
        <v>0</v>
      </c>
      <c r="AG114" s="287"/>
      <c r="AH114" s="287"/>
      <c r="AI114" s="287"/>
      <c r="AJ114" s="288">
        <f t="shared" si="113"/>
        <v>0</v>
      </c>
      <c r="AK114" s="289">
        <f t="shared" si="114"/>
        <v>0</v>
      </c>
      <c r="AL114" s="337"/>
      <c r="AM114" s="1371"/>
      <c r="AN114" s="1412"/>
      <c r="AO114" s="1406"/>
      <c r="AP114" s="92" t="str">
        <f>C113</f>
        <v xml:space="preserve">35 - Redução de hora exta </v>
      </c>
      <c r="AQ114" s="62" t="s">
        <v>313</v>
      </c>
      <c r="AR114" s="508" t="str" cm="1">
        <f t="array" aca="1" ref="AR114" ca="1">IF(OR(AP114="",AP114=0),"",IF(SUMPRODUCT(($C$55:$C$191=AP114)*(U$54:$AI$54&lt;EOMONTH(TODAY(),-1)+1)*(ISNUMBER(U$56:$AI$192)),U$56:$AI$192)=0,"",SUMPRODUCT(($C$55:$C$191=AP114)*(U$54:$AI$54&lt;EOMONTH(TODAY(),-1)+1)*(ISNUMBER(U$56:$AI$192)),U$56:$AI$192)))</f>
        <v/>
      </c>
      <c r="AS114" s="62" t="str">
        <f>A113</f>
        <v>Kaizen - Custo Evitado</v>
      </c>
      <c r="AU114" s="1567"/>
      <c r="AV114" s="1567"/>
    </row>
    <row r="115" spans="1:48" ht="29.1" customHeight="1" x14ac:dyDescent="0.3">
      <c r="A115" s="1380"/>
      <c r="B115" s="1691"/>
      <c r="C115" s="1482"/>
      <c r="D115" s="1486"/>
      <c r="E115" s="1368"/>
      <c r="F115" s="1370"/>
      <c r="G115" s="1372"/>
      <c r="H115" s="1372"/>
      <c r="I115" s="1354"/>
      <c r="J115" s="1378"/>
      <c r="K115" s="1389" t="str">
        <f>IF(J115="", "", 12 - MONTH(J115) + 1)</f>
        <v/>
      </c>
      <c r="L115" s="1354"/>
      <c r="M115" s="2114"/>
      <c r="N115" s="1861"/>
      <c r="O115" s="1327"/>
      <c r="P115" s="1671"/>
      <c r="Q115" s="2115"/>
      <c r="R115" s="1327"/>
      <c r="S115" s="87" t="s">
        <v>116</v>
      </c>
      <c r="T115" s="91" t="str">
        <f ca="1">IF(OR(G115="", H115=""), "", IF(TODAY()&lt;G115, 0, IF(TODAY()&gt;H115, 1, (TODAY()-G115+1)/(H115-G115+1))))</f>
        <v/>
      </c>
      <c r="U115" s="287">
        <f>IFERROR(IF(AND(U$54&gt;=EOMONTH($J115,-1)+1,U$54&lt;=EOMONTH(EOMONTH($J115,-1)+1,$K115-1)),IF(NOT(ISBLANK($N115)),$N115/$K115,$I115/$K115),0),0)</f>
        <v>0</v>
      </c>
      <c r="V115" s="287">
        <f>IFERROR(IF(AND(V$54&gt;=EOMONTH($J115,-1)+1,V$54&lt;=EOMONTH(EOMONTH($J115,-1)+1,$K115-1)),IF(NOT(ISBLANK($N115)),$N115/$K115,$I115/$K115),0),0)</f>
        <v>0</v>
      </c>
      <c r="W115" s="287">
        <f>IFERROR(IF(AND(W$54&gt;=EOMONTH($J115,-1)+1,W$54&lt;=EOMONTH(EOMONTH($J115,-1)+1,$K115-1)),IF(NOT(ISBLANK($N115)),$N115/$K115,$I115/$K115),0),0)</f>
        <v>0</v>
      </c>
      <c r="X115" s="89">
        <f t="shared" si="110"/>
        <v>0</v>
      </c>
      <c r="Y115" s="287">
        <f>IFERROR(IF(AND(Y$54&gt;=EOMONTH($J115,-1)+1,Y$54&lt;=EOMONTH(EOMONTH($J115,-1)+1,$K115-1)),IF(NOT(ISBLANK($N115)),$N115/$K115,$I115/$K115),0),0)</f>
        <v>0</v>
      </c>
      <c r="Z115" s="287">
        <f>IFERROR(IF(AND(Z$54&gt;=EOMONTH($J115,-1)+1,Z$54&lt;=EOMONTH(EOMONTH($J115,-1)+1,$K115-1)),IF(NOT(ISBLANK($N115)),$N115/$K115,$I115/$K115),0),0)</f>
        <v>0</v>
      </c>
      <c r="AA115" s="287">
        <f>IFERROR(IF(AND(AA$54&gt;=EOMONTH($J115,-1)+1,AA$54&lt;=EOMONTH(EOMONTH($J115,-1)+1,$K115-1)),IF(NOT(ISBLANK($N115)),$N115/$K115,$I115/$K115),0),0)</f>
        <v>0</v>
      </c>
      <c r="AB115" s="89">
        <f t="shared" si="111"/>
        <v>0</v>
      </c>
      <c r="AC115" s="287">
        <f>IFERROR(IF(AND(AC$54&gt;=EOMONTH($J115,-1)+1,AC$54&lt;=EOMONTH(EOMONTH($J115,-1)+1,$K115-1)),IF(NOT(ISBLANK($N115)),$N115/$K115,$I115/$K115),0),0)</f>
        <v>0</v>
      </c>
      <c r="AD115" s="287">
        <f>IFERROR(IF(AND(AD$54&gt;=EOMONTH($J115,-1)+1,AD$54&lt;=EOMONTH(EOMONTH($J115,-1)+1,$K115-1)),IF(NOT(ISBLANK($N115)),$N115/$K115,$I115/$K115),0),0)</f>
        <v>0</v>
      </c>
      <c r="AE115" s="287">
        <f>IFERROR(IF(AND(AE$54&gt;=EOMONTH($J115,-1)+1,AE$54&lt;=EOMONTH(EOMONTH($J115,-1)+1,$K115-1)),IF(NOT(ISBLANK($N115)),$N115/$K115,$I115/$K115),0),0)</f>
        <v>0</v>
      </c>
      <c r="AF115" s="89">
        <f t="shared" si="112"/>
        <v>0</v>
      </c>
      <c r="AG115" s="287">
        <f>IFERROR(IF(AND(AG$54&gt;=EOMONTH($J115,-1)+1,AG$54&lt;=EOMONTH(EOMONTH($J115,-1)+1,$K115-1)),IF(NOT(ISBLANK($N115)),$N115/$K115,$I115/$K115),0),0)</f>
        <v>0</v>
      </c>
      <c r="AH115" s="287">
        <f>IFERROR(IF(AND(AH$54&gt;=EOMONTH($J115,-1)+1,AH$54&lt;=EOMONTH(EOMONTH($J115,-1)+1,$K115-1)),IF(NOT(ISBLANK($N115)),$N115/$K115,$I115/$K115),0),0)</f>
        <v>0</v>
      </c>
      <c r="AI115" s="287">
        <f>IFERROR(IF(AND(AI$54&gt;=EOMONTH($J115,-1)+1,AI$54&lt;=EOMONTH(EOMONTH($J115,-1)+1,$K115-1)),IF(NOT(ISBLANK($N115)),$N115/$K115,$I115/$K115),0),0)</f>
        <v>0</v>
      </c>
      <c r="AJ115" s="89">
        <f t="shared" si="113"/>
        <v>0</v>
      </c>
      <c r="AK115" s="90">
        <f t="shared" si="114"/>
        <v>0</v>
      </c>
      <c r="AL115" s="98"/>
      <c r="AM115" s="1370"/>
      <c r="AN115" s="1411"/>
      <c r="AO115" s="1405">
        <f>N115*AN115</f>
        <v>0</v>
      </c>
      <c r="AP115" s="98">
        <f>C115</f>
        <v>0</v>
      </c>
      <c r="AQ115" s="62" t="s">
        <v>311</v>
      </c>
      <c r="AR115" s="508" t="str" cm="1">
        <f t="array" aca="1" ref="AR115" ca="1">IF(OR(AP115="",AP115=0),"",IF(SUMPRODUCT(($C$55:$C$191=AP115)*(U$54:$AI$54&lt;EOMONTH(TODAY(),-1)+1)*(ISNUMBER(U$55:$AI$191)),U$55:$AI$191)=0,"",SUMPRODUCT(($C$55:$C$191=AP115)*(U$54:$AI$54&lt;EOMONTH(TODAY(),-1)+1)*(ISNUMBER(U$55:$AI$191)),U$55:$AI$191)))</f>
        <v/>
      </c>
      <c r="AS115" s="62">
        <f>A115</f>
        <v>0</v>
      </c>
      <c r="AU115" s="1566">
        <f t="shared" ref="AU115" si="121">IF(OR(I115="",K115=""),0,(I115/12)*K115)</f>
        <v>0</v>
      </c>
      <c r="AV115" s="1566">
        <f t="shared" ref="AV115" si="122">IF(OR(N115="",K115="",K115=0),0,(N115/K115)*12)</f>
        <v>0</v>
      </c>
    </row>
    <row r="116" spans="1:48" ht="45.75" customHeight="1" x14ac:dyDescent="0.3">
      <c r="A116" s="1381"/>
      <c r="B116" s="1692"/>
      <c r="C116" s="1483"/>
      <c r="D116" s="1487"/>
      <c r="E116" s="1369"/>
      <c r="F116" s="1371"/>
      <c r="G116" s="1373"/>
      <c r="H116" s="1373"/>
      <c r="I116" s="1355"/>
      <c r="J116" s="1379"/>
      <c r="K116" s="1390"/>
      <c r="L116" s="1355"/>
      <c r="M116" s="1460"/>
      <c r="N116" s="1392"/>
      <c r="O116" s="1328"/>
      <c r="P116" s="1672"/>
      <c r="Q116" s="2116"/>
      <c r="R116" s="1328"/>
      <c r="S116" s="87" t="s">
        <v>117</v>
      </c>
      <c r="T116" s="91"/>
      <c r="U116" s="287"/>
      <c r="V116" s="287"/>
      <c r="W116" s="287"/>
      <c r="X116" s="288">
        <f t="shared" si="110"/>
        <v>0</v>
      </c>
      <c r="Y116" s="287"/>
      <c r="Z116" s="287"/>
      <c r="AA116" s="287"/>
      <c r="AB116" s="288">
        <f t="shared" si="111"/>
        <v>0</v>
      </c>
      <c r="AC116" s="287"/>
      <c r="AD116" s="287"/>
      <c r="AE116" s="287"/>
      <c r="AF116" s="288">
        <f t="shared" si="112"/>
        <v>0</v>
      </c>
      <c r="AG116" s="287"/>
      <c r="AH116" s="287"/>
      <c r="AI116" s="287"/>
      <c r="AJ116" s="288">
        <f t="shared" si="113"/>
        <v>0</v>
      </c>
      <c r="AK116" s="289">
        <f t="shared" si="114"/>
        <v>0</v>
      </c>
      <c r="AL116" s="337"/>
      <c r="AM116" s="1371"/>
      <c r="AN116" s="1412"/>
      <c r="AO116" s="1406"/>
      <c r="AP116" s="92">
        <f>C115</f>
        <v>0</v>
      </c>
      <c r="AQ116" s="62" t="s">
        <v>313</v>
      </c>
      <c r="AR116" s="508" t="str" cm="1">
        <f t="array" aca="1" ref="AR116" ca="1">IF(OR(AP116="",AP116=0),"",IF(SUMPRODUCT(($C$55:$C$191=AP116)*(U$54:$AI$54&lt;EOMONTH(TODAY(),-1)+1)*(ISNUMBER(U$56:$AI$192)),U$56:$AI$192)=0,"",SUMPRODUCT(($C$55:$C$191=AP116)*(U$54:$AI$54&lt;EOMONTH(TODAY(),-1)+1)*(ISNUMBER(U$56:$AI$192)),U$56:$AI$192)))</f>
        <v/>
      </c>
      <c r="AS116" s="62">
        <f>A115</f>
        <v>0</v>
      </c>
      <c r="AU116" s="1567"/>
      <c r="AV116" s="1567"/>
    </row>
    <row r="117" spans="1:48" ht="29.1" customHeight="1" x14ac:dyDescent="0.3">
      <c r="A117" s="1380"/>
      <c r="B117" s="1691"/>
      <c r="C117" s="1482"/>
      <c r="D117" s="1486"/>
      <c r="E117" s="1368"/>
      <c r="F117" s="1370"/>
      <c r="G117" s="1372"/>
      <c r="H117" s="1372"/>
      <c r="I117" s="1354"/>
      <c r="J117" s="1378"/>
      <c r="K117" s="1389" t="str">
        <f>IF(J117="", "", 12 - MONTH(J117) + 1)</f>
        <v/>
      </c>
      <c r="L117" s="1354"/>
      <c r="M117" s="2114"/>
      <c r="N117" s="1861"/>
      <c r="O117" s="1327"/>
      <c r="P117" s="1671"/>
      <c r="Q117" s="2115"/>
      <c r="R117" s="1327"/>
      <c r="S117" s="87" t="s">
        <v>116</v>
      </c>
      <c r="T117" s="91" t="str">
        <f ca="1">IF(OR(G117="", H117=""), "", IF(TODAY()&lt;G117, 0, IF(TODAY()&gt;H117, 1, (TODAY()-G117+1)/(H117-G117+1))))</f>
        <v/>
      </c>
      <c r="U117" s="287">
        <f>IFERROR(IF(AND(U$54&gt;=EOMONTH($J117,-1)+1,U$54&lt;=EOMONTH(EOMONTH($J117,-1)+1,$K117-1)),IF(NOT(ISBLANK($N117)),$N117/$K117,$I117/$K117),0),0)</f>
        <v>0</v>
      </c>
      <c r="V117" s="287">
        <f>IFERROR(IF(AND(V$54&gt;=EOMONTH($J117,-1)+1,V$54&lt;=EOMONTH(EOMONTH($J117,-1)+1,$K117-1)),IF(NOT(ISBLANK($N117)),$N117/$K117,$I117/$K117),0),0)</f>
        <v>0</v>
      </c>
      <c r="W117" s="287">
        <f>IFERROR(IF(AND(W$54&gt;=EOMONTH($J117,-1)+1,W$54&lt;=EOMONTH(EOMONTH($J117,-1)+1,$K117-1)),IF(NOT(ISBLANK($N117)),$N117/$K117,$I117/$K117),0),0)</f>
        <v>0</v>
      </c>
      <c r="X117" s="89">
        <f t="shared" si="110"/>
        <v>0</v>
      </c>
      <c r="Y117" s="287">
        <f>IFERROR(IF(AND(Y$54&gt;=EOMONTH($J117,-1)+1,Y$54&lt;=EOMONTH(EOMONTH($J117,-1)+1,$K117-1)),IF(NOT(ISBLANK($N117)),$N117/$K117,$I117/$K117),0),0)</f>
        <v>0</v>
      </c>
      <c r="Z117" s="287">
        <f>IFERROR(IF(AND(Z$54&gt;=EOMONTH($J117,-1)+1,Z$54&lt;=EOMONTH(EOMONTH($J117,-1)+1,$K117-1)),IF(NOT(ISBLANK($N117)),$N117/$K117,$I117/$K117),0),0)</f>
        <v>0</v>
      </c>
      <c r="AA117" s="287">
        <f>IFERROR(IF(AND(AA$54&gt;=EOMONTH($J117,-1)+1,AA$54&lt;=EOMONTH(EOMONTH($J117,-1)+1,$K117-1)),IF(NOT(ISBLANK($N117)),$N117/$K117,$I117/$K117),0),0)</f>
        <v>0</v>
      </c>
      <c r="AB117" s="89">
        <f t="shared" si="111"/>
        <v>0</v>
      </c>
      <c r="AC117" s="287">
        <f>IFERROR(IF(AND(AC$54&gt;=EOMONTH($J117,-1)+1,AC$54&lt;=EOMONTH(EOMONTH($J117,-1)+1,$K117-1)),IF(NOT(ISBLANK($N117)),$N117/$K117,$I117/$K117),0),0)</f>
        <v>0</v>
      </c>
      <c r="AD117" s="287">
        <f>IFERROR(IF(AND(AD$54&gt;=EOMONTH($J117,-1)+1,AD$54&lt;=EOMONTH(EOMONTH($J117,-1)+1,$K117-1)),IF(NOT(ISBLANK($N117)),$N117/$K117,$I117/$K117),0),0)</f>
        <v>0</v>
      </c>
      <c r="AE117" s="287">
        <f>IFERROR(IF(AND(AE$54&gt;=EOMONTH($J117,-1)+1,AE$54&lt;=EOMONTH(EOMONTH($J117,-1)+1,$K117-1)),IF(NOT(ISBLANK($N117)),$N117/$K117,$I117/$K117),0),0)</f>
        <v>0</v>
      </c>
      <c r="AF117" s="89">
        <f t="shared" si="112"/>
        <v>0</v>
      </c>
      <c r="AG117" s="287">
        <f>IFERROR(IF(AND(AG$54&gt;=EOMONTH($J117,-1)+1,AG$54&lt;=EOMONTH(EOMONTH($J117,-1)+1,$K117-1)),IF(NOT(ISBLANK($N117)),$N117/$K117,$I117/$K117),0),0)</f>
        <v>0</v>
      </c>
      <c r="AH117" s="287">
        <f>IFERROR(IF(AND(AH$54&gt;=EOMONTH($J117,-1)+1,AH$54&lt;=EOMONTH(EOMONTH($J117,-1)+1,$K117-1)),IF(NOT(ISBLANK($N117)),$N117/$K117,$I117/$K117),0),0)</f>
        <v>0</v>
      </c>
      <c r="AI117" s="287">
        <f>IFERROR(IF(AND(AI$54&gt;=EOMONTH($J117,-1)+1,AI$54&lt;=EOMONTH(EOMONTH($J117,-1)+1,$K117-1)),IF(NOT(ISBLANK($N117)),$N117/$K117,$I117/$K117),0),0)</f>
        <v>0</v>
      </c>
      <c r="AJ117" s="89">
        <f t="shared" si="113"/>
        <v>0</v>
      </c>
      <c r="AK117" s="90">
        <f t="shared" si="114"/>
        <v>0</v>
      </c>
      <c r="AL117" s="98"/>
      <c r="AM117" s="1370"/>
      <c r="AN117" s="1411"/>
      <c r="AO117" s="1405">
        <f>N117*AN117</f>
        <v>0</v>
      </c>
      <c r="AP117" s="98">
        <f>C117</f>
        <v>0</v>
      </c>
      <c r="AQ117" s="62" t="s">
        <v>311</v>
      </c>
      <c r="AR117" s="508" t="str" cm="1">
        <f t="array" aca="1" ref="AR117" ca="1">IF(OR(AP117="",AP117=0),"",IF(SUMPRODUCT(($C$55:$C$191=AP117)*(U$54:$AI$54&lt;EOMONTH(TODAY(),-1)+1)*(ISNUMBER(U$55:$AI$191)),U$55:$AI$191)=0,"",SUMPRODUCT(($C$55:$C$191=AP117)*(U$54:$AI$54&lt;EOMONTH(TODAY(),-1)+1)*(ISNUMBER(U$55:$AI$191)),U$55:$AI$191)))</f>
        <v/>
      </c>
      <c r="AS117" s="62">
        <f>A117</f>
        <v>0</v>
      </c>
      <c r="AU117" s="1566">
        <f t="shared" ref="AU117" si="123">IF(OR(I117="",K117=""),0,(I117/12)*K117)</f>
        <v>0</v>
      </c>
      <c r="AV117" s="1566">
        <f t="shared" ref="AV117" si="124">IF(OR(N117="",K117="",K117=0),0,(N117/K117)*12)</f>
        <v>0</v>
      </c>
    </row>
    <row r="118" spans="1:48" ht="45.75" customHeight="1" x14ac:dyDescent="0.3">
      <c r="A118" s="1381"/>
      <c r="B118" s="1692"/>
      <c r="C118" s="1483"/>
      <c r="D118" s="1487"/>
      <c r="E118" s="1369"/>
      <c r="F118" s="1371"/>
      <c r="G118" s="1373"/>
      <c r="H118" s="1373"/>
      <c r="I118" s="1355"/>
      <c r="J118" s="1379"/>
      <c r="K118" s="1390"/>
      <c r="L118" s="1355"/>
      <c r="M118" s="1460"/>
      <c r="N118" s="1392"/>
      <c r="O118" s="1328"/>
      <c r="P118" s="1672"/>
      <c r="Q118" s="2116"/>
      <c r="R118" s="1328"/>
      <c r="S118" s="87" t="s">
        <v>117</v>
      </c>
      <c r="T118" s="91"/>
      <c r="U118" s="287"/>
      <c r="V118" s="287"/>
      <c r="W118" s="287"/>
      <c r="X118" s="288">
        <f t="shared" si="110"/>
        <v>0</v>
      </c>
      <c r="Y118" s="287"/>
      <c r="Z118" s="287"/>
      <c r="AA118" s="287"/>
      <c r="AB118" s="288">
        <f t="shared" si="111"/>
        <v>0</v>
      </c>
      <c r="AC118" s="287"/>
      <c r="AD118" s="287"/>
      <c r="AE118" s="287"/>
      <c r="AF118" s="288">
        <f t="shared" si="112"/>
        <v>0</v>
      </c>
      <c r="AG118" s="287"/>
      <c r="AH118" s="287"/>
      <c r="AI118" s="287"/>
      <c r="AJ118" s="288">
        <f t="shared" si="113"/>
        <v>0</v>
      </c>
      <c r="AK118" s="289">
        <f t="shared" si="114"/>
        <v>0</v>
      </c>
      <c r="AL118" s="337"/>
      <c r="AM118" s="1371"/>
      <c r="AN118" s="1412"/>
      <c r="AO118" s="1406"/>
      <c r="AP118" s="92">
        <f>C117</f>
        <v>0</v>
      </c>
      <c r="AQ118" s="62" t="s">
        <v>313</v>
      </c>
      <c r="AR118" s="508" t="str" cm="1">
        <f t="array" aca="1" ref="AR118" ca="1">IF(OR(AP118="",AP118=0),"",IF(SUMPRODUCT(($C$55:$C$191=AP118)*(U$54:$AI$54&lt;EOMONTH(TODAY(),-1)+1)*(ISNUMBER(U$56:$AI$192)),U$56:$AI$192)=0,"",SUMPRODUCT(($C$55:$C$191=AP118)*(U$54:$AI$54&lt;EOMONTH(TODAY(),-1)+1)*(ISNUMBER(U$56:$AI$192)),U$56:$AI$192)))</f>
        <v/>
      </c>
      <c r="AS118" s="62">
        <f>A117</f>
        <v>0</v>
      </c>
      <c r="AU118" s="1567"/>
      <c r="AV118" s="1567"/>
    </row>
    <row r="119" spans="1:48" ht="29.1" customHeight="1" x14ac:dyDescent="0.3">
      <c r="A119" s="1380"/>
      <c r="B119" s="1691"/>
      <c r="C119" s="1482"/>
      <c r="D119" s="1486"/>
      <c r="E119" s="1368"/>
      <c r="F119" s="1370"/>
      <c r="G119" s="1372"/>
      <c r="H119" s="1372"/>
      <c r="I119" s="1354"/>
      <c r="J119" s="1378"/>
      <c r="K119" s="1389" t="str">
        <f>IF(J119="", "", 12 - MONTH(J119) + 1)</f>
        <v/>
      </c>
      <c r="L119" s="1354"/>
      <c r="M119" s="2114"/>
      <c r="N119" s="1861"/>
      <c r="O119" s="1327"/>
      <c r="P119" s="1671"/>
      <c r="Q119" s="2115"/>
      <c r="R119" s="1327"/>
      <c r="S119" s="87" t="s">
        <v>116</v>
      </c>
      <c r="T119" s="91" t="str">
        <f ca="1">IF(OR(G119="", H119=""), "", IF(TODAY()&lt;G119, 0, IF(TODAY()&gt;H119, 1, (TODAY()-G119+1)/(H119-G119+1))))</f>
        <v/>
      </c>
      <c r="U119" s="287">
        <f>IFERROR(IF(AND(U$54&gt;=EOMONTH($J119,-1)+1,U$54&lt;=EOMONTH(EOMONTH($J119,-1)+1,$K119-1)),IF(NOT(ISBLANK($N119)),$N119/$K119,$I119/$K119),0),0)</f>
        <v>0</v>
      </c>
      <c r="V119" s="287">
        <f>IFERROR(IF(AND(V$54&gt;=EOMONTH($J119,-1)+1,V$54&lt;=EOMONTH(EOMONTH($J119,-1)+1,$K119-1)),IF(NOT(ISBLANK($N119)),$N119/$K119,$I119/$K119),0),0)</f>
        <v>0</v>
      </c>
      <c r="W119" s="287">
        <f>IFERROR(IF(AND(W$54&gt;=EOMONTH($J119,-1)+1,W$54&lt;=EOMONTH(EOMONTH($J119,-1)+1,$K119-1)),IF(NOT(ISBLANK($N119)),$N119/$K119,$I119/$K119),0),0)</f>
        <v>0</v>
      </c>
      <c r="X119" s="89">
        <f t="shared" si="110"/>
        <v>0</v>
      </c>
      <c r="Y119" s="287">
        <f>IFERROR(IF(AND(Y$54&gt;=EOMONTH($J119,-1)+1,Y$54&lt;=EOMONTH(EOMONTH($J119,-1)+1,$K119-1)),IF(NOT(ISBLANK($N119)),$N119/$K119,$I119/$K119),0),0)</f>
        <v>0</v>
      </c>
      <c r="Z119" s="287">
        <f>IFERROR(IF(AND(Z$54&gt;=EOMONTH($J119,-1)+1,Z$54&lt;=EOMONTH(EOMONTH($J119,-1)+1,$K119-1)),IF(NOT(ISBLANK($N119)),$N119/$K119,$I119/$K119),0),0)</f>
        <v>0</v>
      </c>
      <c r="AA119" s="287">
        <f>IFERROR(IF(AND(AA$54&gt;=EOMONTH($J119,-1)+1,AA$54&lt;=EOMONTH(EOMONTH($J119,-1)+1,$K119-1)),IF(NOT(ISBLANK($N119)),$N119/$K119,$I119/$K119),0),0)</f>
        <v>0</v>
      </c>
      <c r="AB119" s="89">
        <f t="shared" si="111"/>
        <v>0</v>
      </c>
      <c r="AC119" s="287">
        <f>IFERROR(IF(AND(AC$54&gt;=EOMONTH($J119,-1)+1,AC$54&lt;=EOMONTH(EOMONTH($J119,-1)+1,$K119-1)),IF(NOT(ISBLANK($N119)),$N119/$K119,$I119/$K119),0),0)</f>
        <v>0</v>
      </c>
      <c r="AD119" s="287">
        <f>IFERROR(IF(AND(AD$54&gt;=EOMONTH($J119,-1)+1,AD$54&lt;=EOMONTH(EOMONTH($J119,-1)+1,$K119-1)),IF(NOT(ISBLANK($N119)),$N119/$K119,$I119/$K119),0),0)</f>
        <v>0</v>
      </c>
      <c r="AE119" s="287">
        <f>IFERROR(IF(AND(AE$54&gt;=EOMONTH($J119,-1)+1,AE$54&lt;=EOMONTH(EOMONTH($J119,-1)+1,$K119-1)),IF(NOT(ISBLANK($N119)),$N119/$K119,$I119/$K119),0),0)</f>
        <v>0</v>
      </c>
      <c r="AF119" s="89">
        <f t="shared" si="112"/>
        <v>0</v>
      </c>
      <c r="AG119" s="287">
        <f>IFERROR(IF(AND(AG$54&gt;=EOMONTH($J119,-1)+1,AG$54&lt;=EOMONTH(EOMONTH($J119,-1)+1,$K119-1)),IF(NOT(ISBLANK($N119)),$N119/$K119,$I119/$K119),0),0)</f>
        <v>0</v>
      </c>
      <c r="AH119" s="287">
        <f>IFERROR(IF(AND(AH$54&gt;=EOMONTH($J119,-1)+1,AH$54&lt;=EOMONTH(EOMONTH($J119,-1)+1,$K119-1)),IF(NOT(ISBLANK($N119)),$N119/$K119,$I119/$K119),0),0)</f>
        <v>0</v>
      </c>
      <c r="AI119" s="287">
        <f>IFERROR(IF(AND(AI$54&gt;=EOMONTH($J119,-1)+1,AI$54&lt;=EOMONTH(EOMONTH($J119,-1)+1,$K119-1)),IF(NOT(ISBLANK($N119)),$N119/$K119,$I119/$K119),0),0)</f>
        <v>0</v>
      </c>
      <c r="AJ119" s="89">
        <f t="shared" si="113"/>
        <v>0</v>
      </c>
      <c r="AK119" s="90">
        <f t="shared" si="114"/>
        <v>0</v>
      </c>
      <c r="AL119" s="98"/>
      <c r="AM119" s="1370"/>
      <c r="AN119" s="1411"/>
      <c r="AO119" s="1405">
        <f>N119*AN119</f>
        <v>0</v>
      </c>
      <c r="AP119" s="98">
        <f>C119</f>
        <v>0</v>
      </c>
      <c r="AQ119" s="62" t="s">
        <v>311</v>
      </c>
      <c r="AR119" s="508" t="str" cm="1">
        <f t="array" aca="1" ref="AR119" ca="1">IF(OR(AP119="",AP119=0),"",IF(SUMPRODUCT(($C$55:$C$191=AP119)*(U$54:$AI$54&lt;EOMONTH(TODAY(),-1)+1)*(ISNUMBER(U$55:$AI$191)),U$55:$AI$191)=0,"",SUMPRODUCT(($C$55:$C$191=AP119)*(U$54:$AI$54&lt;EOMONTH(TODAY(),-1)+1)*(ISNUMBER(U$55:$AI$191)),U$55:$AI$191)))</f>
        <v/>
      </c>
      <c r="AS119" s="62">
        <f>A119</f>
        <v>0</v>
      </c>
      <c r="AU119" s="1566">
        <f t="shared" ref="AU119" si="125">IF(OR(I119="",K119=""),0,(I119/12)*K119)</f>
        <v>0</v>
      </c>
      <c r="AV119" s="1566">
        <f t="shared" ref="AV119" si="126">IF(OR(N119="",K119="",K119=0),0,(N119/K119)*12)</f>
        <v>0</v>
      </c>
    </row>
    <row r="120" spans="1:48" ht="45.75" customHeight="1" x14ac:dyDescent="0.3">
      <c r="A120" s="1381"/>
      <c r="B120" s="1692"/>
      <c r="C120" s="1483"/>
      <c r="D120" s="1487"/>
      <c r="E120" s="1369"/>
      <c r="F120" s="1371"/>
      <c r="G120" s="1373"/>
      <c r="H120" s="1373"/>
      <c r="I120" s="1355"/>
      <c r="J120" s="1379"/>
      <c r="K120" s="1390"/>
      <c r="L120" s="1355"/>
      <c r="M120" s="1460"/>
      <c r="N120" s="1392"/>
      <c r="O120" s="1328"/>
      <c r="P120" s="1672"/>
      <c r="Q120" s="2116"/>
      <c r="R120" s="1328"/>
      <c r="S120" s="87" t="s">
        <v>117</v>
      </c>
      <c r="T120" s="91"/>
      <c r="U120" s="287"/>
      <c r="V120" s="287"/>
      <c r="W120" s="287"/>
      <c r="X120" s="288">
        <f t="shared" si="110"/>
        <v>0</v>
      </c>
      <c r="Y120" s="287"/>
      <c r="Z120" s="287"/>
      <c r="AA120" s="287"/>
      <c r="AB120" s="288">
        <f t="shared" si="111"/>
        <v>0</v>
      </c>
      <c r="AC120" s="287"/>
      <c r="AD120" s="287"/>
      <c r="AE120" s="287"/>
      <c r="AF120" s="288">
        <f t="shared" si="112"/>
        <v>0</v>
      </c>
      <c r="AG120" s="287"/>
      <c r="AH120" s="287"/>
      <c r="AI120" s="287"/>
      <c r="AJ120" s="288">
        <f t="shared" si="113"/>
        <v>0</v>
      </c>
      <c r="AK120" s="289">
        <f t="shared" si="114"/>
        <v>0</v>
      </c>
      <c r="AL120" s="337"/>
      <c r="AM120" s="1371"/>
      <c r="AN120" s="1412"/>
      <c r="AO120" s="1406"/>
      <c r="AP120" s="92">
        <f>C119</f>
        <v>0</v>
      </c>
      <c r="AQ120" s="62" t="s">
        <v>313</v>
      </c>
      <c r="AR120" s="508" t="str" cm="1">
        <f t="array" aca="1" ref="AR120" ca="1">IF(OR(AP120="",AP120=0),"",IF(SUMPRODUCT(($C$55:$C$191=AP120)*(U$54:$AI$54&lt;EOMONTH(TODAY(),-1)+1)*(ISNUMBER(U$56:$AI$192)),U$56:$AI$192)=0,"",SUMPRODUCT(($C$55:$C$191=AP120)*(U$54:$AI$54&lt;EOMONTH(TODAY(),-1)+1)*(ISNUMBER(U$56:$AI$192)),U$56:$AI$192)))</f>
        <v/>
      </c>
      <c r="AS120" s="62">
        <f>A119</f>
        <v>0</v>
      </c>
      <c r="AU120" s="1567"/>
      <c r="AV120" s="1567"/>
    </row>
    <row r="121" spans="1:48" ht="29.1" customHeight="1" x14ac:dyDescent="0.3">
      <c r="A121" s="1380"/>
      <c r="B121" s="1691"/>
      <c r="C121" s="1482"/>
      <c r="D121" s="1486"/>
      <c r="E121" s="1368"/>
      <c r="F121" s="1370"/>
      <c r="G121" s="1372"/>
      <c r="H121" s="1372"/>
      <c r="I121" s="1354"/>
      <c r="J121" s="1376"/>
      <c r="K121" s="1389" t="str">
        <f>IF(J121="", "", 12 - MONTH(J121) + 1)</f>
        <v/>
      </c>
      <c r="L121" s="1354"/>
      <c r="M121" s="2114"/>
      <c r="N121" s="1861"/>
      <c r="O121" s="1327"/>
      <c r="P121" s="1671"/>
      <c r="Q121" s="2115"/>
      <c r="R121" s="1327"/>
      <c r="S121" s="87" t="s">
        <v>116</v>
      </c>
      <c r="T121" s="91" t="str">
        <f ca="1">IF(OR(G121="", H121=""), "", IF(TODAY()&lt;G121, 0, IF(TODAY()&gt;H121, 1, (TODAY()-G121+1)/(H121-G121+1))))</f>
        <v/>
      </c>
      <c r="U121" s="287">
        <f>IFERROR(IF(AND(U$54&gt;=EOMONTH($J121,-1)+1,U$54&lt;=EOMONTH(EOMONTH($J121,-1)+1,$K121-1)),IF(NOT(ISBLANK($N121)),$N121/$K121,$I121/$K121),0),0)</f>
        <v>0</v>
      </c>
      <c r="V121" s="287">
        <f>IFERROR(IF(AND(V$54&gt;=EOMONTH($J121,-1)+1,V$54&lt;=EOMONTH(EOMONTH($J121,-1)+1,$K121-1)),IF(NOT(ISBLANK($N121)),$N121/$K121,$I121/$K121),0),0)</f>
        <v>0</v>
      </c>
      <c r="W121" s="287">
        <f>IFERROR(IF(AND(W$54&gt;=EOMONTH($J121,-1)+1,W$54&lt;=EOMONTH(EOMONTH($J121,-1)+1,$K121-1)),IF(NOT(ISBLANK($N121)),$N121/$K121,$I121/$K121),0),0)</f>
        <v>0</v>
      </c>
      <c r="X121" s="89">
        <f t="shared" si="110"/>
        <v>0</v>
      </c>
      <c r="Y121" s="287">
        <f>IFERROR(IF(AND(Y$54&gt;=EOMONTH($J121,-1)+1,Y$54&lt;=EOMONTH(EOMONTH($J121,-1)+1,$K121-1)),IF(NOT(ISBLANK($N121)),$N121/$K121,$I121/$K121),0),0)</f>
        <v>0</v>
      </c>
      <c r="Z121" s="287">
        <f>IFERROR(IF(AND(Z$54&gt;=EOMONTH($J121,-1)+1,Z$54&lt;=EOMONTH(EOMONTH($J121,-1)+1,$K121-1)),IF(NOT(ISBLANK($N121)),$N121/$K121,$I121/$K121),0),0)</f>
        <v>0</v>
      </c>
      <c r="AA121" s="287">
        <f>IFERROR(IF(AND(AA$54&gt;=EOMONTH($J121,-1)+1,AA$54&lt;=EOMONTH(EOMONTH($J121,-1)+1,$K121-1)),IF(NOT(ISBLANK($N121)),$N121/$K121,$I121/$K121),0),0)</f>
        <v>0</v>
      </c>
      <c r="AB121" s="89">
        <f t="shared" si="111"/>
        <v>0</v>
      </c>
      <c r="AC121" s="287">
        <f>IFERROR(IF(AND(AC$54&gt;=EOMONTH($J121,-1)+1,AC$54&lt;=EOMONTH(EOMONTH($J121,-1)+1,$K121-1)),IF(NOT(ISBLANK($N121)),$N121/$K121,$I121/$K121),0),0)</f>
        <v>0</v>
      </c>
      <c r="AD121" s="287">
        <f>IFERROR(IF(AND(AD$54&gt;=EOMONTH($J121,-1)+1,AD$54&lt;=EOMONTH(EOMONTH($J121,-1)+1,$K121-1)),IF(NOT(ISBLANK($N121)),$N121/$K121,$I121/$K121),0),0)</f>
        <v>0</v>
      </c>
      <c r="AE121" s="287">
        <f>IFERROR(IF(AND(AE$54&gt;=EOMONTH($J121,-1)+1,AE$54&lt;=EOMONTH(EOMONTH($J121,-1)+1,$K121-1)),IF(NOT(ISBLANK($N121)),$N121/$K121,$I121/$K121),0),0)</f>
        <v>0</v>
      </c>
      <c r="AF121" s="89">
        <f t="shared" si="112"/>
        <v>0</v>
      </c>
      <c r="AG121" s="287">
        <f>IFERROR(IF(AND(AG$54&gt;=EOMONTH($J121,-1)+1,AG$54&lt;=EOMONTH(EOMONTH($J121,-1)+1,$K121-1)),IF(NOT(ISBLANK($N121)),$N121/$K121,$I121/$K121),0),0)</f>
        <v>0</v>
      </c>
      <c r="AH121" s="287">
        <f>IFERROR(IF(AND(AH$54&gt;=EOMONTH($J121,-1)+1,AH$54&lt;=EOMONTH(EOMONTH($J121,-1)+1,$K121-1)),IF(NOT(ISBLANK($N121)),$N121/$K121,$I121/$K121),0),0)</f>
        <v>0</v>
      </c>
      <c r="AI121" s="287">
        <f>IFERROR(IF(AND(AI$54&gt;=EOMONTH($J121,-1)+1,AI$54&lt;=EOMONTH(EOMONTH($J121,-1)+1,$K121-1)),IF(NOT(ISBLANK($N121)),$N121/$K121,$I121/$K121),0),0)</f>
        <v>0</v>
      </c>
      <c r="AJ121" s="89">
        <f t="shared" si="113"/>
        <v>0</v>
      </c>
      <c r="AK121" s="90">
        <f t="shared" si="114"/>
        <v>0</v>
      </c>
      <c r="AL121" s="98"/>
      <c r="AM121" s="1370"/>
      <c r="AN121" s="1411"/>
      <c r="AO121" s="1405">
        <f>N121*AN121</f>
        <v>0</v>
      </c>
      <c r="AP121" s="98">
        <f>C121</f>
        <v>0</v>
      </c>
      <c r="AQ121" s="62" t="s">
        <v>311</v>
      </c>
      <c r="AR121" s="508" t="str" cm="1">
        <f t="array" aca="1" ref="AR121" ca="1">IF(OR(AP121="",AP121=0),"",IF(SUMPRODUCT(($C$55:$C$191=AP121)*(U$54:$AI$54&lt;EOMONTH(TODAY(),-1)+1)*(ISNUMBER(U$55:$AI$191)),U$55:$AI$191)=0,"",SUMPRODUCT(($C$55:$C$191=AP121)*(U$54:$AI$54&lt;EOMONTH(TODAY(),-1)+1)*(ISNUMBER(U$55:$AI$191)),U$55:$AI$191)))</f>
        <v/>
      </c>
      <c r="AS121" s="62">
        <f>A121</f>
        <v>0</v>
      </c>
      <c r="AU121" s="1566">
        <f t="shared" ref="AU121" si="127">IF(OR(I121="",K121=""),0,(I121/12)*K121)</f>
        <v>0</v>
      </c>
      <c r="AV121" s="1566">
        <f t="shared" ref="AV121" si="128">IF(OR(N121="",K121="",K121=0),0,(N121/K121)*12)</f>
        <v>0</v>
      </c>
    </row>
    <row r="122" spans="1:48" ht="45.75" customHeight="1" x14ac:dyDescent="0.3">
      <c r="A122" s="1381"/>
      <c r="B122" s="1692"/>
      <c r="C122" s="1483"/>
      <c r="D122" s="1487"/>
      <c r="E122" s="1369"/>
      <c r="F122" s="1371"/>
      <c r="G122" s="1373"/>
      <c r="H122" s="1373"/>
      <c r="I122" s="1355"/>
      <c r="J122" s="1377"/>
      <c r="K122" s="1390"/>
      <c r="L122" s="1355"/>
      <c r="M122" s="1460"/>
      <c r="N122" s="1392"/>
      <c r="O122" s="1328"/>
      <c r="P122" s="1672"/>
      <c r="Q122" s="2116"/>
      <c r="R122" s="1328"/>
      <c r="S122" s="87" t="s">
        <v>117</v>
      </c>
      <c r="T122" s="91"/>
      <c r="U122" s="287"/>
      <c r="V122" s="287"/>
      <c r="W122" s="287"/>
      <c r="X122" s="288">
        <f t="shared" si="110"/>
        <v>0</v>
      </c>
      <c r="Y122" s="287"/>
      <c r="Z122" s="287"/>
      <c r="AA122" s="287"/>
      <c r="AB122" s="288">
        <f t="shared" si="111"/>
        <v>0</v>
      </c>
      <c r="AC122" s="287"/>
      <c r="AD122" s="287"/>
      <c r="AE122" s="287"/>
      <c r="AF122" s="288">
        <f t="shared" si="112"/>
        <v>0</v>
      </c>
      <c r="AG122" s="287"/>
      <c r="AH122" s="287"/>
      <c r="AI122" s="287"/>
      <c r="AJ122" s="288">
        <f t="shared" si="113"/>
        <v>0</v>
      </c>
      <c r="AK122" s="289">
        <f t="shared" si="114"/>
        <v>0</v>
      </c>
      <c r="AL122" s="337"/>
      <c r="AM122" s="1371"/>
      <c r="AN122" s="1412"/>
      <c r="AO122" s="1406"/>
      <c r="AP122" s="92">
        <f>C121</f>
        <v>0</v>
      </c>
      <c r="AQ122" s="62" t="s">
        <v>313</v>
      </c>
      <c r="AR122" s="508" t="str" cm="1">
        <f t="array" aca="1" ref="AR122" ca="1">IF(OR(AP122="",AP122=0),"",IF(SUMPRODUCT(($C$55:$C$191=AP122)*(U$54:$AI$54&lt;EOMONTH(TODAY(),-1)+1)*(ISNUMBER(U$56:$AI$192)),U$56:$AI$192)=0,"",SUMPRODUCT(($C$55:$C$191=AP122)*(U$54:$AI$54&lt;EOMONTH(TODAY(),-1)+1)*(ISNUMBER(U$56:$AI$192)),U$56:$AI$192)))</f>
        <v/>
      </c>
      <c r="AS122" s="62">
        <f>A121</f>
        <v>0</v>
      </c>
      <c r="AU122" s="1567"/>
      <c r="AV122" s="1567"/>
    </row>
    <row r="123" spans="1:48" ht="29.1" customHeight="1" x14ac:dyDescent="0.3">
      <c r="A123" s="1380"/>
      <c r="B123" s="1691"/>
      <c r="C123" s="1482"/>
      <c r="D123" s="1486"/>
      <c r="E123" s="1368"/>
      <c r="F123" s="1370"/>
      <c r="G123" s="1372"/>
      <c r="H123" s="1372"/>
      <c r="I123" s="1354"/>
      <c r="J123" s="1376"/>
      <c r="K123" s="1389" t="str">
        <f>IF(J123="", "", 12 - MONTH(J123) + 1)</f>
        <v/>
      </c>
      <c r="L123" s="1354"/>
      <c r="M123" s="2114"/>
      <c r="N123" s="1861"/>
      <c r="O123" s="1327"/>
      <c r="P123" s="1671"/>
      <c r="Q123" s="2115"/>
      <c r="R123" s="1327"/>
      <c r="S123" s="87" t="s">
        <v>116</v>
      </c>
      <c r="T123" s="91" t="str">
        <f ca="1">IF(OR(G123="", H123=""), "", IF(TODAY()&lt;G123, 0, IF(TODAY()&gt;H123, 1, (TODAY()-G123+1)/(H123-G123+1))))</f>
        <v/>
      </c>
      <c r="U123" s="287">
        <f>IFERROR(IF(AND(U$54&gt;=EOMONTH($J123,-1)+1,U$54&lt;=EOMONTH(EOMONTH($J123,-1)+1,$K123-1)),IF(NOT(ISBLANK($N123)),$N123/$K123,$I123/$K123),0),0)</f>
        <v>0</v>
      </c>
      <c r="V123" s="287">
        <f>IFERROR(IF(AND(V$54&gt;=EOMONTH($J123,-1)+1,V$54&lt;=EOMONTH(EOMONTH($J123,-1)+1,$K123-1)),IF(NOT(ISBLANK($N123)),$N123/$K123,$I123/$K123),0),0)</f>
        <v>0</v>
      </c>
      <c r="W123" s="287">
        <f>IFERROR(IF(AND(W$54&gt;=EOMONTH($J123,-1)+1,W$54&lt;=EOMONTH(EOMONTH($J123,-1)+1,$K123-1)),IF(NOT(ISBLANK($N123)),$N123/$K123,$I123/$K123),0),0)</f>
        <v>0</v>
      </c>
      <c r="X123" s="89">
        <f t="shared" si="110"/>
        <v>0</v>
      </c>
      <c r="Y123" s="287">
        <f>IFERROR(IF(AND(Y$54&gt;=EOMONTH($J123,-1)+1,Y$54&lt;=EOMONTH(EOMONTH($J123,-1)+1,$K123-1)),IF(NOT(ISBLANK($N123)),$N123/$K123,$I123/$K123),0),0)</f>
        <v>0</v>
      </c>
      <c r="Z123" s="287">
        <f>IFERROR(IF(AND(Z$54&gt;=EOMONTH($J123,-1)+1,Z$54&lt;=EOMONTH(EOMONTH($J123,-1)+1,$K123-1)),IF(NOT(ISBLANK($N123)),$N123/$K123,$I123/$K123),0),0)</f>
        <v>0</v>
      </c>
      <c r="AA123" s="287">
        <f>IFERROR(IF(AND(AA$54&gt;=EOMONTH($J123,-1)+1,AA$54&lt;=EOMONTH(EOMONTH($J123,-1)+1,$K123-1)),IF(NOT(ISBLANK($N123)),$N123/$K123,$I123/$K123),0),0)</f>
        <v>0</v>
      </c>
      <c r="AB123" s="89">
        <f t="shared" si="111"/>
        <v>0</v>
      </c>
      <c r="AC123" s="287">
        <f>IFERROR(IF(AND(AC$54&gt;=EOMONTH($J123,-1)+1,AC$54&lt;=EOMONTH(EOMONTH($J123,-1)+1,$K123-1)),IF(NOT(ISBLANK($N123)),$N123/$K123,$I123/$K123),0),0)</f>
        <v>0</v>
      </c>
      <c r="AD123" s="287">
        <f>IFERROR(IF(AND(AD$54&gt;=EOMONTH($J123,-1)+1,AD$54&lt;=EOMONTH(EOMONTH($J123,-1)+1,$K123-1)),IF(NOT(ISBLANK($N123)),$N123/$K123,$I123/$K123),0),0)</f>
        <v>0</v>
      </c>
      <c r="AE123" s="287">
        <f>IFERROR(IF(AND(AE$54&gt;=EOMONTH($J123,-1)+1,AE$54&lt;=EOMONTH(EOMONTH($J123,-1)+1,$K123-1)),IF(NOT(ISBLANK($N123)),$N123/$K123,$I123/$K123),0),0)</f>
        <v>0</v>
      </c>
      <c r="AF123" s="89">
        <f t="shared" si="112"/>
        <v>0</v>
      </c>
      <c r="AG123" s="287">
        <f>IFERROR(IF(AND(AG$54&gt;=EOMONTH($J123,-1)+1,AG$54&lt;=EOMONTH(EOMONTH($J123,-1)+1,$K123-1)),IF(NOT(ISBLANK($N123)),$N123/$K123,$I123/$K123),0),0)</f>
        <v>0</v>
      </c>
      <c r="AH123" s="287">
        <f>IFERROR(IF(AND(AH$54&gt;=EOMONTH($J123,-1)+1,AH$54&lt;=EOMONTH(EOMONTH($J123,-1)+1,$K123-1)),IF(NOT(ISBLANK($N123)),$N123/$K123,$I123/$K123),0),0)</f>
        <v>0</v>
      </c>
      <c r="AI123" s="287">
        <f>IFERROR(IF(AND(AI$54&gt;=EOMONTH($J123,-1)+1,AI$54&lt;=EOMONTH(EOMONTH($J123,-1)+1,$K123-1)),IF(NOT(ISBLANK($N123)),$N123/$K123,$I123/$K123),0),0)</f>
        <v>0</v>
      </c>
      <c r="AJ123" s="89">
        <f t="shared" si="113"/>
        <v>0</v>
      </c>
      <c r="AK123" s="90">
        <f t="shared" si="114"/>
        <v>0</v>
      </c>
      <c r="AL123" s="98"/>
      <c r="AM123" s="1370"/>
      <c r="AN123" s="1411"/>
      <c r="AO123" s="1405">
        <f>N123*AN123</f>
        <v>0</v>
      </c>
      <c r="AP123" s="98">
        <f>C123</f>
        <v>0</v>
      </c>
      <c r="AQ123" s="62" t="s">
        <v>311</v>
      </c>
      <c r="AR123" s="508" t="str" cm="1">
        <f t="array" aca="1" ref="AR123" ca="1">IF(OR(AP123="",AP123=0),"",IF(SUMPRODUCT(($C$55:$C$191=AP123)*(U$54:$AI$54&lt;EOMONTH(TODAY(),-1)+1)*(ISNUMBER(U$55:$AI$191)),U$55:$AI$191)=0,"",SUMPRODUCT(($C$55:$C$191=AP123)*(U$54:$AI$54&lt;EOMONTH(TODAY(),-1)+1)*(ISNUMBER(U$55:$AI$191)),U$55:$AI$191)))</f>
        <v/>
      </c>
      <c r="AS123" s="62">
        <f>A123</f>
        <v>0</v>
      </c>
      <c r="AU123" s="1566">
        <f t="shared" ref="AU123" si="129">IF(OR(I123="",K123=""),0,(I123/12)*K123)</f>
        <v>0</v>
      </c>
      <c r="AV123" s="1566">
        <f t="shared" ref="AV123" si="130">IF(OR(N123="",K123="",K123=0),0,(N123/K123)*12)</f>
        <v>0</v>
      </c>
    </row>
    <row r="124" spans="1:48" ht="45.75" customHeight="1" x14ac:dyDescent="0.3">
      <c r="A124" s="1381"/>
      <c r="B124" s="1692"/>
      <c r="C124" s="1483"/>
      <c r="D124" s="1487"/>
      <c r="E124" s="1369"/>
      <c r="F124" s="1371"/>
      <c r="G124" s="1373"/>
      <c r="H124" s="1373"/>
      <c r="I124" s="1355"/>
      <c r="J124" s="1377"/>
      <c r="K124" s="1390"/>
      <c r="L124" s="1355"/>
      <c r="M124" s="1460"/>
      <c r="N124" s="1392"/>
      <c r="O124" s="1328"/>
      <c r="P124" s="1672"/>
      <c r="Q124" s="2116"/>
      <c r="R124" s="1328"/>
      <c r="S124" s="87" t="s">
        <v>117</v>
      </c>
      <c r="T124" s="91"/>
      <c r="U124" s="287"/>
      <c r="V124" s="287"/>
      <c r="W124" s="287"/>
      <c r="X124" s="288">
        <f t="shared" si="110"/>
        <v>0</v>
      </c>
      <c r="Y124" s="287"/>
      <c r="Z124" s="287"/>
      <c r="AA124" s="287"/>
      <c r="AB124" s="288">
        <f t="shared" si="111"/>
        <v>0</v>
      </c>
      <c r="AC124" s="287"/>
      <c r="AD124" s="287"/>
      <c r="AE124" s="287"/>
      <c r="AF124" s="288">
        <f t="shared" si="112"/>
        <v>0</v>
      </c>
      <c r="AG124" s="287"/>
      <c r="AH124" s="287"/>
      <c r="AI124" s="287"/>
      <c r="AJ124" s="288">
        <f t="shared" si="113"/>
        <v>0</v>
      </c>
      <c r="AK124" s="289">
        <f t="shared" si="114"/>
        <v>0</v>
      </c>
      <c r="AL124" s="337"/>
      <c r="AM124" s="1371"/>
      <c r="AN124" s="1412"/>
      <c r="AO124" s="1406"/>
      <c r="AP124" s="92">
        <f>C123</f>
        <v>0</v>
      </c>
      <c r="AQ124" s="62" t="s">
        <v>313</v>
      </c>
      <c r="AR124" s="508" t="str" cm="1">
        <f t="array" aca="1" ref="AR124" ca="1">IF(OR(AP124="",AP124=0),"",IF(SUMPRODUCT(($C$55:$C$191=AP124)*(U$54:$AI$54&lt;EOMONTH(TODAY(),-1)+1)*(ISNUMBER(U$56:$AI$192)),U$56:$AI$192)=0,"",SUMPRODUCT(($C$55:$C$191=AP124)*(U$54:$AI$54&lt;EOMONTH(TODAY(),-1)+1)*(ISNUMBER(U$56:$AI$192)),U$56:$AI$192)))</f>
        <v/>
      </c>
      <c r="AS124" s="62">
        <f>A123</f>
        <v>0</v>
      </c>
      <c r="AU124" s="1567"/>
      <c r="AV124" s="1567"/>
    </row>
    <row r="125" spans="1:48" ht="29.1" customHeight="1" x14ac:dyDescent="0.3">
      <c r="A125" s="1380"/>
      <c r="B125" s="1691"/>
      <c r="C125" s="1482"/>
      <c r="D125" s="1486"/>
      <c r="E125" s="1368"/>
      <c r="F125" s="1370"/>
      <c r="G125" s="1372"/>
      <c r="H125" s="1372"/>
      <c r="I125" s="1354"/>
      <c r="J125" s="1376"/>
      <c r="K125" s="1389" t="str">
        <f>IF(J125="", "", 12 - MONTH(J125) + 1)</f>
        <v/>
      </c>
      <c r="L125" s="1354"/>
      <c r="M125" s="2114"/>
      <c r="N125" s="1861"/>
      <c r="O125" s="1327"/>
      <c r="P125" s="1671"/>
      <c r="Q125" s="2115"/>
      <c r="R125" s="1327"/>
      <c r="S125" s="87" t="s">
        <v>116</v>
      </c>
      <c r="T125" s="91" t="str">
        <f ca="1">IF(OR(G125="", H125=""), "", IF(TODAY()&lt;G125, 0, IF(TODAY()&gt;H125, 1, (TODAY()-G125+1)/(H125-G125+1))))</f>
        <v/>
      </c>
      <c r="U125" s="287">
        <f>IFERROR(IF(AND(U$54&gt;=EOMONTH($J125,-1)+1,U$54&lt;=EOMONTH(EOMONTH($J125,-1)+1,$K125-1)),IF(NOT(ISBLANK($N125)),$N125/$K125,$I125/$K125),0),0)</f>
        <v>0</v>
      </c>
      <c r="V125" s="287">
        <f>IFERROR(IF(AND(V$54&gt;=EOMONTH($J125,-1)+1,V$54&lt;=EOMONTH(EOMONTH($J125,-1)+1,$K125-1)),IF(NOT(ISBLANK($N125)),$N125/$K125,$I125/$K125),0),0)</f>
        <v>0</v>
      </c>
      <c r="W125" s="287">
        <f>IFERROR(IF(AND(W$54&gt;=EOMONTH($J125,-1)+1,W$54&lt;=EOMONTH(EOMONTH($J125,-1)+1,$K125-1)),IF(NOT(ISBLANK($N125)),$N125/$K125,$I125/$K125),0),0)</f>
        <v>0</v>
      </c>
      <c r="X125" s="89">
        <f t="shared" si="110"/>
        <v>0</v>
      </c>
      <c r="Y125" s="287">
        <f>IFERROR(IF(AND(Y$54&gt;=EOMONTH($J125,-1)+1,Y$54&lt;=EOMONTH(EOMONTH($J125,-1)+1,$K125-1)),IF(NOT(ISBLANK($N125)),$N125/$K125,$I125/$K125),0),0)</f>
        <v>0</v>
      </c>
      <c r="Z125" s="287">
        <f>IFERROR(IF(AND(Z$54&gt;=EOMONTH($J125,-1)+1,Z$54&lt;=EOMONTH(EOMONTH($J125,-1)+1,$K125-1)),IF(NOT(ISBLANK($N125)),$N125/$K125,$I125/$K125),0),0)</f>
        <v>0</v>
      </c>
      <c r="AA125" s="287">
        <f>IFERROR(IF(AND(AA$54&gt;=EOMONTH($J125,-1)+1,AA$54&lt;=EOMONTH(EOMONTH($J125,-1)+1,$K125-1)),IF(NOT(ISBLANK($N125)),$N125/$K125,$I125/$K125),0),0)</f>
        <v>0</v>
      </c>
      <c r="AB125" s="89">
        <f t="shared" si="111"/>
        <v>0</v>
      </c>
      <c r="AC125" s="287">
        <f>IFERROR(IF(AND(AC$54&gt;=EOMONTH($J125,-1)+1,AC$54&lt;=EOMONTH(EOMONTH($J125,-1)+1,$K125-1)),IF(NOT(ISBLANK($N125)),$N125/$K125,$I125/$K125),0),0)</f>
        <v>0</v>
      </c>
      <c r="AD125" s="287">
        <f>IFERROR(IF(AND(AD$54&gt;=EOMONTH($J125,-1)+1,AD$54&lt;=EOMONTH(EOMONTH($J125,-1)+1,$K125-1)),IF(NOT(ISBLANK($N125)),$N125/$K125,$I125/$K125),0),0)</f>
        <v>0</v>
      </c>
      <c r="AE125" s="287">
        <f>IFERROR(IF(AND(AE$54&gt;=EOMONTH($J125,-1)+1,AE$54&lt;=EOMONTH(EOMONTH($J125,-1)+1,$K125-1)),IF(NOT(ISBLANK($N125)),$N125/$K125,$I125/$K125),0),0)</f>
        <v>0</v>
      </c>
      <c r="AF125" s="89">
        <f t="shared" si="112"/>
        <v>0</v>
      </c>
      <c r="AG125" s="287">
        <f>IFERROR(IF(AND(AG$54&gt;=EOMONTH($J125,-1)+1,AG$54&lt;=EOMONTH(EOMONTH($J125,-1)+1,$K125-1)),IF(NOT(ISBLANK($N125)),$N125/$K125,$I125/$K125),0),0)</f>
        <v>0</v>
      </c>
      <c r="AH125" s="287">
        <f>IFERROR(IF(AND(AH$54&gt;=EOMONTH($J125,-1)+1,AH$54&lt;=EOMONTH(EOMONTH($J125,-1)+1,$K125-1)),IF(NOT(ISBLANK($N125)),$N125/$K125,$I125/$K125),0),0)</f>
        <v>0</v>
      </c>
      <c r="AI125" s="287">
        <f>IFERROR(IF(AND(AI$54&gt;=EOMONTH($J125,-1)+1,AI$54&lt;=EOMONTH(EOMONTH($J125,-1)+1,$K125-1)),IF(NOT(ISBLANK($N125)),$N125/$K125,$I125/$K125),0),0)</f>
        <v>0</v>
      </c>
      <c r="AJ125" s="89">
        <f t="shared" si="113"/>
        <v>0</v>
      </c>
      <c r="AK125" s="90">
        <f t="shared" si="114"/>
        <v>0</v>
      </c>
      <c r="AL125" s="98"/>
      <c r="AM125" s="1370"/>
      <c r="AN125" s="1411"/>
      <c r="AO125" s="1405">
        <f>N125*AN125</f>
        <v>0</v>
      </c>
      <c r="AP125" s="98">
        <f>C125</f>
        <v>0</v>
      </c>
      <c r="AQ125" s="62" t="s">
        <v>311</v>
      </c>
      <c r="AR125" s="508" t="str" cm="1">
        <f t="array" aca="1" ref="AR125" ca="1">IF(OR(AP125="",AP125=0),"",IF(SUMPRODUCT(($C$55:$C$191=AP125)*(U$54:$AI$54&lt;EOMONTH(TODAY(),-1)+1)*(ISNUMBER(U$55:$AI$191)),U$55:$AI$191)=0,"",SUMPRODUCT(($C$55:$C$191=AP125)*(U$54:$AI$54&lt;EOMONTH(TODAY(),-1)+1)*(ISNUMBER(U$55:$AI$191)),U$55:$AI$191)))</f>
        <v/>
      </c>
      <c r="AS125" s="62">
        <f>A125</f>
        <v>0</v>
      </c>
      <c r="AU125" s="1566">
        <f t="shared" ref="AU125" si="131">IF(OR(I125="",K125=""),0,(I125/12)*K125)</f>
        <v>0</v>
      </c>
      <c r="AV125" s="1566">
        <f t="shared" ref="AV125" si="132">IF(OR(N125="",K125="",K125=0),0,(N125/K125)*12)</f>
        <v>0</v>
      </c>
    </row>
    <row r="126" spans="1:48" ht="45.75" customHeight="1" x14ac:dyDescent="0.3">
      <c r="A126" s="1381"/>
      <c r="B126" s="1692"/>
      <c r="C126" s="1483"/>
      <c r="D126" s="1487"/>
      <c r="E126" s="1369"/>
      <c r="F126" s="1371"/>
      <c r="G126" s="1373"/>
      <c r="H126" s="1373"/>
      <c r="I126" s="1355"/>
      <c r="J126" s="1377"/>
      <c r="K126" s="1390"/>
      <c r="L126" s="1355"/>
      <c r="M126" s="1460"/>
      <c r="N126" s="1392"/>
      <c r="O126" s="1328"/>
      <c r="P126" s="1672"/>
      <c r="Q126" s="2116"/>
      <c r="R126" s="1328"/>
      <c r="S126" s="87" t="s">
        <v>117</v>
      </c>
      <c r="T126" s="91"/>
      <c r="U126" s="287"/>
      <c r="V126" s="287"/>
      <c r="W126" s="287"/>
      <c r="X126" s="288">
        <f t="shared" si="110"/>
        <v>0</v>
      </c>
      <c r="Y126" s="287"/>
      <c r="Z126" s="287"/>
      <c r="AA126" s="287"/>
      <c r="AB126" s="288">
        <f t="shared" si="111"/>
        <v>0</v>
      </c>
      <c r="AC126" s="287"/>
      <c r="AD126" s="287"/>
      <c r="AE126" s="287"/>
      <c r="AF126" s="288">
        <f t="shared" si="112"/>
        <v>0</v>
      </c>
      <c r="AG126" s="287"/>
      <c r="AH126" s="287"/>
      <c r="AI126" s="287"/>
      <c r="AJ126" s="288">
        <f t="shared" si="113"/>
        <v>0</v>
      </c>
      <c r="AK126" s="289">
        <f t="shared" si="114"/>
        <v>0</v>
      </c>
      <c r="AL126" s="337"/>
      <c r="AM126" s="1371"/>
      <c r="AN126" s="1412"/>
      <c r="AO126" s="1406"/>
      <c r="AP126" s="92">
        <f>C125</f>
        <v>0</v>
      </c>
      <c r="AQ126" s="62" t="s">
        <v>313</v>
      </c>
      <c r="AR126" s="508" t="str" cm="1">
        <f t="array" aca="1" ref="AR126" ca="1">IF(OR(AP126="",AP126=0),"",IF(SUMPRODUCT(($C$55:$C$191=AP126)*(U$54:$AI$54&lt;EOMONTH(TODAY(),-1)+1)*(ISNUMBER(U$56:$AI$192)),U$56:$AI$192)=0,"",SUMPRODUCT(($C$55:$C$191=AP126)*(U$54:$AI$54&lt;EOMONTH(TODAY(),-1)+1)*(ISNUMBER(U$56:$AI$192)),U$56:$AI$192)))</f>
        <v/>
      </c>
      <c r="AS126" s="62">
        <f>A125</f>
        <v>0</v>
      </c>
      <c r="AU126" s="1567"/>
      <c r="AV126" s="1567"/>
    </row>
    <row r="127" spans="1:48" ht="29.1" customHeight="1" x14ac:dyDescent="0.3">
      <c r="A127" s="1380"/>
      <c r="B127" s="1691"/>
      <c r="C127" s="1482"/>
      <c r="D127" s="1486"/>
      <c r="E127" s="1368"/>
      <c r="F127" s="1370"/>
      <c r="G127" s="1372"/>
      <c r="H127" s="1372"/>
      <c r="I127" s="1354"/>
      <c r="J127" s="1376"/>
      <c r="K127" s="1389" t="str">
        <f>IF(J127="", "", 12 - MONTH(J127) + 1)</f>
        <v/>
      </c>
      <c r="L127" s="1354"/>
      <c r="M127" s="2114"/>
      <c r="N127" s="1861"/>
      <c r="O127" s="1327"/>
      <c r="P127" s="1671"/>
      <c r="Q127" s="2115"/>
      <c r="R127" s="1327"/>
      <c r="S127" s="87" t="s">
        <v>116</v>
      </c>
      <c r="T127" s="91" t="str">
        <f ca="1">IF(OR(G127="", H127=""), "", IF(TODAY()&lt;G127, 0, IF(TODAY()&gt;H127, 1, (TODAY()-G127+1)/(H127-G127+1))))</f>
        <v/>
      </c>
      <c r="U127" s="287">
        <f>IFERROR(IF(AND(U$54&gt;=EOMONTH($J127,-1)+1,U$54&lt;=EOMONTH(EOMONTH($J127,-1)+1,$K127-1)),IF(NOT(ISBLANK($N127)),$N127/$K127,$I127/$K127),0),0)</f>
        <v>0</v>
      </c>
      <c r="V127" s="287">
        <f>IFERROR(IF(AND(V$54&gt;=EOMONTH($J127,-1)+1,V$54&lt;=EOMONTH(EOMONTH($J127,-1)+1,$K127-1)),IF(NOT(ISBLANK($N127)),$N127/$K127,$I127/$K127),0),0)</f>
        <v>0</v>
      </c>
      <c r="W127" s="287">
        <f>IFERROR(IF(AND(W$54&gt;=EOMONTH($J127,-1)+1,W$54&lt;=EOMONTH(EOMONTH($J127,-1)+1,$K127-1)),IF(NOT(ISBLANK($N127)),$N127/$K127,$I127/$K127),0),0)</f>
        <v>0</v>
      </c>
      <c r="X127" s="89">
        <f t="shared" si="110"/>
        <v>0</v>
      </c>
      <c r="Y127" s="287">
        <f>IFERROR(IF(AND(Y$54&gt;=EOMONTH($J127,-1)+1,Y$54&lt;=EOMONTH(EOMONTH($J127,-1)+1,$K127-1)),IF(NOT(ISBLANK($N127)),$N127/$K127,$I127/$K127),0),0)</f>
        <v>0</v>
      </c>
      <c r="Z127" s="287">
        <f>IFERROR(IF(AND(Z$54&gt;=EOMONTH($J127,-1)+1,Z$54&lt;=EOMONTH(EOMONTH($J127,-1)+1,$K127-1)),IF(NOT(ISBLANK($N127)),$N127/$K127,$I127/$K127),0),0)</f>
        <v>0</v>
      </c>
      <c r="AA127" s="287">
        <f>IFERROR(IF(AND(AA$54&gt;=EOMONTH($J127,-1)+1,AA$54&lt;=EOMONTH(EOMONTH($J127,-1)+1,$K127-1)),IF(NOT(ISBLANK($N127)),$N127/$K127,$I127/$K127),0),0)</f>
        <v>0</v>
      </c>
      <c r="AB127" s="89">
        <f t="shared" si="111"/>
        <v>0</v>
      </c>
      <c r="AC127" s="287">
        <f>IFERROR(IF(AND(AC$54&gt;=EOMONTH($J127,-1)+1,AC$54&lt;=EOMONTH(EOMONTH($J127,-1)+1,$K127-1)),IF(NOT(ISBLANK($N127)),$N127/$K127,$I127/$K127),0),0)</f>
        <v>0</v>
      </c>
      <c r="AD127" s="287">
        <f>IFERROR(IF(AND(AD$54&gt;=EOMONTH($J127,-1)+1,AD$54&lt;=EOMONTH(EOMONTH($J127,-1)+1,$K127-1)),IF(NOT(ISBLANK($N127)),$N127/$K127,$I127/$K127),0),0)</f>
        <v>0</v>
      </c>
      <c r="AE127" s="287">
        <f>IFERROR(IF(AND(AE$54&gt;=EOMONTH($J127,-1)+1,AE$54&lt;=EOMONTH(EOMONTH($J127,-1)+1,$K127-1)),IF(NOT(ISBLANK($N127)),$N127/$K127,$I127/$K127),0),0)</f>
        <v>0</v>
      </c>
      <c r="AF127" s="89">
        <f t="shared" si="112"/>
        <v>0</v>
      </c>
      <c r="AG127" s="287">
        <f>IFERROR(IF(AND(AG$54&gt;=EOMONTH($J127,-1)+1,AG$54&lt;=EOMONTH(EOMONTH($J127,-1)+1,$K127-1)),IF(NOT(ISBLANK($N127)),$N127/$K127,$I127/$K127),0),0)</f>
        <v>0</v>
      </c>
      <c r="AH127" s="287">
        <f>IFERROR(IF(AND(AH$54&gt;=EOMONTH($J127,-1)+1,AH$54&lt;=EOMONTH(EOMONTH($J127,-1)+1,$K127-1)),IF(NOT(ISBLANK($N127)),$N127/$K127,$I127/$K127),0),0)</f>
        <v>0</v>
      </c>
      <c r="AI127" s="287">
        <f>IFERROR(IF(AND(AI$54&gt;=EOMONTH($J127,-1)+1,AI$54&lt;=EOMONTH(EOMONTH($J127,-1)+1,$K127-1)),IF(NOT(ISBLANK($N127)),$N127/$K127,$I127/$K127),0),0)</f>
        <v>0</v>
      </c>
      <c r="AJ127" s="89">
        <f t="shared" si="113"/>
        <v>0</v>
      </c>
      <c r="AK127" s="90">
        <f t="shared" si="114"/>
        <v>0</v>
      </c>
      <c r="AL127" s="98"/>
      <c r="AM127" s="1370"/>
      <c r="AN127" s="1411"/>
      <c r="AO127" s="1405">
        <f>N127*AN127</f>
        <v>0</v>
      </c>
      <c r="AP127" s="98">
        <f>C127</f>
        <v>0</v>
      </c>
      <c r="AQ127" s="62" t="s">
        <v>311</v>
      </c>
      <c r="AR127" s="508" t="str" cm="1">
        <f t="array" aca="1" ref="AR127" ca="1">IF(OR(AP127="",AP127=0),"",IF(SUMPRODUCT(($C$55:$C$191=AP127)*(U$54:$AI$54&lt;EOMONTH(TODAY(),-1)+1)*(ISNUMBER(U$55:$AI$191)),U$55:$AI$191)=0,"",SUMPRODUCT(($C$55:$C$191=AP127)*(U$54:$AI$54&lt;EOMONTH(TODAY(),-1)+1)*(ISNUMBER(U$55:$AI$191)),U$55:$AI$191)))</f>
        <v/>
      </c>
      <c r="AS127" s="62">
        <f>A127</f>
        <v>0</v>
      </c>
      <c r="AU127" s="1566">
        <f t="shared" ref="AU127" si="133">IF(OR(I127="",K127=""),0,(I127/12)*K127)</f>
        <v>0</v>
      </c>
      <c r="AV127" s="1566">
        <f t="shared" ref="AV127" si="134">IF(OR(N127="",K127="",K127=0),0,(N127/K127)*12)</f>
        <v>0</v>
      </c>
    </row>
    <row r="128" spans="1:48" ht="45.75" customHeight="1" x14ac:dyDescent="0.3">
      <c r="A128" s="1381"/>
      <c r="B128" s="1692"/>
      <c r="C128" s="1483"/>
      <c r="D128" s="1487"/>
      <c r="E128" s="1369"/>
      <c r="F128" s="1371"/>
      <c r="G128" s="1373"/>
      <c r="H128" s="1373"/>
      <c r="I128" s="1355"/>
      <c r="J128" s="1377"/>
      <c r="K128" s="1390"/>
      <c r="L128" s="1355"/>
      <c r="M128" s="1460"/>
      <c r="N128" s="1392"/>
      <c r="O128" s="1328"/>
      <c r="P128" s="1672"/>
      <c r="Q128" s="2116"/>
      <c r="R128" s="1328"/>
      <c r="S128" s="87" t="s">
        <v>117</v>
      </c>
      <c r="T128" s="91"/>
      <c r="U128" s="287"/>
      <c r="V128" s="287"/>
      <c r="W128" s="287"/>
      <c r="X128" s="288">
        <f t="shared" si="110"/>
        <v>0</v>
      </c>
      <c r="Y128" s="287"/>
      <c r="Z128" s="287"/>
      <c r="AA128" s="287"/>
      <c r="AB128" s="288">
        <f t="shared" si="111"/>
        <v>0</v>
      </c>
      <c r="AC128" s="287"/>
      <c r="AD128" s="287"/>
      <c r="AE128" s="287"/>
      <c r="AF128" s="288">
        <f t="shared" si="112"/>
        <v>0</v>
      </c>
      <c r="AG128" s="287"/>
      <c r="AH128" s="287"/>
      <c r="AI128" s="287"/>
      <c r="AJ128" s="288">
        <f t="shared" si="113"/>
        <v>0</v>
      </c>
      <c r="AK128" s="289">
        <f t="shared" si="114"/>
        <v>0</v>
      </c>
      <c r="AL128" s="337"/>
      <c r="AM128" s="1371"/>
      <c r="AN128" s="1412"/>
      <c r="AO128" s="1406"/>
      <c r="AP128" s="92">
        <f>C127</f>
        <v>0</v>
      </c>
      <c r="AQ128" s="62" t="s">
        <v>313</v>
      </c>
      <c r="AR128" s="508" t="str" cm="1">
        <f t="array" aca="1" ref="AR128" ca="1">IF(OR(AP128="",AP128=0),"",IF(SUMPRODUCT(($C$55:$C$191=AP128)*(U$54:$AI$54&lt;EOMONTH(TODAY(),-1)+1)*(ISNUMBER(U$56:$AI$192)),U$56:$AI$192)=0,"",SUMPRODUCT(($C$55:$C$191=AP128)*(U$54:$AI$54&lt;EOMONTH(TODAY(),-1)+1)*(ISNUMBER(U$56:$AI$192)),U$56:$AI$192)))</f>
        <v/>
      </c>
      <c r="AS128" s="62">
        <f>A127</f>
        <v>0</v>
      </c>
      <c r="AU128" s="1567"/>
      <c r="AV128" s="1567"/>
    </row>
    <row r="129" spans="1:48" ht="29.1" customHeight="1" x14ac:dyDescent="0.3">
      <c r="A129" s="1380"/>
      <c r="B129" s="1691"/>
      <c r="C129" s="1482"/>
      <c r="D129" s="1486"/>
      <c r="E129" s="1368"/>
      <c r="F129" s="1370"/>
      <c r="G129" s="1372"/>
      <c r="H129" s="1372"/>
      <c r="I129" s="1354"/>
      <c r="J129" s="1376"/>
      <c r="K129" s="1389" t="str">
        <f t="shared" ref="K129" si="135">IF(J129="", "", 12 - MONTH(J129) + 1)</f>
        <v/>
      </c>
      <c r="L129" s="1354"/>
      <c r="M129" s="2114"/>
      <c r="N129" s="1861"/>
      <c r="O129" s="1327"/>
      <c r="P129" s="1671"/>
      <c r="Q129" s="2115"/>
      <c r="R129" s="1327"/>
      <c r="S129" s="87" t="s">
        <v>116</v>
      </c>
      <c r="T129" s="91" t="str">
        <f ca="1">IF(OR(G129="", H129=""), "", IF(TODAY()&lt;G129, 0, IF(TODAY()&gt;H129, 1, (TODAY()-G129+1)/(H129-G129+1))))</f>
        <v/>
      </c>
      <c r="U129" s="287">
        <f>IFERROR(IF(AND(U$54&gt;=EOMONTH($J129,-1)+1,U$54&lt;=EOMONTH(EOMONTH($J129,-1)+1,$K129-1)),IF(NOT(ISBLANK($N129)),$N129/$K129,$I129/$K129),0),0)</f>
        <v>0</v>
      </c>
      <c r="V129" s="287">
        <f>IFERROR(IF(AND(V$54&gt;=EOMONTH($J129,-1)+1,V$54&lt;=EOMONTH(EOMONTH($J129,-1)+1,$K129-1)),IF(NOT(ISBLANK($N129)),$N129/$K129,$I129/$K129),0),0)</f>
        <v>0</v>
      </c>
      <c r="W129" s="287">
        <f>IFERROR(IF(AND(W$54&gt;=EOMONTH($J129,-1)+1,W$54&lt;=EOMONTH(EOMONTH($J129,-1)+1,$K129-1)),IF(NOT(ISBLANK($N129)),$N129/$K129,$I129/$K129),0),0)</f>
        <v>0</v>
      </c>
      <c r="X129" s="89">
        <f t="shared" si="110"/>
        <v>0</v>
      </c>
      <c r="Y129" s="287">
        <f>IFERROR(IF(AND(Y$54&gt;=EOMONTH($J129,-1)+1,Y$54&lt;=EOMONTH(EOMONTH($J129,-1)+1,$K129-1)),IF(NOT(ISBLANK($N129)),$N129/$K129,$I129/$K129),0),0)</f>
        <v>0</v>
      </c>
      <c r="Z129" s="287">
        <f>IFERROR(IF(AND(Z$54&gt;=EOMONTH($J129,-1)+1,Z$54&lt;=EOMONTH(EOMONTH($J129,-1)+1,$K129-1)),IF(NOT(ISBLANK($N129)),$N129/$K129,$I129/$K129),0),0)</f>
        <v>0</v>
      </c>
      <c r="AA129" s="287">
        <f>IFERROR(IF(AND(AA$54&gt;=EOMONTH($J129,-1)+1,AA$54&lt;=EOMONTH(EOMONTH($J129,-1)+1,$K129-1)),IF(NOT(ISBLANK($N129)),$N129/$K129,$I129/$K129),0),0)</f>
        <v>0</v>
      </c>
      <c r="AB129" s="89">
        <f t="shared" si="111"/>
        <v>0</v>
      </c>
      <c r="AC129" s="287">
        <f>IFERROR(IF(AND(AC$54&gt;=EOMONTH($J129,-1)+1,AC$54&lt;=EOMONTH(EOMONTH($J129,-1)+1,$K129-1)),IF(NOT(ISBLANK($N129)),$N129/$K129,$I129/$K129),0),0)</f>
        <v>0</v>
      </c>
      <c r="AD129" s="287">
        <f>IFERROR(IF(AND(AD$54&gt;=EOMONTH($J129,-1)+1,AD$54&lt;=EOMONTH(EOMONTH($J129,-1)+1,$K129-1)),IF(NOT(ISBLANK($N129)),$N129/$K129,$I129/$K129),0),0)</f>
        <v>0</v>
      </c>
      <c r="AE129" s="287">
        <f>IFERROR(IF(AND(AE$54&gt;=EOMONTH($J129,-1)+1,AE$54&lt;=EOMONTH(EOMONTH($J129,-1)+1,$K129-1)),IF(NOT(ISBLANK($N129)),$N129/$K129,$I129/$K129),0),0)</f>
        <v>0</v>
      </c>
      <c r="AF129" s="89">
        <f t="shared" si="112"/>
        <v>0</v>
      </c>
      <c r="AG129" s="287">
        <f>IFERROR(IF(AND(AG$54&gt;=EOMONTH($J129,-1)+1,AG$54&lt;=EOMONTH(EOMONTH($J129,-1)+1,$K129-1)),IF(NOT(ISBLANK($N129)),$N129/$K129,$I129/$K129),0),0)</f>
        <v>0</v>
      </c>
      <c r="AH129" s="287">
        <f>IFERROR(IF(AND(AH$54&gt;=EOMONTH($J129,-1)+1,AH$54&lt;=EOMONTH(EOMONTH($J129,-1)+1,$K129-1)),IF(NOT(ISBLANK($N129)),$N129/$K129,$I129/$K129),0),0)</f>
        <v>0</v>
      </c>
      <c r="AI129" s="287">
        <f>IFERROR(IF(AND(AI$54&gt;=EOMONTH($J129,-1)+1,AI$54&lt;=EOMONTH(EOMONTH($J129,-1)+1,$K129-1)),IF(NOT(ISBLANK($N129)),$N129/$K129,$I129/$K129),0),0)</f>
        <v>0</v>
      </c>
      <c r="AJ129" s="89">
        <f t="shared" si="113"/>
        <v>0</v>
      </c>
      <c r="AK129" s="90">
        <f t="shared" si="114"/>
        <v>0</v>
      </c>
      <c r="AL129" s="98"/>
      <c r="AM129" s="1370"/>
      <c r="AN129" s="1411"/>
      <c r="AO129" s="1405">
        <f>N129*AN129</f>
        <v>0</v>
      </c>
      <c r="AP129" s="98">
        <f>C129</f>
        <v>0</v>
      </c>
      <c r="AQ129" s="62" t="s">
        <v>311</v>
      </c>
      <c r="AR129" s="508" t="str" cm="1">
        <f t="array" aca="1" ref="AR129" ca="1">IF(OR(AP129="",AP129=0),"",IF(SUMPRODUCT(($C$55:$C$191=AP129)*(U$54:$AI$54&lt;EOMONTH(TODAY(),-1)+1)*(ISNUMBER(U$55:$AI$191)),U$55:$AI$191)=0,"",SUMPRODUCT(($C$55:$C$191=AP129)*(U$54:$AI$54&lt;EOMONTH(TODAY(),-1)+1)*(ISNUMBER(U$55:$AI$191)),U$55:$AI$191)))</f>
        <v/>
      </c>
      <c r="AS129" s="62">
        <f>A129</f>
        <v>0</v>
      </c>
      <c r="AU129" s="1566">
        <f t="shared" ref="AU129" si="136">IF(OR(I129="",K129=""),0,(I129/12)*K129)</f>
        <v>0</v>
      </c>
      <c r="AV129" s="1566">
        <f t="shared" ref="AV129" si="137">IF(OR(N129="",K129="",K129=0),0,(N129/K129)*12)</f>
        <v>0</v>
      </c>
    </row>
    <row r="130" spans="1:48" ht="45.75" customHeight="1" x14ac:dyDescent="0.3">
      <c r="A130" s="1381"/>
      <c r="B130" s="1692"/>
      <c r="C130" s="1483"/>
      <c r="D130" s="1487"/>
      <c r="E130" s="1369"/>
      <c r="F130" s="1371"/>
      <c r="G130" s="1373"/>
      <c r="H130" s="1373"/>
      <c r="I130" s="1355"/>
      <c r="J130" s="1377"/>
      <c r="K130" s="1390"/>
      <c r="L130" s="1355"/>
      <c r="M130" s="1460"/>
      <c r="N130" s="1392"/>
      <c r="O130" s="1328"/>
      <c r="P130" s="1672"/>
      <c r="Q130" s="2116"/>
      <c r="R130" s="1328"/>
      <c r="S130" s="87" t="s">
        <v>117</v>
      </c>
      <c r="T130" s="91"/>
      <c r="U130" s="287"/>
      <c r="V130" s="287"/>
      <c r="W130" s="287"/>
      <c r="X130" s="288">
        <f t="shared" si="110"/>
        <v>0</v>
      </c>
      <c r="Y130" s="287"/>
      <c r="Z130" s="287"/>
      <c r="AA130" s="287"/>
      <c r="AB130" s="288">
        <f t="shared" si="111"/>
        <v>0</v>
      </c>
      <c r="AC130" s="287"/>
      <c r="AD130" s="287"/>
      <c r="AE130" s="287"/>
      <c r="AF130" s="288">
        <f t="shared" si="112"/>
        <v>0</v>
      </c>
      <c r="AG130" s="287"/>
      <c r="AH130" s="287"/>
      <c r="AI130" s="287"/>
      <c r="AJ130" s="288">
        <f t="shared" si="113"/>
        <v>0</v>
      </c>
      <c r="AK130" s="289">
        <f t="shared" si="114"/>
        <v>0</v>
      </c>
      <c r="AL130" s="337"/>
      <c r="AM130" s="1371"/>
      <c r="AN130" s="1412"/>
      <c r="AO130" s="1406"/>
      <c r="AP130" s="92">
        <f>C129</f>
        <v>0</v>
      </c>
      <c r="AQ130" s="62" t="s">
        <v>313</v>
      </c>
      <c r="AR130" s="508" t="str" cm="1">
        <f t="array" aca="1" ref="AR130" ca="1">IF(OR(AP130="",AP130=0),"",IF(SUMPRODUCT(($C$55:$C$191=AP130)*(U$54:$AI$54&lt;EOMONTH(TODAY(),-1)+1)*(ISNUMBER(U$56:$AI$192)),U$56:$AI$192)=0,"",SUMPRODUCT(($C$55:$C$191=AP130)*(U$54:$AI$54&lt;EOMONTH(TODAY(),-1)+1)*(ISNUMBER(U$56:$AI$192)),U$56:$AI$192)))</f>
        <v/>
      </c>
      <c r="AS130" s="62">
        <f>A129</f>
        <v>0</v>
      </c>
      <c r="AU130" s="1567"/>
      <c r="AV130" s="1567"/>
    </row>
    <row r="131" spans="1:48" ht="29.1" customHeight="1" x14ac:dyDescent="0.3">
      <c r="A131" s="1380"/>
      <c r="B131" s="1691"/>
      <c r="C131" s="1482"/>
      <c r="D131" s="1486"/>
      <c r="E131" s="1368"/>
      <c r="F131" s="1370"/>
      <c r="G131" s="1372"/>
      <c r="H131" s="1372"/>
      <c r="I131" s="1354"/>
      <c r="J131" s="1376"/>
      <c r="K131" s="1389" t="str">
        <f t="shared" ref="K131" si="138">IF(J131="", "", 12 - MONTH(J131) + 1)</f>
        <v/>
      </c>
      <c r="L131" s="1354"/>
      <c r="M131" s="2114"/>
      <c r="N131" s="1861"/>
      <c r="O131" s="1327"/>
      <c r="P131" s="1671"/>
      <c r="Q131" s="2115"/>
      <c r="R131" s="1327"/>
      <c r="S131" s="87" t="s">
        <v>116</v>
      </c>
      <c r="T131" s="91" t="str">
        <f ca="1">IF(OR(G131="", H131=""), "", IF(TODAY()&lt;G131, 0, IF(TODAY()&gt;H131, 1, (TODAY()-G131+1)/(H131-G131+1))))</f>
        <v/>
      </c>
      <c r="U131" s="287">
        <f>IFERROR(IF(AND(U$54&gt;=EOMONTH($J131,-1)+1,U$54&lt;=EOMONTH(EOMONTH($J131,-1)+1,$K131-1)),IF(NOT(ISBLANK($N131)),$N131/$K131,$I131/$K131),0),0)</f>
        <v>0</v>
      </c>
      <c r="V131" s="287">
        <f>IFERROR(IF(AND(V$54&gt;=EOMONTH($J131,-1)+1,V$54&lt;=EOMONTH(EOMONTH($J131,-1)+1,$K131-1)),IF(NOT(ISBLANK($N131)),$N131/$K131,$I131/$K131),0),0)</f>
        <v>0</v>
      </c>
      <c r="W131" s="287">
        <f>IFERROR(IF(AND(W$54&gt;=EOMONTH($J131,-1)+1,W$54&lt;=EOMONTH(EOMONTH($J131,-1)+1,$K131-1)),IF(NOT(ISBLANK($N131)),$N131/$K131,$I131/$K131),0),0)</f>
        <v>0</v>
      </c>
      <c r="X131" s="89">
        <f t="shared" si="110"/>
        <v>0</v>
      </c>
      <c r="Y131" s="287">
        <f>IFERROR(IF(AND(Y$54&gt;=EOMONTH($J131,-1)+1,Y$54&lt;=EOMONTH(EOMONTH($J131,-1)+1,$K131-1)),IF(NOT(ISBLANK($N131)),$N131/$K131,$I131/$K131),0),0)</f>
        <v>0</v>
      </c>
      <c r="Z131" s="287">
        <f>IFERROR(IF(AND(Z$54&gt;=EOMONTH($J131,-1)+1,Z$54&lt;=EOMONTH(EOMONTH($J131,-1)+1,$K131-1)),IF(NOT(ISBLANK($N131)),$N131/$K131,$I131/$K131),0),0)</f>
        <v>0</v>
      </c>
      <c r="AA131" s="287">
        <f>IFERROR(IF(AND(AA$54&gt;=EOMONTH($J131,-1)+1,AA$54&lt;=EOMONTH(EOMONTH($J131,-1)+1,$K131-1)),IF(NOT(ISBLANK($N131)),$N131/$K131,$I131/$K131),0),0)</f>
        <v>0</v>
      </c>
      <c r="AB131" s="89">
        <f t="shared" si="111"/>
        <v>0</v>
      </c>
      <c r="AC131" s="287">
        <f>IFERROR(IF(AND(AC$54&gt;=EOMONTH($J131,-1)+1,AC$54&lt;=EOMONTH(EOMONTH($J131,-1)+1,$K131-1)),IF(NOT(ISBLANK($N131)),$N131/$K131,$I131/$K131),0),0)</f>
        <v>0</v>
      </c>
      <c r="AD131" s="287">
        <f>IFERROR(IF(AND(AD$54&gt;=EOMONTH($J131,-1)+1,AD$54&lt;=EOMONTH(EOMONTH($J131,-1)+1,$K131-1)),IF(NOT(ISBLANK($N131)),$N131/$K131,$I131/$K131),0),0)</f>
        <v>0</v>
      </c>
      <c r="AE131" s="287">
        <f>IFERROR(IF(AND(AE$54&gt;=EOMONTH($J131,-1)+1,AE$54&lt;=EOMONTH(EOMONTH($J131,-1)+1,$K131-1)),IF(NOT(ISBLANK($N131)),$N131/$K131,$I131/$K131),0),0)</f>
        <v>0</v>
      </c>
      <c r="AF131" s="89">
        <f t="shared" si="112"/>
        <v>0</v>
      </c>
      <c r="AG131" s="287">
        <f>IFERROR(IF(AND(AG$54&gt;=EOMONTH($J131,-1)+1,AG$54&lt;=EOMONTH(EOMONTH($J131,-1)+1,$K131-1)),IF(NOT(ISBLANK($N131)),$N131/$K131,$I131/$K131),0),0)</f>
        <v>0</v>
      </c>
      <c r="AH131" s="287">
        <f>IFERROR(IF(AND(AH$54&gt;=EOMONTH($J131,-1)+1,AH$54&lt;=EOMONTH(EOMONTH($J131,-1)+1,$K131-1)),IF(NOT(ISBLANK($N131)),$N131/$K131,$I131/$K131),0),0)</f>
        <v>0</v>
      </c>
      <c r="AI131" s="287">
        <f>IFERROR(IF(AND(AI$54&gt;=EOMONTH($J131,-1)+1,AI$54&lt;=EOMONTH(EOMONTH($J131,-1)+1,$K131-1)),IF(NOT(ISBLANK($N131)),$N131/$K131,$I131/$K131),0),0)</f>
        <v>0</v>
      </c>
      <c r="AJ131" s="89">
        <f t="shared" si="113"/>
        <v>0</v>
      </c>
      <c r="AK131" s="90">
        <f t="shared" si="114"/>
        <v>0</v>
      </c>
      <c r="AL131" s="98"/>
      <c r="AM131" s="1370"/>
      <c r="AN131" s="1411"/>
      <c r="AO131" s="1405">
        <f>N131*AN131</f>
        <v>0</v>
      </c>
      <c r="AP131" s="98">
        <f>C131</f>
        <v>0</v>
      </c>
      <c r="AQ131" s="62" t="s">
        <v>311</v>
      </c>
      <c r="AR131" s="508" t="str" cm="1">
        <f t="array" aca="1" ref="AR131" ca="1">IF(OR(AP131="",AP131=0),"",IF(SUMPRODUCT(($C$55:$C$191=AP131)*(U$54:$AI$54&lt;EOMONTH(TODAY(),-1)+1)*(ISNUMBER(U$55:$AI$191)),U$55:$AI$191)=0,"",SUMPRODUCT(($C$55:$C$191=AP131)*(U$54:$AI$54&lt;EOMONTH(TODAY(),-1)+1)*(ISNUMBER(U$55:$AI$191)),U$55:$AI$191)))</f>
        <v/>
      </c>
      <c r="AS131" s="62">
        <f>A131</f>
        <v>0</v>
      </c>
      <c r="AU131" s="1566">
        <f t="shared" ref="AU131" si="139">IF(OR(I131="",K131=""),0,(I131/12)*K131)</f>
        <v>0</v>
      </c>
      <c r="AV131" s="1566">
        <f t="shared" ref="AV131" si="140">IF(OR(N131="",K131="",K131=0),0,(N131/K131)*12)</f>
        <v>0</v>
      </c>
    </row>
    <row r="132" spans="1:48" ht="45.75" customHeight="1" x14ac:dyDescent="0.3">
      <c r="A132" s="1381"/>
      <c r="B132" s="1692"/>
      <c r="C132" s="1483"/>
      <c r="D132" s="1487"/>
      <c r="E132" s="1369"/>
      <c r="F132" s="1371"/>
      <c r="G132" s="1373"/>
      <c r="H132" s="1373"/>
      <c r="I132" s="1355"/>
      <c r="J132" s="1377"/>
      <c r="K132" s="1390"/>
      <c r="L132" s="1355"/>
      <c r="M132" s="1460"/>
      <c r="N132" s="1392"/>
      <c r="O132" s="1328"/>
      <c r="P132" s="1672"/>
      <c r="Q132" s="2116"/>
      <c r="R132" s="1328"/>
      <c r="S132" s="87" t="s">
        <v>117</v>
      </c>
      <c r="T132" s="91"/>
      <c r="U132" s="287"/>
      <c r="V132" s="287"/>
      <c r="W132" s="287"/>
      <c r="X132" s="288">
        <f t="shared" si="110"/>
        <v>0</v>
      </c>
      <c r="Y132" s="287"/>
      <c r="Z132" s="287"/>
      <c r="AA132" s="287"/>
      <c r="AB132" s="288">
        <f t="shared" si="111"/>
        <v>0</v>
      </c>
      <c r="AC132" s="287"/>
      <c r="AD132" s="287"/>
      <c r="AE132" s="287"/>
      <c r="AF132" s="288">
        <f t="shared" si="112"/>
        <v>0</v>
      </c>
      <c r="AG132" s="287"/>
      <c r="AH132" s="287"/>
      <c r="AI132" s="287"/>
      <c r="AJ132" s="288">
        <f t="shared" si="113"/>
        <v>0</v>
      </c>
      <c r="AK132" s="289">
        <f t="shared" si="114"/>
        <v>0</v>
      </c>
      <c r="AL132" s="337"/>
      <c r="AM132" s="1371"/>
      <c r="AN132" s="1412"/>
      <c r="AO132" s="1406"/>
      <c r="AP132" s="92">
        <f>C131</f>
        <v>0</v>
      </c>
      <c r="AQ132" s="62" t="s">
        <v>313</v>
      </c>
      <c r="AR132" s="508" t="str" cm="1">
        <f t="array" aca="1" ref="AR132" ca="1">IF(OR(AP132="",AP132=0),"",IF(SUMPRODUCT(($C$55:$C$191=AP132)*(U$54:$AI$54&lt;EOMONTH(TODAY(),-1)+1)*(ISNUMBER(U$56:$AI$192)),U$56:$AI$192)=0,"",SUMPRODUCT(($C$55:$C$191=AP132)*(U$54:$AI$54&lt;EOMONTH(TODAY(),-1)+1)*(ISNUMBER(U$56:$AI$192)),U$56:$AI$192)))</f>
        <v/>
      </c>
      <c r="AS132" s="62">
        <f>A131</f>
        <v>0</v>
      </c>
      <c r="AU132" s="1567"/>
      <c r="AV132" s="1567"/>
    </row>
    <row r="133" spans="1:48" ht="29.1" customHeight="1" x14ac:dyDescent="0.3">
      <c r="A133" s="1380"/>
      <c r="B133" s="1691"/>
      <c r="C133" s="1482"/>
      <c r="D133" s="1486"/>
      <c r="E133" s="1368"/>
      <c r="F133" s="1370"/>
      <c r="G133" s="1372"/>
      <c r="H133" s="1372"/>
      <c r="I133" s="1354"/>
      <c r="J133" s="1376"/>
      <c r="K133" s="1389" t="str">
        <f t="shared" ref="K133" si="141">IF(J133="", "", 12 - MONTH(J133) + 1)</f>
        <v/>
      </c>
      <c r="L133" s="1354"/>
      <c r="M133" s="2114"/>
      <c r="N133" s="1861"/>
      <c r="O133" s="1327"/>
      <c r="P133" s="1671"/>
      <c r="Q133" s="2115"/>
      <c r="R133" s="1327"/>
      <c r="S133" s="87" t="s">
        <v>116</v>
      </c>
      <c r="T133" s="91" t="str">
        <f ca="1">IF(OR(G133="", H133=""), "", IF(TODAY()&lt;G133, 0, IF(TODAY()&gt;H133, 1, (TODAY()-G133+1)/(H133-G133+1))))</f>
        <v/>
      </c>
      <c r="U133" s="287">
        <f>IFERROR(IF(AND(U$54&gt;=EOMONTH($J133,-1)+1,U$54&lt;=EOMONTH(EOMONTH($J133,-1)+1,$K133-1)),IF(NOT(ISBLANK($N133)),$N133/$K133,$I133/$K133),0),0)</f>
        <v>0</v>
      </c>
      <c r="V133" s="287">
        <f>IFERROR(IF(AND(V$54&gt;=EOMONTH($J133,-1)+1,V$54&lt;=EOMONTH(EOMONTH($J133,-1)+1,$K133-1)),IF(NOT(ISBLANK($N133)),$N133/$K133,$I133/$K133),0),0)</f>
        <v>0</v>
      </c>
      <c r="W133" s="287">
        <f>IFERROR(IF(AND(W$54&gt;=EOMONTH($J133,-1)+1,W$54&lt;=EOMONTH(EOMONTH($J133,-1)+1,$K133-1)),IF(NOT(ISBLANK($N133)),$N133/$K133,$I133/$K133),0),0)</f>
        <v>0</v>
      </c>
      <c r="X133" s="89">
        <f t="shared" si="110"/>
        <v>0</v>
      </c>
      <c r="Y133" s="287">
        <f>IFERROR(IF(AND(Y$54&gt;=EOMONTH($J133,-1)+1,Y$54&lt;=EOMONTH(EOMONTH($J133,-1)+1,$K133-1)),IF(NOT(ISBLANK($N133)),$N133/$K133,$I133/$K133),0),0)</f>
        <v>0</v>
      </c>
      <c r="Z133" s="287">
        <f>IFERROR(IF(AND(Z$54&gt;=EOMONTH($J133,-1)+1,Z$54&lt;=EOMONTH(EOMONTH($J133,-1)+1,$K133-1)),IF(NOT(ISBLANK($N133)),$N133/$K133,$I133/$K133),0),0)</f>
        <v>0</v>
      </c>
      <c r="AA133" s="287">
        <f>IFERROR(IF(AND(AA$54&gt;=EOMONTH($J133,-1)+1,AA$54&lt;=EOMONTH(EOMONTH($J133,-1)+1,$K133-1)),IF(NOT(ISBLANK($N133)),$N133/$K133,$I133/$K133),0),0)</f>
        <v>0</v>
      </c>
      <c r="AB133" s="89">
        <f t="shared" si="111"/>
        <v>0</v>
      </c>
      <c r="AC133" s="287">
        <f>IFERROR(IF(AND(AC$54&gt;=EOMONTH($J133,-1)+1,AC$54&lt;=EOMONTH(EOMONTH($J133,-1)+1,$K133-1)),IF(NOT(ISBLANK($N133)),$N133/$K133,$I133/$K133),0),0)</f>
        <v>0</v>
      </c>
      <c r="AD133" s="287">
        <f>IFERROR(IF(AND(AD$54&gt;=EOMONTH($J133,-1)+1,AD$54&lt;=EOMONTH(EOMONTH($J133,-1)+1,$K133-1)),IF(NOT(ISBLANK($N133)),$N133/$K133,$I133/$K133),0),0)</f>
        <v>0</v>
      </c>
      <c r="AE133" s="287">
        <f>IFERROR(IF(AND(AE$54&gt;=EOMONTH($J133,-1)+1,AE$54&lt;=EOMONTH(EOMONTH($J133,-1)+1,$K133-1)),IF(NOT(ISBLANK($N133)),$N133/$K133,$I133/$K133),0),0)</f>
        <v>0</v>
      </c>
      <c r="AF133" s="89">
        <f t="shared" si="112"/>
        <v>0</v>
      </c>
      <c r="AG133" s="287">
        <f>IFERROR(IF(AND(AG$54&gt;=EOMONTH($J133,-1)+1,AG$54&lt;=EOMONTH(EOMONTH($J133,-1)+1,$K133-1)),IF(NOT(ISBLANK($N133)),$N133/$K133,$I133/$K133),0),0)</f>
        <v>0</v>
      </c>
      <c r="AH133" s="287">
        <f>IFERROR(IF(AND(AH$54&gt;=EOMONTH($J133,-1)+1,AH$54&lt;=EOMONTH(EOMONTH($J133,-1)+1,$K133-1)),IF(NOT(ISBLANK($N133)),$N133/$K133,$I133/$K133),0),0)</f>
        <v>0</v>
      </c>
      <c r="AI133" s="287">
        <f>IFERROR(IF(AND(AI$54&gt;=EOMONTH($J133,-1)+1,AI$54&lt;=EOMONTH(EOMONTH($J133,-1)+1,$K133-1)),IF(NOT(ISBLANK($N133)),$N133/$K133,$I133/$K133),0),0)</f>
        <v>0</v>
      </c>
      <c r="AJ133" s="89">
        <f t="shared" si="113"/>
        <v>0</v>
      </c>
      <c r="AK133" s="90">
        <f t="shared" si="114"/>
        <v>0</v>
      </c>
      <c r="AL133" s="98"/>
      <c r="AM133" s="1370"/>
      <c r="AN133" s="1411"/>
      <c r="AO133" s="1405">
        <f>N133*AN133</f>
        <v>0</v>
      </c>
      <c r="AP133" s="98">
        <f>C133</f>
        <v>0</v>
      </c>
      <c r="AQ133" s="62" t="s">
        <v>311</v>
      </c>
      <c r="AR133" s="508" t="str" cm="1">
        <f t="array" aca="1" ref="AR133" ca="1">IF(OR(AP133="",AP133=0),"",IF(SUMPRODUCT(($C$55:$C$191=AP133)*(U$54:$AI$54&lt;EOMONTH(TODAY(),-1)+1)*(ISNUMBER(U$55:$AI$191)),U$55:$AI$191)=0,"",SUMPRODUCT(($C$55:$C$191=AP133)*(U$54:$AI$54&lt;EOMONTH(TODAY(),-1)+1)*(ISNUMBER(U$55:$AI$191)),U$55:$AI$191)))</f>
        <v/>
      </c>
      <c r="AS133" s="62">
        <f>A133</f>
        <v>0</v>
      </c>
      <c r="AU133" s="1566">
        <f t="shared" ref="AU133" si="142">IF(OR(I133="",K133=""),0,(I133/12)*K133)</f>
        <v>0</v>
      </c>
      <c r="AV133" s="1566">
        <f t="shared" ref="AV133" si="143">IF(OR(N133="",K133="",K133=0),0,(N133/K133)*12)</f>
        <v>0</v>
      </c>
    </row>
    <row r="134" spans="1:48" ht="45.75" customHeight="1" x14ac:dyDescent="0.3">
      <c r="A134" s="1381"/>
      <c r="B134" s="1692"/>
      <c r="C134" s="1483"/>
      <c r="D134" s="1487"/>
      <c r="E134" s="1369"/>
      <c r="F134" s="1371"/>
      <c r="G134" s="1373"/>
      <c r="H134" s="1373"/>
      <c r="I134" s="1355"/>
      <c r="J134" s="1377"/>
      <c r="K134" s="1390"/>
      <c r="L134" s="1355"/>
      <c r="M134" s="1460"/>
      <c r="N134" s="1392"/>
      <c r="O134" s="1328"/>
      <c r="P134" s="1672"/>
      <c r="Q134" s="2116"/>
      <c r="R134" s="1328"/>
      <c r="S134" s="87" t="s">
        <v>117</v>
      </c>
      <c r="T134" s="91"/>
      <c r="U134" s="287"/>
      <c r="V134" s="287"/>
      <c r="W134" s="287"/>
      <c r="X134" s="288">
        <f t="shared" si="110"/>
        <v>0</v>
      </c>
      <c r="Y134" s="287"/>
      <c r="Z134" s="287"/>
      <c r="AA134" s="287"/>
      <c r="AB134" s="288">
        <f t="shared" si="111"/>
        <v>0</v>
      </c>
      <c r="AC134" s="287"/>
      <c r="AD134" s="287"/>
      <c r="AE134" s="287"/>
      <c r="AF134" s="288">
        <f t="shared" si="112"/>
        <v>0</v>
      </c>
      <c r="AG134" s="287"/>
      <c r="AH134" s="287"/>
      <c r="AI134" s="287"/>
      <c r="AJ134" s="288">
        <f t="shared" si="113"/>
        <v>0</v>
      </c>
      <c r="AK134" s="289">
        <f t="shared" si="114"/>
        <v>0</v>
      </c>
      <c r="AL134" s="337"/>
      <c r="AM134" s="1371"/>
      <c r="AN134" s="1412"/>
      <c r="AO134" s="1406"/>
      <c r="AP134" s="92">
        <f>C133</f>
        <v>0</v>
      </c>
      <c r="AQ134" s="62" t="s">
        <v>313</v>
      </c>
      <c r="AR134" s="508" t="str" cm="1">
        <f t="array" aca="1" ref="AR134" ca="1">IF(OR(AP134="",AP134=0),"",IF(SUMPRODUCT(($C$55:$C$191=AP134)*(U$54:$AI$54&lt;EOMONTH(TODAY(),-1)+1)*(ISNUMBER(U$56:$AI$192)),U$56:$AI$192)=0,"",SUMPRODUCT(($C$55:$C$191=AP134)*(U$54:$AI$54&lt;EOMONTH(TODAY(),-1)+1)*(ISNUMBER(U$56:$AI$192)),U$56:$AI$192)))</f>
        <v/>
      </c>
      <c r="AS134" s="62">
        <f>A133</f>
        <v>0</v>
      </c>
      <c r="AU134" s="1567"/>
      <c r="AV134" s="1567"/>
    </row>
    <row r="135" spans="1:48" ht="29.1" customHeight="1" x14ac:dyDescent="0.3">
      <c r="A135" s="1380"/>
      <c r="B135" s="1691"/>
      <c r="C135" s="1482"/>
      <c r="D135" s="1486"/>
      <c r="E135" s="1368"/>
      <c r="F135" s="1370"/>
      <c r="G135" s="1372"/>
      <c r="H135" s="1372"/>
      <c r="I135" s="1354"/>
      <c r="J135" s="1376"/>
      <c r="K135" s="1389" t="str">
        <f t="shared" ref="K135" si="144">IF(J135="", "", 12 - MONTH(J135) + 1)</f>
        <v/>
      </c>
      <c r="L135" s="1354"/>
      <c r="M135" s="2114"/>
      <c r="N135" s="1861"/>
      <c r="O135" s="1327"/>
      <c r="P135" s="1671"/>
      <c r="Q135" s="2115"/>
      <c r="R135" s="1327"/>
      <c r="S135" s="87" t="s">
        <v>116</v>
      </c>
      <c r="T135" s="91" t="str">
        <f ca="1">IF(OR(G135="", H135=""), "", IF(TODAY()&lt;G135, 0, IF(TODAY()&gt;H135, 1, (TODAY()-G135+1)/(H135-G135+1))))</f>
        <v/>
      </c>
      <c r="U135" s="287">
        <f>IFERROR(IF(AND(U$54&gt;=EOMONTH($J135,-1)+1,U$54&lt;=EOMONTH(EOMONTH($J135,-1)+1,$K135-1)),IF(NOT(ISBLANK($N135)),$N135/$K135,$I135/$K135),0),0)</f>
        <v>0</v>
      </c>
      <c r="V135" s="287">
        <f>IFERROR(IF(AND(V$54&gt;=EOMONTH($J135,-1)+1,V$54&lt;=EOMONTH(EOMONTH($J135,-1)+1,$K135-1)),IF(NOT(ISBLANK($N135)),$N135/$K135,$I135/$K135),0),0)</f>
        <v>0</v>
      </c>
      <c r="W135" s="287">
        <f>IFERROR(IF(AND(W$54&gt;=EOMONTH($J135,-1)+1,W$54&lt;=EOMONTH(EOMONTH($J135,-1)+1,$K135-1)),IF(NOT(ISBLANK($N135)),$N135/$K135,$I135/$K135),0),0)</f>
        <v>0</v>
      </c>
      <c r="X135" s="89">
        <f t="shared" si="110"/>
        <v>0</v>
      </c>
      <c r="Y135" s="287">
        <f>IFERROR(IF(AND(Y$54&gt;=EOMONTH($J135,-1)+1,Y$54&lt;=EOMONTH(EOMONTH($J135,-1)+1,$K135-1)),IF(NOT(ISBLANK($N135)),$N135/$K135,$I135/$K135),0),0)</f>
        <v>0</v>
      </c>
      <c r="Z135" s="287">
        <f>IFERROR(IF(AND(Z$54&gt;=EOMONTH($J135,-1)+1,Z$54&lt;=EOMONTH(EOMONTH($J135,-1)+1,$K135-1)),IF(NOT(ISBLANK($N135)),$N135/$K135,$I135/$K135),0),0)</f>
        <v>0</v>
      </c>
      <c r="AA135" s="287">
        <f>IFERROR(IF(AND(AA$54&gt;=EOMONTH($J135,-1)+1,AA$54&lt;=EOMONTH(EOMONTH($J135,-1)+1,$K135-1)),IF(NOT(ISBLANK($N135)),$N135/$K135,$I135/$K135),0),0)</f>
        <v>0</v>
      </c>
      <c r="AB135" s="89">
        <f t="shared" si="111"/>
        <v>0</v>
      </c>
      <c r="AC135" s="287">
        <f>IFERROR(IF(AND(AC$54&gt;=EOMONTH($J135,-1)+1,AC$54&lt;=EOMONTH(EOMONTH($J135,-1)+1,$K135-1)),IF(NOT(ISBLANK($N135)),$N135/$K135,$I135/$K135),0),0)</f>
        <v>0</v>
      </c>
      <c r="AD135" s="287">
        <f>IFERROR(IF(AND(AD$54&gt;=EOMONTH($J135,-1)+1,AD$54&lt;=EOMONTH(EOMONTH($J135,-1)+1,$K135-1)),IF(NOT(ISBLANK($N135)),$N135/$K135,$I135/$K135),0),0)</f>
        <v>0</v>
      </c>
      <c r="AE135" s="287">
        <f>IFERROR(IF(AND(AE$54&gt;=EOMONTH($J135,-1)+1,AE$54&lt;=EOMONTH(EOMONTH($J135,-1)+1,$K135-1)),IF(NOT(ISBLANK($N135)),$N135/$K135,$I135/$K135),0),0)</f>
        <v>0</v>
      </c>
      <c r="AF135" s="89">
        <f t="shared" si="112"/>
        <v>0</v>
      </c>
      <c r="AG135" s="287">
        <f>IFERROR(IF(AND(AG$54&gt;=EOMONTH($J135,-1)+1,AG$54&lt;=EOMONTH(EOMONTH($J135,-1)+1,$K135-1)),IF(NOT(ISBLANK($N135)),$N135/$K135,$I135/$K135),0),0)</f>
        <v>0</v>
      </c>
      <c r="AH135" s="287">
        <f>IFERROR(IF(AND(AH$54&gt;=EOMONTH($J135,-1)+1,AH$54&lt;=EOMONTH(EOMONTH($J135,-1)+1,$K135-1)),IF(NOT(ISBLANK($N135)),$N135/$K135,$I135/$K135),0),0)</f>
        <v>0</v>
      </c>
      <c r="AI135" s="287">
        <f>IFERROR(IF(AND(AI$54&gt;=EOMONTH($J135,-1)+1,AI$54&lt;=EOMONTH(EOMONTH($J135,-1)+1,$K135-1)),IF(NOT(ISBLANK($N135)),$N135/$K135,$I135/$K135),0),0)</f>
        <v>0</v>
      </c>
      <c r="AJ135" s="89">
        <f t="shared" si="113"/>
        <v>0</v>
      </c>
      <c r="AK135" s="90">
        <f t="shared" si="114"/>
        <v>0</v>
      </c>
      <c r="AL135" s="98"/>
      <c r="AM135" s="1370"/>
      <c r="AN135" s="1411"/>
      <c r="AO135" s="1405">
        <f>N135*AN135</f>
        <v>0</v>
      </c>
      <c r="AP135" s="98">
        <f>C135</f>
        <v>0</v>
      </c>
      <c r="AQ135" s="62" t="s">
        <v>311</v>
      </c>
      <c r="AR135" s="508" t="str" cm="1">
        <f t="array" aca="1" ref="AR135" ca="1">IF(OR(AP135="",AP135=0),"",IF(SUMPRODUCT(($C$55:$C$191=AP135)*(U$54:$AI$54&lt;EOMONTH(TODAY(),-1)+1)*(ISNUMBER(U$55:$AI$191)),U$55:$AI$191)=0,"",SUMPRODUCT(($C$55:$C$191=AP135)*(U$54:$AI$54&lt;EOMONTH(TODAY(),-1)+1)*(ISNUMBER(U$55:$AI$191)),U$55:$AI$191)))</f>
        <v/>
      </c>
      <c r="AS135" s="62">
        <f>A135</f>
        <v>0</v>
      </c>
      <c r="AU135" s="1566">
        <f t="shared" ref="AU135" si="145">IF(OR(I135="",K135=""),0,(I135/12)*K135)</f>
        <v>0</v>
      </c>
      <c r="AV135" s="1566">
        <f t="shared" ref="AV135" si="146">IF(OR(N135="",K135="",K135=0),0,(N135/K135)*12)</f>
        <v>0</v>
      </c>
    </row>
    <row r="136" spans="1:48" ht="45.75" customHeight="1" x14ac:dyDescent="0.3">
      <c r="A136" s="1381"/>
      <c r="B136" s="1692"/>
      <c r="C136" s="1483"/>
      <c r="D136" s="1487"/>
      <c r="E136" s="1369"/>
      <c r="F136" s="1371"/>
      <c r="G136" s="1373"/>
      <c r="H136" s="1373"/>
      <c r="I136" s="1355"/>
      <c r="J136" s="1377"/>
      <c r="K136" s="1390"/>
      <c r="L136" s="1355"/>
      <c r="M136" s="1460"/>
      <c r="N136" s="1392"/>
      <c r="O136" s="1328"/>
      <c r="P136" s="1672"/>
      <c r="Q136" s="2116"/>
      <c r="R136" s="1328"/>
      <c r="S136" s="87" t="s">
        <v>117</v>
      </c>
      <c r="T136" s="91"/>
      <c r="U136" s="287"/>
      <c r="V136" s="287"/>
      <c r="W136" s="287"/>
      <c r="X136" s="288">
        <f t="shared" si="110"/>
        <v>0</v>
      </c>
      <c r="Y136" s="287"/>
      <c r="Z136" s="287"/>
      <c r="AA136" s="287"/>
      <c r="AB136" s="288">
        <f t="shared" si="111"/>
        <v>0</v>
      </c>
      <c r="AC136" s="287"/>
      <c r="AD136" s="287"/>
      <c r="AE136" s="287"/>
      <c r="AF136" s="288">
        <f t="shared" si="112"/>
        <v>0</v>
      </c>
      <c r="AG136" s="287"/>
      <c r="AH136" s="287"/>
      <c r="AI136" s="287"/>
      <c r="AJ136" s="288">
        <f t="shared" si="113"/>
        <v>0</v>
      </c>
      <c r="AK136" s="289">
        <f t="shared" si="114"/>
        <v>0</v>
      </c>
      <c r="AL136" s="337"/>
      <c r="AM136" s="1371"/>
      <c r="AN136" s="1412"/>
      <c r="AO136" s="1406"/>
      <c r="AP136" s="92">
        <f>C135</f>
        <v>0</v>
      </c>
      <c r="AQ136" s="62" t="s">
        <v>313</v>
      </c>
      <c r="AR136" s="508" t="str" cm="1">
        <f t="array" aca="1" ref="AR136" ca="1">IF(OR(AP136="",AP136=0),"",IF(SUMPRODUCT(($C$55:$C$191=AP136)*(U$54:$AI$54&lt;EOMONTH(TODAY(),-1)+1)*(ISNUMBER(U$56:$AI$192)),U$56:$AI$192)=0,"",SUMPRODUCT(($C$55:$C$191=AP136)*(U$54:$AI$54&lt;EOMONTH(TODAY(),-1)+1)*(ISNUMBER(U$56:$AI$192)),U$56:$AI$192)))</f>
        <v/>
      </c>
      <c r="AS136" s="62">
        <f>A135</f>
        <v>0</v>
      </c>
      <c r="AU136" s="1567"/>
      <c r="AV136" s="1567"/>
    </row>
    <row r="137" spans="1:48" ht="29.1" customHeight="1" x14ac:dyDescent="0.3">
      <c r="A137" s="1380"/>
      <c r="B137" s="1691"/>
      <c r="C137" s="1482"/>
      <c r="D137" s="1486"/>
      <c r="E137" s="1368"/>
      <c r="F137" s="1370"/>
      <c r="G137" s="1372"/>
      <c r="H137" s="1372"/>
      <c r="I137" s="1354"/>
      <c r="J137" s="1376"/>
      <c r="K137" s="1389" t="str">
        <f t="shared" ref="K137" si="147">IF(J137="", "", 12 - MONTH(J137) + 1)</f>
        <v/>
      </c>
      <c r="L137" s="1354"/>
      <c r="M137" s="2114"/>
      <c r="N137" s="1861"/>
      <c r="O137" s="1327"/>
      <c r="P137" s="1671"/>
      <c r="Q137" s="2115"/>
      <c r="R137" s="1327"/>
      <c r="S137" s="87" t="s">
        <v>116</v>
      </c>
      <c r="T137" s="91" t="str">
        <f ca="1">IF(OR(G137="", H137=""), "", IF(TODAY()&lt;G137, 0, IF(TODAY()&gt;H137, 1, (TODAY()-G137+1)/(H137-G137+1))))</f>
        <v/>
      </c>
      <c r="U137" s="287">
        <f>IFERROR(IF(AND(U$54&gt;=EOMONTH($J137,-1)+1,U$54&lt;=EOMONTH(EOMONTH($J137,-1)+1,$K137-1)),IF(NOT(ISBLANK($N137)),$N137/$K137,$I137/$K137),0),0)</f>
        <v>0</v>
      </c>
      <c r="V137" s="287">
        <f>IFERROR(IF(AND(V$54&gt;=EOMONTH($J137,-1)+1,V$54&lt;=EOMONTH(EOMONTH($J137,-1)+1,$K137-1)),IF(NOT(ISBLANK($N137)),$N137/$K137,$I137/$K137),0),0)</f>
        <v>0</v>
      </c>
      <c r="W137" s="287">
        <f>IFERROR(IF(AND(W$54&gt;=EOMONTH($J137,-1)+1,W$54&lt;=EOMONTH(EOMONTH($J137,-1)+1,$K137-1)),IF(NOT(ISBLANK($N137)),$N137/$K137,$I137/$K137),0),0)</f>
        <v>0</v>
      </c>
      <c r="X137" s="89">
        <f t="shared" si="110"/>
        <v>0</v>
      </c>
      <c r="Y137" s="287">
        <f>IFERROR(IF(AND(Y$54&gt;=EOMONTH($J137,-1)+1,Y$54&lt;=EOMONTH(EOMONTH($J137,-1)+1,$K137-1)),IF(NOT(ISBLANK($N137)),$N137/$K137,$I137/$K137),0),0)</f>
        <v>0</v>
      </c>
      <c r="Z137" s="287">
        <f>IFERROR(IF(AND(Z$54&gt;=EOMONTH($J137,-1)+1,Z$54&lt;=EOMONTH(EOMONTH($J137,-1)+1,$K137-1)),IF(NOT(ISBLANK($N137)),$N137/$K137,$I137/$K137),0),0)</f>
        <v>0</v>
      </c>
      <c r="AA137" s="287">
        <f>IFERROR(IF(AND(AA$54&gt;=EOMONTH($J137,-1)+1,AA$54&lt;=EOMONTH(EOMONTH($J137,-1)+1,$K137-1)),IF(NOT(ISBLANK($N137)),$N137/$K137,$I137/$K137),0),0)</f>
        <v>0</v>
      </c>
      <c r="AB137" s="89">
        <f t="shared" si="111"/>
        <v>0</v>
      </c>
      <c r="AC137" s="287">
        <f>IFERROR(IF(AND(AC$54&gt;=EOMONTH($J137,-1)+1,AC$54&lt;=EOMONTH(EOMONTH($J137,-1)+1,$K137-1)),IF(NOT(ISBLANK($N137)),$N137/$K137,$I137/$K137),0),0)</f>
        <v>0</v>
      </c>
      <c r="AD137" s="287">
        <f>IFERROR(IF(AND(AD$54&gt;=EOMONTH($J137,-1)+1,AD$54&lt;=EOMONTH(EOMONTH($J137,-1)+1,$K137-1)),IF(NOT(ISBLANK($N137)),$N137/$K137,$I137/$K137),0),0)</f>
        <v>0</v>
      </c>
      <c r="AE137" s="287">
        <f>IFERROR(IF(AND(AE$54&gt;=EOMONTH($J137,-1)+1,AE$54&lt;=EOMONTH(EOMONTH($J137,-1)+1,$K137-1)),IF(NOT(ISBLANK($N137)),$N137/$K137,$I137/$K137),0),0)</f>
        <v>0</v>
      </c>
      <c r="AF137" s="89">
        <f t="shared" si="112"/>
        <v>0</v>
      </c>
      <c r="AG137" s="287">
        <f>IFERROR(IF(AND(AG$54&gt;=EOMONTH($J137,-1)+1,AG$54&lt;=EOMONTH(EOMONTH($J137,-1)+1,$K137-1)),IF(NOT(ISBLANK($N137)),$N137/$K137,$I137/$K137),0),0)</f>
        <v>0</v>
      </c>
      <c r="AH137" s="287">
        <f>IFERROR(IF(AND(AH$54&gt;=EOMONTH($J137,-1)+1,AH$54&lt;=EOMONTH(EOMONTH($J137,-1)+1,$K137-1)),IF(NOT(ISBLANK($N137)),$N137/$K137,$I137/$K137),0),0)</f>
        <v>0</v>
      </c>
      <c r="AI137" s="287">
        <f>IFERROR(IF(AND(AI$54&gt;=EOMONTH($J137,-1)+1,AI$54&lt;=EOMONTH(EOMONTH($J137,-1)+1,$K137-1)),IF(NOT(ISBLANK($N137)),$N137/$K137,$I137/$K137),0),0)</f>
        <v>0</v>
      </c>
      <c r="AJ137" s="89">
        <f t="shared" si="113"/>
        <v>0</v>
      </c>
      <c r="AK137" s="90">
        <f t="shared" si="114"/>
        <v>0</v>
      </c>
      <c r="AL137" s="98"/>
      <c r="AM137" s="1370"/>
      <c r="AN137" s="1411"/>
      <c r="AO137" s="1405">
        <f>N137*AN137</f>
        <v>0</v>
      </c>
      <c r="AP137" s="98">
        <f>C137</f>
        <v>0</v>
      </c>
      <c r="AQ137" s="62" t="s">
        <v>311</v>
      </c>
      <c r="AR137" s="508" t="str" cm="1">
        <f t="array" aca="1" ref="AR137" ca="1">IF(OR(AP137="",AP137=0),"",IF(SUMPRODUCT(($C$55:$C$191=AP137)*(U$54:$AI$54&lt;EOMONTH(TODAY(),-1)+1)*(ISNUMBER(U$55:$AI$191)),U$55:$AI$191)=0,"",SUMPRODUCT(($C$55:$C$191=AP137)*(U$54:$AI$54&lt;EOMONTH(TODAY(),-1)+1)*(ISNUMBER(U$55:$AI$191)),U$55:$AI$191)))</f>
        <v/>
      </c>
      <c r="AS137" s="62">
        <f>A137</f>
        <v>0</v>
      </c>
      <c r="AU137" s="1566">
        <f t="shared" ref="AU137" si="148">IF(OR(I137="",K137=""),0,(I137/12)*K137)</f>
        <v>0</v>
      </c>
      <c r="AV137" s="1566">
        <f t="shared" ref="AV137" si="149">IF(OR(N137="",K137="",K137=0),0,(N137/K137)*12)</f>
        <v>0</v>
      </c>
    </row>
    <row r="138" spans="1:48" ht="45.75" customHeight="1" x14ac:dyDescent="0.3">
      <c r="A138" s="1381"/>
      <c r="B138" s="1692"/>
      <c r="C138" s="1483"/>
      <c r="D138" s="1487"/>
      <c r="E138" s="1369"/>
      <c r="F138" s="1371"/>
      <c r="G138" s="1373"/>
      <c r="H138" s="1373"/>
      <c r="I138" s="1355"/>
      <c r="J138" s="1377"/>
      <c r="K138" s="1390"/>
      <c r="L138" s="1355"/>
      <c r="M138" s="1460"/>
      <c r="N138" s="1392"/>
      <c r="O138" s="1328"/>
      <c r="P138" s="1672"/>
      <c r="Q138" s="2116"/>
      <c r="R138" s="1328"/>
      <c r="S138" s="87" t="s">
        <v>117</v>
      </c>
      <c r="T138" s="91"/>
      <c r="U138" s="287"/>
      <c r="V138" s="287"/>
      <c r="W138" s="287"/>
      <c r="X138" s="288">
        <f t="shared" si="110"/>
        <v>0</v>
      </c>
      <c r="Y138" s="287"/>
      <c r="Z138" s="287"/>
      <c r="AA138" s="287"/>
      <c r="AB138" s="288">
        <f t="shared" si="111"/>
        <v>0</v>
      </c>
      <c r="AC138" s="287"/>
      <c r="AD138" s="287"/>
      <c r="AE138" s="287"/>
      <c r="AF138" s="288">
        <f t="shared" si="112"/>
        <v>0</v>
      </c>
      <c r="AG138" s="287"/>
      <c r="AH138" s="287"/>
      <c r="AI138" s="287"/>
      <c r="AJ138" s="288">
        <f t="shared" si="113"/>
        <v>0</v>
      </c>
      <c r="AK138" s="289">
        <f t="shared" si="114"/>
        <v>0</v>
      </c>
      <c r="AL138" s="337"/>
      <c r="AM138" s="1371"/>
      <c r="AN138" s="1412"/>
      <c r="AO138" s="1406"/>
      <c r="AP138" s="92">
        <f>C137</f>
        <v>0</v>
      </c>
      <c r="AQ138" s="62" t="s">
        <v>313</v>
      </c>
      <c r="AR138" s="508" t="str" cm="1">
        <f t="array" aca="1" ref="AR138" ca="1">IF(OR(AP138="",AP138=0),"",IF(SUMPRODUCT(($C$55:$C$191=AP138)*(U$54:$AI$54&lt;EOMONTH(TODAY(),-1)+1)*(ISNUMBER(U$56:$AI$192)),U$56:$AI$192)=0,"",SUMPRODUCT(($C$55:$C$191=AP138)*(U$54:$AI$54&lt;EOMONTH(TODAY(),-1)+1)*(ISNUMBER(U$56:$AI$192)),U$56:$AI$192)))</f>
        <v/>
      </c>
      <c r="AS138" s="62">
        <f>A137</f>
        <v>0</v>
      </c>
      <c r="AU138" s="1567"/>
      <c r="AV138" s="1567"/>
    </row>
    <row r="139" spans="1:48" ht="29.1" customHeight="1" x14ac:dyDescent="0.3">
      <c r="A139" s="1380"/>
      <c r="B139" s="1691"/>
      <c r="C139" s="1482"/>
      <c r="D139" s="1486"/>
      <c r="E139" s="1368"/>
      <c r="F139" s="1370"/>
      <c r="G139" s="1372"/>
      <c r="H139" s="1372"/>
      <c r="I139" s="1354"/>
      <c r="J139" s="1376"/>
      <c r="K139" s="1389" t="str">
        <f t="shared" ref="K139" si="150">IF(J139="", "", 12 - MONTH(J139) + 1)</f>
        <v/>
      </c>
      <c r="L139" s="1354"/>
      <c r="M139" s="2114"/>
      <c r="N139" s="1861"/>
      <c r="O139" s="1327"/>
      <c r="P139" s="1671"/>
      <c r="Q139" s="2115"/>
      <c r="R139" s="1327"/>
      <c r="S139" s="87" t="s">
        <v>116</v>
      </c>
      <c r="T139" s="91" t="str">
        <f ca="1">IF(OR(G139="", H139=""), "", IF(TODAY()&lt;G139, 0, IF(TODAY()&gt;H139, 1, (TODAY()-G139+1)/(H139-G139+1))))</f>
        <v/>
      </c>
      <c r="U139" s="287">
        <f>IFERROR(IF(AND(U$54&gt;=EOMONTH($J139,-1)+1,U$54&lt;=EOMONTH(EOMONTH($J139,-1)+1,$K139-1)),IF(NOT(ISBLANK($N139)),$N139/$K139,$I139/$K139),0),0)</f>
        <v>0</v>
      </c>
      <c r="V139" s="287">
        <f>IFERROR(IF(AND(V$54&gt;=EOMONTH($J139,-1)+1,V$54&lt;=EOMONTH(EOMONTH($J139,-1)+1,$K139-1)),IF(NOT(ISBLANK($N139)),$N139/$K139,$I139/$K139),0),0)</f>
        <v>0</v>
      </c>
      <c r="W139" s="287">
        <f>IFERROR(IF(AND(W$54&gt;=EOMONTH($J139,-1)+1,W$54&lt;=EOMONTH(EOMONTH($J139,-1)+1,$K139-1)),IF(NOT(ISBLANK($N139)),$N139/$K139,$I139/$K139),0),0)</f>
        <v>0</v>
      </c>
      <c r="X139" s="89">
        <f t="shared" si="110"/>
        <v>0</v>
      </c>
      <c r="Y139" s="287">
        <f>IFERROR(IF(AND(Y$54&gt;=EOMONTH($J139,-1)+1,Y$54&lt;=EOMONTH(EOMONTH($J139,-1)+1,$K139-1)),IF(NOT(ISBLANK($N139)),$N139/$K139,$I139/$K139),0),0)</f>
        <v>0</v>
      </c>
      <c r="Z139" s="287">
        <f>IFERROR(IF(AND(Z$54&gt;=EOMONTH($J139,-1)+1,Z$54&lt;=EOMONTH(EOMONTH($J139,-1)+1,$K139-1)),IF(NOT(ISBLANK($N139)),$N139/$K139,$I139/$K139),0),0)</f>
        <v>0</v>
      </c>
      <c r="AA139" s="287">
        <f>IFERROR(IF(AND(AA$54&gt;=EOMONTH($J139,-1)+1,AA$54&lt;=EOMONTH(EOMONTH($J139,-1)+1,$K139-1)),IF(NOT(ISBLANK($N139)),$N139/$K139,$I139/$K139),0),0)</f>
        <v>0</v>
      </c>
      <c r="AB139" s="89">
        <f t="shared" si="111"/>
        <v>0</v>
      </c>
      <c r="AC139" s="287">
        <f>IFERROR(IF(AND(AC$54&gt;=EOMONTH($J139,-1)+1,AC$54&lt;=EOMONTH(EOMONTH($J139,-1)+1,$K139-1)),IF(NOT(ISBLANK($N139)),$N139/$K139,$I139/$K139),0),0)</f>
        <v>0</v>
      </c>
      <c r="AD139" s="287">
        <f>IFERROR(IF(AND(AD$54&gt;=EOMONTH($J139,-1)+1,AD$54&lt;=EOMONTH(EOMONTH($J139,-1)+1,$K139-1)),IF(NOT(ISBLANK($N139)),$N139/$K139,$I139/$K139),0),0)</f>
        <v>0</v>
      </c>
      <c r="AE139" s="287">
        <f>IFERROR(IF(AND(AE$54&gt;=EOMONTH($J139,-1)+1,AE$54&lt;=EOMONTH(EOMONTH($J139,-1)+1,$K139-1)),IF(NOT(ISBLANK($N139)),$N139/$K139,$I139/$K139),0),0)</f>
        <v>0</v>
      </c>
      <c r="AF139" s="89">
        <f t="shared" si="112"/>
        <v>0</v>
      </c>
      <c r="AG139" s="287">
        <f>IFERROR(IF(AND(AG$54&gt;=EOMONTH($J139,-1)+1,AG$54&lt;=EOMONTH(EOMONTH($J139,-1)+1,$K139-1)),IF(NOT(ISBLANK($N139)),$N139/$K139,$I139/$K139),0),0)</f>
        <v>0</v>
      </c>
      <c r="AH139" s="287">
        <f>IFERROR(IF(AND(AH$54&gt;=EOMONTH($J139,-1)+1,AH$54&lt;=EOMONTH(EOMONTH($J139,-1)+1,$K139-1)),IF(NOT(ISBLANK($N139)),$N139/$K139,$I139/$K139),0),0)</f>
        <v>0</v>
      </c>
      <c r="AI139" s="287">
        <f>IFERROR(IF(AND(AI$54&gt;=EOMONTH($J139,-1)+1,AI$54&lt;=EOMONTH(EOMONTH($J139,-1)+1,$K139-1)),IF(NOT(ISBLANK($N139)),$N139/$K139,$I139/$K139),0),0)</f>
        <v>0</v>
      </c>
      <c r="AJ139" s="89">
        <f t="shared" si="113"/>
        <v>0</v>
      </c>
      <c r="AK139" s="90">
        <f t="shared" si="114"/>
        <v>0</v>
      </c>
      <c r="AL139" s="98"/>
      <c r="AM139" s="1370"/>
      <c r="AN139" s="1411"/>
      <c r="AO139" s="1405">
        <f>N139*AN139</f>
        <v>0</v>
      </c>
      <c r="AP139" s="98">
        <f>C139</f>
        <v>0</v>
      </c>
      <c r="AQ139" s="62" t="s">
        <v>311</v>
      </c>
      <c r="AR139" s="508" t="str" cm="1">
        <f t="array" aca="1" ref="AR139" ca="1">IF(OR(AP139="",AP139=0),"",IF(SUMPRODUCT(($C$55:$C$191=AP139)*(U$54:$AI$54&lt;EOMONTH(TODAY(),-1)+1)*(ISNUMBER(U$55:$AI$191)),U$55:$AI$191)=0,"",SUMPRODUCT(($C$55:$C$191=AP139)*(U$54:$AI$54&lt;EOMONTH(TODAY(),-1)+1)*(ISNUMBER(U$55:$AI$191)),U$55:$AI$191)))</f>
        <v/>
      </c>
      <c r="AS139" s="62">
        <f>A139</f>
        <v>0</v>
      </c>
      <c r="AU139" s="1566">
        <f t="shared" ref="AU139" si="151">IF(OR(I139="",K139=""),0,(I139/12)*K139)</f>
        <v>0</v>
      </c>
      <c r="AV139" s="1566">
        <f t="shared" ref="AV139" si="152">IF(OR(N139="",K139="",K139=0),0,(N139/K139)*12)</f>
        <v>0</v>
      </c>
    </row>
    <row r="140" spans="1:48" ht="45.75" customHeight="1" x14ac:dyDescent="0.3">
      <c r="A140" s="1381"/>
      <c r="B140" s="1692"/>
      <c r="C140" s="1483"/>
      <c r="D140" s="1487"/>
      <c r="E140" s="1369"/>
      <c r="F140" s="1371"/>
      <c r="G140" s="1373"/>
      <c r="H140" s="1373"/>
      <c r="I140" s="1355"/>
      <c r="J140" s="1377"/>
      <c r="K140" s="1390"/>
      <c r="L140" s="1355"/>
      <c r="M140" s="1460"/>
      <c r="N140" s="1392"/>
      <c r="O140" s="1328"/>
      <c r="P140" s="1672"/>
      <c r="Q140" s="2116"/>
      <c r="R140" s="1328"/>
      <c r="S140" s="87" t="s">
        <v>117</v>
      </c>
      <c r="T140" s="91"/>
      <c r="U140" s="287"/>
      <c r="V140" s="287"/>
      <c r="W140" s="287"/>
      <c r="X140" s="288">
        <f t="shared" si="110"/>
        <v>0</v>
      </c>
      <c r="Y140" s="287"/>
      <c r="Z140" s="287"/>
      <c r="AA140" s="287"/>
      <c r="AB140" s="288">
        <f t="shared" si="111"/>
        <v>0</v>
      </c>
      <c r="AC140" s="287"/>
      <c r="AD140" s="287"/>
      <c r="AE140" s="287"/>
      <c r="AF140" s="288">
        <f t="shared" si="112"/>
        <v>0</v>
      </c>
      <c r="AG140" s="287"/>
      <c r="AH140" s="287"/>
      <c r="AI140" s="287"/>
      <c r="AJ140" s="288">
        <f t="shared" si="113"/>
        <v>0</v>
      </c>
      <c r="AK140" s="289">
        <f t="shared" si="114"/>
        <v>0</v>
      </c>
      <c r="AL140" s="337"/>
      <c r="AM140" s="1371"/>
      <c r="AN140" s="1412"/>
      <c r="AO140" s="1406"/>
      <c r="AP140" s="92">
        <f>C139</f>
        <v>0</v>
      </c>
      <c r="AQ140" s="62" t="s">
        <v>313</v>
      </c>
      <c r="AR140" s="508" t="str" cm="1">
        <f t="array" aca="1" ref="AR140" ca="1">IF(OR(AP140="",AP140=0),"",IF(SUMPRODUCT(($C$55:$C$191=AP140)*(U$54:$AI$54&lt;EOMONTH(TODAY(),-1)+1)*(ISNUMBER(U$56:$AI$192)),U$56:$AI$192)=0,"",SUMPRODUCT(($C$55:$C$191=AP140)*(U$54:$AI$54&lt;EOMONTH(TODAY(),-1)+1)*(ISNUMBER(U$56:$AI$192)),U$56:$AI$192)))</f>
        <v/>
      </c>
      <c r="AS140" s="62">
        <f>A139</f>
        <v>0</v>
      </c>
      <c r="AU140" s="1567"/>
      <c r="AV140" s="1567"/>
    </row>
    <row r="141" spans="1:48" ht="29.1" customHeight="1" x14ac:dyDescent="0.3">
      <c r="A141" s="1380"/>
      <c r="B141" s="1691"/>
      <c r="C141" s="1482"/>
      <c r="D141" s="1486"/>
      <c r="E141" s="1368"/>
      <c r="F141" s="1370"/>
      <c r="G141" s="1372"/>
      <c r="H141" s="1372"/>
      <c r="I141" s="1354"/>
      <c r="J141" s="1376"/>
      <c r="K141" s="1389" t="str">
        <f t="shared" ref="K141" si="153">IF(J141="", "", 12 - MONTH(J141) + 1)</f>
        <v/>
      </c>
      <c r="L141" s="1354"/>
      <c r="M141" s="2114"/>
      <c r="N141" s="1861"/>
      <c r="O141" s="1327"/>
      <c r="P141" s="1671"/>
      <c r="Q141" s="2115"/>
      <c r="R141" s="1327"/>
      <c r="S141" s="87" t="s">
        <v>116</v>
      </c>
      <c r="T141" s="91" t="str">
        <f ca="1">IF(OR(G141="", H141=""), "", IF(TODAY()&lt;G141, 0, IF(TODAY()&gt;H141, 1, (TODAY()-G141+1)/(H141-G141+1))))</f>
        <v/>
      </c>
      <c r="U141" s="287">
        <f>IFERROR(IF(AND(U$54&gt;=EOMONTH($J141,-1)+1,U$54&lt;=EOMONTH(EOMONTH($J141,-1)+1,$K141-1)),IF(NOT(ISBLANK($N141)),$N141/$K141,$I141/$K141),0),0)</f>
        <v>0</v>
      </c>
      <c r="V141" s="287">
        <f>IFERROR(IF(AND(V$54&gt;=EOMONTH($J141,-1)+1,V$54&lt;=EOMONTH(EOMONTH($J141,-1)+1,$K141-1)),IF(NOT(ISBLANK($N141)),$N141/$K141,$I141/$K141),0),0)</f>
        <v>0</v>
      </c>
      <c r="W141" s="287">
        <f>IFERROR(IF(AND(W$54&gt;=EOMONTH($J141,-1)+1,W$54&lt;=EOMONTH(EOMONTH($J141,-1)+1,$K141-1)),IF(NOT(ISBLANK($N141)),$N141/$K141,$I141/$K141),0),0)</f>
        <v>0</v>
      </c>
      <c r="X141" s="89">
        <f t="shared" ref="X141:X142" si="154">SUM(U141:W141)</f>
        <v>0</v>
      </c>
      <c r="Y141" s="287">
        <f>IFERROR(IF(AND(Y$54&gt;=EOMONTH($J141,-1)+1,Y$54&lt;=EOMONTH(EOMONTH($J141,-1)+1,$K141-1)),IF(NOT(ISBLANK($N141)),$N141/$K141,$I141/$K141),0),0)</f>
        <v>0</v>
      </c>
      <c r="Z141" s="287">
        <f>IFERROR(IF(AND(Z$54&gt;=EOMONTH($J141,-1)+1,Z$54&lt;=EOMONTH(EOMONTH($J141,-1)+1,$K141-1)),IF(NOT(ISBLANK($N141)),$N141/$K141,$I141/$K141),0),0)</f>
        <v>0</v>
      </c>
      <c r="AA141" s="287">
        <f>IFERROR(IF(AND(AA$54&gt;=EOMONTH($J141,-1)+1,AA$54&lt;=EOMONTH(EOMONTH($J141,-1)+1,$K141-1)),IF(NOT(ISBLANK($N141)),$N141/$K141,$I141/$K141),0),0)</f>
        <v>0</v>
      </c>
      <c r="AB141" s="89">
        <f t="shared" ref="AB141:AB142" si="155">SUM(Y141:AA141)</f>
        <v>0</v>
      </c>
      <c r="AC141" s="287">
        <f>IFERROR(IF(AND(AC$54&gt;=EOMONTH($J141,-1)+1,AC$54&lt;=EOMONTH(EOMONTH($J141,-1)+1,$K141-1)),IF(NOT(ISBLANK($N141)),$N141/$K141,$I141/$K141),0),0)</f>
        <v>0</v>
      </c>
      <c r="AD141" s="287">
        <f>IFERROR(IF(AND(AD$54&gt;=EOMONTH($J141,-1)+1,AD$54&lt;=EOMONTH(EOMONTH($J141,-1)+1,$K141-1)),IF(NOT(ISBLANK($N141)),$N141/$K141,$I141/$K141),0),0)</f>
        <v>0</v>
      </c>
      <c r="AE141" s="287">
        <f>IFERROR(IF(AND(AE$54&gt;=EOMONTH($J141,-1)+1,AE$54&lt;=EOMONTH(EOMONTH($J141,-1)+1,$K141-1)),IF(NOT(ISBLANK($N141)),$N141/$K141,$I141/$K141),0),0)</f>
        <v>0</v>
      </c>
      <c r="AF141" s="89">
        <f t="shared" ref="AF141:AF142" si="156">SUM(AC141:AE141)</f>
        <v>0</v>
      </c>
      <c r="AG141" s="287">
        <f>IFERROR(IF(AND(AG$54&gt;=EOMONTH($J141,-1)+1,AG$54&lt;=EOMONTH(EOMONTH($J141,-1)+1,$K141-1)),IF(NOT(ISBLANK($N141)),$N141/$K141,$I141/$K141),0),0)</f>
        <v>0</v>
      </c>
      <c r="AH141" s="287">
        <f>IFERROR(IF(AND(AH$54&gt;=EOMONTH($J141,-1)+1,AH$54&lt;=EOMONTH(EOMONTH($J141,-1)+1,$K141-1)),IF(NOT(ISBLANK($N141)),$N141/$K141,$I141/$K141),0),0)</f>
        <v>0</v>
      </c>
      <c r="AI141" s="287">
        <f>IFERROR(IF(AND(AI$54&gt;=EOMONTH($J141,-1)+1,AI$54&lt;=EOMONTH(EOMONTH($J141,-1)+1,$K141-1)),IF(NOT(ISBLANK($N141)),$N141/$K141,$I141/$K141),0),0)</f>
        <v>0</v>
      </c>
      <c r="AJ141" s="89">
        <f t="shared" ref="AJ141:AJ142" si="157">SUM(AG141:AI141)</f>
        <v>0</v>
      </c>
      <c r="AK141" s="90">
        <f t="shared" ref="AK141:AK142" si="158">SUM(X141,AB141,AF141,AJ141)</f>
        <v>0</v>
      </c>
      <c r="AL141" s="98"/>
      <c r="AM141" s="1370"/>
      <c r="AN141" s="1411"/>
      <c r="AO141" s="1405">
        <f>N141*AN141</f>
        <v>0</v>
      </c>
      <c r="AP141" s="98">
        <f>C141</f>
        <v>0</v>
      </c>
      <c r="AQ141" s="62" t="s">
        <v>311</v>
      </c>
      <c r="AR141" s="508" t="str" cm="1">
        <f t="array" aca="1" ref="AR141" ca="1">IF(OR(AP141="",AP141=0),"",IF(SUMPRODUCT(($C$55:$C$191=AP141)*(U$54:$AI$54&lt;EOMONTH(TODAY(),-1)+1)*(ISNUMBER(U$55:$AI$191)),U$55:$AI$191)=0,"",SUMPRODUCT(($C$55:$C$191=AP141)*(U$54:$AI$54&lt;EOMONTH(TODAY(),-1)+1)*(ISNUMBER(U$55:$AI$191)),U$55:$AI$191)))</f>
        <v/>
      </c>
      <c r="AS141" s="62">
        <f>A141</f>
        <v>0</v>
      </c>
      <c r="AU141" s="1566">
        <f t="shared" ref="AU141" si="159">IF(OR(I141="",K141=""),0,(I141/12)*K141)</f>
        <v>0</v>
      </c>
      <c r="AV141" s="1566">
        <f t="shared" ref="AV141" si="160">IF(OR(N141="",K141="",K141=0),0,(N141/K141)*12)</f>
        <v>0</v>
      </c>
    </row>
    <row r="142" spans="1:48" ht="45.75" customHeight="1" x14ac:dyDescent="0.3">
      <c r="A142" s="1381"/>
      <c r="B142" s="1692"/>
      <c r="C142" s="1483"/>
      <c r="D142" s="1487"/>
      <c r="E142" s="1369"/>
      <c r="F142" s="1371"/>
      <c r="G142" s="1373"/>
      <c r="H142" s="1373"/>
      <c r="I142" s="1355"/>
      <c r="J142" s="1377"/>
      <c r="K142" s="1390"/>
      <c r="L142" s="1355"/>
      <c r="M142" s="1460"/>
      <c r="N142" s="1392"/>
      <c r="O142" s="1328"/>
      <c r="P142" s="1672"/>
      <c r="Q142" s="2116"/>
      <c r="R142" s="1328"/>
      <c r="S142" s="87" t="s">
        <v>117</v>
      </c>
      <c r="T142" s="91"/>
      <c r="U142" s="287"/>
      <c r="V142" s="287"/>
      <c r="W142" s="287"/>
      <c r="X142" s="288">
        <f t="shared" si="154"/>
        <v>0</v>
      </c>
      <c r="Y142" s="287"/>
      <c r="Z142" s="287"/>
      <c r="AA142" s="287"/>
      <c r="AB142" s="288">
        <f t="shared" si="155"/>
        <v>0</v>
      </c>
      <c r="AC142" s="287"/>
      <c r="AD142" s="287"/>
      <c r="AE142" s="287"/>
      <c r="AF142" s="288">
        <f t="shared" si="156"/>
        <v>0</v>
      </c>
      <c r="AG142" s="287"/>
      <c r="AH142" s="287"/>
      <c r="AI142" s="287"/>
      <c r="AJ142" s="288">
        <f t="shared" si="157"/>
        <v>0</v>
      </c>
      <c r="AK142" s="289">
        <f t="shared" si="158"/>
        <v>0</v>
      </c>
      <c r="AL142" s="337"/>
      <c r="AM142" s="1371"/>
      <c r="AN142" s="1412"/>
      <c r="AO142" s="1406"/>
      <c r="AP142" s="92">
        <f>C141</f>
        <v>0</v>
      </c>
      <c r="AQ142" s="62" t="s">
        <v>313</v>
      </c>
      <c r="AR142" s="508" t="str" cm="1">
        <f t="array" aca="1" ref="AR142" ca="1">IF(OR(AP142="",AP142=0),"",IF(SUMPRODUCT(($C$55:$C$191=AP142)*(U$54:$AI$54&lt;EOMONTH(TODAY(),-1)+1)*(ISNUMBER(U$56:$AI$192)),U$56:$AI$192)=0,"",SUMPRODUCT(($C$55:$C$191=AP142)*(U$54:$AI$54&lt;EOMONTH(TODAY(),-1)+1)*(ISNUMBER(U$56:$AI$192)),U$56:$AI$192)))</f>
        <v/>
      </c>
      <c r="AS142" s="62">
        <f>A141</f>
        <v>0</v>
      </c>
      <c r="AU142" s="1567"/>
      <c r="AV142" s="1567"/>
    </row>
    <row r="143" spans="1:48" ht="29.1" customHeight="1" x14ac:dyDescent="0.3">
      <c r="A143" s="1380"/>
      <c r="B143" s="1691"/>
      <c r="C143" s="1482"/>
      <c r="D143" s="1486"/>
      <c r="E143" s="1368"/>
      <c r="F143" s="1370"/>
      <c r="G143" s="1372"/>
      <c r="H143" s="1372"/>
      <c r="I143" s="1354"/>
      <c r="J143" s="1376"/>
      <c r="K143" s="1389" t="str">
        <f t="shared" ref="K143" si="161">IF(J143="", "", 12 - MONTH(J143) + 1)</f>
        <v/>
      </c>
      <c r="L143" s="1354"/>
      <c r="M143" s="2114"/>
      <c r="N143" s="1861"/>
      <c r="O143" s="1327"/>
      <c r="P143" s="1671"/>
      <c r="Q143" s="2115"/>
      <c r="R143" s="1327"/>
      <c r="S143" s="87" t="s">
        <v>116</v>
      </c>
      <c r="T143" s="91" t="str">
        <f ca="1">IF(OR(G143="", H143=""), "", IF(TODAY()&lt;G143, 0, IF(TODAY()&gt;H143, 1, (TODAY()-G143+1)/(H143-G143+1))))</f>
        <v/>
      </c>
      <c r="U143" s="287">
        <f>IFERROR(IF(AND(U$54&gt;=EOMONTH($J143,-1)+1,U$54&lt;=EOMONTH(EOMONTH($J143,-1)+1,$K143-1)),IF(NOT(ISBLANK($N143)),$N143/$K143,$I143/$K143),0),0)</f>
        <v>0</v>
      </c>
      <c r="V143" s="287">
        <f>IFERROR(IF(AND(V$54&gt;=EOMONTH($J143,-1)+1,V$54&lt;=EOMONTH(EOMONTH($J143,-1)+1,$K143-1)),IF(NOT(ISBLANK($N143)),$N143/$K143,$I143/$K143),0),0)</f>
        <v>0</v>
      </c>
      <c r="W143" s="287">
        <f>IFERROR(IF(AND(W$54&gt;=EOMONTH($J143,-1)+1,W$54&lt;=EOMONTH(EOMONTH($J143,-1)+1,$K143-1)),IF(NOT(ISBLANK($N143)),$N143/$K143,$I143/$K143),0),0)</f>
        <v>0</v>
      </c>
      <c r="X143" s="89">
        <f t="shared" ref="X143:X144" si="162">SUM(U143:W143)</f>
        <v>0</v>
      </c>
      <c r="Y143" s="287">
        <f>IFERROR(IF(AND(Y$54&gt;=EOMONTH($J143,-1)+1,Y$54&lt;=EOMONTH(EOMONTH($J143,-1)+1,$K143-1)),IF(NOT(ISBLANK($N143)),$N143/$K143,$I143/$K143),0),0)</f>
        <v>0</v>
      </c>
      <c r="Z143" s="287">
        <f>IFERROR(IF(AND(Z$54&gt;=EOMONTH($J143,-1)+1,Z$54&lt;=EOMONTH(EOMONTH($J143,-1)+1,$K143-1)),IF(NOT(ISBLANK($N143)),$N143/$K143,$I143/$K143),0),0)</f>
        <v>0</v>
      </c>
      <c r="AA143" s="287">
        <f>IFERROR(IF(AND(AA$54&gt;=EOMONTH($J143,-1)+1,AA$54&lt;=EOMONTH(EOMONTH($J143,-1)+1,$K143-1)),IF(NOT(ISBLANK($N143)),$N143/$K143,$I143/$K143),0),0)</f>
        <v>0</v>
      </c>
      <c r="AB143" s="89">
        <f t="shared" si="27"/>
        <v>0</v>
      </c>
      <c r="AC143" s="287">
        <f>IFERROR(IF(AND(AC$54&gt;=EOMONTH($J143,-1)+1,AC$54&lt;=EOMONTH(EOMONTH($J143,-1)+1,$K143-1)),IF(NOT(ISBLANK($N143)),$N143/$K143,$I143/$K143),0),0)</f>
        <v>0</v>
      </c>
      <c r="AD143" s="287">
        <f>IFERROR(IF(AND(AD$54&gt;=EOMONTH($J143,-1)+1,AD$54&lt;=EOMONTH(EOMONTH($J143,-1)+1,$K143-1)),IF(NOT(ISBLANK($N143)),$N143/$K143,$I143/$K143),0),0)</f>
        <v>0</v>
      </c>
      <c r="AE143" s="287">
        <f>IFERROR(IF(AND(AE$54&gt;=EOMONTH($J143,-1)+1,AE$54&lt;=EOMONTH(EOMONTH($J143,-1)+1,$K143-1)),IF(NOT(ISBLANK($N143)),$N143/$K143,$I143/$K143),0),0)</f>
        <v>0</v>
      </c>
      <c r="AF143" s="89">
        <f t="shared" si="28"/>
        <v>0</v>
      </c>
      <c r="AG143" s="287">
        <f>IFERROR(IF(AND(AG$54&gt;=EOMONTH($J143,-1)+1,AG$54&lt;=EOMONTH(EOMONTH($J143,-1)+1,$K143-1)),IF(NOT(ISBLANK($N143)),$N143/$K143,$I143/$K143),0),0)</f>
        <v>0</v>
      </c>
      <c r="AH143" s="287">
        <f>IFERROR(IF(AND(AH$54&gt;=EOMONTH($J143,-1)+1,AH$54&lt;=EOMONTH(EOMONTH($J143,-1)+1,$K143-1)),IF(NOT(ISBLANK($N143)),$N143/$K143,$I143/$K143),0),0)</f>
        <v>0</v>
      </c>
      <c r="AI143" s="287">
        <f>IFERROR(IF(AND(AI$54&gt;=EOMONTH($J143,-1)+1,AI$54&lt;=EOMONTH(EOMONTH($J143,-1)+1,$K143-1)),IF(NOT(ISBLANK($N143)),$N143/$K143,$I143/$K143),0),0)</f>
        <v>0</v>
      </c>
      <c r="AJ143" s="89">
        <f t="shared" si="18"/>
        <v>0</v>
      </c>
      <c r="AK143" s="90">
        <f t="shared" si="16"/>
        <v>0</v>
      </c>
      <c r="AL143" s="98"/>
      <c r="AM143" s="1370"/>
      <c r="AN143" s="1411"/>
      <c r="AO143" s="1405">
        <f>N143*AN143</f>
        <v>0</v>
      </c>
      <c r="AP143" s="98">
        <f>C143</f>
        <v>0</v>
      </c>
      <c r="AQ143" s="62" t="s">
        <v>311</v>
      </c>
      <c r="AR143" s="508" t="str" cm="1">
        <f t="array" aca="1" ref="AR143" ca="1">IF(OR(AP143="",AP143=0),"",IF(SUMPRODUCT(($C$55:$C$191=AP143)*(U$54:$AI$54&lt;EOMONTH(TODAY(),-1)+1)*(ISNUMBER(U$55:$AI$191)),U$55:$AI$191)=0,"",SUMPRODUCT(($C$55:$C$191=AP143)*(U$54:$AI$54&lt;EOMONTH(TODAY(),-1)+1)*(ISNUMBER(U$55:$AI$191)),U$55:$AI$191)))</f>
        <v/>
      </c>
      <c r="AS143" s="62">
        <f>A143</f>
        <v>0</v>
      </c>
      <c r="AU143" s="1566">
        <f t="shared" ref="AU143" si="163">IF(OR(I143="",K143=""),0,(I143/12)*K143)</f>
        <v>0</v>
      </c>
      <c r="AV143" s="1566">
        <f t="shared" ref="AV143" si="164">IF(OR(N143="",K143="",K143=0),0,(N143/K143)*12)</f>
        <v>0</v>
      </c>
    </row>
    <row r="144" spans="1:48" ht="45.75" customHeight="1" x14ac:dyDescent="0.3">
      <c r="A144" s="1381"/>
      <c r="B144" s="1692"/>
      <c r="C144" s="1483"/>
      <c r="D144" s="1487"/>
      <c r="E144" s="1369"/>
      <c r="F144" s="1371"/>
      <c r="G144" s="1373"/>
      <c r="H144" s="1373"/>
      <c r="I144" s="1355"/>
      <c r="J144" s="1377"/>
      <c r="K144" s="1390"/>
      <c r="L144" s="1355"/>
      <c r="M144" s="1460"/>
      <c r="N144" s="1392"/>
      <c r="O144" s="1328"/>
      <c r="P144" s="1672"/>
      <c r="Q144" s="2116"/>
      <c r="R144" s="1328"/>
      <c r="S144" s="87" t="s">
        <v>117</v>
      </c>
      <c r="T144" s="91"/>
      <c r="U144" s="287"/>
      <c r="V144" s="287"/>
      <c r="W144" s="287"/>
      <c r="X144" s="288">
        <f t="shared" si="162"/>
        <v>0</v>
      </c>
      <c r="Y144" s="287"/>
      <c r="Z144" s="287"/>
      <c r="AA144" s="287"/>
      <c r="AB144" s="288">
        <f t="shared" si="27"/>
        <v>0</v>
      </c>
      <c r="AC144" s="287"/>
      <c r="AD144" s="287"/>
      <c r="AE144" s="287"/>
      <c r="AF144" s="288">
        <f t="shared" si="28"/>
        <v>0</v>
      </c>
      <c r="AG144" s="287"/>
      <c r="AH144" s="287"/>
      <c r="AI144" s="287"/>
      <c r="AJ144" s="288">
        <f t="shared" si="18"/>
        <v>0</v>
      </c>
      <c r="AK144" s="289">
        <f t="shared" si="16"/>
        <v>0</v>
      </c>
      <c r="AL144" s="337"/>
      <c r="AM144" s="1371"/>
      <c r="AN144" s="1412"/>
      <c r="AO144" s="1406"/>
      <c r="AP144" s="92">
        <f>C143</f>
        <v>0</v>
      </c>
      <c r="AQ144" s="62" t="s">
        <v>313</v>
      </c>
      <c r="AR144" s="508" t="str" cm="1">
        <f t="array" aca="1" ref="AR144" ca="1">IF(OR(AP144="",AP144=0),"",IF(SUMPRODUCT(($C$55:$C$191=AP144)*(U$54:$AI$54&lt;EOMONTH(TODAY(),-1)+1)*(ISNUMBER(U$56:$AI$192)),U$56:$AI$192)=0,"",SUMPRODUCT(($C$55:$C$191=AP144)*(U$54:$AI$54&lt;EOMONTH(TODAY(),-1)+1)*(ISNUMBER(U$56:$AI$192)),U$56:$AI$192)))</f>
        <v/>
      </c>
      <c r="AS144" s="62">
        <f>A143</f>
        <v>0</v>
      </c>
      <c r="AU144" s="1567"/>
      <c r="AV144" s="1567"/>
    </row>
    <row r="145" spans="1:45" x14ac:dyDescent="0.3">
      <c r="A145" s="47"/>
      <c r="B145" s="47"/>
      <c r="C145" s="47"/>
      <c r="D145" s="47"/>
      <c r="E145" s="47"/>
      <c r="F145" s="47"/>
      <c r="G145" s="59"/>
      <c r="H145" s="47"/>
      <c r="I145" s="47"/>
      <c r="J145" s="47"/>
      <c r="K145" s="47"/>
      <c r="L145" s="47"/>
      <c r="M145" s="47"/>
      <c r="N145" s="47"/>
      <c r="O145" s="47"/>
      <c r="P145" s="59"/>
      <c r="Q145" s="47"/>
      <c r="R145" s="47"/>
      <c r="S145" s="47"/>
      <c r="T145" s="47"/>
      <c r="U145" s="47"/>
      <c r="V145" s="47"/>
      <c r="W145" s="47"/>
      <c r="X145" s="47"/>
      <c r="Y145" s="47"/>
      <c r="Z145" s="47"/>
      <c r="AA145" s="47"/>
      <c r="AB145" s="47"/>
      <c r="AC145" s="47"/>
      <c r="AD145" s="47"/>
      <c r="AE145" s="47"/>
      <c r="AF145" s="47"/>
      <c r="AG145" s="47"/>
      <c r="AH145" s="47"/>
      <c r="AL145" s="47"/>
      <c r="AN145" s="62" t="s">
        <v>311</v>
      </c>
      <c r="AO145" s="508" t="str" cm="1">
        <f t="array" aca="1" ref="AO145" ca="1">IF(OR(AM145="",AM145=0),"",IF(SUMPRODUCT(($B$55:$B$191=AM145)*(U$54:$AI$54&lt;EOMONTH(TODAY(),-1)+1)*(ISNUMBER(R$55:$AF$191)),R$55:$AF$191)=0,"",SUMPRODUCT(($B$55:$B$191=AM145)*(U$54:$AI$54&lt;EOMONTH(TODAY(),-1)+1)*(ISNUMBER(R$55:$AF$191)),R$55:$AF$191)))</f>
        <v/>
      </c>
      <c r="AS145" s="62">
        <f>A145</f>
        <v>0</v>
      </c>
    </row>
    <row r="146" spans="1:45" ht="15.6" x14ac:dyDescent="0.3">
      <c r="A146" s="100" t="s">
        <v>572</v>
      </c>
      <c r="B146" s="100"/>
      <c r="C146" s="100"/>
      <c r="D146" s="99" t="s">
        <v>573</v>
      </c>
      <c r="E146" s="99" t="s">
        <v>78</v>
      </c>
      <c r="F146" s="99" t="s">
        <v>79</v>
      </c>
      <c r="G146" s="47"/>
      <c r="H146" s="1384" t="s">
        <v>1095</v>
      </c>
      <c r="I146" s="1384"/>
      <c r="J146" s="1384"/>
      <c r="K146" s="1384"/>
      <c r="L146" s="1384"/>
      <c r="M146" s="1385"/>
      <c r="N146" s="1385"/>
      <c r="O146" s="1384"/>
      <c r="P146" s="1384"/>
      <c r="Q146" s="104"/>
      <c r="R146" s="151"/>
      <c r="S146" s="85">
        <v>46023</v>
      </c>
      <c r="T146" s="151">
        <v>46054</v>
      </c>
      <c r="U146" s="151">
        <v>46082</v>
      </c>
      <c r="V146" s="151">
        <v>46113</v>
      </c>
      <c r="W146" s="151">
        <v>46143</v>
      </c>
      <c r="X146" s="151">
        <v>46174</v>
      </c>
      <c r="Y146" s="151">
        <v>46204</v>
      </c>
      <c r="Z146" s="151">
        <v>46235</v>
      </c>
      <c r="AA146" s="151">
        <v>46266</v>
      </c>
      <c r="AB146" s="151">
        <v>46296</v>
      </c>
      <c r="AC146" s="151">
        <v>46327</v>
      </c>
      <c r="AD146" s="151">
        <v>46357</v>
      </c>
      <c r="AE146" s="151" t="s">
        <v>115</v>
      </c>
      <c r="AF146" s="47"/>
      <c r="AG146" s="47"/>
      <c r="AH146" s="47"/>
      <c r="AL146" s="47"/>
      <c r="AO146" s="508" t="str" cm="1">
        <f t="array" aca="1" ref="AO146" ca="1">IF(OR(AM146="",AM146=0),"",IF(SUMPRODUCT(($B$55:$B$191=AM146)*($U$54:AI$54&lt;=TODAY())*(ISNUMBER($R$56:AF$192)),$R$56:AF$192)=0,"",SUMPRODUCT(($B$55:$B$191=AM146)*($U$54:AI$54&lt;=TODAY())*(ISNUMBER($R$56:AF$192)),$R$56:AF$192)))</f>
        <v/>
      </c>
      <c r="AS146" s="62">
        <f>A145</f>
        <v>0</v>
      </c>
    </row>
    <row r="147" spans="1:45" ht="15.6" x14ac:dyDescent="0.3">
      <c r="A147" s="112" t="s">
        <v>575</v>
      </c>
      <c r="B147" s="112" t="s">
        <v>576</v>
      </c>
      <c r="C147" s="310"/>
      <c r="D147" s="649" t="s">
        <v>577</v>
      </c>
      <c r="E147" s="894">
        <v>1</v>
      </c>
      <c r="F147" s="894">
        <v>1</v>
      </c>
      <c r="G147" s="593"/>
      <c r="H147" s="443" t="s">
        <v>578</v>
      </c>
      <c r="I147" s="102" t="s">
        <v>579</v>
      </c>
      <c r="J147" s="102" t="s">
        <v>580</v>
      </c>
      <c r="K147" s="102" t="s">
        <v>581</v>
      </c>
      <c r="L147" s="104" t="s">
        <v>183</v>
      </c>
      <c r="M147" s="548" t="s">
        <v>582</v>
      </c>
      <c r="N147" s="548"/>
      <c r="O147" s="548"/>
      <c r="P147" s="104" t="s">
        <v>583</v>
      </c>
      <c r="Q147" s="777" t="s">
        <v>584</v>
      </c>
      <c r="R147" s="471" t="s">
        <v>116</v>
      </c>
      <c r="S147" s="152">
        <f>SUMIF($S$55:$S$144,$R$147,U55:U144)</f>
        <v>162381.75666666665</v>
      </c>
      <c r="T147" s="152">
        <f>SUMIF($S$55:$S$144,$R$147,V55:V144)</f>
        <v>180563.57521212118</v>
      </c>
      <c r="U147" s="152">
        <f>SUMIF($S$55:$S$144,$R$147,W55:W144)</f>
        <v>180563.57521212118</v>
      </c>
      <c r="V147" s="152">
        <f>SUMIF($S$55:$S$144,$R$147,Y55:Y144)</f>
        <v>181319.13076767675</v>
      </c>
      <c r="W147" s="152">
        <f>SUMIF($S$55:$S$144,$R$147,Z55:Z144)</f>
        <v>237569.13076767675</v>
      </c>
      <c r="X147" s="152">
        <f>SUMIF($S$55:$S$144,$R$147,AA55:AA144)</f>
        <v>237569.13076767675</v>
      </c>
      <c r="Y147" s="152">
        <f>SUMIF($S$55:$S$144,$R$147,AC55:AC144)</f>
        <v>256673.41743434343</v>
      </c>
      <c r="Z147" s="152">
        <f>SUMIF($S$55:$S$144,$R$147,AD55:AD144)</f>
        <v>771753.41783434339</v>
      </c>
      <c r="AA147" s="152">
        <f>SUMIF($S$55:$S$144,$R$147,AE55:AE144)</f>
        <v>771753.41783434339</v>
      </c>
      <c r="AB147" s="152">
        <f>SUMIF($S$55:$S$144,$R$147,AG55:AG144)</f>
        <v>851753.41783434339</v>
      </c>
      <c r="AC147" s="152">
        <f>SUMIF($S$55:$S$144,$R$147,AH55:AH144)</f>
        <v>1151753.4178343434</v>
      </c>
      <c r="AD147" s="152">
        <f>SUMIF($S$55:$S$144,$R$147,AI55:AI144)</f>
        <v>1151753.4178343434</v>
      </c>
      <c r="AE147" s="152">
        <f>SUM(S147:AD147)</f>
        <v>6135406.8059999999</v>
      </c>
      <c r="AF147" s="47"/>
      <c r="AG147" s="47"/>
      <c r="AH147" s="47"/>
      <c r="AL147" s="47"/>
      <c r="AO147" s="508" t="str" cm="1">
        <f t="array" aca="1" ref="AO147" ca="1">IF(OR(AM147="",AM147=0),"",IF(SUMPRODUCT(($B$55:$B$191=AM147)*(U$54:$AI$54&lt;EOMONTH(TODAY(),-1)+1)*(ISNUMBER(R$55:$AF$191)),R$55:$AF$191)=0,"",SUMPRODUCT(($B$55:$B$191=AM147)*(U$54:$AI$54&lt;EOMONTH(TODAY(),-1)+1)*(ISNUMBER(R$55:$AF$191)),R$55:$AF$191)))</f>
        <v/>
      </c>
      <c r="AS147" s="62" t="str">
        <f>A147</f>
        <v>Produtividade e Controle​</v>
      </c>
    </row>
    <row r="148" spans="1:45" x14ac:dyDescent="0.3">
      <c r="A148" s="679" t="s">
        <v>585</v>
      </c>
      <c r="B148" s="679" t="s">
        <v>586</v>
      </c>
      <c r="C148" s="678"/>
      <c r="D148" s="680" t="s">
        <v>577</v>
      </c>
      <c r="E148" s="895">
        <v>1</v>
      </c>
      <c r="F148" s="895">
        <v>0.75</v>
      </c>
      <c r="G148" s="594"/>
      <c r="H148" s="271" t="s">
        <v>1503</v>
      </c>
      <c r="I148" s="106" t="s">
        <v>308</v>
      </c>
      <c r="J148" s="470" t="s">
        <v>363</v>
      </c>
      <c r="K148" s="106" t="s">
        <v>363</v>
      </c>
      <c r="L148" s="107">
        <f t="shared" ref="L148:L163" si="165">(COUNTIF(I148:K148,"OK"))*33.333333/100</f>
        <v>0.33333333000000004</v>
      </c>
      <c r="M148" s="778" t="s">
        <v>1504</v>
      </c>
      <c r="N148" s="779"/>
      <c r="O148" s="779"/>
      <c r="P148" s="107"/>
      <c r="Q148" s="107"/>
      <c r="R148" s="472" t="s">
        <v>117</v>
      </c>
      <c r="S148" s="154" cm="1">
        <f t="array" ref="S148">SUMPRODUCT(SUMIFS(U55:U144,$S$55:$S$144,$R$148,$AS$55:$AS$144,$A$8:$A$14))</f>
        <v>122331.07</v>
      </c>
      <c r="T148" s="154" cm="1">
        <f t="array" ref="T148">SUMPRODUCT(SUMIFS(V55:V144,$S$55:$S$144,$R$148,$AS$55:$AS$144,$A$8:$A$14))</f>
        <v>349293.66000000003</v>
      </c>
      <c r="U148" s="154" cm="1">
        <f t="array" ref="U148">SUMPRODUCT(SUMIFS(W55:W144,$S$55:$S$144,$R$148,$AS$55:$AS$144,$A$8:$A$14))</f>
        <v>266462.89</v>
      </c>
      <c r="V148" s="154" cm="1">
        <f t="array" ref="V148">SUMPRODUCT(SUMIFS(Y55:Y144,$S$55:$S$144,$R$148,$AS$55:$AS$144,$A$8:$A$14))</f>
        <v>153037.47000000003</v>
      </c>
      <c r="W148" s="154" cm="1">
        <f t="array" ref="W148">SUMPRODUCT(SUMIFS(Z55:Z144,$S$55:$S$144,$R$148,$AS$55:$AS$144,$A$8:$A$14))</f>
        <v>303609.20999999996</v>
      </c>
      <c r="X148" s="154">
        <f>SUMIF($S$55:$S$144,$R$148,AA55:AA144)</f>
        <v>138234.46</v>
      </c>
      <c r="Y148" s="154">
        <f>SUMIF($S$55:$S$144,$R$148,AC55:AC144)</f>
        <v>34496.879999999997</v>
      </c>
      <c r="Z148" s="154">
        <f>SUMIF($S$55:$S$144,$R$148,AD55:AD144)</f>
        <v>0</v>
      </c>
      <c r="AA148" s="154">
        <f>SUMIF($S$55:$S$144,$R$148,AE55:AE144)</f>
        <v>0</v>
      </c>
      <c r="AB148" s="154">
        <f>SUMIF($S$55:$S$144,$R$148,AG55:AG144)</f>
        <v>0</v>
      </c>
      <c r="AC148" s="154">
        <f>SUMIF($S$55:$S$144,$R$148,AH55:AH144)</f>
        <v>0</v>
      </c>
      <c r="AD148" s="154">
        <f>SUMIF($S$55:$S$144,$R$148,AI55:AI144)</f>
        <v>0</v>
      </c>
      <c r="AE148" s="154">
        <f>SUM(S148:AD148)</f>
        <v>1367465.64</v>
      </c>
      <c r="AF148" s="47"/>
      <c r="AG148" s="47"/>
      <c r="AH148" s="47"/>
      <c r="AL148" s="47"/>
      <c r="AO148" s="508" t="str" cm="1">
        <f t="array" aca="1" ref="AO148" ca="1">IF(OR(AM148="",AM148=0),"",IF(SUMPRODUCT(($B$55:$B$191=AM148)*($U$54:AI$54&lt;=TODAY())*(ISNUMBER($R$56:AF$192)),$R$56:AF$192)=0,"",SUMPRODUCT(($B$55:$B$191=AM148)*($U$54:AI$54&lt;=TODAY())*(ISNUMBER($R$56:AF$192)),$R$56:AF$192)))</f>
        <v/>
      </c>
      <c r="AS148" s="62" t="str">
        <f>A147</f>
        <v>Produtividade e Controle​</v>
      </c>
    </row>
    <row r="149" spans="1:45" x14ac:dyDescent="0.3">
      <c r="A149" s="112" t="s">
        <v>590</v>
      </c>
      <c r="B149" s="112" t="s">
        <v>591</v>
      </c>
      <c r="C149" s="310"/>
      <c r="D149" s="649" t="s">
        <v>577</v>
      </c>
      <c r="E149" s="894">
        <v>1</v>
      </c>
      <c r="F149" s="894">
        <v>1</v>
      </c>
      <c r="G149" s="594"/>
      <c r="H149" s="205" t="s">
        <v>1505</v>
      </c>
      <c r="I149" s="106" t="s">
        <v>308</v>
      </c>
      <c r="J149" s="712" t="s">
        <v>363</v>
      </c>
      <c r="K149" s="109" t="s">
        <v>363</v>
      </c>
      <c r="L149" s="110">
        <f t="shared" si="165"/>
        <v>0.33333333000000004</v>
      </c>
      <c r="M149" s="780" t="s">
        <v>1506</v>
      </c>
      <c r="N149" s="781"/>
      <c r="O149" s="781"/>
      <c r="P149" s="110"/>
      <c r="Q149" s="110"/>
      <c r="R149" s="473" t="s">
        <v>118</v>
      </c>
      <c r="S149" s="160" cm="1">
        <f t="array" ref="S149">SUMPRODUCT(
($G$55:$G$144&lt;&gt;"")*
($G$55:$G$144&lt;=S$146)*
(($H$55:$H$144="")+($H$55:$H$144&gt;=S$146))
)</f>
        <v>12</v>
      </c>
      <c r="T149" s="160" cm="1">
        <f t="array" ref="T149">SUMPRODUCT(
($G$55:$G$144&lt;&gt;"")*
($G$55:$G$144&lt;=T$146)*
(($H$55:$H$144="")+($H$55:$H$144&gt;=T$146))
)</f>
        <v>18</v>
      </c>
      <c r="U149" s="160" cm="1">
        <f t="array" ref="U149">SUMPRODUCT(
($G$55:$G$144&lt;&gt;"")*
($G$55:$G$144&lt;=U$146)*
(($H$55:$H$144="")+($H$55:$H$144&gt;=U$146))
)</f>
        <v>20</v>
      </c>
      <c r="V149" s="160" cm="1">
        <f t="array" ref="V149">SUMPRODUCT(
($G$55:$G$144&lt;&gt;"")*
($G$55:$G$144&lt;=V$146)*
(($H$55:$H$144="")+($H$55:$H$144&gt;=V$146))
)</f>
        <v>15</v>
      </c>
      <c r="W149" s="160" cm="1">
        <f t="array" ref="W149">SUMPRODUCT(
($G$55:$G$144&lt;&gt;"")*
($G$55:$G$144&lt;=W$146)*
(($H$55:$H$144="")+($H$55:$H$144&gt;=W$146))
)</f>
        <v>14</v>
      </c>
      <c r="X149" s="160" cm="1">
        <f t="array" ref="X149">SUMPRODUCT(
($G$55:$G$144&lt;&gt;"")*
($G$55:$G$144&lt;=X$146)*
(($H$55:$H$144="")+($H$55:$H$144&gt;=X$146))
)</f>
        <v>13</v>
      </c>
      <c r="Y149" s="160" cm="1">
        <f t="array" ref="Y149">SUMPRODUCT(
($G$55:$G$144&lt;&gt;"")*
($G$55:$G$144&lt;=Y$146)*
(($H$55:$H$144="")+($H$55:$H$144&gt;=Y$146))
)</f>
        <v>11</v>
      </c>
      <c r="Z149" s="160" cm="1">
        <f t="array" ref="Z149">SUMPRODUCT(
($G$55:$G$144&lt;&gt;"")*
($G$55:$G$144&lt;=Z$146)*
(($H$55:$H$144="")+($H$55:$H$144&gt;=Z$146))
)</f>
        <v>12</v>
      </c>
      <c r="AA149" s="160" cm="1">
        <f t="array" ref="AA149">SUMPRODUCT(
($G$55:$G$144&lt;&gt;"")*
($G$55:$G$144&lt;=AA$146)*
(($H$55:$H$144="")+($H$55:$H$144&gt;=AA$146))
)</f>
        <v>4</v>
      </c>
      <c r="AB149" s="160" cm="1">
        <f t="array" ref="AB149">SUMPRODUCT(
($G$55:$G$144&lt;&gt;"")*
($G$55:$G$144&lt;=AB$146)*
(($H$55:$H$144="")+($H$55:$H$144&gt;=AB$146))
)</f>
        <v>4</v>
      </c>
      <c r="AC149" s="160" cm="1">
        <f t="array" ref="AC149">SUMPRODUCT(
($G$55:$G$144&lt;&gt;"")*
($G$55:$G$144&lt;=AC$146)*
(($H$55:$H$144="")+($H$55:$H$144&gt;=AC$146))
)</f>
        <v>3</v>
      </c>
      <c r="AD149" s="160" cm="1">
        <f t="array" ref="AD149">SUMPRODUCT(
($G$55:$G$144&lt;&gt;"")*
($G$55:$G$144&lt;=AD$146)*
(($H$55:$H$144="")+($H$55:$H$144&gt;=AD$146))
)</f>
        <v>2</v>
      </c>
      <c r="AE149" s="160"/>
      <c r="AF149" s="47"/>
      <c r="AG149" s="47"/>
      <c r="AH149" s="47"/>
      <c r="AL149" s="47"/>
      <c r="AO149" s="508" t="str" cm="1">
        <f t="array" aca="1" ref="AO149" ca="1">IF(OR(AM149="",AM149=0),"",IF(SUMPRODUCT(($B$55:$B$191=AM149)*(U$54:$AI$54&lt;EOMONTH(TODAY(),-1)+1)*(ISNUMBER(R$55:$AF$191)),R$55:$AF$191)=0,"",SUMPRODUCT(($B$55:$B$191=AM149)*(U$54:$AI$54&lt;EOMONTH(TODAY(),-1)+1)*(ISNUMBER(R$55:$AF$191)),R$55:$AF$191)))</f>
        <v/>
      </c>
      <c r="AS149" s="62" t="str">
        <f>A149</f>
        <v>Análise dos Dados ​</v>
      </c>
    </row>
    <row r="150" spans="1:45" x14ac:dyDescent="0.3">
      <c r="A150" s="679" t="s">
        <v>594</v>
      </c>
      <c r="B150" s="679" t="s">
        <v>595</v>
      </c>
      <c r="C150" s="678"/>
      <c r="D150" s="680" t="s">
        <v>596</v>
      </c>
      <c r="E150" s="895">
        <v>1</v>
      </c>
      <c r="F150" s="895">
        <v>1</v>
      </c>
      <c r="G150" s="593"/>
      <c r="H150" s="271" t="s">
        <v>1507</v>
      </c>
      <c r="I150" s="106" t="s">
        <v>308</v>
      </c>
      <c r="J150" s="470" t="s">
        <v>363</v>
      </c>
      <c r="K150" s="106" t="s">
        <v>363</v>
      </c>
      <c r="L150" s="107">
        <f t="shared" si="165"/>
        <v>0.33333333000000004</v>
      </c>
      <c r="M150" s="778" t="s">
        <v>1508</v>
      </c>
      <c r="N150" s="779"/>
      <c r="O150" s="779"/>
      <c r="P150" s="107" t="s">
        <v>25</v>
      </c>
      <c r="Q150" s="107"/>
      <c r="R150" s="472" t="s">
        <v>119</v>
      </c>
      <c r="S150" s="154">
        <f>S147</f>
        <v>162381.75666666665</v>
      </c>
      <c r="T150" s="154">
        <f>S150+T147</f>
        <v>342945.33187878784</v>
      </c>
      <c r="U150" s="154">
        <f t="shared" ref="U150:AD151" si="166">T150+U147</f>
        <v>523508.90709090902</v>
      </c>
      <c r="V150" s="154">
        <f t="shared" si="166"/>
        <v>704828.03785858583</v>
      </c>
      <c r="W150" s="154">
        <f t="shared" si="166"/>
        <v>942397.16862626257</v>
      </c>
      <c r="X150" s="154">
        <f t="shared" si="166"/>
        <v>1179966.2993939393</v>
      </c>
      <c r="Y150" s="154">
        <f t="shared" si="166"/>
        <v>1436639.7168282827</v>
      </c>
      <c r="Z150" s="154">
        <f t="shared" si="166"/>
        <v>2208393.1346626263</v>
      </c>
      <c r="AA150" s="154">
        <f t="shared" si="166"/>
        <v>2980146.5524969697</v>
      </c>
      <c r="AB150" s="154">
        <f t="shared" si="166"/>
        <v>3831899.9703313131</v>
      </c>
      <c r="AC150" s="154">
        <f t="shared" si="166"/>
        <v>4983653.3881656565</v>
      </c>
      <c r="AD150" s="154">
        <f t="shared" si="166"/>
        <v>6135406.8059999999</v>
      </c>
      <c r="AE150" s="154"/>
      <c r="AF150" s="47"/>
      <c r="AG150" s="47"/>
      <c r="AH150" s="47"/>
      <c r="AL150" s="47"/>
      <c r="AO150" s="508" t="str" cm="1">
        <f t="array" aca="1" ref="AO150" ca="1">IF(OR(AM150="",AM150=0),"",IF(SUMPRODUCT(($B$55:$B$191=AM150)*($U$54:AI$54&lt;=TODAY())*(ISNUMBER($R$56:AF$192)),$R$56:AF$192)=0,"",SUMPRODUCT(($B$55:$B$191=AM150)*($U$54:AI$54&lt;=TODAY())*(ISNUMBER($R$56:AF$192)),$R$56:AF$192)))</f>
        <v/>
      </c>
      <c r="AS150" s="62" t="str">
        <f>A149</f>
        <v>Análise dos Dados ​</v>
      </c>
    </row>
    <row r="151" spans="1:45" ht="14.85" customHeight="1" x14ac:dyDescent="0.3">
      <c r="A151" s="112" t="s">
        <v>594</v>
      </c>
      <c r="B151" s="112" t="s">
        <v>599</v>
      </c>
      <c r="C151" s="310"/>
      <c r="D151" s="649" t="s">
        <v>596</v>
      </c>
      <c r="E151" s="894">
        <v>1</v>
      </c>
      <c r="F151" s="894">
        <v>1</v>
      </c>
      <c r="G151" s="594"/>
      <c r="H151" s="205" t="s">
        <v>1509</v>
      </c>
      <c r="I151" s="109" t="s">
        <v>308</v>
      </c>
      <c r="J151" s="712" t="s">
        <v>363</v>
      </c>
      <c r="K151" s="109" t="s">
        <v>363</v>
      </c>
      <c r="L151" s="110">
        <f t="shared" si="165"/>
        <v>0.33333333000000004</v>
      </c>
      <c r="M151" s="780" t="s">
        <v>1510</v>
      </c>
      <c r="N151" s="781"/>
      <c r="O151" s="781"/>
      <c r="P151" s="110" t="s">
        <v>25</v>
      </c>
      <c r="Q151" s="110"/>
      <c r="R151" s="473" t="s">
        <v>120</v>
      </c>
      <c r="S151" s="474">
        <f>S148</f>
        <v>122331.07</v>
      </c>
      <c r="T151" s="474">
        <f>S151+T148</f>
        <v>471624.73000000004</v>
      </c>
      <c r="U151" s="474">
        <f t="shared" si="166"/>
        <v>738087.62000000011</v>
      </c>
      <c r="V151" s="474">
        <f t="shared" si="166"/>
        <v>891125.09000000008</v>
      </c>
      <c r="W151" s="474">
        <f t="shared" si="166"/>
        <v>1194734.3</v>
      </c>
      <c r="X151" s="474">
        <f t="shared" si="166"/>
        <v>1332968.76</v>
      </c>
      <c r="Y151" s="474">
        <f t="shared" si="166"/>
        <v>1367465.64</v>
      </c>
      <c r="Z151" s="474">
        <f t="shared" si="166"/>
        <v>1367465.64</v>
      </c>
      <c r="AA151" s="474">
        <f t="shared" si="166"/>
        <v>1367465.64</v>
      </c>
      <c r="AB151" s="474">
        <f t="shared" si="166"/>
        <v>1367465.64</v>
      </c>
      <c r="AC151" s="474">
        <f t="shared" si="166"/>
        <v>1367465.64</v>
      </c>
      <c r="AD151" s="474">
        <f t="shared" si="166"/>
        <v>1367465.64</v>
      </c>
      <c r="AE151" s="474"/>
      <c r="AF151" s="47"/>
      <c r="AG151" s="47"/>
      <c r="AH151" s="47"/>
      <c r="AL151" s="47"/>
      <c r="AO151" s="508" t="str" cm="1">
        <f t="array" aca="1" ref="AO151" ca="1">IF(OR(AM151="",AM151=0),"",IF(SUMPRODUCT(($B$55:$B$191=AM151)*(U$54:$AI$54&lt;EOMONTH(TODAY(),-1)+1)*(ISNUMBER(R$55:$AF$191)),R$55:$AF$191)=0,"",SUMPRODUCT(($B$55:$B$191=AM151)*(U$54:$AI$54&lt;EOMONTH(TODAY(),-1)+1)*(ISNUMBER(R$55:$AF$191)),R$55:$AF$191)))</f>
        <v/>
      </c>
      <c r="AS151" s="62" t="str">
        <f>A151</f>
        <v>Manutenção do Processo ​</v>
      </c>
    </row>
    <row r="152" spans="1:45" ht="14.85" customHeight="1" x14ac:dyDescent="0.3">
      <c r="A152" s="679" t="s">
        <v>594</v>
      </c>
      <c r="B152" s="679" t="s">
        <v>602</v>
      </c>
      <c r="C152" s="678"/>
      <c r="D152" s="680" t="s">
        <v>596</v>
      </c>
      <c r="E152" s="895">
        <v>1</v>
      </c>
      <c r="F152" s="895">
        <v>1</v>
      </c>
      <c r="G152" s="594"/>
      <c r="H152" s="271" t="s">
        <v>1511</v>
      </c>
      <c r="I152" s="106" t="s">
        <v>308</v>
      </c>
      <c r="J152" s="470" t="s">
        <v>363</v>
      </c>
      <c r="K152" s="106" t="s">
        <v>363</v>
      </c>
      <c r="L152" s="107">
        <f t="shared" si="165"/>
        <v>0.33333333000000004</v>
      </c>
      <c r="M152" s="778" t="s">
        <v>1512</v>
      </c>
      <c r="N152" s="779"/>
      <c r="O152" s="779"/>
      <c r="P152" s="107" t="s">
        <v>25</v>
      </c>
      <c r="Q152" s="107"/>
      <c r="R152" s="472" t="s">
        <v>121</v>
      </c>
      <c r="S152" s="154">
        <f>IF(AND(ISNUMBER(S148),S148&lt;&gt;0), S151, R152 + (($A$5 - MAX($S$199:$AD$199)) / COUNTIF($S$196:$AD$196,0)))</f>
        <v>122331.07</v>
      </c>
      <c r="T152" s="154">
        <f t="shared" ref="T152:AD152" si="167">IF(AND(ISNUMBER(T148),T148&lt;&gt;0), T151, S152 + (($A$5 - MAX($S$151:$AD$151)) / COUNTIF($S$148:$AD$148,0)))</f>
        <v>471624.73000000004</v>
      </c>
      <c r="U152" s="154">
        <f t="shared" si="167"/>
        <v>738087.62000000011</v>
      </c>
      <c r="V152" s="154">
        <f t="shared" si="167"/>
        <v>891125.09000000008</v>
      </c>
      <c r="W152" s="154">
        <f t="shared" si="167"/>
        <v>1194734.3</v>
      </c>
      <c r="X152" s="154">
        <f t="shared" si="167"/>
        <v>1332968.76</v>
      </c>
      <c r="Y152" s="154">
        <f t="shared" si="167"/>
        <v>1367465.64</v>
      </c>
      <c r="Z152" s="154">
        <f t="shared" si="167"/>
        <v>3767372.5120000001</v>
      </c>
      <c r="AA152" s="154">
        <f t="shared" si="167"/>
        <v>6167279.3839999996</v>
      </c>
      <c r="AB152" s="154">
        <f t="shared" si="167"/>
        <v>8567186.2559999991</v>
      </c>
      <c r="AC152" s="154">
        <f t="shared" si="167"/>
        <v>10967093.127999999</v>
      </c>
      <c r="AD152" s="154">
        <f t="shared" si="167"/>
        <v>13366999.999999998</v>
      </c>
      <c r="AE152" s="47"/>
      <c r="AF152" s="47"/>
      <c r="AG152" s="47"/>
      <c r="AH152" s="47"/>
      <c r="AL152" s="47"/>
      <c r="AO152" s="508" t="str" cm="1">
        <f t="array" aca="1" ref="AO152" ca="1">IF(OR(AM152="",AM152=0),"",IF(SUMPRODUCT(($B$55:$B$191=AM152)*($U$54:AI$54&lt;=TODAY())*(ISNUMBER($R$56:AF$192)),$R$56:AF$192)=0,"",SUMPRODUCT(($B$55:$B$191=AM152)*($U$54:AI$54&lt;=TODAY())*(ISNUMBER($R$56:AF$192)),$R$56:AF$192)))</f>
        <v/>
      </c>
      <c r="AS152" s="62" t="str">
        <f>A151</f>
        <v>Manutenção do Processo ​</v>
      </c>
    </row>
    <row r="153" spans="1:45" x14ac:dyDescent="0.3">
      <c r="A153" s="112"/>
      <c r="B153" s="112"/>
      <c r="C153" s="310"/>
      <c r="D153" s="649"/>
      <c r="E153" s="109"/>
      <c r="F153" s="109"/>
      <c r="G153" s="594"/>
      <c r="H153" s="205" t="s">
        <v>1513</v>
      </c>
      <c r="I153" s="109" t="s">
        <v>308</v>
      </c>
      <c r="J153" s="712" t="s">
        <v>363</v>
      </c>
      <c r="K153" s="109" t="s">
        <v>363</v>
      </c>
      <c r="L153" s="110">
        <f t="shared" si="165"/>
        <v>0.33333333000000004</v>
      </c>
      <c r="M153" s="780" t="s">
        <v>1514</v>
      </c>
      <c r="N153" s="781"/>
      <c r="O153" s="781"/>
      <c r="P153" s="110" t="s">
        <v>25</v>
      </c>
      <c r="Q153" s="110"/>
      <c r="R153" s="62" t="s">
        <v>122</v>
      </c>
      <c r="S153" s="1003">
        <f>SUMIFS(U55:U144,$S$55:$S$144,$S$55,$M$55:$M$144,"ok")</f>
        <v>162381.75666666665</v>
      </c>
      <c r="T153" s="1003">
        <f>SUMIFS(V55:V144,$S$55:$S$144,$S$55,$M$55:$M$144,"ok")</f>
        <v>162381.75666666665</v>
      </c>
      <c r="U153" s="1003">
        <f t="shared" ref="U153" si="168">SUMIFS(W55:W144,$S$55:$S$144,$S$55,$M$55:$M$144,"ok")</f>
        <v>162381.75666666665</v>
      </c>
      <c r="V153" s="1003">
        <f>SUMIFS(Y55:Y144,$S$55:$S$144,$S$55,$M$55:$M$144,"ok")</f>
        <v>163137.31222222222</v>
      </c>
      <c r="W153" s="1003">
        <f t="shared" ref="W153:X153" si="169">SUMIFS(Z55:Z144,$S$55:$S$144,$S$55,$M$55:$M$144,"ok")</f>
        <v>163137.31222222222</v>
      </c>
      <c r="X153" s="1003">
        <f t="shared" si="169"/>
        <v>163137.31222222222</v>
      </c>
      <c r="Y153" s="1003">
        <f>SUMIFS(AC55:AC144,$S$55:$S$144,$S$55,$M$55:$M$144,"ok")</f>
        <v>168641.5988888889</v>
      </c>
      <c r="Z153" s="1003">
        <f t="shared" ref="Z153:AA153" si="170">SUMIFS(AD55:AD144,$S$55:$S$144,$S$55,$M$55:$M$144,"ok")</f>
        <v>168641.5988888889</v>
      </c>
      <c r="AA153" s="1003">
        <f t="shared" si="170"/>
        <v>168641.5988888889</v>
      </c>
      <c r="AB153" s="1003">
        <f>SUMIFS(AG55:AG144,$S$55:$S$144,$S$55,$M$55:$M$144,"ok")</f>
        <v>248641.5988888889</v>
      </c>
      <c r="AC153" s="1003">
        <f t="shared" ref="AC153" si="171">SUMIFS(AH55:AH144,$S$55:$S$144,$S$55,$M$55:$M$144,"ok")</f>
        <v>248641.5988888889</v>
      </c>
      <c r="AD153" s="1003">
        <f>SUMIFS(AI55:AI144,$S$55:$S$144,$S$55,$M$55:$M$144,"ok")</f>
        <v>248641.5988888889</v>
      </c>
      <c r="AE153" s="154">
        <f>SUM(S153:AD153)</f>
        <v>2228406.8000000003</v>
      </c>
      <c r="AF153" s="47"/>
      <c r="AG153" s="47"/>
      <c r="AH153" s="47"/>
      <c r="AL153" s="47"/>
      <c r="AO153" s="508" t="str" cm="1">
        <f t="array" aca="1" ref="AO153" ca="1">IF(OR(AM153="",AM153=0),"",IF(SUMPRODUCT(($B$55:$B$191=AM153)*(U$54:$AI$54&lt;EOMONTH(TODAY(),-1)+1)*(ISNUMBER(R$55:$AF$191)),R$55:$AF$191)=0,"",SUMPRODUCT(($B$55:$B$191=AM153)*(U$54:$AI$54&lt;EOMONTH(TODAY(),-1)+1)*(ISNUMBER(R$55:$AF$191)),R$55:$AF$191)))</f>
        <v/>
      </c>
      <c r="AS153" s="62">
        <f>A153</f>
        <v>0</v>
      </c>
    </row>
    <row r="154" spans="1:45" x14ac:dyDescent="0.3">
      <c r="A154" s="679"/>
      <c r="B154" s="679"/>
      <c r="C154" s="678"/>
      <c r="D154" s="680"/>
      <c r="E154" s="732"/>
      <c r="F154" s="732"/>
      <c r="G154" s="594"/>
      <c r="H154" s="271" t="s">
        <v>1515</v>
      </c>
      <c r="I154" s="109" t="s">
        <v>308</v>
      </c>
      <c r="J154" s="470" t="s">
        <v>363</v>
      </c>
      <c r="K154" s="106" t="s">
        <v>363</v>
      </c>
      <c r="L154" s="107">
        <f t="shared" si="165"/>
        <v>0.33333333000000004</v>
      </c>
      <c r="M154" s="778" t="s">
        <v>1516</v>
      </c>
      <c r="N154" s="779"/>
      <c r="O154" s="779"/>
      <c r="P154" s="107"/>
      <c r="Q154" s="107"/>
      <c r="R154" s="47"/>
      <c r="S154" s="47"/>
      <c r="T154" s="47"/>
      <c r="U154" s="47"/>
      <c r="V154" s="47"/>
      <c r="W154" s="47"/>
      <c r="X154" s="47"/>
      <c r="Y154" s="47"/>
      <c r="Z154" s="47"/>
      <c r="AA154" s="47"/>
      <c r="AB154" s="47"/>
      <c r="AC154" s="47"/>
      <c r="AD154" s="47"/>
      <c r="AE154" s="47"/>
      <c r="AF154" s="47"/>
      <c r="AG154" s="47"/>
      <c r="AH154" s="47"/>
      <c r="AL154" s="47"/>
      <c r="AO154" s="508" t="str" cm="1">
        <f t="array" aca="1" ref="AO154" ca="1">IF(OR(AM154="",AM154=0),"",IF(SUMPRODUCT(($B$55:$B$191=AM154)*($U$54:AI$54&lt;=TODAY())*(ISNUMBER($R$56:AF$192)),$R$56:AF$192)=0,"",SUMPRODUCT(($B$55:$B$191=AM154)*($U$54:AI$54&lt;=TODAY())*(ISNUMBER($R$56:AF$192)),$R$56:AF$192)))</f>
        <v/>
      </c>
      <c r="AS154" s="62">
        <f>A153</f>
        <v>0</v>
      </c>
    </row>
    <row r="155" spans="1:45" x14ac:dyDescent="0.3">
      <c r="A155" s="112"/>
      <c r="B155" s="112"/>
      <c r="C155" s="310"/>
      <c r="D155" s="649"/>
      <c r="E155" s="712"/>
      <c r="F155" s="712"/>
      <c r="G155" s="594"/>
      <c r="H155" s="205" t="s">
        <v>1517</v>
      </c>
      <c r="I155" s="109" t="s">
        <v>308</v>
      </c>
      <c r="J155" s="712" t="s">
        <v>363</v>
      </c>
      <c r="K155" s="109" t="s">
        <v>363</v>
      </c>
      <c r="L155" s="110">
        <f t="shared" si="165"/>
        <v>0.33333333000000004</v>
      </c>
      <c r="M155" s="780" t="s">
        <v>1518</v>
      </c>
      <c r="N155" s="781"/>
      <c r="O155" s="781"/>
      <c r="P155" s="110"/>
      <c r="Q155" s="110"/>
      <c r="R155" s="47"/>
      <c r="S155" s="47"/>
      <c r="T155" s="47"/>
      <c r="U155" s="47"/>
      <c r="V155" s="47"/>
      <c r="W155" s="47"/>
      <c r="X155" s="47"/>
      <c r="Y155" s="47"/>
      <c r="Z155" s="47"/>
      <c r="AA155" s="47"/>
      <c r="AB155" s="47"/>
      <c r="AC155" s="47"/>
      <c r="AD155" s="47"/>
      <c r="AE155" s="47"/>
      <c r="AF155" s="47"/>
      <c r="AG155" s="47"/>
      <c r="AH155" s="47"/>
      <c r="AL155" s="47"/>
      <c r="AO155" s="508" t="str" cm="1">
        <f t="array" aca="1" ref="AO155" ca="1">IF(OR(AM155="",AM155=0),"",IF(SUMPRODUCT(($B$55:$B$191=AM155)*(U$54:$AI$54&lt;EOMONTH(TODAY(),-1)+1)*(ISNUMBER(R$55:$AF$191)),R$55:$AF$191)=0,"",SUMPRODUCT(($B$55:$B$191=AM155)*(U$54:$AI$54&lt;EOMONTH(TODAY(),-1)+1)*(ISNUMBER(R$55:$AF$191)),R$55:$AF$191)))</f>
        <v/>
      </c>
      <c r="AS155" s="62">
        <f>A155</f>
        <v>0</v>
      </c>
    </row>
    <row r="156" spans="1:45" ht="14.85" customHeight="1" x14ac:dyDescent="0.3">
      <c r="A156" s="679"/>
      <c r="B156" s="679"/>
      <c r="C156" s="678"/>
      <c r="D156" s="680"/>
      <c r="E156" s="711"/>
      <c r="F156" s="711"/>
      <c r="G156" s="594"/>
      <c r="H156" s="271" t="s">
        <v>1519</v>
      </c>
      <c r="I156" s="106" t="s">
        <v>308</v>
      </c>
      <c r="J156" s="470" t="s">
        <v>363</v>
      </c>
      <c r="K156" s="106" t="s">
        <v>363</v>
      </c>
      <c r="L156" s="107">
        <f t="shared" si="165"/>
        <v>0.33333333000000004</v>
      </c>
      <c r="M156" s="778" t="s">
        <v>1520</v>
      </c>
      <c r="N156" s="779"/>
      <c r="O156" s="779"/>
      <c r="P156" s="107" t="s">
        <v>22</v>
      </c>
      <c r="Q156" s="107"/>
      <c r="R156" s="47"/>
      <c r="S156" s="47"/>
      <c r="T156" s="47"/>
      <c r="U156" s="47"/>
      <c r="V156" s="47"/>
      <c r="W156" s="47"/>
      <c r="X156" s="47"/>
      <c r="Y156" s="47"/>
      <c r="Z156" s="47"/>
      <c r="AA156" s="47"/>
      <c r="AB156" s="47"/>
      <c r="AC156" s="47"/>
      <c r="AD156" s="47"/>
      <c r="AE156" s="47"/>
      <c r="AF156" s="47"/>
      <c r="AG156" s="47"/>
      <c r="AH156" s="47"/>
      <c r="AL156" s="47"/>
      <c r="AO156" s="508" t="str" cm="1">
        <f t="array" aca="1" ref="AO156" ca="1">IF(OR(AM156="",AM156=0),"",IF(SUMPRODUCT(($B$55:$B$191=AM156)*($U$54:AI$54&lt;=TODAY())*(ISNUMBER($R$56:AF$192)),$R$56:AF$192)=0,"",SUMPRODUCT(($B$55:$B$191=AM156)*($U$54:AI$54&lt;=TODAY())*(ISNUMBER($R$56:AF$192)),$R$56:AF$192)))</f>
        <v/>
      </c>
      <c r="AS156" s="62">
        <f>A155</f>
        <v>0</v>
      </c>
    </row>
    <row r="157" spans="1:45" ht="14.85" customHeight="1" x14ac:dyDescent="0.3">
      <c r="A157" s="112"/>
      <c r="B157" s="112"/>
      <c r="C157" s="310"/>
      <c r="D157" s="649"/>
      <c r="E157" s="109"/>
      <c r="F157" s="109"/>
      <c r="G157" s="589"/>
      <c r="H157" s="205" t="s">
        <v>1521</v>
      </c>
      <c r="I157" s="109" t="s">
        <v>308</v>
      </c>
      <c r="J157" s="712" t="s">
        <v>363</v>
      </c>
      <c r="K157" s="109" t="s">
        <v>363</v>
      </c>
      <c r="L157" s="110">
        <f t="shared" si="165"/>
        <v>0.33333333000000004</v>
      </c>
      <c r="M157" s="780" t="s">
        <v>1522</v>
      </c>
      <c r="N157" s="781"/>
      <c r="O157" s="781"/>
      <c r="P157" s="110" t="s">
        <v>22</v>
      </c>
      <c r="Q157" s="110"/>
      <c r="R157" s="47"/>
      <c r="S157" s="47"/>
      <c r="T157" s="47"/>
      <c r="U157" s="47"/>
      <c r="V157" s="47"/>
      <c r="W157" s="47"/>
      <c r="X157" s="47"/>
      <c r="Y157" s="47"/>
      <c r="Z157" s="47"/>
      <c r="AA157" s="47"/>
      <c r="AB157" s="47"/>
      <c r="AC157" s="47"/>
      <c r="AD157" s="47"/>
      <c r="AE157" s="47"/>
      <c r="AF157" s="47"/>
      <c r="AG157" s="47"/>
      <c r="AH157" s="47"/>
      <c r="AL157" s="47"/>
      <c r="AO157" s="508" t="str" cm="1">
        <f t="array" aca="1" ref="AO157" ca="1">IF(OR(AM157="",AM157=0),"",IF(SUMPRODUCT(($B$55:$B$191=AM157)*(U$54:$AI$54&lt;EOMONTH(TODAY(),-1)+1)*(ISNUMBER(R$55:$AF$191)),R$55:$AF$191)=0,"",SUMPRODUCT(($B$55:$B$191=AM157)*(U$54:$AI$54&lt;EOMONTH(TODAY(),-1)+1)*(ISNUMBER(R$55:$AF$191)),R$55:$AF$191)))</f>
        <v/>
      </c>
      <c r="AS157" s="62">
        <f>A157</f>
        <v>0</v>
      </c>
    </row>
    <row r="158" spans="1:45" x14ac:dyDescent="0.3">
      <c r="A158" s="679"/>
      <c r="B158" s="679"/>
      <c r="C158" s="678"/>
      <c r="D158" s="680"/>
      <c r="E158" s="738"/>
      <c r="F158" s="732"/>
      <c r="G158" s="590"/>
      <c r="H158" s="827" t="s">
        <v>1523</v>
      </c>
      <c r="I158" s="106" t="s">
        <v>363</v>
      </c>
      <c r="J158" s="106" t="s">
        <v>363</v>
      </c>
      <c r="K158" s="106" t="s">
        <v>363</v>
      </c>
      <c r="L158" s="107">
        <f t="shared" si="165"/>
        <v>0</v>
      </c>
      <c r="M158" s="778" t="s">
        <v>1524</v>
      </c>
      <c r="N158" s="779"/>
      <c r="O158" s="779"/>
      <c r="P158" s="107" t="s">
        <v>1525</v>
      </c>
      <c r="Q158" s="107"/>
      <c r="R158" s="47"/>
      <c r="S158" s="47"/>
      <c r="T158" s="47"/>
      <c r="U158" s="47"/>
      <c r="V158" s="47"/>
      <c r="W158" s="47"/>
      <c r="X158" s="47"/>
      <c r="Y158" s="47"/>
      <c r="Z158" s="47"/>
      <c r="AA158" s="47"/>
      <c r="AB158" s="47"/>
      <c r="AC158" s="47"/>
      <c r="AD158" s="47"/>
      <c r="AE158" s="47"/>
      <c r="AF158" s="47"/>
      <c r="AG158" s="47"/>
      <c r="AH158" s="47"/>
      <c r="AL158" s="47"/>
      <c r="AO158" s="508" t="str" cm="1">
        <f t="array" aca="1" ref="AO158" ca="1">IF(OR(AM158="",AM158=0),"",IF(SUMPRODUCT(($B$55:$B$191=AM158)*($U$54:AI$54&lt;=TODAY())*(ISNUMBER($R$56:AF$192)),$R$56:AF$192)=0,"",SUMPRODUCT(($B$55:$B$191=AM158)*($U$54:AI$54&lt;=TODAY())*(ISNUMBER($R$56:AF$192)),$R$56:AF$192)))</f>
        <v/>
      </c>
      <c r="AS158" s="62">
        <f>A157</f>
        <v>0</v>
      </c>
    </row>
    <row r="159" spans="1:45" x14ac:dyDescent="0.3">
      <c r="A159" s="112"/>
      <c r="B159" s="112"/>
      <c r="C159" s="310"/>
      <c r="D159" s="649"/>
      <c r="E159" s="109"/>
      <c r="F159" s="109"/>
      <c r="G159" s="590"/>
      <c r="H159" s="828" t="s">
        <v>1526</v>
      </c>
      <c r="I159" s="109" t="s">
        <v>363</v>
      </c>
      <c r="J159" s="109" t="s">
        <v>363</v>
      </c>
      <c r="K159" s="109" t="s">
        <v>363</v>
      </c>
      <c r="L159" s="110">
        <f t="shared" si="165"/>
        <v>0</v>
      </c>
      <c r="M159" s="780" t="s">
        <v>1527</v>
      </c>
      <c r="N159" s="781"/>
      <c r="O159" s="781"/>
      <c r="P159" s="110" t="s">
        <v>1525</v>
      </c>
      <c r="Q159" s="110"/>
      <c r="R159" s="47"/>
      <c r="S159" s="47"/>
      <c r="T159" s="47"/>
      <c r="U159" s="47"/>
      <c r="V159" s="47"/>
      <c r="W159" s="47"/>
      <c r="X159" s="47"/>
      <c r="Y159" s="47"/>
      <c r="Z159" s="47"/>
      <c r="AA159" s="47"/>
      <c r="AB159" s="47"/>
      <c r="AC159" s="47"/>
      <c r="AD159" s="47"/>
      <c r="AE159" s="47"/>
      <c r="AF159" s="47"/>
      <c r="AG159" s="47"/>
      <c r="AH159" s="47"/>
      <c r="AL159" s="47"/>
      <c r="AO159" s="508" t="str" cm="1">
        <f t="array" aca="1" ref="AO159" ca="1">IF(OR(AM159="",AM159=0),"",IF(SUMPRODUCT(($B$55:$B$191=AM159)*(U$54:$AI$54&lt;EOMONTH(TODAY(),-1)+1)*(ISNUMBER(R$55:$AF$191)),R$55:$AF$191)=0,"",SUMPRODUCT(($B$55:$B$191=AM159)*(U$54:$AI$54&lt;EOMONTH(TODAY(),-1)+1)*(ISNUMBER(R$55:$AF$191)),R$55:$AF$191)))</f>
        <v/>
      </c>
      <c r="AS159" s="62">
        <f>A159</f>
        <v>0</v>
      </c>
    </row>
    <row r="160" spans="1:45" x14ac:dyDescent="0.3">
      <c r="A160" s="679"/>
      <c r="B160" s="679"/>
      <c r="C160" s="678"/>
      <c r="D160" s="680"/>
      <c r="E160" s="711"/>
      <c r="F160" s="711"/>
      <c r="G160" s="594"/>
      <c r="H160" s="829" t="s">
        <v>1528</v>
      </c>
      <c r="I160" s="106" t="s">
        <v>363</v>
      </c>
      <c r="J160" s="106" t="s">
        <v>363</v>
      </c>
      <c r="K160" s="106" t="s">
        <v>363</v>
      </c>
      <c r="L160" s="107">
        <f t="shared" si="165"/>
        <v>0</v>
      </c>
      <c r="M160" s="778" t="s">
        <v>1529</v>
      </c>
      <c r="N160" s="779"/>
      <c r="O160" s="779"/>
      <c r="P160" s="107" t="s">
        <v>1525</v>
      </c>
      <c r="Q160" s="107"/>
      <c r="R160" s="47"/>
      <c r="S160" s="47"/>
      <c r="T160" s="47"/>
      <c r="U160" s="47"/>
      <c r="V160" s="47"/>
      <c r="W160" s="47"/>
      <c r="X160" s="47"/>
      <c r="Y160" s="47"/>
      <c r="Z160" s="47"/>
      <c r="AA160" s="47"/>
      <c r="AB160" s="47"/>
      <c r="AC160" s="47"/>
      <c r="AD160" s="47"/>
      <c r="AE160" s="47"/>
      <c r="AF160" s="47"/>
      <c r="AG160" s="47"/>
      <c r="AH160" s="47"/>
      <c r="AL160" s="47"/>
      <c r="AO160" s="508" t="str" cm="1">
        <f t="array" aca="1" ref="AO160" ca="1">IF(OR(AM160="",AM160=0),"",IF(SUMPRODUCT(($B$55:$B$191=AM160)*($U$54:AI$54&lt;=TODAY())*(ISNUMBER($R$56:AF$192)),$R$56:AF$192)=0,"",SUMPRODUCT(($B$55:$B$191=AM160)*($U$54:AI$54&lt;=TODAY())*(ISNUMBER($R$56:AF$192)),$R$56:AF$192)))</f>
        <v/>
      </c>
      <c r="AS160" s="62">
        <f>A159</f>
        <v>0</v>
      </c>
    </row>
    <row r="161" spans="1:45" x14ac:dyDescent="0.3">
      <c r="A161" s="112"/>
      <c r="B161" s="112"/>
      <c r="C161" s="310"/>
      <c r="D161" s="649"/>
      <c r="E161" s="109"/>
      <c r="F161" s="109"/>
      <c r="G161" s="593"/>
      <c r="H161" s="828" t="s">
        <v>1530</v>
      </c>
      <c r="I161" s="109" t="s">
        <v>363</v>
      </c>
      <c r="J161" s="109" t="s">
        <v>363</v>
      </c>
      <c r="K161" s="109" t="s">
        <v>363</v>
      </c>
      <c r="L161" s="110">
        <f t="shared" si="165"/>
        <v>0</v>
      </c>
      <c r="M161" s="780" t="s">
        <v>1531</v>
      </c>
      <c r="N161" s="781"/>
      <c r="O161" s="781"/>
      <c r="P161" s="110" t="s">
        <v>1525</v>
      </c>
      <c r="Q161" s="110"/>
      <c r="R161" s="47"/>
      <c r="S161" s="47"/>
      <c r="T161" s="47"/>
      <c r="U161" s="47"/>
      <c r="V161" s="47"/>
      <c r="W161" s="47"/>
      <c r="X161" s="47"/>
      <c r="Y161" s="47"/>
      <c r="Z161" s="47"/>
      <c r="AA161" s="47"/>
      <c r="AB161" s="47"/>
      <c r="AC161" s="47"/>
      <c r="AD161" s="47"/>
      <c r="AE161" s="47"/>
      <c r="AF161" s="47"/>
      <c r="AG161" s="47"/>
      <c r="AH161" s="47"/>
      <c r="AL161" s="47"/>
      <c r="AO161" s="508" t="str" cm="1">
        <f t="array" aca="1" ref="AO161" ca="1">IF(OR(AM161="",AM161=0),"",IF(SUMPRODUCT(($B$55:$B$191=AM161)*(U$54:$AI$54&lt;EOMONTH(TODAY(),-1)+1)*(ISNUMBER(R$55:$AF$191)),R$55:$AF$191)=0,"",SUMPRODUCT(($B$55:$B$191=AM161)*(U$54:$AI$54&lt;EOMONTH(TODAY(),-1)+1)*(ISNUMBER(R$55:$AF$191)),R$55:$AF$191)))</f>
        <v/>
      </c>
      <c r="AS161" s="62">
        <f>A161</f>
        <v>0</v>
      </c>
    </row>
    <row r="162" spans="1:45" x14ac:dyDescent="0.3">
      <c r="A162" s="679"/>
      <c r="B162" s="679"/>
      <c r="C162" s="678"/>
      <c r="D162" s="680"/>
      <c r="E162" s="711"/>
      <c r="F162" s="711"/>
      <c r="G162" s="593"/>
      <c r="H162" s="829" t="s">
        <v>1532</v>
      </c>
      <c r="I162" s="106" t="s">
        <v>363</v>
      </c>
      <c r="J162" s="106" t="s">
        <v>363</v>
      </c>
      <c r="K162" s="106" t="s">
        <v>363</v>
      </c>
      <c r="L162" s="107">
        <f t="shared" si="165"/>
        <v>0</v>
      </c>
      <c r="M162" s="778" t="s">
        <v>1533</v>
      </c>
      <c r="N162" s="779"/>
      <c r="O162" s="779"/>
      <c r="P162" s="107" t="s">
        <v>1525</v>
      </c>
      <c r="Q162" s="107"/>
      <c r="R162" s="47"/>
      <c r="S162" s="47"/>
      <c r="T162" s="47"/>
      <c r="U162" s="47"/>
      <c r="V162" s="47"/>
      <c r="W162" s="47"/>
      <c r="X162" s="47"/>
      <c r="Y162" s="47"/>
      <c r="Z162" s="47"/>
      <c r="AA162" s="47"/>
      <c r="AB162" s="47"/>
      <c r="AC162" s="47"/>
      <c r="AD162" s="47"/>
      <c r="AE162" s="47"/>
      <c r="AF162" s="47"/>
      <c r="AG162" s="47"/>
      <c r="AH162" s="47"/>
      <c r="AL162" s="47"/>
      <c r="AO162" s="508" t="str" cm="1">
        <f t="array" aca="1" ref="AO162" ca="1">IF(OR(AM162="",AM162=0),"",IF(SUMPRODUCT(($B$55:$B$191=AM162)*($U$54:AI$54&lt;=TODAY())*(ISNUMBER($R$56:AF$192)),$R$56:AF$192)=0,"",SUMPRODUCT(($B$55:$B$191=AM162)*($U$54:AI$54&lt;=TODAY())*(ISNUMBER($R$56:AF$192)),$R$56:AF$192)))</f>
        <v/>
      </c>
      <c r="AS162" s="62">
        <f>A161</f>
        <v>0</v>
      </c>
    </row>
    <row r="163" spans="1:45" x14ac:dyDescent="0.3">
      <c r="A163" s="112"/>
      <c r="B163" s="112"/>
      <c r="C163" s="310"/>
      <c r="D163" s="649"/>
      <c r="E163" s="109"/>
      <c r="F163" s="109"/>
      <c r="G163" s="594"/>
      <c r="H163" s="828" t="s">
        <v>1534</v>
      </c>
      <c r="I163" s="109" t="s">
        <v>363</v>
      </c>
      <c r="J163" s="109" t="s">
        <v>363</v>
      </c>
      <c r="K163" s="109" t="s">
        <v>363</v>
      </c>
      <c r="L163" s="110">
        <f t="shared" si="165"/>
        <v>0</v>
      </c>
      <c r="M163" s="780" t="s">
        <v>1535</v>
      </c>
      <c r="N163" s="781"/>
      <c r="O163" s="781"/>
      <c r="P163" s="110" t="s">
        <v>1525</v>
      </c>
      <c r="Q163" s="110"/>
      <c r="R163" s="47"/>
      <c r="S163" s="47"/>
      <c r="T163" s="47"/>
      <c r="U163" s="47"/>
      <c r="V163" s="47"/>
      <c r="W163" s="47"/>
      <c r="X163" s="47"/>
      <c r="Y163" s="47"/>
      <c r="Z163" s="47"/>
      <c r="AA163" s="47"/>
      <c r="AB163" s="47"/>
      <c r="AC163" s="47"/>
      <c r="AD163" s="47"/>
      <c r="AE163" s="47"/>
      <c r="AF163" s="47"/>
      <c r="AG163" s="47"/>
      <c r="AH163" s="47"/>
      <c r="AL163" s="47"/>
      <c r="AO163" s="508" t="str" cm="1">
        <f t="array" aca="1" ref="AO163" ca="1">IF(OR(AM163="",AM163=0),"",IF(SUMPRODUCT(($B$55:$B$191=AM163)*(U$54:$AI$54&lt;EOMONTH(TODAY(),-1)+1)*(ISNUMBER(R$55:$AF$191)),R$55:$AF$191)=0,"",SUMPRODUCT(($B$55:$B$191=AM163)*(U$54:$AI$54&lt;EOMONTH(TODAY(),-1)+1)*(ISNUMBER(R$55:$AF$191)),R$55:$AF$191)))</f>
        <v/>
      </c>
      <c r="AS163" s="62">
        <f>A163</f>
        <v>0</v>
      </c>
    </row>
    <row r="164" spans="1:45" x14ac:dyDescent="0.3">
      <c r="A164" s="679"/>
      <c r="B164" s="679"/>
      <c r="C164" s="678"/>
      <c r="D164" s="680"/>
      <c r="E164" s="711"/>
      <c r="F164" s="711"/>
      <c r="G164" s="595"/>
      <c r="H164" s="271"/>
      <c r="I164" s="106"/>
      <c r="J164" s="106"/>
      <c r="K164" s="106"/>
      <c r="L164" s="107"/>
      <c r="M164" s="778" t="s">
        <v>128</v>
      </c>
      <c r="N164" s="779"/>
      <c r="O164" s="779"/>
      <c r="P164" s="107"/>
      <c r="Q164" s="107"/>
      <c r="R164" s="47"/>
      <c r="S164" s="47"/>
      <c r="T164" s="47"/>
      <c r="U164" s="47"/>
      <c r="V164" s="47"/>
      <c r="W164" s="47"/>
      <c r="X164" s="47"/>
      <c r="Y164" s="47"/>
      <c r="Z164" s="47"/>
      <c r="AA164" s="47"/>
      <c r="AB164" s="47"/>
      <c r="AC164" s="47"/>
      <c r="AD164" s="47"/>
      <c r="AE164" s="47"/>
      <c r="AF164" s="47"/>
      <c r="AG164" s="47"/>
      <c r="AH164" s="47"/>
      <c r="AL164" s="47"/>
      <c r="AO164" s="508" t="str" cm="1">
        <f t="array" aca="1" ref="AO164" ca="1">IF(OR(AM164="",AM164=0),"",IF(SUMPRODUCT(($B$55:$B$191=AM164)*($U$54:AI$54&lt;=TODAY())*(ISNUMBER($R$56:AF$192)),$R$56:AF$192)=0,"",SUMPRODUCT(($B$55:$B$191=AM164)*($U$54:AI$54&lt;=TODAY())*(ISNUMBER($R$56:AF$192)),$R$56:AF$192)))</f>
        <v/>
      </c>
      <c r="AS164" s="62">
        <f>A163</f>
        <v>0</v>
      </c>
    </row>
    <row r="165" spans="1:45" x14ac:dyDescent="0.3">
      <c r="A165" s="112"/>
      <c r="B165" s="112"/>
      <c r="C165" s="310"/>
      <c r="D165" s="649"/>
      <c r="E165" s="109"/>
      <c r="F165" s="109"/>
      <c r="G165" s="594"/>
      <c r="H165" s="205"/>
      <c r="I165" s="109"/>
      <c r="J165" s="109"/>
      <c r="K165" s="109"/>
      <c r="L165" s="110"/>
      <c r="M165" s="780" t="s">
        <v>128</v>
      </c>
      <c r="N165" s="781"/>
      <c r="O165" s="781"/>
      <c r="P165" s="110"/>
      <c r="Q165" s="110"/>
      <c r="R165" s="47"/>
      <c r="S165" s="47"/>
      <c r="T165" s="47"/>
      <c r="U165" s="47"/>
      <c r="V165" s="47"/>
      <c r="W165" s="47"/>
      <c r="X165" s="47"/>
      <c r="Y165" s="47"/>
      <c r="Z165" s="47"/>
      <c r="AA165" s="47"/>
      <c r="AB165" s="47"/>
      <c r="AC165" s="47"/>
      <c r="AD165" s="47"/>
      <c r="AE165" s="47"/>
      <c r="AF165" s="47"/>
      <c r="AG165" s="47"/>
      <c r="AH165" s="47"/>
      <c r="AL165" s="47"/>
      <c r="AO165" s="508" t="str" cm="1">
        <f t="array" aca="1" ref="AO165" ca="1">IF(OR(AM165="",AM165=0),"",IF(SUMPRODUCT(($B$55:$B$191=AM165)*(U$54:$AI$54&lt;EOMONTH(TODAY(),-1)+1)*(ISNUMBER(R$55:$AF$191)),R$55:$AF$191)=0,"",SUMPRODUCT(($B$55:$B$191=AM165)*(U$54:$AI$54&lt;EOMONTH(TODAY(),-1)+1)*(ISNUMBER(R$55:$AF$191)),R$55:$AF$191)))</f>
        <v/>
      </c>
      <c r="AS165" s="62">
        <f>A165</f>
        <v>0</v>
      </c>
    </row>
    <row r="166" spans="1:45" x14ac:dyDescent="0.3">
      <c r="A166" s="679"/>
      <c r="B166" s="679"/>
      <c r="C166" s="678"/>
      <c r="D166" s="680"/>
      <c r="E166" s="711"/>
      <c r="F166" s="711"/>
      <c r="G166" s="594"/>
      <c r="H166" s="271"/>
      <c r="I166" s="106"/>
      <c r="J166" s="106"/>
      <c r="K166" s="106"/>
      <c r="L166" s="107"/>
      <c r="M166" s="778" t="s">
        <v>128</v>
      </c>
      <c r="N166" s="779"/>
      <c r="O166" s="779"/>
      <c r="P166" s="107"/>
      <c r="Q166" s="107"/>
      <c r="R166" s="47"/>
      <c r="S166" s="47"/>
      <c r="T166" s="47"/>
      <c r="U166" s="47"/>
      <c r="V166" s="47"/>
      <c r="W166" s="47"/>
      <c r="X166" s="47"/>
      <c r="Y166" s="47"/>
      <c r="Z166" s="47"/>
      <c r="AA166" s="47"/>
      <c r="AB166" s="47"/>
      <c r="AC166" s="47"/>
      <c r="AD166" s="47"/>
      <c r="AE166" s="47"/>
      <c r="AF166" s="47"/>
      <c r="AG166" s="47"/>
      <c r="AH166" s="47"/>
      <c r="AL166" s="47"/>
      <c r="AO166" s="508" t="str" cm="1">
        <f t="array" aca="1" ref="AO166" ca="1">IF(OR(AM166="",AM166=0),"",IF(SUMPRODUCT(($B$55:$B$191=AM166)*($U$54:AI$54&lt;=TODAY())*(ISNUMBER($R$56:AF$192)),$R$56:AF$192)=0,"",SUMPRODUCT(($B$55:$B$191=AM166)*($U$54:AI$54&lt;=TODAY())*(ISNUMBER($R$56:AF$192)),$R$56:AF$192)))</f>
        <v/>
      </c>
      <c r="AS166" s="62">
        <f>A165</f>
        <v>0</v>
      </c>
    </row>
    <row r="167" spans="1:45" x14ac:dyDescent="0.3">
      <c r="A167" s="112"/>
      <c r="B167" s="112"/>
      <c r="C167" s="310"/>
      <c r="D167" s="649"/>
      <c r="E167" s="109"/>
      <c r="F167" s="109"/>
      <c r="G167" s="594"/>
      <c r="H167" s="205"/>
      <c r="I167" s="109"/>
      <c r="J167" s="109"/>
      <c r="K167" s="109"/>
      <c r="L167" s="110"/>
      <c r="M167" s="780" t="s">
        <v>128</v>
      </c>
      <c r="N167" s="781"/>
      <c r="O167" s="781"/>
      <c r="P167" s="110"/>
      <c r="Q167" s="110"/>
      <c r="R167" s="47"/>
      <c r="S167" s="47"/>
      <c r="T167" s="47"/>
      <c r="U167" s="47"/>
      <c r="V167" s="47"/>
      <c r="W167" s="47"/>
      <c r="X167" s="47"/>
      <c r="Y167" s="47"/>
      <c r="Z167" s="47"/>
      <c r="AA167" s="47"/>
      <c r="AB167" s="47"/>
      <c r="AC167" s="47"/>
      <c r="AD167" s="47"/>
      <c r="AE167" s="47"/>
      <c r="AF167" s="47"/>
      <c r="AG167" s="47"/>
      <c r="AH167" s="47"/>
      <c r="AL167" s="47"/>
      <c r="AO167" s="508" t="str" cm="1">
        <f t="array" aca="1" ref="AO167" ca="1">IF(OR(AM167="",AM167=0),"",IF(SUMPRODUCT(($B$55:$B$191=AM167)*(U$54:$AI$54&lt;EOMONTH(TODAY(),-1)+1)*(ISNUMBER(R$55:$AF$191)),R$55:$AF$191)=0,"",SUMPRODUCT(($B$55:$B$191=AM167)*(U$54:$AI$54&lt;EOMONTH(TODAY(),-1)+1)*(ISNUMBER(R$55:$AF$191)),R$55:$AF$191)))</f>
        <v/>
      </c>
      <c r="AS167" s="62">
        <f>A167</f>
        <v>0</v>
      </c>
    </row>
    <row r="168" spans="1:45" x14ac:dyDescent="0.3">
      <c r="A168" s="679"/>
      <c r="B168" s="679"/>
      <c r="C168" s="678"/>
      <c r="D168" s="680"/>
      <c r="E168" s="711"/>
      <c r="F168" s="711"/>
      <c r="G168" s="594"/>
      <c r="H168" s="271"/>
      <c r="I168" s="106"/>
      <c r="J168" s="106"/>
      <c r="K168" s="106"/>
      <c r="L168" s="107"/>
      <c r="M168" s="778" t="s">
        <v>128</v>
      </c>
      <c r="N168" s="779"/>
      <c r="O168" s="779"/>
      <c r="P168" s="107"/>
      <c r="Q168" s="107"/>
      <c r="R168" s="47"/>
      <c r="S168" s="47"/>
      <c r="T168" s="47"/>
      <c r="U168" s="47"/>
      <c r="V168" s="47"/>
      <c r="W168" s="47"/>
      <c r="X168" s="47"/>
      <c r="Y168" s="47"/>
      <c r="Z168" s="47"/>
      <c r="AA168" s="47"/>
      <c r="AB168" s="47"/>
      <c r="AC168" s="47"/>
      <c r="AD168" s="47"/>
      <c r="AE168" s="47"/>
      <c r="AF168" s="47"/>
      <c r="AG168" s="47"/>
      <c r="AH168" s="47"/>
      <c r="AL168" s="47"/>
      <c r="AO168" s="508" t="str" cm="1">
        <f t="array" aca="1" ref="AO168" ca="1">IF(OR(AM168="",AM168=0),"",IF(SUMPRODUCT(($B$55:$B$191=AM168)*($U$54:AI$54&lt;=TODAY())*(ISNUMBER($R$56:AF$192)),$R$56:AF$192)=0,"",SUMPRODUCT(($B$55:$B$191=AM168)*($U$54:AI$54&lt;=TODAY())*(ISNUMBER($R$56:AF$192)),$R$56:AF$192)))</f>
        <v/>
      </c>
      <c r="AS168" s="62">
        <f>A167</f>
        <v>0</v>
      </c>
    </row>
    <row r="169" spans="1:45" x14ac:dyDescent="0.3">
      <c r="A169" s="112"/>
      <c r="B169" s="112"/>
      <c r="C169" s="310"/>
      <c r="D169" s="649"/>
      <c r="E169" s="109"/>
      <c r="F169" s="109"/>
      <c r="G169" s="594"/>
      <c r="H169" s="205"/>
      <c r="I169" s="109"/>
      <c r="J169" s="109"/>
      <c r="K169" s="109"/>
      <c r="L169" s="110"/>
      <c r="M169" s="780" t="s">
        <v>128</v>
      </c>
      <c r="N169" s="781"/>
      <c r="O169" s="781"/>
      <c r="P169" s="110"/>
      <c r="Q169" s="110"/>
      <c r="R169" s="47"/>
      <c r="S169" s="47"/>
      <c r="T169" s="47"/>
      <c r="U169" s="47"/>
      <c r="V169" s="47"/>
      <c r="W169" s="47"/>
      <c r="X169" s="47"/>
      <c r="Y169" s="47"/>
      <c r="Z169" s="47"/>
      <c r="AA169" s="47"/>
      <c r="AB169" s="47"/>
      <c r="AC169" s="47"/>
      <c r="AD169" s="47"/>
      <c r="AE169" s="47"/>
      <c r="AF169" s="47"/>
      <c r="AG169" s="47"/>
      <c r="AH169" s="47"/>
      <c r="AL169" s="47"/>
      <c r="AO169" s="508" t="str" cm="1">
        <f t="array" aca="1" ref="AO169" ca="1">IF(OR(AM169="",AM169=0),"",IF(SUMPRODUCT(($B$55:$B$191=AM169)*(U$54:$AI$54&lt;EOMONTH(TODAY(),-1)+1)*(ISNUMBER(R$55:$AF$191)),R$55:$AF$191)=0,"",SUMPRODUCT(($B$55:$B$191=AM169)*(U$54:$AI$54&lt;EOMONTH(TODAY(),-1)+1)*(ISNUMBER(R$55:$AF$191)),R$55:$AF$191)))</f>
        <v/>
      </c>
      <c r="AS169" s="62">
        <f>A169</f>
        <v>0</v>
      </c>
    </row>
    <row r="170" spans="1:45" ht="14.85" customHeight="1" x14ac:dyDescent="0.3">
      <c r="A170" s="679"/>
      <c r="B170" s="679"/>
      <c r="C170" s="678"/>
      <c r="D170" s="680"/>
      <c r="E170" s="711"/>
      <c r="F170" s="711"/>
      <c r="G170" s="594"/>
      <c r="H170" s="444"/>
      <c r="I170" s="104">
        <f>COUNTIF(I148:I169,"OK")/(COUNTIF(I148:I169,"OK")+COUNTIF(I148:I169,"Não OK"))</f>
        <v>0.625</v>
      </c>
      <c r="J170" s="443">
        <f>COUNTIF(J148:J169,"OK")/(COUNTIF(J148:J169,"OK")+COUNTIF(J148:J169,"Não OK"))</f>
        <v>0</v>
      </c>
      <c r="K170" s="443">
        <f>COUNTIF(K148:K169,"OK")/(COUNTIF(K148:K169,"OK")+COUNTIF(K148:K169,"Não OK"))</f>
        <v>0</v>
      </c>
      <c r="L170" s="104">
        <f>AVERAGE(L148:L169)</f>
        <v>0.20833333125</v>
      </c>
      <c r="M170" s="548"/>
      <c r="N170" s="548"/>
      <c r="O170" s="782"/>
      <c r="P170" s="104"/>
      <c r="Q170" s="104"/>
      <c r="R170" s="47"/>
      <c r="S170" s="47"/>
      <c r="T170" s="47"/>
      <c r="U170" s="47"/>
      <c r="V170" s="47"/>
      <c r="W170" s="47"/>
      <c r="X170" s="47"/>
      <c r="Y170" s="47"/>
      <c r="Z170" s="47"/>
      <c r="AA170" s="47"/>
      <c r="AB170" s="47"/>
      <c r="AC170" s="47"/>
      <c r="AD170" s="47"/>
      <c r="AE170" s="47"/>
      <c r="AF170" s="47"/>
      <c r="AG170" s="47"/>
      <c r="AH170" s="47"/>
      <c r="AL170" s="47"/>
      <c r="AO170" s="508" t="str" cm="1">
        <f t="array" aca="1" ref="AO170" ca="1">IF(OR(AM170="",AM170=0),"",IF(SUMPRODUCT(($B$55:$B$191=AM170)*($U$54:AI$54&lt;=TODAY())*(ISNUMBER($R$56:AF$192)),$R$56:AF$192)=0,"",SUMPRODUCT(($B$55:$B$191=AM170)*($U$54:AI$54&lt;=TODAY())*(ISNUMBER($R$56:AF$192)),$R$56:AF$192)))</f>
        <v/>
      </c>
      <c r="AS170" s="62">
        <f>A169</f>
        <v>0</v>
      </c>
    </row>
    <row r="171" spans="1:45" ht="14.85" customHeight="1" x14ac:dyDescent="0.3">
      <c r="A171" s="112"/>
      <c r="B171" s="112"/>
      <c r="C171" s="310"/>
      <c r="D171" s="649"/>
      <c r="E171" s="109"/>
      <c r="F171" s="109"/>
      <c r="G171" s="593"/>
      <c r="H171" s="59"/>
      <c r="I171" s="59"/>
      <c r="J171" s="59"/>
      <c r="K171" s="59"/>
      <c r="L171" s="59"/>
      <c r="M171" s="59"/>
      <c r="N171" s="59"/>
      <c r="O171" s="59"/>
      <c r="P171" s="59"/>
      <c r="Q171" s="47"/>
      <c r="R171" s="47"/>
      <c r="S171" s="47"/>
      <c r="T171" s="47"/>
      <c r="U171" s="47"/>
      <c r="V171" s="47"/>
      <c r="W171" s="47"/>
      <c r="X171" s="47"/>
      <c r="Y171" s="47"/>
      <c r="Z171" s="47"/>
      <c r="AA171" s="47"/>
      <c r="AB171" s="47"/>
      <c r="AC171" s="47"/>
      <c r="AD171" s="47"/>
      <c r="AE171" s="47"/>
      <c r="AF171" s="47"/>
      <c r="AG171" s="47"/>
      <c r="AH171" s="47"/>
      <c r="AL171" s="47"/>
      <c r="AO171" s="508" t="str" cm="1">
        <f t="array" aca="1" ref="AO171" ca="1">IF(OR(AM171="",AM171=0),"",IF(SUMPRODUCT(($B$55:$B$191=AM171)*(U$54:$AI$54&lt;EOMONTH(TODAY(),-1)+1)*(ISNUMBER(R$55:$AF$191)),R$55:$AF$191)=0,"",SUMPRODUCT(($B$55:$B$191=AM171)*(U$54:$AI$54&lt;EOMONTH(TODAY(),-1)+1)*(ISNUMBER(R$55:$AF$191)),R$55:$AF$191)))</f>
        <v/>
      </c>
      <c r="AS171" s="62">
        <f>A171</f>
        <v>0</v>
      </c>
    </row>
    <row r="172" spans="1:45" ht="15.6" x14ac:dyDescent="0.3">
      <c r="A172" s="679"/>
      <c r="B172" s="679"/>
      <c r="C172" s="678"/>
      <c r="D172" s="680"/>
      <c r="E172" s="711"/>
      <c r="F172" s="711"/>
      <c r="G172" s="594"/>
      <c r="H172" s="368" t="s">
        <v>675</v>
      </c>
      <c r="I172" s="368"/>
      <c r="J172" s="368"/>
      <c r="K172" s="368"/>
      <c r="L172" s="99"/>
      <c r="M172" s="99"/>
      <c r="N172" s="99"/>
      <c r="O172" s="47"/>
      <c r="P172" s="59"/>
      <c r="Q172" s="47"/>
      <c r="R172" s="47"/>
      <c r="S172" s="47"/>
      <c r="T172" s="47"/>
      <c r="U172" s="47"/>
      <c r="V172" s="47"/>
      <c r="W172" s="47"/>
      <c r="X172" s="47"/>
      <c r="Y172" s="47"/>
      <c r="Z172" s="47"/>
      <c r="AA172" s="47"/>
      <c r="AB172" s="47"/>
      <c r="AC172" s="47"/>
      <c r="AD172" s="47"/>
      <c r="AE172" s="47"/>
      <c r="AF172" s="47"/>
      <c r="AG172" s="47"/>
      <c r="AH172" s="47"/>
      <c r="AL172" s="47"/>
      <c r="AO172" s="508" t="str" cm="1">
        <f t="array" aca="1" ref="AO172" ca="1">IF(OR(AM172="",AM172=0),"",IF(SUMPRODUCT(($B$55:$B$191=AM172)*($U$54:AI$54&lt;=TODAY())*(ISNUMBER($R$56:AF$192)),$R$56:AF$192)=0,"",SUMPRODUCT(($B$55:$B$191=AM172)*($U$54:AI$54&lt;=TODAY())*(ISNUMBER($R$56:AF$192)),$R$56:AF$192)))</f>
        <v/>
      </c>
      <c r="AS172" s="62">
        <f>A171</f>
        <v>0</v>
      </c>
    </row>
    <row r="173" spans="1:45" x14ac:dyDescent="0.3">
      <c r="A173" s="112"/>
      <c r="B173" s="112"/>
      <c r="C173" s="310"/>
      <c r="D173" s="649"/>
      <c r="E173" s="109"/>
      <c r="F173" s="109"/>
      <c r="G173" s="594"/>
      <c r="H173" s="312" t="s">
        <v>77</v>
      </c>
      <c r="I173" s="312" t="s">
        <v>78</v>
      </c>
      <c r="J173" s="312" t="s">
        <v>80</v>
      </c>
      <c r="K173" s="312" t="s">
        <v>79</v>
      </c>
      <c r="L173" s="312" t="s">
        <v>78</v>
      </c>
      <c r="M173" s="312" t="s">
        <v>79</v>
      </c>
      <c r="N173" s="312" t="s">
        <v>80</v>
      </c>
      <c r="O173" s="47"/>
      <c r="P173" s="59"/>
      <c r="Q173" s="47"/>
      <c r="R173" s="47"/>
      <c r="S173" s="47"/>
      <c r="T173" s="47"/>
      <c r="U173" s="47"/>
      <c r="V173" s="47"/>
      <c r="W173" s="47"/>
      <c r="X173" s="47"/>
      <c r="Y173" s="47"/>
      <c r="Z173" s="47"/>
      <c r="AA173" s="47"/>
      <c r="AB173" s="47"/>
      <c r="AC173" s="47"/>
      <c r="AD173" s="47"/>
      <c r="AE173" s="47"/>
      <c r="AF173" s="47"/>
      <c r="AG173" s="47"/>
      <c r="AH173" s="47"/>
      <c r="AL173" s="47"/>
      <c r="AO173" s="508" t="str" cm="1">
        <f t="array" aca="1" ref="AO173" ca="1">IF(OR(AM173="",AM173=0),"",IF(SUMPRODUCT(($B$55:$B$191=AM173)*(U$54:$AI$54&lt;EOMONTH(TODAY(),-1)+1)*(ISNUMBER(R$55:$AF$191)),R$55:$AF$191)=0,"",SUMPRODUCT(($B$55:$B$191=AM173)*(U$54:$AI$54&lt;EOMONTH(TODAY(),-1)+1)*(ISNUMBER(R$55:$AF$191)),R$55:$AF$191)))</f>
        <v/>
      </c>
      <c r="AS173" s="62">
        <f>A173</f>
        <v>0</v>
      </c>
    </row>
    <row r="174" spans="1:45" ht="14.85" customHeight="1" x14ac:dyDescent="0.3">
      <c r="A174" s="679"/>
      <c r="B174" s="679"/>
      <c r="C174" s="678"/>
      <c r="D174" s="680"/>
      <c r="E174" s="711"/>
      <c r="F174" s="711"/>
      <c r="G174" s="594"/>
      <c r="H174" s="677" t="s">
        <v>82</v>
      </c>
      <c r="I174" s="319">
        <f>E147</f>
        <v>1</v>
      </c>
      <c r="J174" s="299">
        <v>1</v>
      </c>
      <c r="K174" s="319">
        <f>F147</f>
        <v>1</v>
      </c>
      <c r="L174" s="299">
        <f>IF(I174=0,"0",I174/J174)</f>
        <v>1</v>
      </c>
      <c r="M174" s="299">
        <f>IF(K174=0,"0",K174/J174)</f>
        <v>1</v>
      </c>
      <c r="N174" s="319">
        <v>1</v>
      </c>
      <c r="O174" s="47"/>
      <c r="P174" s="59"/>
      <c r="Q174" s="47"/>
      <c r="R174" s="47"/>
      <c r="S174" s="47"/>
      <c r="T174" s="47"/>
      <c r="U174" s="47"/>
      <c r="V174" s="47"/>
      <c r="W174" s="47"/>
      <c r="X174" s="47"/>
      <c r="Y174" s="47"/>
      <c r="Z174" s="47"/>
      <c r="AA174" s="47"/>
      <c r="AB174" s="47"/>
      <c r="AC174" s="47"/>
      <c r="AD174" s="47"/>
      <c r="AE174" s="47"/>
      <c r="AF174" s="47"/>
      <c r="AG174" s="47"/>
      <c r="AH174" s="47"/>
      <c r="AL174" s="47"/>
      <c r="AO174" s="508" t="str" cm="1">
        <f t="array" aca="1" ref="AO174" ca="1">IF(OR(AM174="",AM174=0),"",IF(SUMPRODUCT(($B$55:$B$191=AM174)*($U$54:AI$54&lt;=TODAY())*(ISNUMBER($R$56:AF$192)),$R$56:AF$192)=0,"",SUMPRODUCT(($B$55:$B$191=AM174)*($U$54:AI$54&lt;=TODAY())*(ISNUMBER($R$56:AF$192)),$R$56:AF$192)))</f>
        <v/>
      </c>
      <c r="AS174" s="62">
        <f>A173</f>
        <v>0</v>
      </c>
    </row>
    <row r="175" spans="1:45" ht="21" x14ac:dyDescent="0.3">
      <c r="A175" s="100"/>
      <c r="B175" s="100"/>
      <c r="C175" s="100"/>
      <c r="D175" s="113"/>
      <c r="E175" s="113">
        <f>AVERAGE(E147:E152)</f>
        <v>1</v>
      </c>
      <c r="F175" s="113">
        <f>AVERAGE(F147:F152)</f>
        <v>0.95833333333333337</v>
      </c>
      <c r="G175" s="594"/>
      <c r="H175" s="681" t="s">
        <v>84</v>
      </c>
      <c r="I175" s="695">
        <f>E148</f>
        <v>1</v>
      </c>
      <c r="J175" s="694">
        <v>1</v>
      </c>
      <c r="K175" s="695">
        <f>F148</f>
        <v>0.75</v>
      </c>
      <c r="L175" s="694">
        <f>IF(I175=0,"0",I175/J175)</f>
        <v>1</v>
      </c>
      <c r="M175" s="694">
        <f>IF(K175=0,"0",K175/J175)</f>
        <v>0.75</v>
      </c>
      <c r="N175" s="695">
        <v>1</v>
      </c>
      <c r="O175" s="47"/>
      <c r="P175" s="59"/>
      <c r="Q175" s="47"/>
      <c r="R175" s="47"/>
      <c r="S175" s="47"/>
      <c r="T175" s="47"/>
      <c r="U175" s="47"/>
      <c r="V175" s="47"/>
      <c r="W175" s="47"/>
      <c r="X175" s="47"/>
      <c r="Y175" s="47"/>
      <c r="Z175" s="47"/>
      <c r="AA175" s="47"/>
      <c r="AB175" s="47"/>
      <c r="AC175" s="47"/>
      <c r="AD175" s="47"/>
      <c r="AE175" s="47"/>
      <c r="AF175" s="47"/>
      <c r="AG175" s="47"/>
      <c r="AH175" s="47"/>
      <c r="AL175" s="47"/>
      <c r="AO175" s="508" t="str" cm="1">
        <f t="array" aca="1" ref="AO175" ca="1">IF(OR(AM175="",AM175=0),"",IF(SUMPRODUCT(($B$55:$B$191=AM175)*(U$54:$AI$54&lt;EOMONTH(TODAY(),-1)+1)*(ISNUMBER(R$55:$AF$191)),R$55:$AF$191)=0,"",SUMPRODUCT(($B$55:$B$191=AM175)*(U$54:$AI$54&lt;EOMONTH(TODAY(),-1)+1)*(ISNUMBER(R$55:$AF$191)),R$55:$AF$191)))</f>
        <v/>
      </c>
      <c r="AS175" s="62">
        <f>A175</f>
        <v>0</v>
      </c>
    </row>
    <row r="176" spans="1:45" x14ac:dyDescent="0.3">
      <c r="A176" s="591"/>
      <c r="B176" s="591"/>
      <c r="C176" s="591"/>
      <c r="D176" s="591"/>
      <c r="E176" s="591"/>
      <c r="F176" s="591"/>
      <c r="G176" s="591"/>
      <c r="H176" s="329" t="s">
        <v>86</v>
      </c>
      <c r="I176" s="319">
        <f>AVERAGE(E150:E152)</f>
        <v>1</v>
      </c>
      <c r="J176" s="299">
        <v>1</v>
      </c>
      <c r="K176" s="319">
        <f>AVERAGE(F150:F152)</f>
        <v>1</v>
      </c>
      <c r="L176" s="299">
        <f>IF(I176=0,"0",I176/J176)</f>
        <v>1</v>
      </c>
      <c r="M176" s="299">
        <f>IF(K176=0,"0",K176/J176)</f>
        <v>1</v>
      </c>
      <c r="N176" s="319">
        <v>1</v>
      </c>
      <c r="O176" s="47"/>
      <c r="P176" s="59"/>
      <c r="Q176" s="47"/>
      <c r="R176" s="47"/>
      <c r="S176" s="47"/>
      <c r="T176" s="47"/>
      <c r="U176" s="47"/>
      <c r="V176" s="47"/>
      <c r="W176" s="47"/>
      <c r="X176" s="47"/>
      <c r="Y176" s="47"/>
      <c r="Z176" s="47"/>
      <c r="AA176" s="47"/>
      <c r="AB176" s="47"/>
      <c r="AC176" s="47"/>
      <c r="AD176" s="47"/>
      <c r="AE176" s="47"/>
      <c r="AF176" s="47"/>
      <c r="AG176" s="47"/>
      <c r="AH176" s="47"/>
      <c r="AL176" s="47"/>
      <c r="AO176" s="508" t="str" cm="1">
        <f t="array" aca="1" ref="AO176" ca="1">IF(OR(AM176="",AM176=0),"",IF(SUMPRODUCT(($B$55:$B$191=AM176)*($U$54:AI$54&lt;=TODAY())*(ISNUMBER($R$56:AF$192)),$R$56:AF$192)=0,"",SUMPRODUCT(($B$55:$B$191=AM176)*($U$54:AI$54&lt;=TODAY())*(ISNUMBER($R$56:AF$192)),$R$56:AF$192)))</f>
        <v/>
      </c>
      <c r="AS176" s="62">
        <f>A175</f>
        <v>0</v>
      </c>
    </row>
    <row r="177" spans="1:45" x14ac:dyDescent="0.3">
      <c r="A177" s="594"/>
      <c r="B177" s="594"/>
      <c r="C177" s="594"/>
      <c r="D177" s="594"/>
      <c r="E177" s="594"/>
      <c r="F177" s="594"/>
      <c r="G177" s="594"/>
      <c r="H177" s="681" t="s">
        <v>88</v>
      </c>
      <c r="I177" s="695">
        <f>E149</f>
        <v>1</v>
      </c>
      <c r="J177" s="694">
        <v>1</v>
      </c>
      <c r="K177" s="695">
        <f>F149</f>
        <v>1</v>
      </c>
      <c r="L177" s="694">
        <f>IF(I177=0,"0",I177/J177)</f>
        <v>1</v>
      </c>
      <c r="M177" s="694">
        <f>IF(K177=0,"0",K177/J177)</f>
        <v>1</v>
      </c>
      <c r="N177" s="695">
        <v>1</v>
      </c>
      <c r="O177" s="47"/>
      <c r="P177" s="59"/>
      <c r="Q177" s="47"/>
      <c r="R177" s="47"/>
      <c r="S177" s="47"/>
      <c r="T177" s="47"/>
      <c r="U177" s="47"/>
      <c r="V177" s="47"/>
      <c r="W177" s="47"/>
      <c r="X177" s="47"/>
      <c r="Y177" s="47"/>
      <c r="Z177" s="47"/>
      <c r="AA177" s="47"/>
      <c r="AB177" s="47"/>
      <c r="AC177" s="47"/>
      <c r="AD177" s="47"/>
      <c r="AE177" s="47"/>
      <c r="AF177" s="47"/>
      <c r="AG177" s="47"/>
      <c r="AH177" s="47"/>
      <c r="AL177" s="47"/>
      <c r="AO177" s="508" t="str" cm="1">
        <f t="array" aca="1" ref="AO177" ca="1">IF(OR(AM177="",AM177=0),"",IF(SUMPRODUCT(($B$55:$B$191=AM177)*(U$54:$AI$54&lt;EOMONTH(TODAY(),-1)+1)*(ISNUMBER(R$55:$AF$191)),R$55:$AF$191)=0,"",SUMPRODUCT(($B$55:$B$191=AM177)*(U$54:$AI$54&lt;EOMONTH(TODAY(),-1)+1)*(ISNUMBER(R$55:$AF$191)),R$55:$AF$191)))</f>
        <v/>
      </c>
      <c r="AS177" s="62">
        <f>A177</f>
        <v>0</v>
      </c>
    </row>
    <row r="178" spans="1:45" x14ac:dyDescent="0.3">
      <c r="A178" s="591"/>
      <c r="B178" s="591"/>
      <c r="C178" s="591"/>
      <c r="D178" s="591"/>
      <c r="E178" s="591"/>
      <c r="F178" s="591"/>
      <c r="G178" s="591"/>
      <c r="H178" s="517"/>
      <c r="I178" s="369"/>
      <c r="J178" s="369"/>
      <c r="K178" s="369"/>
      <c r="L178" s="369"/>
      <c r="M178" s="369"/>
      <c r="N178" s="369"/>
      <c r="O178" s="369"/>
      <c r="P178" s="59"/>
      <c r="Q178" s="47"/>
      <c r="R178" s="47"/>
      <c r="S178" s="47"/>
      <c r="T178" s="47"/>
      <c r="U178" s="47"/>
      <c r="V178" s="47"/>
      <c r="W178" s="47"/>
      <c r="X178" s="47"/>
      <c r="Y178" s="47"/>
      <c r="Z178" s="47"/>
      <c r="AA178" s="47"/>
      <c r="AB178" s="47"/>
      <c r="AC178" s="47"/>
      <c r="AD178" s="47"/>
      <c r="AE178" s="47"/>
      <c r="AF178" s="47"/>
      <c r="AG178" s="47"/>
      <c r="AH178" s="47"/>
      <c r="AL178" s="47"/>
      <c r="AO178" s="508" t="str" cm="1">
        <f t="array" aca="1" ref="AO178" ca="1">IF(OR(AM178="",AM178=0),"",IF(SUMPRODUCT(($B$55:$B$191=AM178)*($U$54:AI$54&lt;=TODAY())*(ISNUMBER($R$56:AF$192)),$R$56:AF$192)=0,"",SUMPRODUCT(($B$55:$B$191=AM178)*($U$54:AI$54&lt;=TODAY())*(ISNUMBER($R$56:AF$192)),$R$56:AF$192)))</f>
        <v/>
      </c>
      <c r="AS178" s="62">
        <f>A177</f>
        <v>0</v>
      </c>
    </row>
    <row r="179" spans="1:45" x14ac:dyDescent="0.3">
      <c r="A179" s="594"/>
      <c r="B179" s="594"/>
      <c r="C179" s="594"/>
      <c r="D179" s="594"/>
      <c r="E179" s="594"/>
      <c r="F179" s="594"/>
      <c r="G179" s="594"/>
      <c r="H179" s="312" t="s">
        <v>666</v>
      </c>
      <c r="I179" s="312" t="s">
        <v>667</v>
      </c>
      <c r="J179" s="312" t="s">
        <v>668</v>
      </c>
      <c r="K179" s="312" t="s">
        <v>669</v>
      </c>
      <c r="L179" s="312" t="s">
        <v>670</v>
      </c>
      <c r="M179" s="312" t="s">
        <v>671</v>
      </c>
      <c r="N179" s="312" t="s">
        <v>672</v>
      </c>
      <c r="O179" s="312" t="s">
        <v>673</v>
      </c>
      <c r="P179" s="312" t="s">
        <v>674</v>
      </c>
      <c r="Q179" s="47"/>
      <c r="R179" s="47"/>
      <c r="S179" s="47"/>
      <c r="T179" s="47"/>
      <c r="U179" s="47"/>
      <c r="V179" s="47"/>
      <c r="W179" s="47"/>
      <c r="X179" s="47"/>
      <c r="Y179" s="47"/>
      <c r="Z179" s="47"/>
      <c r="AA179" s="47"/>
      <c r="AB179" s="47"/>
      <c r="AC179" s="47"/>
      <c r="AD179" s="47"/>
      <c r="AE179" s="47"/>
      <c r="AF179" s="47"/>
      <c r="AG179" s="47"/>
      <c r="AH179" s="47"/>
      <c r="AL179" s="47"/>
      <c r="AO179" s="508" t="str" cm="1">
        <f t="array" aca="1" ref="AO179" ca="1">IF(OR(AM179="",AM179=0),"",IF(SUMPRODUCT(($B$55:$B$191=AM179)*(U$54:$AI$54&lt;EOMONTH(TODAY(),-1)+1)*(ISNUMBER(R$55:$AF$191)),R$55:$AF$191)=0,"",SUMPRODUCT(($B$55:$B$191=AM179)*(U$54:$AI$54&lt;EOMONTH(TODAY(),-1)+1)*(ISNUMBER(R$55:$AF$191)),R$55:$AF$191)))</f>
        <v/>
      </c>
      <c r="AS179" s="62">
        <f>A179</f>
        <v>0</v>
      </c>
    </row>
    <row r="180" spans="1:45" x14ac:dyDescent="0.3">
      <c r="A180" s="591"/>
      <c r="B180" s="591"/>
      <c r="C180" s="591"/>
      <c r="D180" s="591"/>
      <c r="E180" s="591"/>
      <c r="F180" s="591"/>
      <c r="G180" s="591"/>
      <c r="H180" s="297">
        <v>1</v>
      </c>
      <c r="I180" s="297">
        <v>3</v>
      </c>
      <c r="J180" s="297"/>
      <c r="K180" s="300"/>
      <c r="L180" s="299">
        <f>AVERAGE(E147:E149)</f>
        <v>1</v>
      </c>
      <c r="M180" s="297"/>
      <c r="N180" s="319"/>
      <c r="O180" s="299">
        <f>AVERAGE(F147:F149)</f>
        <v>0.91666666666666663</v>
      </c>
      <c r="P180" s="612"/>
      <c r="Q180" s="47"/>
      <c r="R180" s="47"/>
      <c r="S180" s="47"/>
      <c r="T180" s="47"/>
      <c r="U180" s="47"/>
      <c r="V180" s="47"/>
      <c r="W180" s="47"/>
      <c r="X180" s="47"/>
      <c r="Y180" s="47"/>
      <c r="Z180" s="47"/>
      <c r="AA180" s="47"/>
      <c r="AB180" s="47"/>
      <c r="AC180" s="47"/>
      <c r="AD180" s="47"/>
      <c r="AE180" s="47"/>
      <c r="AF180" s="47"/>
      <c r="AG180" s="47"/>
      <c r="AH180" s="47"/>
      <c r="AL180" s="47"/>
      <c r="AO180" s="508" t="str" cm="1">
        <f t="array" aca="1" ref="AO180" ca="1">IF(OR(AM180="",AM180=0),"",IF(SUMPRODUCT(($B$55:$B$191=AM180)*($U$54:AI$54&lt;=TODAY())*(ISNUMBER($R$56:AF$192)),$R$56:AF$192)=0,"",SUMPRODUCT(($B$55:$B$191=AM180)*($U$54:AI$54&lt;=TODAY())*(ISNUMBER($R$56:AF$192)),$R$56:AF$192)))</f>
        <v/>
      </c>
      <c r="AS180" s="62">
        <f>A179</f>
        <v>0</v>
      </c>
    </row>
    <row r="181" spans="1:45" x14ac:dyDescent="0.3">
      <c r="A181" s="593"/>
      <c r="B181" s="593"/>
      <c r="C181" s="593"/>
      <c r="D181" s="593"/>
      <c r="E181" s="593"/>
      <c r="F181" s="593"/>
      <c r="G181" s="593"/>
      <c r="H181" s="693">
        <v>2</v>
      </c>
      <c r="I181" s="693">
        <v>3</v>
      </c>
      <c r="J181" s="693"/>
      <c r="K181" s="693"/>
      <c r="L181" s="694">
        <f>AVERAGE(E150:E152)</f>
        <v>1</v>
      </c>
      <c r="M181" s="693"/>
      <c r="N181" s="695"/>
      <c r="O181" s="694">
        <f>AVERAGE(F150:F152)</f>
        <v>1</v>
      </c>
      <c r="P181" s="696"/>
      <c r="Q181" s="47"/>
      <c r="R181" s="47"/>
      <c r="S181" s="47"/>
      <c r="T181" s="47"/>
      <c r="U181" s="47"/>
      <c r="V181" s="47"/>
      <c r="W181" s="47"/>
      <c r="X181" s="47"/>
      <c r="Y181" s="47"/>
      <c r="Z181" s="47"/>
      <c r="AA181" s="47"/>
      <c r="AB181" s="47"/>
      <c r="AC181" s="47"/>
      <c r="AD181" s="47"/>
      <c r="AE181" s="47"/>
      <c r="AF181" s="47"/>
      <c r="AG181" s="47"/>
      <c r="AH181" s="47"/>
      <c r="AL181" s="47"/>
      <c r="AO181" s="508" t="str" cm="1">
        <f t="array" aca="1" ref="AO181" ca="1">IF(OR(AM181="",AM181=0),"",IF(SUMPRODUCT(($B$55:$B$191=AM181)*(U$54:$AI$54&lt;EOMONTH(TODAY(),-1)+1)*(ISNUMBER(R$55:$AF$191)),R$55:$AF$191)=0,"",SUMPRODUCT(($B$55:$B$191=AM181)*(U$54:$AI$54&lt;EOMONTH(TODAY(),-1)+1)*(ISNUMBER(R$55:$AF$191)),R$55:$AF$191)))</f>
        <v/>
      </c>
      <c r="AS181" s="62">
        <f>A181</f>
        <v>0</v>
      </c>
    </row>
    <row r="182" spans="1:45" x14ac:dyDescent="0.3">
      <c r="A182" s="594"/>
      <c r="B182" s="594"/>
      <c r="C182" s="594"/>
      <c r="D182" s="594"/>
      <c r="E182" s="594"/>
      <c r="F182" s="594"/>
      <c r="G182" s="594"/>
      <c r="H182" s="297">
        <v>3</v>
      </c>
      <c r="I182" s="297">
        <f>COUNTIF($D$147:$D$174,H182)</f>
        <v>0</v>
      </c>
      <c r="J182" s="297"/>
      <c r="K182" s="300"/>
      <c r="L182" s="299" t="e">
        <f>COUNTIFS(E147:E174,"OK",D147:D174,H182)/I182</f>
        <v>#DIV/0!</v>
      </c>
      <c r="M182" s="297"/>
      <c r="N182" s="297"/>
      <c r="O182" s="299" t="s">
        <v>128</v>
      </c>
      <c r="P182" s="612"/>
      <c r="Q182" s="47"/>
      <c r="R182" s="47"/>
      <c r="S182" s="47"/>
      <c r="T182" s="47"/>
      <c r="U182" s="47"/>
      <c r="V182" s="47"/>
      <c r="W182" s="47"/>
      <c r="X182" s="47"/>
      <c r="Y182" s="47"/>
      <c r="Z182" s="47"/>
      <c r="AA182" s="47"/>
      <c r="AB182" s="47"/>
      <c r="AC182" s="47"/>
      <c r="AD182" s="47"/>
      <c r="AE182" s="47"/>
      <c r="AF182" s="47"/>
      <c r="AG182" s="47"/>
      <c r="AH182" s="47"/>
      <c r="AL182" s="47"/>
      <c r="AO182" s="508" t="str" cm="1">
        <f t="array" aca="1" ref="AO182" ca="1">IF(OR(AM182="",AM182=0),"",IF(SUMPRODUCT(($B$55:$B$191=AM182)*($U$54:AI$54&lt;=TODAY())*(ISNUMBER($R$56:AF$192)),$R$56:AF$192)=0,"",SUMPRODUCT(($B$55:$B$191=AM182)*($U$54:AI$54&lt;=TODAY())*(ISNUMBER($R$56:AF$192)),$R$56:AF$192)))</f>
        <v/>
      </c>
      <c r="AS182" s="62">
        <f>A181</f>
        <v>0</v>
      </c>
    </row>
    <row r="183" spans="1:45" x14ac:dyDescent="0.3">
      <c r="A183" s="594"/>
      <c r="B183" s="594"/>
      <c r="C183" s="594"/>
      <c r="D183" s="594"/>
      <c r="E183" s="594"/>
      <c r="F183" s="594"/>
      <c r="G183" s="594"/>
      <c r="H183" s="312" t="s">
        <v>149</v>
      </c>
      <c r="I183" s="312">
        <f>SUM(I180:I182)</f>
        <v>6</v>
      </c>
      <c r="J183" s="312"/>
      <c r="K183" s="312"/>
      <c r="L183" s="312"/>
      <c r="M183" s="312"/>
      <c r="N183" s="312"/>
      <c r="O183" s="312"/>
      <c r="P183" s="312"/>
      <c r="Q183" s="47"/>
      <c r="R183" s="47"/>
      <c r="S183" s="47"/>
      <c r="T183" s="47"/>
      <c r="U183" s="47"/>
      <c r="V183" s="47"/>
      <c r="W183" s="47"/>
      <c r="X183" s="47"/>
      <c r="Y183" s="47"/>
      <c r="Z183" s="47"/>
      <c r="AA183" s="47"/>
      <c r="AB183" s="47"/>
      <c r="AC183" s="47"/>
      <c r="AD183" s="47"/>
      <c r="AE183" s="47"/>
      <c r="AF183" s="47"/>
      <c r="AG183" s="47"/>
      <c r="AH183" s="47"/>
      <c r="AL183" s="47"/>
      <c r="AO183" s="508" t="str" cm="1">
        <f t="array" aca="1" ref="AO183" ca="1">IF(OR(AM183="",AM183=0),"",IF(SUMPRODUCT(($B$55:$B$191=AM183)*(U$54:$AI$54&lt;EOMONTH(TODAY(),-1)+1)*(ISNUMBER(R$55:$AF$191)),R$55:$AF$191)=0,"",SUMPRODUCT(($B$55:$B$191=AM183)*(U$54:$AI$54&lt;EOMONTH(TODAY(),-1)+1)*(ISNUMBER(R$55:$AF$191)),R$55:$AF$191)))</f>
        <v/>
      </c>
      <c r="AS183" s="62">
        <f>A183</f>
        <v>0</v>
      </c>
    </row>
    <row r="184" spans="1:45" x14ac:dyDescent="0.3">
      <c r="A184" s="594"/>
      <c r="B184" s="594"/>
      <c r="C184" s="594"/>
      <c r="D184" s="594"/>
      <c r="E184" s="594"/>
      <c r="F184" s="594"/>
      <c r="G184" s="594"/>
      <c r="H184" s="609" t="s">
        <v>1536</v>
      </c>
      <c r="P184" s="59"/>
      <c r="Q184" s="47"/>
      <c r="R184" s="47"/>
      <c r="S184" s="47"/>
      <c r="T184" s="47"/>
      <c r="U184" s="47"/>
      <c r="V184" s="47"/>
      <c r="W184" s="47"/>
      <c r="X184" s="47"/>
      <c r="Y184" s="47"/>
      <c r="Z184" s="47"/>
      <c r="AA184" s="47"/>
      <c r="AB184" s="47"/>
      <c r="AC184" s="47"/>
      <c r="AD184" s="47"/>
      <c r="AE184" s="47"/>
      <c r="AF184" s="47"/>
      <c r="AG184" s="47"/>
      <c r="AH184" s="47"/>
      <c r="AL184" s="47"/>
      <c r="AO184" s="508" t="str" cm="1">
        <f t="array" aca="1" ref="AO184" ca="1">IF(OR(AM184="",AM184=0),"",IF(SUMPRODUCT(($B$55:$B$191=AM184)*($U$54:AI$54&lt;=TODAY())*(ISNUMBER($R$56:AF$192)),$R$56:AF$192)=0,"",SUMPRODUCT(($B$55:$B$191=AM184)*($U$54:AI$54&lt;=TODAY())*(ISNUMBER($R$56:AF$192)),$R$56:AF$192)))</f>
        <v/>
      </c>
      <c r="AS184" s="62">
        <f>A183</f>
        <v>0</v>
      </c>
    </row>
    <row r="185" spans="1:45" x14ac:dyDescent="0.3">
      <c r="A185" s="594"/>
      <c r="B185" s="594"/>
      <c r="C185" s="594"/>
      <c r="D185" s="594"/>
      <c r="E185" s="594"/>
      <c r="F185" s="594"/>
      <c r="G185" s="594"/>
      <c r="H185" s="59"/>
      <c r="I185" s="47"/>
      <c r="J185" s="47"/>
      <c r="K185" s="47"/>
      <c r="L185" s="47"/>
      <c r="M185" s="47"/>
      <c r="N185" s="47"/>
      <c r="O185" s="47"/>
      <c r="P185" s="59"/>
      <c r="Q185" s="47"/>
      <c r="R185" s="47"/>
      <c r="S185" s="47"/>
      <c r="T185" s="47"/>
      <c r="U185" s="47"/>
      <c r="V185" s="47"/>
      <c r="W185" s="47"/>
      <c r="X185" s="47"/>
      <c r="Y185" s="47"/>
      <c r="Z185" s="47"/>
      <c r="AA185" s="47"/>
      <c r="AB185" s="47"/>
      <c r="AC185" s="47"/>
      <c r="AD185" s="47"/>
      <c r="AE185" s="47"/>
      <c r="AF185" s="47"/>
      <c r="AG185" s="47"/>
      <c r="AH185" s="47"/>
      <c r="AL185" s="47"/>
      <c r="AO185" s="508" t="str" cm="1">
        <f t="array" aca="1" ref="AO185" ca="1">IF(OR(AM185="",AM185=0),"",IF(SUMPRODUCT(($B$55:$B$191=AM185)*(U$54:$AI$54&lt;EOMONTH(TODAY(),-1)+1)*(ISNUMBER(R$55:$AF$191)),R$55:$AF$191)=0,"",SUMPRODUCT(($B$55:$B$191=AM185)*(U$54:$AI$54&lt;EOMONTH(TODAY(),-1)+1)*(ISNUMBER(R$55:$AF$191)),R$55:$AF$191)))</f>
        <v/>
      </c>
      <c r="AS185" s="62">
        <f>A185</f>
        <v>0</v>
      </c>
    </row>
    <row r="186" spans="1:45" x14ac:dyDescent="0.3">
      <c r="A186" s="594"/>
      <c r="B186" s="594"/>
      <c r="C186" s="594"/>
      <c r="D186" s="594"/>
      <c r="E186" s="594"/>
      <c r="F186" s="594"/>
      <c r="G186" s="594"/>
      <c r="H186" s="59"/>
      <c r="I186" s="47"/>
      <c r="J186" s="47"/>
      <c r="K186" s="47"/>
      <c r="L186" s="47"/>
      <c r="M186" s="47"/>
      <c r="N186" s="47"/>
      <c r="O186" s="47"/>
      <c r="P186" s="59"/>
      <c r="Q186" s="47"/>
      <c r="R186" s="47"/>
      <c r="S186" s="47"/>
      <c r="T186" s="47"/>
      <c r="U186" s="47"/>
      <c r="V186" s="47"/>
      <c r="W186" s="47"/>
      <c r="X186" s="47"/>
      <c r="Y186" s="47"/>
      <c r="Z186" s="47"/>
      <c r="AA186" s="47"/>
      <c r="AB186" s="47"/>
      <c r="AC186" s="47"/>
      <c r="AD186" s="47"/>
      <c r="AE186" s="47"/>
      <c r="AF186" s="47"/>
      <c r="AG186" s="47"/>
      <c r="AH186" s="47"/>
      <c r="AL186" s="47"/>
      <c r="AO186" s="508" t="str" cm="1">
        <f t="array" aca="1" ref="AO186" ca="1">IF(OR(AM186="",AM186=0),"",IF(SUMPRODUCT(($B$55:$B$191=AM186)*($U$54:AI$54&lt;=TODAY())*(ISNUMBER($R$56:AF$192)),$R$56:AF$192)=0,"",SUMPRODUCT(($B$55:$B$191=AM186)*($U$54:AI$54&lt;=TODAY())*(ISNUMBER($R$56:AF$192)),$R$56:AF$192)))</f>
        <v/>
      </c>
      <c r="AS186" s="62">
        <f>A185</f>
        <v>0</v>
      </c>
    </row>
    <row r="187" spans="1:45" x14ac:dyDescent="0.3">
      <c r="A187" s="594"/>
      <c r="B187" s="594"/>
      <c r="C187" s="594"/>
      <c r="D187" s="594"/>
      <c r="E187" s="594"/>
      <c r="F187" s="594"/>
      <c r="G187" s="594"/>
      <c r="H187" s="59"/>
      <c r="I187" s="47"/>
      <c r="J187" s="47"/>
      <c r="K187" s="47"/>
      <c r="L187" s="47"/>
      <c r="M187" s="47"/>
      <c r="N187" s="47"/>
      <c r="O187" s="47"/>
      <c r="P187" s="59"/>
      <c r="Q187" s="47"/>
      <c r="R187" s="47"/>
      <c r="S187" s="47"/>
      <c r="T187" s="47"/>
      <c r="U187" s="47"/>
      <c r="V187" s="47"/>
      <c r="W187" s="47"/>
      <c r="X187" s="47"/>
      <c r="Y187" s="47"/>
      <c r="Z187" s="47"/>
      <c r="AA187" s="47"/>
      <c r="AB187" s="47"/>
      <c r="AC187" s="47"/>
      <c r="AD187" s="47"/>
      <c r="AE187" s="47"/>
      <c r="AF187" s="47"/>
      <c r="AG187" s="47"/>
      <c r="AH187" s="47"/>
      <c r="AL187" s="47"/>
      <c r="AO187" s="508" t="str" cm="1">
        <f t="array" aca="1" ref="AO187" ca="1">IF(OR(AM187="",AM187=0),"",IF(SUMPRODUCT(($B$55:$B$191=AM187)*(U$54:$AI$54&lt;EOMONTH(TODAY(),-1)+1)*(ISNUMBER(R$55:$AF$191)),R$55:$AF$191)=0,"",SUMPRODUCT(($B$55:$B$191=AM187)*(U$54:$AI$54&lt;EOMONTH(TODAY(),-1)+1)*(ISNUMBER(R$55:$AF$191)),R$55:$AF$191)))</f>
        <v/>
      </c>
      <c r="AS187" s="62">
        <f>A187</f>
        <v>0</v>
      </c>
    </row>
    <row r="188" spans="1:45" x14ac:dyDescent="0.3">
      <c r="A188" s="591"/>
      <c r="B188" s="591"/>
      <c r="C188" s="591"/>
      <c r="D188" s="591"/>
      <c r="E188" s="591"/>
      <c r="F188" s="591"/>
      <c r="G188" s="591"/>
      <c r="H188" s="59"/>
      <c r="I188" s="47"/>
      <c r="J188" s="47"/>
      <c r="K188" s="47"/>
      <c r="L188" s="47"/>
      <c r="M188" s="47"/>
      <c r="N188" s="47"/>
      <c r="O188" s="47"/>
      <c r="P188" s="59"/>
      <c r="Q188" s="47"/>
      <c r="R188" s="47"/>
      <c r="S188" s="47"/>
      <c r="T188" s="47"/>
      <c r="U188" s="47"/>
      <c r="V188" s="47"/>
      <c r="W188" s="47"/>
      <c r="X188" s="47"/>
      <c r="Y188" s="47"/>
      <c r="Z188" s="47"/>
      <c r="AA188" s="47"/>
      <c r="AB188" s="47"/>
      <c r="AC188" s="47"/>
      <c r="AD188" s="47"/>
      <c r="AE188" s="47"/>
      <c r="AF188" s="47"/>
      <c r="AG188" s="47"/>
      <c r="AH188" s="47"/>
      <c r="AL188" s="47"/>
      <c r="AO188" s="508" t="str" cm="1">
        <f t="array" aca="1" ref="AO188" ca="1">IF(OR(AM188="",AM188=0),"",IF(SUMPRODUCT(($B$55:$B$191=AM188)*($U$54:AI$54&lt;=TODAY())*(ISNUMBER($R$56:AF$192)),$R$56:AF$192)=0,"",SUMPRODUCT(($B$55:$B$191=AM188)*($U$54:AI$54&lt;=TODAY())*(ISNUMBER($R$56:AF$192)),$R$56:AF$192)))</f>
        <v/>
      </c>
      <c r="AS188" s="62">
        <f>A187</f>
        <v>0</v>
      </c>
    </row>
    <row r="189" spans="1:45" x14ac:dyDescent="0.3">
      <c r="A189" s="591"/>
      <c r="B189" s="591"/>
      <c r="C189" s="591"/>
      <c r="D189" s="591"/>
      <c r="E189" s="591"/>
      <c r="F189" s="591"/>
      <c r="G189" s="591"/>
      <c r="H189" s="59"/>
      <c r="I189" s="47"/>
      <c r="J189" s="47"/>
      <c r="K189" s="47"/>
      <c r="L189" s="47"/>
      <c r="M189" s="47"/>
      <c r="N189" s="47"/>
      <c r="O189" s="47"/>
      <c r="P189" s="59"/>
      <c r="Q189" s="47"/>
      <c r="R189" s="47"/>
      <c r="S189" s="47"/>
      <c r="T189" s="47"/>
      <c r="U189" s="47"/>
      <c r="V189" s="47"/>
      <c r="W189" s="47"/>
      <c r="X189" s="47"/>
      <c r="Y189" s="47"/>
      <c r="Z189" s="47"/>
      <c r="AA189" s="47"/>
      <c r="AB189" s="47"/>
      <c r="AC189" s="47"/>
      <c r="AD189" s="47"/>
      <c r="AE189" s="47"/>
      <c r="AF189" s="47"/>
      <c r="AG189" s="47"/>
      <c r="AH189" s="47"/>
      <c r="AL189" s="47"/>
      <c r="AO189" s="508" t="str" cm="1">
        <f t="array" aca="1" ref="AO189" ca="1">IF(OR(AM189="",AM189=0),"",IF(SUMPRODUCT(($B$55:$B$191=AM189)*(U$54:$AI$54&lt;EOMONTH(TODAY(),-1)+1)*(ISNUMBER(R$55:$AF$191)),R$55:$AF$191)=0,"",SUMPRODUCT(($B$55:$B$191=AM189)*(U$54:$AI$54&lt;EOMONTH(TODAY(),-1)+1)*(ISNUMBER(R$55:$AF$191)),R$55:$AF$191)))</f>
        <v/>
      </c>
      <c r="AS189" s="62">
        <f>A189</f>
        <v>0</v>
      </c>
    </row>
    <row r="190" spans="1:45" x14ac:dyDescent="0.3">
      <c r="A190" s="591"/>
      <c r="B190" s="591"/>
      <c r="C190" s="591"/>
      <c r="D190" s="591"/>
      <c r="E190" s="591"/>
      <c r="F190" s="591"/>
      <c r="G190" s="591"/>
      <c r="H190" s="59"/>
      <c r="I190" s="47"/>
      <c r="J190" s="47"/>
      <c r="K190" s="47"/>
      <c r="L190" s="47"/>
      <c r="M190" s="47"/>
      <c r="N190" s="47"/>
      <c r="O190" s="47"/>
      <c r="P190" s="59"/>
      <c r="Q190" s="47"/>
      <c r="R190" s="47"/>
      <c r="S190" s="47"/>
      <c r="T190" s="47"/>
      <c r="U190" s="47"/>
      <c r="V190" s="47"/>
      <c r="W190" s="47"/>
      <c r="X190" s="47"/>
      <c r="Y190" s="47"/>
      <c r="Z190" s="47"/>
      <c r="AA190" s="47"/>
      <c r="AB190" s="47"/>
      <c r="AC190" s="47"/>
      <c r="AD190" s="47"/>
      <c r="AE190" s="47"/>
      <c r="AF190" s="47"/>
      <c r="AG190" s="47"/>
      <c r="AH190" s="47"/>
      <c r="AL190" s="47"/>
      <c r="AO190" s="508" t="str" cm="1">
        <f t="array" aca="1" ref="AO190" ca="1">IF(OR(AM190="",AM190=0),"",IF(SUMPRODUCT(($B$55:$B$191=AM190)*($U$54:AI$54&lt;=TODAY())*(ISNUMBER($R$56:AF$192)),$R$56:AF$192)=0,"",SUMPRODUCT(($B$55:$B$191=AM190)*($U$54:AI$54&lt;=TODAY())*(ISNUMBER($R$56:AF$192)),$R$56:AF$192)))</f>
        <v/>
      </c>
      <c r="AS190" s="62">
        <f>A189</f>
        <v>0</v>
      </c>
    </row>
    <row r="191" spans="1:45" x14ac:dyDescent="0.3">
      <c r="A191" s="591"/>
      <c r="B191" s="591"/>
      <c r="C191" s="591"/>
      <c r="D191" s="591"/>
      <c r="E191" s="591"/>
      <c r="F191" s="591"/>
      <c r="G191" s="591"/>
      <c r="H191" s="59"/>
      <c r="I191" s="47"/>
      <c r="J191" s="47"/>
      <c r="K191" s="47"/>
      <c r="L191" s="47"/>
      <c r="M191" s="47"/>
      <c r="N191" s="47"/>
      <c r="O191" s="47"/>
      <c r="P191" s="59"/>
      <c r="Q191" s="47"/>
      <c r="R191" s="47"/>
      <c r="S191" s="47"/>
      <c r="T191" s="47"/>
      <c r="U191" s="47"/>
      <c r="V191" s="47"/>
      <c r="W191" s="47"/>
      <c r="X191" s="47"/>
      <c r="Y191" s="47"/>
      <c r="Z191" s="47"/>
      <c r="AA191" s="47"/>
      <c r="AB191" s="47"/>
      <c r="AC191" s="47"/>
      <c r="AD191" s="47"/>
      <c r="AE191" s="47"/>
      <c r="AF191" s="47"/>
      <c r="AG191" s="47"/>
      <c r="AH191" s="47"/>
      <c r="AL191" s="47"/>
      <c r="AO191" s="508" t="str" cm="1">
        <f t="array" aca="1" ref="AO191" ca="1">IF(OR(AM191="",AM191=0),"",IF(SUMPRODUCT(($B$55:$B$191=AM191)*(U$54:$AI$54&lt;EOMONTH(TODAY(),-1)+1)*(ISNUMBER(R$55:$AF$191)),R$55:$AF$191)=0,"",SUMPRODUCT(($B$55:$B$191=AM191)*(U$54:$AI$54&lt;EOMONTH(TODAY(),-1)+1)*(ISNUMBER(R$55:$AF$191)),R$55:$AF$191)))</f>
        <v/>
      </c>
      <c r="AS191" s="62">
        <f>A191</f>
        <v>0</v>
      </c>
    </row>
    <row r="192" spans="1:45" x14ac:dyDescent="0.3">
      <c r="A192" s="594"/>
      <c r="B192" s="594"/>
      <c r="C192" s="594"/>
      <c r="D192" s="594"/>
      <c r="E192" s="594"/>
      <c r="F192" s="594"/>
      <c r="G192" s="594"/>
      <c r="H192" s="59"/>
      <c r="I192" s="47"/>
      <c r="J192" s="47"/>
      <c r="K192" s="47"/>
      <c r="L192" s="47"/>
      <c r="M192" s="47"/>
      <c r="N192" s="47"/>
      <c r="O192" s="47"/>
      <c r="P192" s="59"/>
      <c r="Q192" s="47"/>
      <c r="R192" s="47"/>
      <c r="S192" s="47"/>
      <c r="T192" s="47"/>
      <c r="U192" s="47"/>
      <c r="V192" s="47"/>
      <c r="W192" s="47"/>
      <c r="X192" s="47"/>
      <c r="Y192" s="47"/>
      <c r="Z192" s="47"/>
      <c r="AA192" s="47"/>
      <c r="AB192" s="47"/>
      <c r="AC192" s="47"/>
      <c r="AD192" s="47"/>
      <c r="AE192" s="47"/>
      <c r="AF192" s="47"/>
      <c r="AG192" s="47"/>
      <c r="AH192" s="47"/>
      <c r="AL192" s="47"/>
      <c r="AO192" s="508" t="str" cm="1">
        <f t="array" aca="1" ref="AO192" ca="1">IF(OR(AM192="",AM192=0),"",IF(SUMPRODUCT(($B$55:$B$191=AM192)*($U$54:AI$54&lt;=TODAY())*(ISNUMBER($R$56:AF$192)),$R$56:AF$192)=0,"",SUMPRODUCT(($B$55:$B$191=AM192)*($U$54:AI$54&lt;=TODAY())*(ISNUMBER($R$56:AF$192)),$R$56:AF$192)))</f>
        <v/>
      </c>
      <c r="AS192" s="62">
        <f>A191</f>
        <v>0</v>
      </c>
    </row>
    <row r="193" spans="1:45" x14ac:dyDescent="0.3">
      <c r="A193" s="591"/>
      <c r="B193" s="591"/>
      <c r="C193" s="591"/>
      <c r="D193" s="591"/>
      <c r="E193" s="591"/>
      <c r="F193" s="591"/>
      <c r="G193" s="591"/>
      <c r="H193" s="59"/>
      <c r="I193" s="47"/>
      <c r="J193" s="47"/>
      <c r="K193" s="47"/>
      <c r="L193" s="47"/>
      <c r="M193" s="47"/>
      <c r="N193" s="47"/>
      <c r="O193" s="47"/>
      <c r="P193" s="59"/>
      <c r="Q193" s="47"/>
      <c r="R193" s="47"/>
      <c r="S193" s="47"/>
      <c r="T193" s="47"/>
      <c r="U193" s="47"/>
      <c r="V193" s="47"/>
      <c r="W193" s="47"/>
      <c r="X193" s="47"/>
      <c r="Y193" s="47"/>
      <c r="Z193" s="47"/>
      <c r="AA193" s="47"/>
      <c r="AB193" s="47"/>
      <c r="AC193" s="47"/>
      <c r="AD193" s="47"/>
      <c r="AE193" s="47"/>
      <c r="AF193" s="47"/>
      <c r="AG193" s="47"/>
      <c r="AH193" s="47"/>
      <c r="AL193" s="47"/>
      <c r="AO193" s="508" t="str" cm="1">
        <f t="array" aca="1" ref="AO193" ca="1">IF(OR(AM193="",AM193=0),"",IF(SUMPRODUCT(($B$55:$B$191=AM193)*(U$54:$AI$54&lt;EOMONTH(TODAY(),-1)+1)*(ISNUMBER(R$55:$AF$191)),R$55:$AF$191)=0,"",SUMPRODUCT(($B$55:$B$191=AM193)*(U$54:$AI$54&lt;EOMONTH(TODAY(),-1)+1)*(ISNUMBER(R$55:$AF$191)),R$55:$AF$191)))</f>
        <v/>
      </c>
      <c r="AS193" s="62">
        <f>A193</f>
        <v>0</v>
      </c>
    </row>
    <row r="194" spans="1:45" ht="21" customHeight="1" x14ac:dyDescent="0.3">
      <c r="A194" s="47"/>
      <c r="B194" s="47"/>
      <c r="C194" s="47"/>
      <c r="D194" s="47"/>
      <c r="E194" s="47"/>
      <c r="F194" s="47"/>
      <c r="G194" s="47"/>
      <c r="H194" s="59"/>
      <c r="I194" s="47"/>
      <c r="J194" s="47"/>
      <c r="K194" s="47"/>
      <c r="L194" s="47"/>
      <c r="M194" s="47"/>
      <c r="N194" s="47"/>
      <c r="O194" s="47"/>
      <c r="P194" s="59"/>
      <c r="Q194" s="47"/>
      <c r="R194" s="47"/>
      <c r="S194" s="47"/>
      <c r="T194" s="47"/>
      <c r="U194" s="47"/>
      <c r="V194" s="47"/>
      <c r="W194" s="47"/>
      <c r="X194" s="47"/>
      <c r="Y194" s="47"/>
      <c r="Z194" s="47"/>
      <c r="AA194" s="47"/>
      <c r="AB194" s="47"/>
      <c r="AC194" s="47"/>
      <c r="AD194" s="47"/>
      <c r="AE194" s="47"/>
      <c r="AF194" s="47"/>
      <c r="AG194" s="47"/>
      <c r="AH194" s="47"/>
      <c r="AL194" s="47"/>
      <c r="AO194" s="508" t="str" cm="1">
        <f t="array" aca="1" ref="AO194" ca="1">IF(OR(AM194="",AM194=0),"",IF(SUMPRODUCT(($B$55:$B$191=AM194)*($U$54:AI$54&lt;=TODAY())*(ISNUMBER($R$56:AF$192)),$R$56:AF$192)=0,"",SUMPRODUCT(($B$55:$B$191=AM194)*($U$54:AI$54&lt;=TODAY())*(ISNUMBER($R$56:AF$192)),$R$56:AF$192)))</f>
        <v/>
      </c>
      <c r="AS194" s="62">
        <f>A193</f>
        <v>0</v>
      </c>
    </row>
    <row r="195" spans="1:45" x14ac:dyDescent="0.3">
      <c r="A195" s="47"/>
      <c r="B195" s="47"/>
      <c r="C195" s="47"/>
      <c r="D195" s="47"/>
      <c r="E195" s="47"/>
      <c r="F195" s="47"/>
      <c r="G195" s="59"/>
      <c r="H195" s="47"/>
      <c r="I195" s="47"/>
      <c r="J195" s="47"/>
      <c r="K195" s="47"/>
      <c r="L195" s="47"/>
      <c r="M195" s="47"/>
      <c r="N195" s="47"/>
      <c r="O195" s="47"/>
      <c r="P195" s="59"/>
      <c r="Q195" s="47"/>
      <c r="R195" s="47"/>
      <c r="S195" s="47"/>
      <c r="T195" s="47"/>
      <c r="U195" s="47"/>
      <c r="V195" s="47"/>
      <c r="W195" s="47"/>
      <c r="X195" s="47"/>
      <c r="Y195" s="47"/>
      <c r="Z195" s="47"/>
      <c r="AA195" s="47"/>
      <c r="AB195" s="47"/>
      <c r="AC195" s="47"/>
      <c r="AD195" s="47"/>
      <c r="AE195" s="47"/>
      <c r="AF195" s="47"/>
      <c r="AG195" s="47"/>
      <c r="AH195" s="47"/>
      <c r="AL195" s="47"/>
    </row>
    <row r="196" spans="1:45" ht="21" x14ac:dyDescent="0.3">
      <c r="A196" s="513" t="s">
        <v>676</v>
      </c>
      <c r="B196" s="513" t="s">
        <v>677</v>
      </c>
      <c r="C196" s="513" t="s">
        <v>678</v>
      </c>
      <c r="D196" s="513" t="s">
        <v>679</v>
      </c>
      <c r="E196" s="513" t="s">
        <v>680</v>
      </c>
      <c r="F196" s="523"/>
      <c r="G196" s="59"/>
      <c r="H196" s="47"/>
      <c r="I196" s="47"/>
      <c r="J196" s="47"/>
      <c r="K196" s="47"/>
      <c r="L196" s="47"/>
      <c r="M196" s="47"/>
      <c r="N196" s="47"/>
      <c r="O196" s="47"/>
      <c r="P196" s="59"/>
      <c r="Q196" s="47"/>
      <c r="R196" s="47"/>
      <c r="S196" s="47"/>
      <c r="T196" s="47"/>
      <c r="U196" s="47"/>
      <c r="V196" s="47"/>
      <c r="W196" s="47"/>
      <c r="X196" s="47"/>
      <c r="Y196" s="47"/>
      <c r="Z196" s="47"/>
      <c r="AA196" s="47"/>
      <c r="AB196" s="47"/>
      <c r="AC196" s="47"/>
      <c r="AD196" s="47"/>
      <c r="AE196" s="47"/>
      <c r="AF196" s="47"/>
      <c r="AG196" s="47"/>
      <c r="AH196" s="47"/>
      <c r="AL196" s="47"/>
    </row>
    <row r="197" spans="1:45" x14ac:dyDescent="0.3">
      <c r="A197" s="515" t="s">
        <v>713</v>
      </c>
      <c r="B197" s="515" t="s">
        <v>1537</v>
      </c>
      <c r="C197" s="515" t="s">
        <v>1538</v>
      </c>
      <c r="D197" s="515" t="s">
        <v>1539</v>
      </c>
      <c r="E197" s="512"/>
      <c r="F197" s="47"/>
      <c r="G197" s="59"/>
      <c r="H197" s="47"/>
      <c r="I197" s="47"/>
      <c r="J197" s="47"/>
      <c r="K197" s="47"/>
      <c r="L197" s="47"/>
      <c r="M197" s="47"/>
      <c r="N197" s="47"/>
      <c r="O197" s="47"/>
      <c r="P197" s="59"/>
      <c r="Q197" s="47"/>
      <c r="R197" s="47"/>
      <c r="S197" s="47"/>
      <c r="T197" s="47"/>
      <c r="U197" s="47"/>
      <c r="V197" s="47"/>
      <c r="W197" s="47"/>
      <c r="X197" s="47"/>
      <c r="Y197" s="47"/>
      <c r="Z197" s="47"/>
      <c r="AA197" s="47"/>
      <c r="AB197" s="47"/>
      <c r="AC197" s="47"/>
      <c r="AD197" s="47"/>
      <c r="AE197" s="47"/>
      <c r="AF197" s="47"/>
      <c r="AG197" s="47"/>
      <c r="AH197" s="47"/>
      <c r="AL197" s="47"/>
    </row>
    <row r="198" spans="1:45" x14ac:dyDescent="0.3">
      <c r="A198" s="516" t="s">
        <v>713</v>
      </c>
      <c r="B198" s="516" t="s">
        <v>1540</v>
      </c>
      <c r="C198" s="516" t="s">
        <v>1541</v>
      </c>
      <c r="D198" s="516" t="s">
        <v>1542</v>
      </c>
      <c r="E198" s="514"/>
      <c r="F198" s="47"/>
      <c r="G198" s="59"/>
      <c r="H198" s="47"/>
      <c r="I198" s="47"/>
      <c r="J198" s="47"/>
      <c r="K198" s="47"/>
      <c r="L198" s="47"/>
      <c r="M198" s="47"/>
      <c r="N198" s="47"/>
      <c r="O198" s="47"/>
      <c r="P198" s="59"/>
      <c r="Q198" s="47"/>
      <c r="R198" s="47"/>
      <c r="S198" s="47"/>
      <c r="T198" s="47"/>
      <c r="U198" s="47"/>
      <c r="V198" s="47"/>
      <c r="W198" s="47"/>
      <c r="X198" s="47"/>
      <c r="Y198" s="47"/>
      <c r="Z198" s="47"/>
      <c r="AA198" s="47"/>
      <c r="AB198" s="47"/>
      <c r="AC198" s="47"/>
      <c r="AD198" s="47"/>
      <c r="AE198" s="47"/>
      <c r="AF198" s="47"/>
      <c r="AG198" s="47"/>
      <c r="AH198" s="47"/>
      <c r="AL198" s="47"/>
    </row>
    <row r="199" spans="1:45" x14ac:dyDescent="0.3">
      <c r="A199" s="515" t="s">
        <v>713</v>
      </c>
      <c r="B199" s="515" t="s">
        <v>1543</v>
      </c>
      <c r="C199" s="515" t="s">
        <v>1544</v>
      </c>
      <c r="D199" s="515" t="s">
        <v>1542</v>
      </c>
      <c r="E199" s="512"/>
      <c r="F199" s="47"/>
      <c r="G199" s="59"/>
      <c r="H199" s="47"/>
      <c r="I199" s="47"/>
      <c r="J199" s="47"/>
      <c r="K199" s="47"/>
      <c r="L199" s="47"/>
      <c r="M199" s="47"/>
      <c r="N199" s="47"/>
      <c r="O199" s="47"/>
      <c r="P199" s="59"/>
      <c r="Q199" s="47"/>
      <c r="R199" s="47"/>
      <c r="S199" s="47"/>
      <c r="T199" s="47"/>
      <c r="U199" s="47"/>
      <c r="V199" s="47"/>
      <c r="W199" s="47"/>
      <c r="X199" s="47"/>
      <c r="Y199" s="47"/>
      <c r="Z199" s="47"/>
      <c r="AA199" s="47"/>
      <c r="AB199" s="47"/>
      <c r="AC199" s="47"/>
      <c r="AD199" s="47"/>
      <c r="AE199" s="47"/>
      <c r="AF199" s="47"/>
      <c r="AG199" s="47"/>
      <c r="AH199" s="47"/>
      <c r="AL199" s="47"/>
    </row>
    <row r="200" spans="1:45" x14ac:dyDescent="0.3">
      <c r="A200" s="516" t="s">
        <v>713</v>
      </c>
      <c r="B200" s="516" t="s">
        <v>1545</v>
      </c>
      <c r="C200" s="516" t="s">
        <v>1546</v>
      </c>
      <c r="D200" s="516" t="s">
        <v>1547</v>
      </c>
      <c r="E200" s="514"/>
      <c r="F200" s="47"/>
      <c r="G200" s="59"/>
      <c r="H200" s="47"/>
      <c r="I200" s="47"/>
      <c r="J200" s="47"/>
      <c r="K200" s="47"/>
      <c r="L200" s="47"/>
      <c r="M200" s="47"/>
      <c r="N200" s="47"/>
      <c r="O200" s="47"/>
      <c r="P200" s="59"/>
      <c r="Q200" s="47"/>
      <c r="R200" s="47"/>
      <c r="S200" s="47"/>
      <c r="T200" s="47"/>
      <c r="U200" s="47"/>
      <c r="V200" s="47"/>
      <c r="W200" s="47"/>
      <c r="X200" s="47"/>
      <c r="Y200" s="47"/>
      <c r="Z200" s="47"/>
      <c r="AA200" s="47"/>
      <c r="AB200" s="47"/>
      <c r="AC200" s="47"/>
      <c r="AD200" s="47"/>
      <c r="AE200" s="47"/>
      <c r="AF200" s="47"/>
      <c r="AG200" s="47"/>
      <c r="AH200" s="47"/>
      <c r="AL200" s="47"/>
    </row>
    <row r="201" spans="1:45" x14ac:dyDescent="0.3">
      <c r="A201" s="515" t="s">
        <v>713</v>
      </c>
      <c r="B201" s="515" t="s">
        <v>1507</v>
      </c>
      <c r="C201" s="515" t="s">
        <v>1508</v>
      </c>
      <c r="D201" s="515" t="s">
        <v>1542</v>
      </c>
      <c r="E201" s="512"/>
      <c r="F201" s="47"/>
      <c r="G201" s="59"/>
      <c r="H201" s="47"/>
      <c r="I201" s="47"/>
      <c r="J201" s="47"/>
      <c r="K201" s="47"/>
      <c r="L201" s="47"/>
      <c r="M201" s="47"/>
      <c r="N201" s="47"/>
      <c r="O201" s="47"/>
      <c r="P201" s="59"/>
      <c r="Q201" s="47"/>
      <c r="R201" s="47"/>
      <c r="S201" s="47"/>
      <c r="T201" s="47"/>
      <c r="U201" s="47"/>
      <c r="V201" s="47"/>
      <c r="W201" s="47"/>
      <c r="X201" s="47"/>
      <c r="Y201" s="47"/>
      <c r="Z201" s="47"/>
      <c r="AA201" s="47"/>
      <c r="AB201" s="47"/>
      <c r="AC201" s="47"/>
      <c r="AD201" s="47"/>
      <c r="AE201" s="47"/>
      <c r="AF201" s="47"/>
      <c r="AG201" s="47"/>
      <c r="AH201" s="47"/>
      <c r="AL201" s="47"/>
    </row>
    <row r="202" spans="1:45" x14ac:dyDescent="0.3">
      <c r="A202" s="516" t="s">
        <v>713</v>
      </c>
      <c r="B202" s="516" t="s">
        <v>1548</v>
      </c>
      <c r="C202" s="516" t="s">
        <v>1549</v>
      </c>
      <c r="D202" s="516" t="s">
        <v>1542</v>
      </c>
      <c r="E202" s="514"/>
      <c r="F202" s="47"/>
      <c r="G202" s="59"/>
      <c r="H202" s="47"/>
      <c r="I202" s="47"/>
      <c r="J202" s="47"/>
      <c r="K202" s="47"/>
      <c r="L202" s="47"/>
      <c r="M202" s="47"/>
      <c r="N202" s="47"/>
      <c r="O202" s="47"/>
      <c r="P202" s="59"/>
      <c r="Q202" s="47"/>
      <c r="R202" s="47"/>
      <c r="S202" s="47"/>
      <c r="T202" s="47"/>
      <c r="U202" s="47"/>
      <c r="V202" s="47"/>
      <c r="W202" s="47"/>
      <c r="X202" s="47"/>
      <c r="Y202" s="47"/>
      <c r="Z202" s="47"/>
      <c r="AA202" s="47"/>
      <c r="AB202" s="47"/>
      <c r="AC202" s="47"/>
      <c r="AD202" s="47"/>
      <c r="AE202" s="47"/>
      <c r="AF202" s="47"/>
      <c r="AG202" s="47"/>
      <c r="AH202" s="47"/>
      <c r="AL202" s="47"/>
    </row>
    <row r="203" spans="1:45" x14ac:dyDescent="0.3">
      <c r="A203" s="515" t="s">
        <v>713</v>
      </c>
      <c r="B203" s="515" t="s">
        <v>1550</v>
      </c>
      <c r="C203" s="515" t="s">
        <v>1551</v>
      </c>
      <c r="D203" s="515" t="s">
        <v>1542</v>
      </c>
      <c r="E203" s="512"/>
      <c r="F203" s="47"/>
      <c r="G203" s="59"/>
      <c r="H203" s="47"/>
      <c r="I203" s="47"/>
      <c r="J203" s="47"/>
      <c r="K203" s="47"/>
      <c r="L203" s="47"/>
      <c r="M203" s="47"/>
      <c r="N203" s="47"/>
      <c r="O203" s="47"/>
      <c r="P203" s="59"/>
      <c r="Q203" s="47"/>
      <c r="R203" s="47"/>
      <c r="S203" s="47"/>
      <c r="T203" s="47"/>
      <c r="U203" s="47"/>
      <c r="V203" s="47"/>
      <c r="W203" s="47"/>
      <c r="X203" s="47"/>
      <c r="Y203" s="47"/>
      <c r="Z203" s="47"/>
      <c r="AA203" s="47"/>
      <c r="AB203" s="47"/>
      <c r="AC203" s="47"/>
      <c r="AD203" s="47"/>
      <c r="AE203" s="47"/>
      <c r="AF203" s="47"/>
      <c r="AG203" s="47"/>
      <c r="AH203" s="47"/>
      <c r="AL203" s="47"/>
    </row>
    <row r="204" spans="1:45" x14ac:dyDescent="0.3">
      <c r="A204" s="516" t="s">
        <v>713</v>
      </c>
      <c r="B204" s="516" t="s">
        <v>1552</v>
      </c>
      <c r="C204" s="516" t="s">
        <v>1553</v>
      </c>
      <c r="D204" s="516" t="s">
        <v>1542</v>
      </c>
      <c r="E204" s="514"/>
      <c r="F204" s="47"/>
      <c r="G204" s="59"/>
      <c r="H204" s="47"/>
      <c r="I204" s="47"/>
      <c r="J204" s="47"/>
      <c r="K204" s="47"/>
      <c r="L204" s="47"/>
      <c r="M204" s="47"/>
      <c r="N204" s="47"/>
      <c r="O204" s="47"/>
      <c r="P204" s="59"/>
      <c r="Q204" s="47"/>
      <c r="R204" s="47"/>
      <c r="S204" s="47"/>
      <c r="T204" s="47"/>
      <c r="U204" s="47"/>
      <c r="V204" s="47"/>
      <c r="W204" s="47"/>
      <c r="X204" s="47"/>
      <c r="Y204" s="47"/>
      <c r="Z204" s="47"/>
      <c r="AA204" s="47"/>
      <c r="AB204" s="47"/>
      <c r="AC204" s="47"/>
      <c r="AD204" s="47"/>
      <c r="AE204" s="47"/>
      <c r="AF204" s="47"/>
      <c r="AG204" s="47"/>
      <c r="AH204" s="47"/>
      <c r="AL204" s="47"/>
    </row>
    <row r="205" spans="1:45" x14ac:dyDescent="0.3">
      <c r="A205" s="515" t="s">
        <v>713</v>
      </c>
      <c r="B205" s="515" t="s">
        <v>1519</v>
      </c>
      <c r="C205" s="515" t="s">
        <v>1520</v>
      </c>
      <c r="D205" s="515" t="s">
        <v>716</v>
      </c>
      <c r="E205" s="512"/>
      <c r="F205" s="47"/>
      <c r="G205" s="59"/>
      <c r="H205" s="47"/>
      <c r="I205" s="47"/>
      <c r="J205" s="47"/>
      <c r="K205" s="47"/>
      <c r="L205" s="47"/>
      <c r="M205" s="47"/>
      <c r="N205" s="47"/>
      <c r="O205" s="47"/>
      <c r="P205" s="59"/>
      <c r="Q205" s="47"/>
      <c r="R205" s="47"/>
      <c r="S205" s="47"/>
      <c r="T205" s="47"/>
      <c r="U205" s="47"/>
      <c r="V205" s="47"/>
      <c r="W205" s="47"/>
      <c r="X205" s="47"/>
      <c r="Y205" s="47"/>
      <c r="Z205" s="47"/>
      <c r="AA205" s="47"/>
      <c r="AB205" s="47"/>
      <c r="AC205" s="47"/>
      <c r="AD205" s="47"/>
      <c r="AE205" s="47"/>
      <c r="AF205" s="47"/>
      <c r="AG205" s="47"/>
      <c r="AH205" s="47"/>
      <c r="AL205" s="47"/>
    </row>
    <row r="206" spans="1:45" x14ac:dyDescent="0.3">
      <c r="A206" s="516" t="s">
        <v>713</v>
      </c>
      <c r="B206" s="516" t="s">
        <v>1521</v>
      </c>
      <c r="C206" s="516" t="s">
        <v>1522</v>
      </c>
      <c r="D206" s="516" t="s">
        <v>716</v>
      </c>
      <c r="E206" s="514"/>
      <c r="F206" s="47"/>
      <c r="G206" s="59"/>
      <c r="H206" s="47"/>
      <c r="I206" s="47"/>
      <c r="J206" s="47"/>
      <c r="K206" s="47"/>
      <c r="L206" s="47"/>
      <c r="M206" s="47"/>
      <c r="N206" s="47"/>
      <c r="O206" s="47"/>
      <c r="P206" s="59"/>
      <c r="Q206" s="47"/>
      <c r="R206" s="47"/>
      <c r="S206" s="47"/>
      <c r="T206" s="47"/>
      <c r="U206" s="47"/>
      <c r="V206" s="47"/>
      <c r="W206" s="47"/>
      <c r="X206" s="47"/>
      <c r="Y206" s="47"/>
      <c r="Z206" s="47"/>
      <c r="AA206" s="47"/>
      <c r="AB206" s="47"/>
      <c r="AC206" s="47"/>
      <c r="AD206" s="47"/>
      <c r="AE206" s="47"/>
      <c r="AF206" s="47"/>
      <c r="AG206" s="47"/>
      <c r="AH206" s="47"/>
      <c r="AL206" s="47"/>
    </row>
    <row r="207" spans="1:45" x14ac:dyDescent="0.3">
      <c r="A207" s="515" t="s">
        <v>713</v>
      </c>
      <c r="B207" s="515" t="s">
        <v>1554</v>
      </c>
      <c r="C207" s="515" t="s">
        <v>1555</v>
      </c>
      <c r="D207" s="515" t="s">
        <v>1542</v>
      </c>
      <c r="E207" s="512"/>
      <c r="F207" s="47"/>
      <c r="G207" s="59"/>
      <c r="H207" s="47"/>
      <c r="I207" s="47"/>
      <c r="J207" s="47"/>
      <c r="K207" s="47"/>
      <c r="L207" s="47"/>
      <c r="M207" s="47"/>
      <c r="N207" s="47"/>
      <c r="O207" s="47"/>
      <c r="P207" s="59"/>
      <c r="Q207" s="47"/>
      <c r="R207" s="47"/>
      <c r="S207" s="47"/>
      <c r="T207" s="47"/>
      <c r="U207" s="47"/>
      <c r="V207" s="47"/>
      <c r="W207" s="47"/>
      <c r="X207" s="47"/>
      <c r="Y207" s="47"/>
      <c r="Z207" s="47"/>
      <c r="AA207" s="47"/>
      <c r="AB207" s="47"/>
      <c r="AC207" s="47"/>
      <c r="AD207" s="47"/>
      <c r="AE207" s="47"/>
      <c r="AF207" s="47"/>
      <c r="AG207" s="47"/>
      <c r="AH207" s="47"/>
      <c r="AL207" s="47"/>
    </row>
    <row r="208" spans="1:45" x14ac:dyDescent="0.3">
      <c r="A208" s="516" t="s">
        <v>713</v>
      </c>
      <c r="B208" s="516" t="s">
        <v>1556</v>
      </c>
      <c r="C208" s="516" t="s">
        <v>1557</v>
      </c>
      <c r="D208" s="516" t="s">
        <v>1542</v>
      </c>
      <c r="E208" s="514"/>
      <c r="F208" s="47"/>
      <c r="G208" s="59"/>
      <c r="H208" s="47"/>
      <c r="I208" s="47"/>
      <c r="J208" s="47"/>
      <c r="K208" s="47"/>
      <c r="L208" s="47"/>
      <c r="M208" s="47"/>
      <c r="N208" s="47"/>
      <c r="O208" s="47"/>
      <c r="P208" s="59"/>
      <c r="Q208" s="47"/>
      <c r="R208" s="47"/>
      <c r="S208" s="47"/>
      <c r="T208" s="47"/>
      <c r="U208" s="47"/>
      <c r="V208" s="47"/>
      <c r="W208" s="47"/>
      <c r="X208" s="47"/>
      <c r="Y208" s="47"/>
      <c r="Z208" s="47"/>
      <c r="AA208" s="47"/>
      <c r="AB208" s="47"/>
      <c r="AC208" s="47"/>
      <c r="AD208" s="47"/>
      <c r="AE208" s="47"/>
      <c r="AF208" s="47"/>
      <c r="AG208" s="47"/>
      <c r="AH208" s="47"/>
      <c r="AL208" s="47"/>
    </row>
    <row r="209" spans="1:38" x14ac:dyDescent="0.3">
      <c r="A209" s="515" t="s">
        <v>713</v>
      </c>
      <c r="B209" s="515" t="s">
        <v>1558</v>
      </c>
      <c r="C209" s="515" t="s">
        <v>1559</v>
      </c>
      <c r="D209" s="515" t="s">
        <v>737</v>
      </c>
      <c r="E209" s="512"/>
      <c r="F209" s="47"/>
      <c r="G209" s="59"/>
      <c r="H209" s="47"/>
      <c r="I209" s="47"/>
      <c r="J209" s="47"/>
      <c r="K209" s="47"/>
      <c r="L209" s="47"/>
      <c r="M209" s="47"/>
      <c r="N209" s="47"/>
      <c r="O209" s="47"/>
      <c r="P209" s="59"/>
      <c r="Q209" s="47"/>
      <c r="R209" s="47"/>
      <c r="S209" s="47"/>
      <c r="T209" s="47"/>
      <c r="U209" s="47"/>
      <c r="V209" s="47"/>
      <c r="W209" s="47"/>
      <c r="X209" s="47"/>
      <c r="Y209" s="47"/>
      <c r="Z209" s="47"/>
      <c r="AA209" s="47"/>
      <c r="AB209" s="47"/>
      <c r="AC209" s="47"/>
      <c r="AD209" s="47"/>
      <c r="AE209" s="47"/>
      <c r="AF209" s="47"/>
      <c r="AG209" s="47"/>
      <c r="AH209" s="47"/>
      <c r="AL209" s="47"/>
    </row>
    <row r="210" spans="1:38" x14ac:dyDescent="0.3">
      <c r="A210" s="516" t="s">
        <v>713</v>
      </c>
      <c r="B210" s="516" t="s">
        <v>1560</v>
      </c>
      <c r="C210" s="516" t="s">
        <v>1561</v>
      </c>
      <c r="D210" s="516" t="s">
        <v>737</v>
      </c>
      <c r="E210" s="514"/>
      <c r="F210" s="47"/>
      <c r="G210" s="59"/>
      <c r="H210" s="47"/>
      <c r="I210" s="47"/>
      <c r="J210" s="47"/>
      <c r="K210" s="47"/>
      <c r="L210" s="47"/>
      <c r="M210" s="47"/>
      <c r="N210" s="47"/>
      <c r="O210" s="47"/>
      <c r="P210" s="59"/>
      <c r="Q210" s="47"/>
      <c r="R210" s="47"/>
      <c r="S210" s="47"/>
      <c r="T210" s="47"/>
      <c r="U210" s="47"/>
      <c r="V210" s="47"/>
      <c r="W210" s="47"/>
      <c r="X210" s="47"/>
      <c r="Y210" s="47"/>
      <c r="Z210" s="47"/>
      <c r="AA210" s="47"/>
      <c r="AB210" s="47"/>
      <c r="AC210" s="47"/>
      <c r="AD210" s="47"/>
      <c r="AE210" s="47"/>
      <c r="AF210" s="47"/>
      <c r="AG210" s="47"/>
      <c r="AH210" s="47"/>
      <c r="AL210" s="47"/>
    </row>
    <row r="211" spans="1:38" x14ac:dyDescent="0.3">
      <c r="A211" s="515" t="s">
        <v>713</v>
      </c>
      <c r="B211" s="515" t="s">
        <v>1562</v>
      </c>
      <c r="C211" s="515" t="s">
        <v>1563</v>
      </c>
      <c r="D211" s="515" t="s">
        <v>1539</v>
      </c>
      <c r="E211" s="512"/>
      <c r="F211" s="47"/>
      <c r="G211" s="59"/>
      <c r="H211" s="47"/>
      <c r="I211" s="47"/>
      <c r="J211" s="47"/>
      <c r="AG211" s="47"/>
      <c r="AH211" s="47"/>
      <c r="AL211" s="47"/>
    </row>
    <row r="212" spans="1:38" x14ac:dyDescent="0.3">
      <c r="A212" s="516" t="s">
        <v>713</v>
      </c>
      <c r="B212" s="516" t="s">
        <v>1564</v>
      </c>
      <c r="C212" s="516" t="s">
        <v>1565</v>
      </c>
      <c r="D212" s="516" t="s">
        <v>1542</v>
      </c>
      <c r="E212" s="514"/>
      <c r="F212" s="47"/>
      <c r="G212" s="59"/>
      <c r="H212" s="47"/>
      <c r="I212" s="47"/>
      <c r="J212" s="47"/>
      <c r="AH212" s="47"/>
      <c r="AL212" s="47"/>
    </row>
    <row r="213" spans="1:38" x14ac:dyDescent="0.3">
      <c r="A213" s="515" t="s">
        <v>713</v>
      </c>
      <c r="B213" s="515" t="s">
        <v>1566</v>
      </c>
      <c r="C213" s="515" t="s">
        <v>1567</v>
      </c>
      <c r="D213" s="515" t="s">
        <v>737</v>
      </c>
      <c r="E213" s="512"/>
      <c r="F213" s="47"/>
      <c r="G213" s="59"/>
      <c r="H213" s="47"/>
      <c r="I213" s="47"/>
      <c r="J213" s="47"/>
      <c r="AH213" s="47"/>
      <c r="AL213" s="47"/>
    </row>
    <row r="214" spans="1:38" x14ac:dyDescent="0.3">
      <c r="A214" s="516" t="s">
        <v>713</v>
      </c>
      <c r="B214" s="516" t="s">
        <v>1568</v>
      </c>
      <c r="C214" s="516" t="s">
        <v>1569</v>
      </c>
      <c r="D214" s="516" t="s">
        <v>1542</v>
      </c>
      <c r="E214" s="514"/>
      <c r="F214" s="47"/>
      <c r="G214" s="59"/>
      <c r="H214" s="47"/>
      <c r="I214" s="47"/>
      <c r="J214" s="47"/>
      <c r="AH214" s="47"/>
      <c r="AL214" s="47"/>
    </row>
    <row r="215" spans="1:38" x14ac:dyDescent="0.3">
      <c r="A215" s="515" t="s">
        <v>713</v>
      </c>
      <c r="B215" s="515" t="s">
        <v>1570</v>
      </c>
      <c r="C215" s="515" t="s">
        <v>1571</v>
      </c>
      <c r="D215" s="515" t="s">
        <v>1539</v>
      </c>
      <c r="E215" s="512"/>
      <c r="F215" s="47"/>
      <c r="G215" s="59"/>
      <c r="H215" s="47"/>
      <c r="I215" s="47"/>
      <c r="J215" s="47"/>
      <c r="AL215" s="47"/>
    </row>
    <row r="216" spans="1:38" x14ac:dyDescent="0.3">
      <c r="A216" s="516" t="s">
        <v>713</v>
      </c>
      <c r="B216" s="516" t="s">
        <v>1572</v>
      </c>
      <c r="C216" s="516" t="s">
        <v>1573</v>
      </c>
      <c r="D216" s="516" t="s">
        <v>1574</v>
      </c>
      <c r="E216" s="514"/>
      <c r="F216" s="47"/>
      <c r="G216" s="59"/>
      <c r="H216" s="47"/>
      <c r="I216" s="47"/>
      <c r="J216" s="47"/>
      <c r="AL216" s="47"/>
    </row>
    <row r="217" spans="1:38" x14ac:dyDescent="0.3">
      <c r="A217" s="515" t="s">
        <v>713</v>
      </c>
      <c r="B217" s="515" t="s">
        <v>1575</v>
      </c>
      <c r="C217" s="515" t="s">
        <v>1576</v>
      </c>
      <c r="D217" s="515" t="s">
        <v>716</v>
      </c>
      <c r="E217" s="512"/>
      <c r="F217" s="47"/>
      <c r="G217" s="59"/>
      <c r="H217" s="47"/>
      <c r="I217" s="47"/>
      <c r="J217" s="47"/>
    </row>
    <row r="218" spans="1:38" x14ac:dyDescent="0.3">
      <c r="A218" s="516" t="s">
        <v>713</v>
      </c>
      <c r="B218" s="516" t="s">
        <v>1577</v>
      </c>
      <c r="C218" s="516" t="s">
        <v>1578</v>
      </c>
      <c r="D218" s="516" t="s">
        <v>716</v>
      </c>
      <c r="E218" s="514"/>
      <c r="F218" s="47"/>
      <c r="G218" s="59"/>
      <c r="H218" s="47"/>
      <c r="I218" s="47"/>
      <c r="J218" s="47"/>
    </row>
    <row r="219" spans="1:38" x14ac:dyDescent="0.3">
      <c r="A219" s="515" t="s">
        <v>713</v>
      </c>
      <c r="B219" s="515" t="s">
        <v>1579</v>
      </c>
      <c r="C219" s="515" t="s">
        <v>1580</v>
      </c>
      <c r="D219" s="515" t="s">
        <v>716</v>
      </c>
      <c r="E219" s="512"/>
      <c r="F219" s="47"/>
      <c r="G219" s="59"/>
      <c r="H219" s="47"/>
      <c r="I219" s="47"/>
      <c r="J219" s="47"/>
    </row>
    <row r="220" spans="1:38" x14ac:dyDescent="0.3">
      <c r="A220" s="516" t="s">
        <v>713</v>
      </c>
      <c r="B220" s="516" t="s">
        <v>1581</v>
      </c>
      <c r="C220" s="516" t="s">
        <v>1582</v>
      </c>
      <c r="D220" s="516" t="s">
        <v>1574</v>
      </c>
      <c r="E220" s="514"/>
      <c r="F220" s="47"/>
      <c r="G220" s="59"/>
      <c r="H220" s="47"/>
      <c r="I220" s="47"/>
      <c r="J220" s="47"/>
    </row>
    <row r="221" spans="1:38" x14ac:dyDescent="0.3">
      <c r="A221" s="515" t="s">
        <v>713</v>
      </c>
      <c r="B221" s="515" t="s">
        <v>1583</v>
      </c>
      <c r="C221" s="515" t="s">
        <v>1584</v>
      </c>
      <c r="D221" s="515" t="s">
        <v>737</v>
      </c>
      <c r="E221" s="512"/>
      <c r="F221" s="47"/>
      <c r="G221" s="59"/>
      <c r="H221" s="47"/>
      <c r="I221" s="47"/>
      <c r="J221" s="47"/>
    </row>
    <row r="222" spans="1:38" x14ac:dyDescent="0.3">
      <c r="A222" s="516" t="s">
        <v>713</v>
      </c>
      <c r="B222" s="516" t="s">
        <v>1585</v>
      </c>
      <c r="C222" s="516" t="s">
        <v>1586</v>
      </c>
      <c r="D222" s="516" t="s">
        <v>737</v>
      </c>
      <c r="E222" s="514"/>
      <c r="F222" s="47"/>
      <c r="G222" s="59"/>
      <c r="H222" s="47"/>
      <c r="I222" s="47"/>
      <c r="J222" s="47"/>
    </row>
    <row r="223" spans="1:38" x14ac:dyDescent="0.3">
      <c r="A223" s="515" t="s">
        <v>713</v>
      </c>
      <c r="B223" s="515" t="s">
        <v>1587</v>
      </c>
      <c r="C223" s="515" t="s">
        <v>1588</v>
      </c>
      <c r="D223" s="515" t="s">
        <v>1574</v>
      </c>
      <c r="E223" s="512"/>
      <c r="F223" s="47"/>
      <c r="G223" s="59"/>
      <c r="H223" s="47"/>
      <c r="I223" s="47"/>
      <c r="J223" s="47"/>
    </row>
    <row r="224" spans="1:38" x14ac:dyDescent="0.3">
      <c r="A224" s="516" t="s">
        <v>713</v>
      </c>
      <c r="B224" s="516" t="s">
        <v>1589</v>
      </c>
      <c r="C224" s="516" t="s">
        <v>1590</v>
      </c>
      <c r="D224" s="516" t="s">
        <v>1591</v>
      </c>
      <c r="E224" s="514"/>
      <c r="F224" s="47"/>
      <c r="G224" s="59"/>
      <c r="H224" s="47"/>
      <c r="I224" s="47"/>
      <c r="J224" s="47"/>
    </row>
    <row r="225" spans="1:10" x14ac:dyDescent="0.3">
      <c r="A225" s="515" t="s">
        <v>713</v>
      </c>
      <c r="B225" s="515" t="s">
        <v>1592</v>
      </c>
      <c r="C225" s="515" t="s">
        <v>1593</v>
      </c>
      <c r="D225" s="515" t="s">
        <v>716</v>
      </c>
      <c r="E225" s="512"/>
      <c r="F225" s="47"/>
      <c r="G225" s="59"/>
      <c r="H225" s="47"/>
      <c r="I225" s="47"/>
      <c r="J225" s="47"/>
    </row>
    <row r="226" spans="1:10" x14ac:dyDescent="0.3">
      <c r="A226" s="516" t="s">
        <v>713</v>
      </c>
      <c r="B226" s="516" t="s">
        <v>1594</v>
      </c>
      <c r="C226" s="516" t="s">
        <v>1595</v>
      </c>
      <c r="D226" s="516" t="s">
        <v>716</v>
      </c>
      <c r="E226" s="514"/>
      <c r="F226" s="47"/>
      <c r="G226" s="59"/>
      <c r="H226" s="47"/>
      <c r="I226" s="47"/>
      <c r="J226" s="47"/>
    </row>
    <row r="227" spans="1:10" x14ac:dyDescent="0.3">
      <c r="A227" s="515" t="s">
        <v>713</v>
      </c>
      <c r="B227" s="515" t="s">
        <v>1596</v>
      </c>
      <c r="C227" s="515" t="s">
        <v>1597</v>
      </c>
      <c r="D227" s="515" t="s">
        <v>1574</v>
      </c>
      <c r="E227" s="512"/>
      <c r="F227" s="47"/>
      <c r="G227" s="59"/>
      <c r="H227" s="47"/>
      <c r="I227" s="47"/>
      <c r="J227" s="47"/>
    </row>
    <row r="228" spans="1:10" x14ac:dyDescent="0.3">
      <c r="A228" s="516" t="s">
        <v>713</v>
      </c>
      <c r="B228" s="516" t="s">
        <v>1598</v>
      </c>
      <c r="C228" s="516" t="s">
        <v>1599</v>
      </c>
      <c r="D228" s="516" t="s">
        <v>737</v>
      </c>
      <c r="E228" s="514"/>
      <c r="F228" s="47"/>
      <c r="G228" s="59"/>
      <c r="H228" s="47"/>
      <c r="I228" s="47"/>
      <c r="J228" s="47"/>
    </row>
    <row r="229" spans="1:10" x14ac:dyDescent="0.3">
      <c r="A229" s="515" t="s">
        <v>713</v>
      </c>
      <c r="B229" s="515" t="s">
        <v>1600</v>
      </c>
      <c r="C229" s="515" t="s">
        <v>1601</v>
      </c>
      <c r="D229" s="515" t="s">
        <v>1574</v>
      </c>
      <c r="E229" s="512"/>
      <c r="F229" s="47"/>
      <c r="G229" s="59"/>
      <c r="H229" s="47"/>
      <c r="I229" s="47"/>
      <c r="J229" s="47"/>
    </row>
    <row r="230" spans="1:10" x14ac:dyDescent="0.3">
      <c r="A230" s="516" t="s">
        <v>713</v>
      </c>
      <c r="B230" s="516" t="s">
        <v>1602</v>
      </c>
      <c r="C230" s="516" t="s">
        <v>1603</v>
      </c>
      <c r="D230" s="516" t="s">
        <v>1574</v>
      </c>
      <c r="E230" s="514"/>
      <c r="F230" s="47"/>
      <c r="G230" s="59"/>
      <c r="H230" s="47"/>
      <c r="I230" s="47"/>
      <c r="J230" s="47"/>
    </row>
    <row r="231" spans="1:10" x14ac:dyDescent="0.3">
      <c r="A231" s="515" t="s">
        <v>713</v>
      </c>
      <c r="B231" s="515" t="s">
        <v>1604</v>
      </c>
      <c r="C231" s="515" t="s">
        <v>1605</v>
      </c>
      <c r="D231" s="515" t="s">
        <v>737</v>
      </c>
      <c r="E231" s="512"/>
      <c r="F231" s="47"/>
      <c r="G231" s="59"/>
      <c r="H231" s="47"/>
      <c r="I231" s="47"/>
      <c r="J231" s="47"/>
    </row>
    <row r="232" spans="1:10" x14ac:dyDescent="0.3">
      <c r="A232" s="516" t="s">
        <v>713</v>
      </c>
      <c r="B232" s="516" t="s">
        <v>1606</v>
      </c>
      <c r="C232" s="516" t="s">
        <v>1607</v>
      </c>
      <c r="D232" s="516" t="s">
        <v>1547</v>
      </c>
      <c r="E232" s="514"/>
      <c r="F232" s="47"/>
      <c r="G232" s="59"/>
      <c r="H232" s="47"/>
      <c r="I232" s="47"/>
      <c r="J232" s="47"/>
    </row>
    <row r="233" spans="1:10" x14ac:dyDescent="0.3">
      <c r="A233" s="515" t="s">
        <v>713</v>
      </c>
      <c r="B233" s="515" t="s">
        <v>1608</v>
      </c>
      <c r="C233" s="515" t="s">
        <v>1609</v>
      </c>
      <c r="D233" s="515" t="s">
        <v>1547</v>
      </c>
      <c r="E233" s="512"/>
      <c r="F233" s="47"/>
      <c r="G233" s="59"/>
      <c r="H233" s="47"/>
      <c r="I233" s="47"/>
      <c r="J233" s="47"/>
    </row>
    <row r="234" spans="1:10" x14ac:dyDescent="0.3">
      <c r="A234" s="516" t="s">
        <v>713</v>
      </c>
      <c r="B234" s="516" t="s">
        <v>1610</v>
      </c>
      <c r="C234" s="516" t="s">
        <v>1611</v>
      </c>
      <c r="D234" s="516" t="s">
        <v>1539</v>
      </c>
      <c r="E234" s="514"/>
      <c r="F234" s="47"/>
      <c r="G234" s="59"/>
      <c r="H234" s="47"/>
      <c r="I234" s="47"/>
      <c r="J234" s="47"/>
    </row>
    <row r="235" spans="1:10" x14ac:dyDescent="0.3">
      <c r="A235" s="515" t="s">
        <v>713</v>
      </c>
      <c r="B235" s="515" t="s">
        <v>1612</v>
      </c>
      <c r="C235" s="515" t="s">
        <v>1613</v>
      </c>
      <c r="D235" s="515" t="s">
        <v>1542</v>
      </c>
      <c r="E235" s="512"/>
      <c r="F235" s="47"/>
      <c r="G235" s="59"/>
      <c r="H235" s="47"/>
      <c r="I235" s="47"/>
      <c r="J235" s="47"/>
    </row>
    <row r="236" spans="1:10" x14ac:dyDescent="0.3">
      <c r="A236" s="516" t="s">
        <v>713</v>
      </c>
      <c r="B236" s="516" t="s">
        <v>1614</v>
      </c>
      <c r="C236" s="516" t="s">
        <v>1615</v>
      </c>
      <c r="D236" s="516" t="s">
        <v>1542</v>
      </c>
      <c r="E236" s="514"/>
      <c r="F236" s="47"/>
      <c r="G236" s="59"/>
      <c r="H236" s="47"/>
      <c r="I236" s="47"/>
      <c r="J236" s="47"/>
    </row>
    <row r="237" spans="1:10" x14ac:dyDescent="0.3">
      <c r="A237" s="515" t="s">
        <v>713</v>
      </c>
      <c r="B237" s="515" t="s">
        <v>1616</v>
      </c>
      <c r="C237" s="515" t="s">
        <v>1617</v>
      </c>
      <c r="D237" s="515" t="s">
        <v>1542</v>
      </c>
      <c r="E237" s="512"/>
      <c r="F237" s="47"/>
      <c r="G237" s="59"/>
      <c r="H237" s="47"/>
      <c r="I237" s="47"/>
      <c r="J237" s="47"/>
    </row>
    <row r="238" spans="1:10" x14ac:dyDescent="0.3">
      <c r="A238" s="516" t="s">
        <v>713</v>
      </c>
      <c r="B238" s="516" t="s">
        <v>1618</v>
      </c>
      <c r="C238" s="516" t="s">
        <v>1619</v>
      </c>
      <c r="D238" s="516" t="s">
        <v>1620</v>
      </c>
      <c r="E238" s="514"/>
      <c r="F238" s="47"/>
      <c r="G238" s="59"/>
      <c r="H238" s="47"/>
      <c r="I238" s="47"/>
      <c r="J238" s="47"/>
    </row>
    <row r="239" spans="1:10" x14ac:dyDescent="0.3">
      <c r="A239" s="515" t="s">
        <v>713</v>
      </c>
      <c r="B239" s="515" t="s">
        <v>1513</v>
      </c>
      <c r="C239" s="515" t="s">
        <v>1514</v>
      </c>
      <c r="D239" s="515" t="s">
        <v>1542</v>
      </c>
      <c r="E239" s="512"/>
      <c r="F239" s="47"/>
      <c r="G239" s="59"/>
      <c r="H239" s="47"/>
      <c r="I239" s="47"/>
      <c r="J239" s="47"/>
    </row>
    <row r="240" spans="1:10" x14ac:dyDescent="0.3">
      <c r="A240" s="516" t="s">
        <v>713</v>
      </c>
      <c r="B240" s="516" t="s">
        <v>1621</v>
      </c>
      <c r="C240" s="516" t="s">
        <v>1622</v>
      </c>
      <c r="D240" s="516" t="s">
        <v>1539</v>
      </c>
      <c r="E240" s="514"/>
      <c r="F240" s="47"/>
      <c r="G240" s="59"/>
      <c r="H240" s="47"/>
      <c r="I240" s="47"/>
      <c r="J240" s="47"/>
    </row>
    <row r="241" spans="1:10" x14ac:dyDescent="0.3">
      <c r="A241" s="515" t="s">
        <v>713</v>
      </c>
      <c r="B241" s="515" t="s">
        <v>1623</v>
      </c>
      <c r="C241" s="515" t="s">
        <v>1624</v>
      </c>
      <c r="D241" s="515" t="s">
        <v>1539</v>
      </c>
      <c r="E241" s="512"/>
      <c r="F241" s="47"/>
      <c r="G241" s="59"/>
      <c r="H241" s="47"/>
      <c r="I241" s="47"/>
      <c r="J241" s="47"/>
    </row>
    <row r="242" spans="1:10" x14ac:dyDescent="0.3">
      <c r="A242" s="516" t="s">
        <v>713</v>
      </c>
      <c r="B242" s="516" t="s">
        <v>1625</v>
      </c>
      <c r="C242" s="516" t="s">
        <v>1626</v>
      </c>
      <c r="D242" s="516" t="s">
        <v>1542</v>
      </c>
      <c r="E242" s="514"/>
      <c r="F242" s="47"/>
      <c r="G242" s="59"/>
      <c r="H242" s="47"/>
      <c r="I242" s="47"/>
      <c r="J242" s="47"/>
    </row>
    <row r="243" spans="1:10" x14ac:dyDescent="0.3">
      <c r="A243" s="515" t="s">
        <v>713</v>
      </c>
      <c r="B243" s="515" t="s">
        <v>1627</v>
      </c>
      <c r="C243" s="515" t="s">
        <v>1628</v>
      </c>
      <c r="D243" s="515" t="s">
        <v>716</v>
      </c>
      <c r="E243" s="512"/>
      <c r="F243" s="47"/>
      <c r="G243" s="59"/>
      <c r="H243" s="47"/>
      <c r="I243" s="47"/>
      <c r="J243" s="47"/>
    </row>
    <row r="244" spans="1:10" x14ac:dyDescent="0.3">
      <c r="A244" s="516" t="s">
        <v>713</v>
      </c>
      <c r="B244" s="516" t="s">
        <v>1629</v>
      </c>
      <c r="C244" s="516" t="s">
        <v>1630</v>
      </c>
      <c r="D244" s="516" t="s">
        <v>716</v>
      </c>
      <c r="E244" s="514"/>
      <c r="F244" s="47"/>
      <c r="G244" s="59"/>
      <c r="H244" s="47"/>
      <c r="I244" s="47"/>
      <c r="J244" s="47"/>
    </row>
    <row r="245" spans="1:10" x14ac:dyDescent="0.3">
      <c r="A245" s="515" t="s">
        <v>713</v>
      </c>
      <c r="B245" s="515" t="s">
        <v>1631</v>
      </c>
      <c r="C245" s="515" t="s">
        <v>1632</v>
      </c>
      <c r="D245" s="515" t="s">
        <v>737</v>
      </c>
      <c r="E245" s="512"/>
      <c r="F245" s="47"/>
      <c r="G245" s="59"/>
      <c r="H245" s="47"/>
      <c r="I245" s="47"/>
      <c r="J245" s="47"/>
    </row>
    <row r="246" spans="1:10" x14ac:dyDescent="0.3">
      <c r="A246" s="516" t="s">
        <v>713</v>
      </c>
      <c r="B246" s="516" t="s">
        <v>1633</v>
      </c>
      <c r="C246" s="516" t="s">
        <v>1634</v>
      </c>
      <c r="D246" s="516" t="s">
        <v>737</v>
      </c>
      <c r="E246" s="514"/>
      <c r="F246" s="47"/>
      <c r="G246" s="59"/>
      <c r="H246" s="47"/>
      <c r="I246" s="47"/>
      <c r="J246" s="47"/>
    </row>
    <row r="247" spans="1:10" x14ac:dyDescent="0.3">
      <c r="A247" s="515" t="s">
        <v>713</v>
      </c>
      <c r="B247" s="515" t="s">
        <v>1635</v>
      </c>
      <c r="C247" s="515" t="s">
        <v>1636</v>
      </c>
      <c r="D247" s="515" t="s">
        <v>1539</v>
      </c>
      <c r="E247" s="512"/>
      <c r="F247" s="47"/>
      <c r="G247" s="59"/>
      <c r="H247" s="47"/>
      <c r="I247" s="47"/>
      <c r="J247" s="47"/>
    </row>
    <row r="248" spans="1:10" x14ac:dyDescent="0.3">
      <c r="A248" s="516" t="s">
        <v>713</v>
      </c>
      <c r="B248" s="516" t="s">
        <v>1637</v>
      </c>
      <c r="C248" s="516" t="s">
        <v>1638</v>
      </c>
      <c r="D248" s="516" t="s">
        <v>1591</v>
      </c>
      <c r="E248" s="514"/>
      <c r="F248" s="47"/>
      <c r="G248" s="59"/>
      <c r="H248" s="47"/>
      <c r="I248" s="47"/>
      <c r="J248" s="47"/>
    </row>
    <row r="249" spans="1:10" x14ac:dyDescent="0.3">
      <c r="A249" s="515" t="s">
        <v>713</v>
      </c>
      <c r="B249" s="515" t="s">
        <v>1639</v>
      </c>
      <c r="C249" s="515" t="s">
        <v>1640</v>
      </c>
      <c r="D249" s="515" t="s">
        <v>1539</v>
      </c>
      <c r="E249" s="512"/>
      <c r="F249" s="47"/>
      <c r="G249" s="59"/>
      <c r="H249" s="47"/>
      <c r="I249" s="47"/>
      <c r="J249" s="47"/>
    </row>
    <row r="250" spans="1:10" x14ac:dyDescent="0.3">
      <c r="A250" s="516" t="s">
        <v>713</v>
      </c>
      <c r="B250" s="516" t="s">
        <v>1641</v>
      </c>
      <c r="C250" s="516" t="s">
        <v>1642</v>
      </c>
      <c r="D250" s="516" t="s">
        <v>737</v>
      </c>
      <c r="E250" s="514"/>
      <c r="F250" s="47"/>
      <c r="G250" s="59"/>
      <c r="H250" s="47"/>
      <c r="I250" s="47"/>
      <c r="J250" s="47"/>
    </row>
    <row r="251" spans="1:10" x14ac:dyDescent="0.3">
      <c r="A251" s="515" t="s">
        <v>713</v>
      </c>
      <c r="B251" s="515" t="s">
        <v>1643</v>
      </c>
      <c r="C251" s="515" t="s">
        <v>1644</v>
      </c>
      <c r="D251" s="515" t="s">
        <v>1574</v>
      </c>
      <c r="E251" s="512"/>
      <c r="F251" s="47"/>
      <c r="G251" s="59"/>
      <c r="H251" s="47"/>
      <c r="I251" s="47"/>
      <c r="J251" s="47"/>
    </row>
    <row r="252" spans="1:10" x14ac:dyDescent="0.3">
      <c r="A252" s="516" t="s">
        <v>713</v>
      </c>
      <c r="B252" s="516" t="s">
        <v>1645</v>
      </c>
      <c r="C252" s="516" t="s">
        <v>1646</v>
      </c>
      <c r="D252" s="516" t="s">
        <v>1539</v>
      </c>
      <c r="E252" s="514"/>
      <c r="F252" s="47"/>
      <c r="G252" s="59"/>
      <c r="H252" s="47"/>
      <c r="I252" s="47"/>
      <c r="J252" s="47"/>
    </row>
    <row r="253" spans="1:10" x14ac:dyDescent="0.3">
      <c r="A253" s="515" t="s">
        <v>713</v>
      </c>
      <c r="B253" s="515" t="s">
        <v>1647</v>
      </c>
      <c r="C253" s="515" t="s">
        <v>1648</v>
      </c>
      <c r="D253" s="515" t="s">
        <v>737</v>
      </c>
      <c r="E253" s="512"/>
      <c r="F253" s="47"/>
      <c r="G253" s="59"/>
      <c r="H253" s="47"/>
      <c r="I253" s="47"/>
      <c r="J253" s="47"/>
    </row>
    <row r="254" spans="1:10" x14ac:dyDescent="0.3">
      <c r="A254" s="516" t="s">
        <v>713</v>
      </c>
      <c r="B254" s="516" t="s">
        <v>1649</v>
      </c>
      <c r="C254" s="516" t="s">
        <v>1650</v>
      </c>
      <c r="D254" s="516" t="s">
        <v>716</v>
      </c>
      <c r="E254" s="514"/>
      <c r="F254" s="47"/>
      <c r="G254" s="59"/>
      <c r="H254" s="47"/>
      <c r="I254" s="47"/>
      <c r="J254" s="47"/>
    </row>
    <row r="255" spans="1:10" x14ac:dyDescent="0.3">
      <c r="A255" s="515" t="s">
        <v>713</v>
      </c>
      <c r="B255" s="515" t="s">
        <v>1651</v>
      </c>
      <c r="C255" s="515" t="s">
        <v>1652</v>
      </c>
      <c r="D255" s="515" t="s">
        <v>737</v>
      </c>
      <c r="E255" s="512"/>
      <c r="F255" s="47"/>
      <c r="G255" s="59"/>
      <c r="H255" s="47"/>
      <c r="I255" s="47"/>
      <c r="J255" s="47"/>
    </row>
    <row r="256" spans="1:10" x14ac:dyDescent="0.3">
      <c r="A256" s="516" t="s">
        <v>713</v>
      </c>
      <c r="B256" s="516" t="s">
        <v>1653</v>
      </c>
      <c r="C256" s="516" t="s">
        <v>1654</v>
      </c>
      <c r="D256" s="516" t="s">
        <v>737</v>
      </c>
      <c r="E256" s="514"/>
      <c r="F256" s="47"/>
      <c r="G256" s="59"/>
      <c r="H256" s="47"/>
      <c r="I256" s="47"/>
      <c r="J256" s="47"/>
    </row>
    <row r="257" spans="1:10" x14ac:dyDescent="0.3">
      <c r="A257" s="515" t="s">
        <v>713</v>
      </c>
      <c r="B257" s="515" t="s">
        <v>1655</v>
      </c>
      <c r="C257" s="515" t="s">
        <v>1656</v>
      </c>
      <c r="D257" s="515" t="s">
        <v>737</v>
      </c>
      <c r="E257" s="512"/>
      <c r="F257" s="47"/>
      <c r="G257" s="59"/>
      <c r="H257" s="47"/>
      <c r="I257" s="47"/>
      <c r="J257" s="47"/>
    </row>
    <row r="258" spans="1:10" x14ac:dyDescent="0.3">
      <c r="A258" s="516" t="s">
        <v>713</v>
      </c>
      <c r="B258" s="516" t="s">
        <v>1657</v>
      </c>
      <c r="C258" s="516" t="s">
        <v>1658</v>
      </c>
      <c r="D258" s="516" t="s">
        <v>1659</v>
      </c>
      <c r="E258" s="514"/>
      <c r="F258" s="47"/>
      <c r="G258" s="59"/>
      <c r="H258" s="47"/>
      <c r="I258" s="47"/>
      <c r="J258" s="47"/>
    </row>
    <row r="259" spans="1:10" x14ac:dyDescent="0.3">
      <c r="A259" s="515" t="s">
        <v>713</v>
      </c>
      <c r="B259" s="515" t="s">
        <v>1660</v>
      </c>
      <c r="C259" s="515" t="s">
        <v>1661</v>
      </c>
      <c r="D259" s="515" t="s">
        <v>737</v>
      </c>
      <c r="E259" s="512"/>
      <c r="F259" s="47"/>
      <c r="G259" s="59"/>
      <c r="H259" s="47"/>
      <c r="I259" s="47"/>
      <c r="J259" s="47"/>
    </row>
    <row r="260" spans="1:10" x14ac:dyDescent="0.3">
      <c r="A260" s="516" t="s">
        <v>1662</v>
      </c>
      <c r="B260" s="516" t="s">
        <v>1663</v>
      </c>
      <c r="C260" s="516" t="s">
        <v>1664</v>
      </c>
      <c r="D260" s="516" t="s">
        <v>1665</v>
      </c>
      <c r="E260" s="514"/>
      <c r="F260" s="47"/>
      <c r="G260" s="59"/>
      <c r="H260" s="47"/>
      <c r="I260" s="47"/>
      <c r="J260" s="47"/>
    </row>
    <row r="261" spans="1:10" x14ac:dyDescent="0.3">
      <c r="A261" s="515" t="s">
        <v>713</v>
      </c>
      <c r="B261" s="515" t="s">
        <v>1666</v>
      </c>
      <c r="C261" s="515" t="s">
        <v>1667</v>
      </c>
      <c r="D261" s="515" t="s">
        <v>1659</v>
      </c>
      <c r="E261" s="512"/>
      <c r="F261" s="47"/>
      <c r="G261" s="59"/>
      <c r="H261" s="47"/>
      <c r="I261" s="47"/>
      <c r="J261" s="47"/>
    </row>
    <row r="262" spans="1:10" x14ac:dyDescent="0.3">
      <c r="A262" s="516" t="s">
        <v>713</v>
      </c>
      <c r="B262" s="516" t="s">
        <v>1668</v>
      </c>
      <c r="C262" s="516" t="s">
        <v>1669</v>
      </c>
      <c r="D262" s="516" t="s">
        <v>737</v>
      </c>
      <c r="E262" s="514"/>
      <c r="F262" s="47"/>
      <c r="G262" s="59"/>
      <c r="H262" s="47"/>
      <c r="I262" s="47"/>
      <c r="J262" s="47"/>
    </row>
    <row r="263" spans="1:10" x14ac:dyDescent="0.3">
      <c r="A263" s="515" t="s">
        <v>713</v>
      </c>
      <c r="B263" s="515" t="s">
        <v>1670</v>
      </c>
      <c r="C263" s="515" t="s">
        <v>1671</v>
      </c>
      <c r="D263" s="515" t="s">
        <v>716</v>
      </c>
      <c r="E263" s="512"/>
      <c r="F263" s="47"/>
      <c r="G263" s="59"/>
      <c r="H263" s="47"/>
      <c r="I263" s="47"/>
      <c r="J263" s="47"/>
    </row>
    <row r="264" spans="1:10" x14ac:dyDescent="0.3">
      <c r="A264" s="516" t="s">
        <v>713</v>
      </c>
      <c r="B264" s="516" t="s">
        <v>1672</v>
      </c>
      <c r="C264" s="516" t="s">
        <v>1673</v>
      </c>
      <c r="D264" s="516" t="s">
        <v>1542</v>
      </c>
      <c r="E264" s="514"/>
      <c r="F264" s="47"/>
      <c r="G264" s="59"/>
      <c r="H264" s="47"/>
      <c r="I264" s="47"/>
      <c r="J264" s="47"/>
    </row>
    <row r="265" spans="1:10" ht="21" x14ac:dyDescent="0.3">
      <c r="A265" s="113"/>
      <c r="B265" s="113"/>
      <c r="C265" s="113"/>
      <c r="D265" s="113"/>
      <c r="E265" s="341">
        <f>(COUNTIF(E197:E264,"Sim")/(COUNTA(B197:B264)))</f>
        <v>0</v>
      </c>
      <c r="F265" s="47"/>
      <c r="G265" s="59"/>
      <c r="H265" s="47"/>
      <c r="I265" s="47"/>
      <c r="J265" s="47"/>
    </row>
    <row r="382" spans="1:6" ht="15.6" x14ac:dyDescent="0.3">
      <c r="A382" s="2133" t="s">
        <v>572</v>
      </c>
      <c r="B382" s="2133"/>
      <c r="C382" s="2133"/>
      <c r="D382" s="99" t="s">
        <v>573</v>
      </c>
      <c r="E382" s="99" t="s">
        <v>78</v>
      </c>
      <c r="F382" s="99" t="s">
        <v>79</v>
      </c>
    </row>
    <row r="383" spans="1:6" x14ac:dyDescent="0.3">
      <c r="A383" s="112" t="s">
        <v>871</v>
      </c>
      <c r="B383" s="112" t="s">
        <v>872</v>
      </c>
      <c r="C383" s="310"/>
      <c r="D383" s="320">
        <v>1</v>
      </c>
      <c r="E383" s="109" t="s">
        <v>308</v>
      </c>
      <c r="F383" s="108" t="s">
        <v>873</v>
      </c>
    </row>
    <row r="384" spans="1:6" x14ac:dyDescent="0.3">
      <c r="A384" s="321" t="s">
        <v>871</v>
      </c>
      <c r="B384" s="322" t="s">
        <v>874</v>
      </c>
      <c r="C384" s="323"/>
      <c r="D384" s="324">
        <v>1</v>
      </c>
      <c r="E384" s="106" t="s">
        <v>308</v>
      </c>
      <c r="F384" s="105" t="s">
        <v>308</v>
      </c>
    </row>
    <row r="385" spans="1:6" x14ac:dyDescent="0.3">
      <c r="A385" s="112" t="s">
        <v>871</v>
      </c>
      <c r="B385" s="112" t="s">
        <v>875</v>
      </c>
      <c r="C385" s="310"/>
      <c r="D385" s="320">
        <v>1</v>
      </c>
      <c r="E385" s="109" t="s">
        <v>308</v>
      </c>
      <c r="F385" s="343" t="s">
        <v>873</v>
      </c>
    </row>
    <row r="386" spans="1:6" x14ac:dyDescent="0.3">
      <c r="A386" s="321" t="s">
        <v>871</v>
      </c>
      <c r="B386" s="322" t="s">
        <v>876</v>
      </c>
      <c r="C386" s="323"/>
      <c r="D386" s="324">
        <v>1</v>
      </c>
      <c r="E386" s="106" t="s">
        <v>308</v>
      </c>
      <c r="F386" s="105" t="s">
        <v>873</v>
      </c>
    </row>
    <row r="387" spans="1:6" x14ac:dyDescent="0.3">
      <c r="A387" s="112" t="s">
        <v>871</v>
      </c>
      <c r="B387" s="112" t="s">
        <v>877</v>
      </c>
      <c r="C387" s="310"/>
      <c r="D387" s="320">
        <v>1</v>
      </c>
      <c r="E387" s="109" t="s">
        <v>308</v>
      </c>
      <c r="F387" s="108" t="s">
        <v>873</v>
      </c>
    </row>
    <row r="388" spans="1:6" x14ac:dyDescent="0.3">
      <c r="A388" s="321" t="s">
        <v>878</v>
      </c>
      <c r="B388" s="322" t="s">
        <v>879</v>
      </c>
      <c r="C388" s="323"/>
      <c r="D388" s="324">
        <v>1</v>
      </c>
      <c r="E388" s="106" t="s">
        <v>308</v>
      </c>
      <c r="F388" s="105" t="s">
        <v>873</v>
      </c>
    </row>
    <row r="389" spans="1:6" x14ac:dyDescent="0.3">
      <c r="A389" s="112" t="s">
        <v>878</v>
      </c>
      <c r="B389" s="112" t="s">
        <v>880</v>
      </c>
      <c r="C389" s="310"/>
      <c r="D389" s="320">
        <v>1</v>
      </c>
      <c r="E389" s="109" t="s">
        <v>308</v>
      </c>
      <c r="F389" s="108" t="s">
        <v>873</v>
      </c>
    </row>
    <row r="390" spans="1:6" x14ac:dyDescent="0.3">
      <c r="A390" s="321" t="s">
        <v>878</v>
      </c>
      <c r="B390" s="322" t="s">
        <v>881</v>
      </c>
      <c r="C390" s="323"/>
      <c r="D390" s="324">
        <v>1</v>
      </c>
      <c r="E390" s="106" t="s">
        <v>308</v>
      </c>
      <c r="F390" s="105" t="s">
        <v>873</v>
      </c>
    </row>
    <row r="391" spans="1:6" x14ac:dyDescent="0.3">
      <c r="A391" s="112" t="s">
        <v>878</v>
      </c>
      <c r="B391" s="112" t="s">
        <v>882</v>
      </c>
      <c r="C391" s="310"/>
      <c r="D391" s="320">
        <v>1</v>
      </c>
      <c r="E391" s="109" t="s">
        <v>308</v>
      </c>
      <c r="F391" s="108" t="s">
        <v>873</v>
      </c>
    </row>
    <row r="392" spans="1:6" x14ac:dyDescent="0.3">
      <c r="A392" s="321" t="s">
        <v>878</v>
      </c>
      <c r="B392" s="322" t="s">
        <v>883</v>
      </c>
      <c r="C392" s="323"/>
      <c r="D392" s="324">
        <v>1</v>
      </c>
      <c r="E392" s="106" t="s">
        <v>873</v>
      </c>
      <c r="F392" s="105" t="s">
        <v>873</v>
      </c>
    </row>
    <row r="393" spans="1:6" x14ac:dyDescent="0.3">
      <c r="A393" s="112" t="s">
        <v>884</v>
      </c>
      <c r="B393" s="112" t="s">
        <v>885</v>
      </c>
      <c r="C393" s="310"/>
      <c r="D393" s="320">
        <v>1</v>
      </c>
      <c r="E393" s="109" t="s">
        <v>308</v>
      </c>
      <c r="F393" s="108" t="s">
        <v>308</v>
      </c>
    </row>
    <row r="394" spans="1:6" x14ac:dyDescent="0.3">
      <c r="A394" s="321" t="s">
        <v>884</v>
      </c>
      <c r="B394" s="322" t="s">
        <v>886</v>
      </c>
      <c r="C394" s="323"/>
      <c r="D394" s="324">
        <v>1</v>
      </c>
      <c r="E394" s="106" t="s">
        <v>308</v>
      </c>
      <c r="F394" s="105" t="s">
        <v>308</v>
      </c>
    </row>
    <row r="395" spans="1:6" x14ac:dyDescent="0.3">
      <c r="A395" s="112" t="s">
        <v>884</v>
      </c>
      <c r="B395" s="112" t="s">
        <v>887</v>
      </c>
      <c r="C395" s="310"/>
      <c r="D395" s="320">
        <v>1</v>
      </c>
      <c r="E395" s="109" t="s">
        <v>308</v>
      </c>
      <c r="F395" s="108" t="s">
        <v>308</v>
      </c>
    </row>
    <row r="396" spans="1:6" x14ac:dyDescent="0.3">
      <c r="A396" s="321" t="s">
        <v>884</v>
      </c>
      <c r="B396" s="322" t="s">
        <v>888</v>
      </c>
      <c r="C396" s="323"/>
      <c r="D396" s="324">
        <v>1</v>
      </c>
      <c r="E396" s="106" t="s">
        <v>308</v>
      </c>
      <c r="F396" s="105" t="s">
        <v>873</v>
      </c>
    </row>
    <row r="397" spans="1:6" x14ac:dyDescent="0.3">
      <c r="A397" s="112" t="s">
        <v>884</v>
      </c>
      <c r="B397" s="112" t="s">
        <v>889</v>
      </c>
      <c r="D397" s="320">
        <v>1</v>
      </c>
      <c r="E397" s="109" t="s">
        <v>873</v>
      </c>
      <c r="F397" s="108" t="s">
        <v>873</v>
      </c>
    </row>
    <row r="398" spans="1:6" x14ac:dyDescent="0.3">
      <c r="A398" s="321" t="s">
        <v>884</v>
      </c>
      <c r="B398" s="322" t="s">
        <v>890</v>
      </c>
      <c r="C398" s="310"/>
      <c r="D398" s="324">
        <v>1</v>
      </c>
      <c r="E398" s="106" t="s">
        <v>873</v>
      </c>
      <c r="F398" s="105" t="s">
        <v>873</v>
      </c>
    </row>
    <row r="399" spans="1:6" x14ac:dyDescent="0.3">
      <c r="A399" s="112" t="s">
        <v>884</v>
      </c>
      <c r="B399" s="112" t="s">
        <v>891</v>
      </c>
      <c r="C399" s="310"/>
      <c r="D399" s="320">
        <v>1</v>
      </c>
      <c r="E399" s="109" t="s">
        <v>873</v>
      </c>
      <c r="F399" s="108" t="s">
        <v>873</v>
      </c>
    </row>
    <row r="400" spans="1:6" x14ac:dyDescent="0.3">
      <c r="A400" s="321" t="s">
        <v>892</v>
      </c>
      <c r="B400" s="322" t="s">
        <v>893</v>
      </c>
      <c r="C400" s="323"/>
      <c r="D400" s="324">
        <v>1</v>
      </c>
      <c r="E400" s="106" t="s">
        <v>308</v>
      </c>
      <c r="F400" s="105" t="s">
        <v>308</v>
      </c>
    </row>
    <row r="401" spans="1:6" x14ac:dyDescent="0.3">
      <c r="A401" s="112" t="s">
        <v>892</v>
      </c>
      <c r="B401" s="112" t="s">
        <v>894</v>
      </c>
      <c r="C401" s="310"/>
      <c r="D401" s="320">
        <v>1</v>
      </c>
      <c r="E401" s="109" t="s">
        <v>308</v>
      </c>
      <c r="F401" s="108" t="s">
        <v>873</v>
      </c>
    </row>
    <row r="402" spans="1:6" x14ac:dyDescent="0.3">
      <c r="A402" s="321" t="s">
        <v>892</v>
      </c>
      <c r="B402" s="322" t="s">
        <v>895</v>
      </c>
      <c r="C402" s="323"/>
      <c r="D402" s="324">
        <v>1</v>
      </c>
      <c r="E402" s="106" t="s">
        <v>308</v>
      </c>
      <c r="F402" s="105" t="s">
        <v>873</v>
      </c>
    </row>
    <row r="403" spans="1:6" x14ac:dyDescent="0.3">
      <c r="A403" s="112" t="s">
        <v>892</v>
      </c>
      <c r="B403" s="112" t="s">
        <v>896</v>
      </c>
      <c r="C403" s="310"/>
      <c r="D403" s="320">
        <v>1</v>
      </c>
      <c r="E403" s="109" t="s">
        <v>308</v>
      </c>
      <c r="F403" s="108" t="s">
        <v>873</v>
      </c>
    </row>
    <row r="404" spans="1:6" x14ac:dyDescent="0.3">
      <c r="A404" s="321" t="s">
        <v>892</v>
      </c>
      <c r="B404" s="322" t="s">
        <v>897</v>
      </c>
      <c r="C404" s="323"/>
      <c r="D404" s="324">
        <v>1</v>
      </c>
      <c r="E404" s="106" t="s">
        <v>308</v>
      </c>
      <c r="F404" s="105" t="s">
        <v>873</v>
      </c>
    </row>
    <row r="405" spans="1:6" x14ac:dyDescent="0.3">
      <c r="A405" s="112" t="s">
        <v>892</v>
      </c>
      <c r="B405" s="112" t="s">
        <v>898</v>
      </c>
      <c r="C405" s="310"/>
      <c r="D405" s="320">
        <v>1</v>
      </c>
      <c r="E405" s="109" t="s">
        <v>308</v>
      </c>
      <c r="F405" s="108" t="s">
        <v>873</v>
      </c>
    </row>
    <row r="406" spans="1:6" x14ac:dyDescent="0.3">
      <c r="A406" s="321" t="s">
        <v>892</v>
      </c>
      <c r="B406" s="322" t="s">
        <v>899</v>
      </c>
      <c r="C406" s="310"/>
      <c r="D406" s="324">
        <v>1</v>
      </c>
      <c r="E406" s="106" t="s">
        <v>308</v>
      </c>
      <c r="F406" s="105" t="s">
        <v>873</v>
      </c>
    </row>
    <row r="407" spans="1:6" x14ac:dyDescent="0.3">
      <c r="A407" s="112" t="s">
        <v>892</v>
      </c>
      <c r="B407" s="112" t="s">
        <v>900</v>
      </c>
      <c r="D407" s="320">
        <v>1</v>
      </c>
      <c r="E407" s="109" t="s">
        <v>873</v>
      </c>
      <c r="F407" s="340" t="s">
        <v>873</v>
      </c>
    </row>
    <row r="408" spans="1:6" x14ac:dyDescent="0.3">
      <c r="A408" s="321" t="s">
        <v>892</v>
      </c>
      <c r="B408" s="322" t="s">
        <v>901</v>
      </c>
      <c r="C408" s="323"/>
      <c r="D408" s="324">
        <v>1</v>
      </c>
      <c r="E408" s="106" t="s">
        <v>873</v>
      </c>
      <c r="F408" s="105" t="s">
        <v>873</v>
      </c>
    </row>
    <row r="409" spans="1:6" x14ac:dyDescent="0.3">
      <c r="A409" s="112" t="s">
        <v>892</v>
      </c>
      <c r="B409" s="112" t="s">
        <v>902</v>
      </c>
      <c r="C409" s="310"/>
      <c r="D409" s="320">
        <v>1</v>
      </c>
      <c r="E409" s="109" t="s">
        <v>308</v>
      </c>
      <c r="F409" s="108" t="s">
        <v>873</v>
      </c>
    </row>
    <row r="410" spans="1:6" x14ac:dyDescent="0.3">
      <c r="A410" s="321" t="s">
        <v>892</v>
      </c>
      <c r="B410" s="322" t="s">
        <v>903</v>
      </c>
      <c r="C410" s="323"/>
      <c r="D410" s="324">
        <v>1</v>
      </c>
      <c r="E410" s="106" t="s">
        <v>873</v>
      </c>
      <c r="F410" s="105" t="s">
        <v>873</v>
      </c>
    </row>
    <row r="411" spans="1:6" x14ac:dyDescent="0.3">
      <c r="A411" s="112" t="s">
        <v>892</v>
      </c>
      <c r="B411" s="112" t="s">
        <v>904</v>
      </c>
      <c r="C411" s="310"/>
      <c r="D411" s="320">
        <v>1</v>
      </c>
      <c r="E411" s="109" t="s">
        <v>873</v>
      </c>
      <c r="F411" s="108" t="s">
        <v>873</v>
      </c>
    </row>
    <row r="412" spans="1:6" x14ac:dyDescent="0.3">
      <c r="A412" s="321" t="s">
        <v>892</v>
      </c>
      <c r="B412" s="322" t="s">
        <v>905</v>
      </c>
      <c r="C412" s="323"/>
      <c r="D412" s="324">
        <v>1</v>
      </c>
      <c r="E412" s="106" t="s">
        <v>873</v>
      </c>
      <c r="F412" s="105" t="s">
        <v>873</v>
      </c>
    </row>
    <row r="413" spans="1:6" x14ac:dyDescent="0.3">
      <c r="A413" s="112" t="s">
        <v>892</v>
      </c>
      <c r="B413" s="112" t="s">
        <v>906</v>
      </c>
      <c r="C413" s="310"/>
      <c r="D413" s="320">
        <v>1</v>
      </c>
      <c r="E413" s="109" t="s">
        <v>873</v>
      </c>
      <c r="F413" s="108" t="s">
        <v>873</v>
      </c>
    </row>
    <row r="414" spans="1:6" x14ac:dyDescent="0.3">
      <c r="A414" s="321" t="s">
        <v>884</v>
      </c>
      <c r="B414" s="322" t="s">
        <v>907</v>
      </c>
      <c r="C414" s="323"/>
      <c r="D414" s="324">
        <v>2</v>
      </c>
      <c r="E414" s="106" t="s">
        <v>308</v>
      </c>
      <c r="F414" s="105" t="s">
        <v>308</v>
      </c>
    </row>
    <row r="415" spans="1:6" x14ac:dyDescent="0.3">
      <c r="A415" s="112" t="s">
        <v>884</v>
      </c>
      <c r="B415" s="112" t="s">
        <v>908</v>
      </c>
      <c r="C415" s="310"/>
      <c r="D415" s="320">
        <v>2</v>
      </c>
      <c r="E415" s="109" t="s">
        <v>308</v>
      </c>
      <c r="F415" s="108" t="s">
        <v>308</v>
      </c>
    </row>
    <row r="416" spans="1:6" x14ac:dyDescent="0.3">
      <c r="A416" s="321" t="s">
        <v>884</v>
      </c>
      <c r="B416" s="322" t="s">
        <v>909</v>
      </c>
      <c r="C416" s="323"/>
      <c r="D416" s="324">
        <v>2</v>
      </c>
      <c r="E416" s="106" t="s">
        <v>308</v>
      </c>
      <c r="F416" s="105" t="s">
        <v>308</v>
      </c>
    </row>
    <row r="417" spans="1:6" x14ac:dyDescent="0.3">
      <c r="A417" s="112" t="s">
        <v>884</v>
      </c>
      <c r="B417" s="112" t="s">
        <v>910</v>
      </c>
      <c r="C417" s="310"/>
      <c r="D417" s="320">
        <v>2</v>
      </c>
      <c r="E417" s="109" t="s">
        <v>873</v>
      </c>
      <c r="F417" s="340" t="s">
        <v>873</v>
      </c>
    </row>
    <row r="418" spans="1:6" x14ac:dyDescent="0.3">
      <c r="A418" s="321" t="s">
        <v>884</v>
      </c>
      <c r="B418" s="322" t="s">
        <v>911</v>
      </c>
      <c r="C418" s="323"/>
      <c r="D418" s="324">
        <v>2</v>
      </c>
      <c r="E418" s="106" t="s">
        <v>308</v>
      </c>
      <c r="F418" s="105" t="s">
        <v>873</v>
      </c>
    </row>
    <row r="419" spans="1:6" x14ac:dyDescent="0.3">
      <c r="A419" s="112" t="s">
        <v>892</v>
      </c>
      <c r="B419" s="112" t="s">
        <v>912</v>
      </c>
      <c r="C419" s="310"/>
      <c r="D419" s="320">
        <v>2</v>
      </c>
      <c r="E419" s="109" t="s">
        <v>873</v>
      </c>
      <c r="F419" s="108" t="s">
        <v>873</v>
      </c>
    </row>
    <row r="420" spans="1:6" x14ac:dyDescent="0.3">
      <c r="A420" s="321" t="s">
        <v>892</v>
      </c>
      <c r="B420" s="322" t="s">
        <v>913</v>
      </c>
      <c r="C420" s="323"/>
      <c r="D420" s="324">
        <v>2</v>
      </c>
      <c r="E420" s="106" t="s">
        <v>308</v>
      </c>
      <c r="F420" s="105" t="s">
        <v>873</v>
      </c>
    </row>
    <row r="421" spans="1:6" x14ac:dyDescent="0.3">
      <c r="A421" s="112" t="s">
        <v>892</v>
      </c>
      <c r="B421" s="112" t="s">
        <v>914</v>
      </c>
      <c r="C421" s="310"/>
      <c r="D421" s="320">
        <v>2</v>
      </c>
      <c r="E421" s="109" t="s">
        <v>308</v>
      </c>
      <c r="F421" s="108" t="s">
        <v>873</v>
      </c>
    </row>
    <row r="422" spans="1:6" x14ac:dyDescent="0.3">
      <c r="A422" s="321" t="s">
        <v>892</v>
      </c>
      <c r="B422" s="322" t="s">
        <v>915</v>
      </c>
      <c r="C422" s="323"/>
      <c r="D422" s="324">
        <v>2</v>
      </c>
      <c r="E422" s="106" t="s">
        <v>308</v>
      </c>
      <c r="F422" s="105" t="s">
        <v>873</v>
      </c>
    </row>
    <row r="423" spans="1:6" x14ac:dyDescent="0.3">
      <c r="A423" s="112" t="s">
        <v>892</v>
      </c>
      <c r="B423" s="112" t="s">
        <v>916</v>
      </c>
      <c r="C423" s="310"/>
      <c r="D423" s="320">
        <v>2</v>
      </c>
      <c r="E423" s="109" t="s">
        <v>873</v>
      </c>
      <c r="F423" s="108" t="s">
        <v>873</v>
      </c>
    </row>
    <row r="424" spans="1:6" x14ac:dyDescent="0.3">
      <c r="A424" s="321" t="s">
        <v>892</v>
      </c>
      <c r="B424" s="322" t="s">
        <v>917</v>
      </c>
      <c r="C424" s="323"/>
      <c r="D424" s="324">
        <v>2</v>
      </c>
      <c r="E424" s="106" t="s">
        <v>308</v>
      </c>
      <c r="F424" s="105" t="s">
        <v>308</v>
      </c>
    </row>
    <row r="425" spans="1:6" x14ac:dyDescent="0.3">
      <c r="A425" s="112" t="s">
        <v>884</v>
      </c>
      <c r="B425" s="112" t="s">
        <v>918</v>
      </c>
      <c r="C425" s="310"/>
      <c r="D425" s="320">
        <v>3</v>
      </c>
      <c r="E425" s="109" t="s">
        <v>308</v>
      </c>
      <c r="F425" s="108" t="s">
        <v>873</v>
      </c>
    </row>
    <row r="426" spans="1:6" x14ac:dyDescent="0.3">
      <c r="A426" s="321" t="s">
        <v>884</v>
      </c>
      <c r="B426" s="322" t="s">
        <v>919</v>
      </c>
      <c r="C426" s="323"/>
      <c r="D426" s="324">
        <v>3</v>
      </c>
      <c r="E426" s="106" t="s">
        <v>308</v>
      </c>
      <c r="F426" s="105" t="s">
        <v>308</v>
      </c>
    </row>
    <row r="427" spans="1:6" x14ac:dyDescent="0.3">
      <c r="A427" s="112" t="s">
        <v>892</v>
      </c>
      <c r="B427" s="112" t="s">
        <v>920</v>
      </c>
      <c r="C427" s="310"/>
      <c r="D427" s="320">
        <v>3</v>
      </c>
      <c r="E427" s="109" t="s">
        <v>308</v>
      </c>
      <c r="F427" s="108" t="s">
        <v>308</v>
      </c>
    </row>
    <row r="428" spans="1:6" x14ac:dyDescent="0.3">
      <c r="A428" s="112" t="s">
        <v>892</v>
      </c>
      <c r="B428" s="112" t="s">
        <v>1388</v>
      </c>
      <c r="C428" s="310"/>
      <c r="D428" s="320">
        <v>3</v>
      </c>
      <c r="E428" s="109" t="s">
        <v>873</v>
      </c>
      <c r="F428" s="108" t="s">
        <v>873</v>
      </c>
    </row>
    <row r="429" spans="1:6" x14ac:dyDescent="0.3">
      <c r="A429" s="321" t="s">
        <v>892</v>
      </c>
      <c r="B429" s="322" t="s">
        <v>922</v>
      </c>
      <c r="C429" s="323"/>
      <c r="D429" s="324">
        <v>3</v>
      </c>
      <c r="E429" s="106" t="s">
        <v>873</v>
      </c>
      <c r="F429" s="105" t="s">
        <v>873</v>
      </c>
    </row>
    <row r="430" spans="1:6" ht="21" x14ac:dyDescent="0.3">
      <c r="A430" s="1386"/>
      <c r="B430" s="1386"/>
      <c r="C430" s="1386"/>
      <c r="D430" s="101"/>
      <c r="E430" s="113">
        <f>(COUNTIF(E383:E429,"OK")+COUNTIF(E383:E429,"N/A"))/47</f>
        <v>0.68085106382978722</v>
      </c>
      <c r="F430" s="113">
        <f>(COUNTIF(F383:F429,"OK")+COUNTIF(F383:F429,"N/A"))/47</f>
        <v>0.23404255319148937</v>
      </c>
    </row>
  </sheetData>
  <sheetProtection formatCells="0" formatColumns="0" formatRows="0" insertHyperlinks="0" selectLockedCells="1"/>
  <autoFilter ref="A54:AP430" xr:uid="{0EA77265-C537-4C9F-8E83-DFC36F6B4475}"/>
  <mergeCells count="1079">
    <mergeCell ref="AV115:AV116"/>
    <mergeCell ref="AU81:AU82"/>
    <mergeCell ref="AV81:AV82"/>
    <mergeCell ref="AU83:AU84"/>
    <mergeCell ref="AV83:AV84"/>
    <mergeCell ref="AU85:AU86"/>
    <mergeCell ref="AV85:AV86"/>
    <mergeCell ref="AU87:AU88"/>
    <mergeCell ref="AV87:AV88"/>
    <mergeCell ref="AU89:AU90"/>
    <mergeCell ref="AV89:AV90"/>
    <mergeCell ref="AU91:AU92"/>
    <mergeCell ref="AV91:AV92"/>
    <mergeCell ref="AU93:AU94"/>
    <mergeCell ref="AV93:AV94"/>
    <mergeCell ref="AU105:AU106"/>
    <mergeCell ref="AV105:AV106"/>
    <mergeCell ref="AU107:AU108"/>
    <mergeCell ref="AV107:AV108"/>
    <mergeCell ref="AU115:AU116"/>
    <mergeCell ref="AU143:AU144"/>
    <mergeCell ref="AV143:AV144"/>
    <mergeCell ref="AU95:AU96"/>
    <mergeCell ref="AV95:AV96"/>
    <mergeCell ref="AU97:AU98"/>
    <mergeCell ref="AV97:AV98"/>
    <mergeCell ref="AU99:AU100"/>
    <mergeCell ref="AV99:AV100"/>
    <mergeCell ref="AU101:AU102"/>
    <mergeCell ref="AV101:AV102"/>
    <mergeCell ref="AU103:AU104"/>
    <mergeCell ref="AV103:AV104"/>
    <mergeCell ref="AU113:AU114"/>
    <mergeCell ref="AV113:AV114"/>
    <mergeCell ref="AU121:AU122"/>
    <mergeCell ref="AV121:AV122"/>
    <mergeCell ref="G79:G80"/>
    <mergeCell ref="K101:K102"/>
    <mergeCell ref="L101:L102"/>
    <mergeCell ref="M101:M102"/>
    <mergeCell ref="N101:N102"/>
    <mergeCell ref="O101:O102"/>
    <mergeCell ref="R101:R102"/>
    <mergeCell ref="P101:P102"/>
    <mergeCell ref="G87:G88"/>
    <mergeCell ref="R143:R144"/>
    <mergeCell ref="O143:O144"/>
    <mergeCell ref="R105:R106"/>
    <mergeCell ref="O105:O106"/>
    <mergeCell ref="Q143:Q144"/>
    <mergeCell ref="P105:P106"/>
    <mergeCell ref="P87:P88"/>
    <mergeCell ref="A87:A88"/>
    <mergeCell ref="C87:C88"/>
    <mergeCell ref="F75:F76"/>
    <mergeCell ref="A57:A58"/>
    <mergeCell ref="G89:G90"/>
    <mergeCell ref="D87:D88"/>
    <mergeCell ref="C83:C84"/>
    <mergeCell ref="A79:A80"/>
    <mergeCell ref="A55:A56"/>
    <mergeCell ref="A71:A72"/>
    <mergeCell ref="C55:C56"/>
    <mergeCell ref="M95:M96"/>
    <mergeCell ref="N95:N96"/>
    <mergeCell ref="A61:A62"/>
    <mergeCell ref="AU55:AU56"/>
    <mergeCell ref="AV55:AV56"/>
    <mergeCell ref="AU57:AU58"/>
    <mergeCell ref="AV57:AV58"/>
    <mergeCell ref="AU59:AU60"/>
    <mergeCell ref="AV59:AV60"/>
    <mergeCell ref="AU61:AU62"/>
    <mergeCell ref="AV61:AV62"/>
    <mergeCell ref="AU63:AU64"/>
    <mergeCell ref="AV63:AV64"/>
    <mergeCell ref="AU65:AU66"/>
    <mergeCell ref="AV65:AV66"/>
    <mergeCell ref="AU67:AU68"/>
    <mergeCell ref="AV67:AV68"/>
    <mergeCell ref="AU69:AU70"/>
    <mergeCell ref="AV69:AV70"/>
    <mergeCell ref="AU71:AU72"/>
    <mergeCell ref="AV71:AV72"/>
    <mergeCell ref="AU73:AU74"/>
    <mergeCell ref="AV73:AV74"/>
    <mergeCell ref="AU75:AU76"/>
    <mergeCell ref="AV75:AV76"/>
    <mergeCell ref="AU77:AU78"/>
    <mergeCell ref="AV77:AV78"/>
    <mergeCell ref="AU79:AU80"/>
    <mergeCell ref="AV79:AV80"/>
    <mergeCell ref="AN103:AN104"/>
    <mergeCell ref="AO103:AO104"/>
    <mergeCell ref="A103:A104"/>
    <mergeCell ref="C103:C104"/>
    <mergeCell ref="P103:P104"/>
    <mergeCell ref="AM101:AM102"/>
    <mergeCell ref="AO101:AO102"/>
    <mergeCell ref="J97:J98"/>
    <mergeCell ref="A99:A100"/>
    <mergeCell ref="C99:C100"/>
    <mergeCell ref="D99:D100"/>
    <mergeCell ref="E99:E100"/>
    <mergeCell ref="F99:F100"/>
    <mergeCell ref="G99:G100"/>
    <mergeCell ref="H99:H100"/>
    <mergeCell ref="I99:I100"/>
    <mergeCell ref="J99:J100"/>
    <mergeCell ref="H101:H102"/>
    <mergeCell ref="H97:H98"/>
    <mergeCell ref="I97:I98"/>
    <mergeCell ref="AO97:AO98"/>
    <mergeCell ref="AO99:AO100"/>
    <mergeCell ref="R99:R100"/>
    <mergeCell ref="AM99:AM100"/>
    <mergeCell ref="E101:E102"/>
    <mergeCell ref="A59:A60"/>
    <mergeCell ref="C57:C58"/>
    <mergeCell ref="C59:C60"/>
    <mergeCell ref="E67:E68"/>
    <mergeCell ref="F67:F68"/>
    <mergeCell ref="C69:C70"/>
    <mergeCell ref="C93:C94"/>
    <mergeCell ref="L5:L10"/>
    <mergeCell ref="H55:H56"/>
    <mergeCell ref="I55:I56"/>
    <mergeCell ref="G5:H5"/>
    <mergeCell ref="J5:K5"/>
    <mergeCell ref="G55:G56"/>
    <mergeCell ref="E59:E60"/>
    <mergeCell ref="E5:F5"/>
    <mergeCell ref="E55:E56"/>
    <mergeCell ref="F55:F56"/>
    <mergeCell ref="E57:E58"/>
    <mergeCell ref="F57:F58"/>
    <mergeCell ref="E89:E90"/>
    <mergeCell ref="E87:E88"/>
    <mergeCell ref="I89:I90"/>
    <mergeCell ref="I73:I74"/>
    <mergeCell ref="I65:I66"/>
    <mergeCell ref="F89:F90"/>
    <mergeCell ref="B55:B56"/>
    <mergeCell ref="B57:B58"/>
    <mergeCell ref="B59:B60"/>
    <mergeCell ref="A97:A98"/>
    <mergeCell ref="C97:C98"/>
    <mergeCell ref="L61:L62"/>
    <mergeCell ref="I83:I84"/>
    <mergeCell ref="I79:I80"/>
    <mergeCell ref="I85:I86"/>
    <mergeCell ref="P95:P96"/>
    <mergeCell ref="P99:P100"/>
    <mergeCell ref="I101:I102"/>
    <mergeCell ref="J101:J102"/>
    <mergeCell ref="R87:R88"/>
    <mergeCell ref="R93:R94"/>
    <mergeCell ref="R97:R98"/>
    <mergeCell ref="R89:R90"/>
    <mergeCell ref="P93:P94"/>
    <mergeCell ref="I59:I60"/>
    <mergeCell ref="L57:L58"/>
    <mergeCell ref="L59:L60"/>
    <mergeCell ref="K57:K58"/>
    <mergeCell ref="J57:J58"/>
    <mergeCell ref="K95:K96"/>
    <mergeCell ref="L95:L96"/>
    <mergeCell ref="K99:K100"/>
    <mergeCell ref="L99:L100"/>
    <mergeCell ref="M99:M100"/>
    <mergeCell ref="N99:N100"/>
    <mergeCell ref="O99:O100"/>
    <mergeCell ref="M63:M64"/>
    <mergeCell ref="N63:N64"/>
    <mergeCell ref="N75:N76"/>
    <mergeCell ref="L71:L72"/>
    <mergeCell ref="J63:J64"/>
    <mergeCell ref="J65:J66"/>
    <mergeCell ref="L63:L64"/>
    <mergeCell ref="L73:L74"/>
    <mergeCell ref="A1:AF1"/>
    <mergeCell ref="A2:AF2"/>
    <mergeCell ref="AO83:AO84"/>
    <mergeCell ref="AO85:AO86"/>
    <mergeCell ref="AO69:AO70"/>
    <mergeCell ref="AO71:AO72"/>
    <mergeCell ref="AO73:AO74"/>
    <mergeCell ref="AO75:AO76"/>
    <mergeCell ref="AO77:AO78"/>
    <mergeCell ref="AO79:AO80"/>
    <mergeCell ref="AO81:AO82"/>
    <mergeCell ref="D55:D56"/>
    <mergeCell ref="D57:D58"/>
    <mergeCell ref="D59:D60"/>
    <mergeCell ref="D61:D62"/>
    <mergeCell ref="D63:D64"/>
    <mergeCell ref="R85:R86"/>
    <mergeCell ref="G77:G78"/>
    <mergeCell ref="G75:G76"/>
    <mergeCell ref="G85:G86"/>
    <mergeCell ref="E69:E70"/>
    <mergeCell ref="H85:H86"/>
    <mergeCell ref="L65:L66"/>
    <mergeCell ref="K83:K84"/>
    <mergeCell ref="E4:F4"/>
    <mergeCell ref="G4:H4"/>
    <mergeCell ref="J4:K4"/>
    <mergeCell ref="E85:E86"/>
    <mergeCell ref="A85:A86"/>
    <mergeCell ref="C85:C86"/>
    <mergeCell ref="D85:D86"/>
    <mergeCell ref="D83:D84"/>
    <mergeCell ref="O95:O96"/>
    <mergeCell ref="G97:G98"/>
    <mergeCell ref="H89:H90"/>
    <mergeCell ref="H87:H88"/>
    <mergeCell ref="F93:F94"/>
    <mergeCell ref="G93:G94"/>
    <mergeCell ref="F97:F98"/>
    <mergeCell ref="I95:I96"/>
    <mergeCell ref="J95:J96"/>
    <mergeCell ref="F101:F102"/>
    <mergeCell ref="G101:G102"/>
    <mergeCell ref="F87:F88"/>
    <mergeCell ref="H93:H94"/>
    <mergeCell ref="I93:I94"/>
    <mergeCell ref="F95:F96"/>
    <mergeCell ref="G95:G96"/>
    <mergeCell ref="O93:O94"/>
    <mergeCell ref="O97:O98"/>
    <mergeCell ref="M91:M92"/>
    <mergeCell ref="O89:O90"/>
    <mergeCell ref="O91:O92"/>
    <mergeCell ref="K93:K94"/>
    <mergeCell ref="L93:L94"/>
    <mergeCell ref="K97:K98"/>
    <mergeCell ref="L97:L98"/>
    <mergeCell ref="J93:J94"/>
    <mergeCell ref="L87:L88"/>
    <mergeCell ref="M103:M104"/>
    <mergeCell ref="N103:N104"/>
    <mergeCell ref="O103:O104"/>
    <mergeCell ref="R103:R104"/>
    <mergeCell ref="R107:R108"/>
    <mergeCell ref="R115:R116"/>
    <mergeCell ref="R119:R120"/>
    <mergeCell ref="R121:R122"/>
    <mergeCell ref="Q123:Q124"/>
    <mergeCell ref="R131:R132"/>
    <mergeCell ref="P137:P138"/>
    <mergeCell ref="Q137:Q138"/>
    <mergeCell ref="M146:N146"/>
    <mergeCell ref="O146:P146"/>
    <mergeCell ref="M93:M94"/>
    <mergeCell ref="N93:N94"/>
    <mergeCell ref="M97:M98"/>
    <mergeCell ref="N97:N98"/>
    <mergeCell ref="Q101:Q102"/>
    <mergeCell ref="Q103:Q104"/>
    <mergeCell ref="R123:R124"/>
    <mergeCell ref="R137:R138"/>
    <mergeCell ref="N139:N140"/>
    <mergeCell ref="O139:O140"/>
    <mergeCell ref="P139:P140"/>
    <mergeCell ref="Q139:Q140"/>
    <mergeCell ref="R139:R140"/>
    <mergeCell ref="P143:P144"/>
    <mergeCell ref="P97:P98"/>
    <mergeCell ref="Q121:Q122"/>
    <mergeCell ref="R95:R96"/>
    <mergeCell ref="Q105:Q106"/>
    <mergeCell ref="H146:L146"/>
    <mergeCell ref="H103:H104"/>
    <mergeCell ref="I103:I104"/>
    <mergeCell ref="J103:J104"/>
    <mergeCell ref="L89:L90"/>
    <mergeCell ref="L81:L82"/>
    <mergeCell ref="I81:I82"/>
    <mergeCell ref="I87:I88"/>
    <mergeCell ref="P85:P86"/>
    <mergeCell ref="L143:L144"/>
    <mergeCell ref="I91:I92"/>
    <mergeCell ref="L105:L106"/>
    <mergeCell ref="L91:L92"/>
    <mergeCell ref="I143:I144"/>
    <mergeCell ref="M89:M90"/>
    <mergeCell ref="J89:J90"/>
    <mergeCell ref="J81:J82"/>
    <mergeCell ref="N143:N144"/>
    <mergeCell ref="N87:N88"/>
    <mergeCell ref="N89:N90"/>
    <mergeCell ref="M143:M144"/>
    <mergeCell ref="O87:O88"/>
    <mergeCell ref="M87:M88"/>
    <mergeCell ref="I105:I106"/>
    <mergeCell ref="H91:H92"/>
    <mergeCell ref="J87:J88"/>
    <mergeCell ref="N105:N106"/>
    <mergeCell ref="P89:P90"/>
    <mergeCell ref="M105:M106"/>
    <mergeCell ref="N91:N92"/>
    <mergeCell ref="H83:H84"/>
    <mergeCell ref="N81:N82"/>
    <mergeCell ref="C115:C116"/>
    <mergeCell ref="G143:G144"/>
    <mergeCell ref="H143:H144"/>
    <mergeCell ref="C91:C92"/>
    <mergeCell ref="A89:A90"/>
    <mergeCell ref="A105:A106"/>
    <mergeCell ref="C105:C106"/>
    <mergeCell ref="E105:E106"/>
    <mergeCell ref="F105:F106"/>
    <mergeCell ref="G105:G106"/>
    <mergeCell ref="H105:H106"/>
    <mergeCell ref="D143:D144"/>
    <mergeCell ref="A93:A94"/>
    <mergeCell ref="D89:D90"/>
    <mergeCell ref="D105:D106"/>
    <mergeCell ref="D93:D94"/>
    <mergeCell ref="A91:A92"/>
    <mergeCell ref="A95:A96"/>
    <mergeCell ref="C95:C96"/>
    <mergeCell ref="D95:D96"/>
    <mergeCell ref="E95:E96"/>
    <mergeCell ref="H95:H96"/>
    <mergeCell ref="C89:C90"/>
    <mergeCell ref="F91:F92"/>
    <mergeCell ref="G91:G92"/>
    <mergeCell ref="A101:A102"/>
    <mergeCell ref="C101:C102"/>
    <mergeCell ref="D101:D102"/>
    <mergeCell ref="F103:F104"/>
    <mergeCell ref="G103:G104"/>
    <mergeCell ref="D103:D104"/>
    <mergeCell ref="A117:A118"/>
    <mergeCell ref="D73:D74"/>
    <mergeCell ref="C61:C62"/>
    <mergeCell ref="B61:B62"/>
    <mergeCell ref="B63:B64"/>
    <mergeCell ref="B65:B66"/>
    <mergeCell ref="B67:B68"/>
    <mergeCell ref="A65:A66"/>
    <mergeCell ref="C63:C64"/>
    <mergeCell ref="A63:A64"/>
    <mergeCell ref="A67:A68"/>
    <mergeCell ref="C67:C68"/>
    <mergeCell ref="A143:A144"/>
    <mergeCell ref="C143:C144"/>
    <mergeCell ref="B143:B144"/>
    <mergeCell ref="B85:B86"/>
    <mergeCell ref="B87:B88"/>
    <mergeCell ref="B89:B90"/>
    <mergeCell ref="B91:B92"/>
    <mergeCell ref="B93:B94"/>
    <mergeCell ref="B95:B96"/>
    <mergeCell ref="B97:B98"/>
    <mergeCell ref="B99:B100"/>
    <mergeCell ref="B103:B104"/>
    <mergeCell ref="B101:B102"/>
    <mergeCell ref="B105:B106"/>
    <mergeCell ref="B83:B84"/>
    <mergeCell ref="A77:A78"/>
    <mergeCell ref="A107:A108"/>
    <mergeCell ref="B107:B108"/>
    <mergeCell ref="C107:C108"/>
    <mergeCell ref="A115:A116"/>
    <mergeCell ref="B115:B116"/>
    <mergeCell ref="G83:G84"/>
    <mergeCell ref="Q85:Q86"/>
    <mergeCell ref="N69:N70"/>
    <mergeCell ref="L69:L70"/>
    <mergeCell ref="J69:J70"/>
    <mergeCell ref="L79:L80"/>
    <mergeCell ref="O73:O74"/>
    <mergeCell ref="L85:L86"/>
    <mergeCell ref="F61:F62"/>
    <mergeCell ref="A81:A82"/>
    <mergeCell ref="C81:C82"/>
    <mergeCell ref="C73:C74"/>
    <mergeCell ref="D71:D72"/>
    <mergeCell ref="C71:C72"/>
    <mergeCell ref="F79:F80"/>
    <mergeCell ref="C79:C80"/>
    <mergeCell ref="C65:C66"/>
    <mergeCell ref="D65:D66"/>
    <mergeCell ref="D67:D68"/>
    <mergeCell ref="C77:C78"/>
    <mergeCell ref="E63:E64"/>
    <mergeCell ref="D81:D82"/>
    <mergeCell ref="H67:H68"/>
    <mergeCell ref="H79:H80"/>
    <mergeCell ref="H63:H64"/>
    <mergeCell ref="G71:G72"/>
    <mergeCell ref="G73:G74"/>
    <mergeCell ref="B75:B76"/>
    <mergeCell ref="B77:B78"/>
    <mergeCell ref="O85:O86"/>
    <mergeCell ref="B71:B72"/>
    <mergeCell ref="B69:B70"/>
    <mergeCell ref="O61:O62"/>
    <mergeCell ref="G57:G58"/>
    <mergeCell ref="F63:F64"/>
    <mergeCell ref="E71:E72"/>
    <mergeCell ref="F71:F72"/>
    <mergeCell ref="H65:H66"/>
    <mergeCell ref="H61:H62"/>
    <mergeCell ref="E75:E76"/>
    <mergeCell ref="M69:M70"/>
    <mergeCell ref="P75:P76"/>
    <mergeCell ref="Q75:Q76"/>
    <mergeCell ref="O75:O76"/>
    <mergeCell ref="N73:N74"/>
    <mergeCell ref="H57:H58"/>
    <mergeCell ref="I63:I64"/>
    <mergeCell ref="H73:H74"/>
    <mergeCell ref="F59:F60"/>
    <mergeCell ref="O59:O60"/>
    <mergeCell ref="I57:I58"/>
    <mergeCell ref="O63:O64"/>
    <mergeCell ref="H69:H70"/>
    <mergeCell ref="H71:H72"/>
    <mergeCell ref="H75:H76"/>
    <mergeCell ref="I69:I70"/>
    <mergeCell ref="J75:J76"/>
    <mergeCell ref="J73:J74"/>
    <mergeCell ref="M67:M68"/>
    <mergeCell ref="N67:N68"/>
    <mergeCell ref="G59:G60"/>
    <mergeCell ref="G61:G62"/>
    <mergeCell ref="G63:G64"/>
    <mergeCell ref="G65:G66"/>
    <mergeCell ref="G69:G70"/>
    <mergeCell ref="I61:I62"/>
    <mergeCell ref="I75:I76"/>
    <mergeCell ref="I71:I72"/>
    <mergeCell ref="E61:E62"/>
    <mergeCell ref="H59:H60"/>
    <mergeCell ref="G81:G82"/>
    <mergeCell ref="N59:N60"/>
    <mergeCell ref="N65:N66"/>
    <mergeCell ref="M59:M60"/>
    <mergeCell ref="J59:J60"/>
    <mergeCell ref="J61:J62"/>
    <mergeCell ref="K59:K60"/>
    <mergeCell ref="K61:K62"/>
    <mergeCell ref="N77:N78"/>
    <mergeCell ref="M79:M80"/>
    <mergeCell ref="N79:N80"/>
    <mergeCell ref="J79:J80"/>
    <mergeCell ref="E81:E82"/>
    <mergeCell ref="K81:K82"/>
    <mergeCell ref="E79:E80"/>
    <mergeCell ref="I77:I78"/>
    <mergeCell ref="O57:O58"/>
    <mergeCell ref="O67:O68"/>
    <mergeCell ref="AM53:AO53"/>
    <mergeCell ref="U24:Y24"/>
    <mergeCell ref="U25:Y25"/>
    <mergeCell ref="U22:Y22"/>
    <mergeCell ref="Q57:Q58"/>
    <mergeCell ref="R55:R56"/>
    <mergeCell ref="R57:R58"/>
    <mergeCell ref="O55:O56"/>
    <mergeCell ref="R59:R60"/>
    <mergeCell ref="Q59:Q60"/>
    <mergeCell ref="P55:P56"/>
    <mergeCell ref="P57:P58"/>
    <mergeCell ref="M61:M62"/>
    <mergeCell ref="N61:N62"/>
    <mergeCell ref="P63:P64"/>
    <mergeCell ref="P65:P66"/>
    <mergeCell ref="Q61:Q62"/>
    <mergeCell ref="AO55:AO56"/>
    <mergeCell ref="AO57:AO58"/>
    <mergeCell ref="AO59:AO60"/>
    <mergeCell ref="AO61:AO62"/>
    <mergeCell ref="AO63:AO64"/>
    <mergeCell ref="AO65:AO66"/>
    <mergeCell ref="AJ45:AK45"/>
    <mergeCell ref="P59:P60"/>
    <mergeCell ref="P61:P62"/>
    <mergeCell ref="AO67:AO68"/>
    <mergeCell ref="N57:N58"/>
    <mergeCell ref="Q63:Q64"/>
    <mergeCell ref="Q65:Q66"/>
    <mergeCell ref="U5:Y5"/>
    <mergeCell ref="U6:Y6"/>
    <mergeCell ref="O4:AF4"/>
    <mergeCell ref="U9:Y9"/>
    <mergeCell ref="U10:Y10"/>
    <mergeCell ref="I9:I10"/>
    <mergeCell ref="Q55:Q56"/>
    <mergeCell ref="U14:Y14"/>
    <mergeCell ref="U15:Y15"/>
    <mergeCell ref="U16:Y16"/>
    <mergeCell ref="U17:Y17"/>
    <mergeCell ref="U18:Y18"/>
    <mergeCell ref="U19:Y19"/>
    <mergeCell ref="J7:J8"/>
    <mergeCell ref="K7:K8"/>
    <mergeCell ref="J9:J10"/>
    <mergeCell ref="U11:Y11"/>
    <mergeCell ref="U12:Y12"/>
    <mergeCell ref="U13:Y13"/>
    <mergeCell ref="J55:J56"/>
    <mergeCell ref="U20:Y20"/>
    <mergeCell ref="K9:K10"/>
    <mergeCell ref="U21:Y21"/>
    <mergeCell ref="O26:P26"/>
    <mergeCell ref="U23:Y23"/>
    <mergeCell ref="M55:M56"/>
    <mergeCell ref="K55:K56"/>
    <mergeCell ref="N55:N56"/>
    <mergeCell ref="U7:Y7"/>
    <mergeCell ref="U8:Y8"/>
    <mergeCell ref="AN143:AN144"/>
    <mergeCell ref="AO143:AO144"/>
    <mergeCell ref="AM71:AM72"/>
    <mergeCell ref="AM73:AM74"/>
    <mergeCell ref="AM75:AM76"/>
    <mergeCell ref="AM77:AM78"/>
    <mergeCell ref="AM79:AM80"/>
    <mergeCell ref="AM81:AM82"/>
    <mergeCell ref="AM83:AM84"/>
    <mergeCell ref="AN85:AN86"/>
    <mergeCell ref="AN87:AN88"/>
    <mergeCell ref="AN89:AN90"/>
    <mergeCell ref="AM123:AM124"/>
    <mergeCell ref="AN123:AN124"/>
    <mergeCell ref="AO123:AO124"/>
    <mergeCell ref="AO131:AO132"/>
    <mergeCell ref="AO133:AO134"/>
    <mergeCell ref="AN141:AN142"/>
    <mergeCell ref="AO141:AO142"/>
    <mergeCell ref="AN91:AN92"/>
    <mergeCell ref="AN71:AN72"/>
    <mergeCell ref="AN73:AN74"/>
    <mergeCell ref="AN75:AN76"/>
    <mergeCell ref="AN77:AN78"/>
    <mergeCell ref="AN79:AN80"/>
    <mergeCell ref="AN81:AN82"/>
    <mergeCell ref="AN101:AN102"/>
    <mergeCell ref="AN97:AN98"/>
    <mergeCell ref="AN93:AN94"/>
    <mergeCell ref="AN99:AN100"/>
    <mergeCell ref="AO117:AO118"/>
    <mergeCell ref="AN69:AN70"/>
    <mergeCell ref="AN105:AN106"/>
    <mergeCell ref="AN83:AN84"/>
    <mergeCell ref="AM95:AM96"/>
    <mergeCell ref="AN95:AN96"/>
    <mergeCell ref="AO95:AO96"/>
    <mergeCell ref="AM105:AM106"/>
    <mergeCell ref="AO93:AO94"/>
    <mergeCell ref="AM87:AM88"/>
    <mergeCell ref="AM89:AM90"/>
    <mergeCell ref="AM93:AM94"/>
    <mergeCell ref="AM97:AM98"/>
    <mergeCell ref="AN121:AN122"/>
    <mergeCell ref="AO121:AO122"/>
    <mergeCell ref="AN55:AN56"/>
    <mergeCell ref="AN57:AN58"/>
    <mergeCell ref="AN59:AN60"/>
    <mergeCell ref="AN61:AN62"/>
    <mergeCell ref="AN63:AN64"/>
    <mergeCell ref="AN65:AN66"/>
    <mergeCell ref="AN67:AN68"/>
    <mergeCell ref="AM91:AM92"/>
    <mergeCell ref="AN107:AN108"/>
    <mergeCell ref="AO107:AO108"/>
    <mergeCell ref="AM115:AM116"/>
    <mergeCell ref="AN115:AN116"/>
    <mergeCell ref="AO115:AO116"/>
    <mergeCell ref="AO87:AO88"/>
    <mergeCell ref="AO89:AO90"/>
    <mergeCell ref="AO91:AO92"/>
    <mergeCell ref="AO105:AO106"/>
    <mergeCell ref="AN117:AN118"/>
    <mergeCell ref="R61:R62"/>
    <mergeCell ref="R63:R64"/>
    <mergeCell ref="AM85:AM86"/>
    <mergeCell ref="AM55:AM56"/>
    <mergeCell ref="AM57:AM58"/>
    <mergeCell ref="AM59:AM60"/>
    <mergeCell ref="AM61:AM62"/>
    <mergeCell ref="AM63:AM64"/>
    <mergeCell ref="AM65:AM66"/>
    <mergeCell ref="AM67:AM68"/>
    <mergeCell ref="R73:R74"/>
    <mergeCell ref="R83:R84"/>
    <mergeCell ref="A382:C382"/>
    <mergeCell ref="A430:C430"/>
    <mergeCell ref="K91:K92"/>
    <mergeCell ref="K105:K106"/>
    <mergeCell ref="K143:K144"/>
    <mergeCell ref="J91:J92"/>
    <mergeCell ref="J105:J106"/>
    <mergeCell ref="J143:J144"/>
    <mergeCell ref="D107:D108"/>
    <mergeCell ref="E107:E108"/>
    <mergeCell ref="F107:F108"/>
    <mergeCell ref="G107:G108"/>
    <mergeCell ref="H107:H108"/>
    <mergeCell ref="I107:I108"/>
    <mergeCell ref="Q91:Q92"/>
    <mergeCell ref="Q93:Q94"/>
    <mergeCell ref="Q95:Q96"/>
    <mergeCell ref="Q97:Q98"/>
    <mergeCell ref="Q99:Q100"/>
    <mergeCell ref="AM143:AM144"/>
    <mergeCell ref="P91:P92"/>
    <mergeCell ref="P67:P68"/>
    <mergeCell ref="K67:K68"/>
    <mergeCell ref="J85:J86"/>
    <mergeCell ref="J67:J68"/>
    <mergeCell ref="J77:J78"/>
    <mergeCell ref="E65:E66"/>
    <mergeCell ref="F65:F66"/>
    <mergeCell ref="F77:F78"/>
    <mergeCell ref="E83:E84"/>
    <mergeCell ref="F83:F84"/>
    <mergeCell ref="F81:F82"/>
    <mergeCell ref="F85:F86"/>
    <mergeCell ref="E103:E104"/>
    <mergeCell ref="E97:E98"/>
    <mergeCell ref="E91:E92"/>
    <mergeCell ref="R77:R78"/>
    <mergeCell ref="R65:R66"/>
    <mergeCell ref="R67:R68"/>
    <mergeCell ref="H81:H82"/>
    <mergeCell ref="H77:H78"/>
    <mergeCell ref="E73:E74"/>
    <mergeCell ref="F73:F74"/>
    <mergeCell ref="F69:F70"/>
    <mergeCell ref="G67:G68"/>
    <mergeCell ref="Q67:Q68"/>
    <mergeCell ref="Q69:Q70"/>
    <mergeCell ref="P69:P70"/>
    <mergeCell ref="O69:O70"/>
    <mergeCell ref="P77:P78"/>
    <mergeCell ref="J83:J84"/>
    <mergeCell ref="O79:O80"/>
    <mergeCell ref="K85:K86"/>
    <mergeCell ref="K87:K88"/>
    <mergeCell ref="O77:O78"/>
    <mergeCell ref="C117:C118"/>
    <mergeCell ref="A123:A124"/>
    <mergeCell ref="B123:B124"/>
    <mergeCell ref="C123:C124"/>
    <mergeCell ref="A125:A126"/>
    <mergeCell ref="B125:B126"/>
    <mergeCell ref="C125:C126"/>
    <mergeCell ref="B131:B132"/>
    <mergeCell ref="E143:E144"/>
    <mergeCell ref="F143:F144"/>
    <mergeCell ref="O65:O66"/>
    <mergeCell ref="I67:I68"/>
    <mergeCell ref="E77:E78"/>
    <mergeCell ref="O83:O84"/>
    <mergeCell ref="M83:M84"/>
    <mergeCell ref="L83:L84"/>
    <mergeCell ref="A83:A84"/>
    <mergeCell ref="B79:B80"/>
    <mergeCell ref="B81:B82"/>
    <mergeCell ref="D75:D76"/>
    <mergeCell ref="A75:A76"/>
    <mergeCell ref="A73:A74"/>
    <mergeCell ref="A69:A70"/>
    <mergeCell ref="B73:B74"/>
    <mergeCell ref="C75:C76"/>
    <mergeCell ref="N83:N84"/>
    <mergeCell ref="D69:D70"/>
    <mergeCell ref="D77:D78"/>
    <mergeCell ref="D79:D80"/>
    <mergeCell ref="R75:R76"/>
    <mergeCell ref="R71:R72"/>
    <mergeCell ref="R69:R70"/>
    <mergeCell ref="AM69:AM70"/>
    <mergeCell ref="R81:R82"/>
    <mergeCell ref="R79:R80"/>
    <mergeCell ref="Q81:Q82"/>
    <mergeCell ref="N71:N72"/>
    <mergeCell ref="Q77:Q78"/>
    <mergeCell ref="P81:P82"/>
    <mergeCell ref="P83:P84"/>
    <mergeCell ref="M81:M82"/>
    <mergeCell ref="K69:K70"/>
    <mergeCell ref="K71:K72"/>
    <mergeCell ref="K73:K74"/>
    <mergeCell ref="K75:K76"/>
    <mergeCell ref="K77:K78"/>
    <mergeCell ref="K79:K80"/>
    <mergeCell ref="P79:P80"/>
    <mergeCell ref="Q79:Q80"/>
    <mergeCell ref="Q83:Q84"/>
    <mergeCell ref="E93:E94"/>
    <mergeCell ref="D97:D98"/>
    <mergeCell ref="D91:D92"/>
    <mergeCell ref="AM107:AM108"/>
    <mergeCell ref="M65:M66"/>
    <mergeCell ref="L55:L56"/>
    <mergeCell ref="L75:L76"/>
    <mergeCell ref="L77:L78"/>
    <mergeCell ref="M75:M76"/>
    <mergeCell ref="M57:M58"/>
    <mergeCell ref="L67:L68"/>
    <mergeCell ref="M73:M74"/>
    <mergeCell ref="M71:M72"/>
    <mergeCell ref="M77:M78"/>
    <mergeCell ref="J71:J72"/>
    <mergeCell ref="Q73:Q74"/>
    <mergeCell ref="Q71:Q72"/>
    <mergeCell ref="O71:O72"/>
    <mergeCell ref="P71:P72"/>
    <mergeCell ref="P73:P74"/>
    <mergeCell ref="O81:O82"/>
    <mergeCell ref="K63:K64"/>
    <mergeCell ref="K65:K66"/>
    <mergeCell ref="Q87:Q88"/>
    <mergeCell ref="Q89:Q90"/>
    <mergeCell ref="N85:N86"/>
    <mergeCell ref="M85:M86"/>
    <mergeCell ref="K103:K104"/>
    <mergeCell ref="L103:L104"/>
    <mergeCell ref="AM103:AM104"/>
    <mergeCell ref="R91:R92"/>
    <mergeCell ref="K89:K90"/>
    <mergeCell ref="A109:A110"/>
    <mergeCell ref="B109:B110"/>
    <mergeCell ref="C109:C110"/>
    <mergeCell ref="D109:D110"/>
    <mergeCell ref="E109:E110"/>
    <mergeCell ref="F109:F110"/>
    <mergeCell ref="G109:G110"/>
    <mergeCell ref="H109:H110"/>
    <mergeCell ref="I109:I110"/>
    <mergeCell ref="J109:J110"/>
    <mergeCell ref="K109:K110"/>
    <mergeCell ref="L109:L110"/>
    <mergeCell ref="M109:M110"/>
    <mergeCell ref="N109:N110"/>
    <mergeCell ref="O109:O110"/>
    <mergeCell ref="P109:P110"/>
    <mergeCell ref="Q109:Q110"/>
    <mergeCell ref="R109:R110"/>
    <mergeCell ref="AM109:AM110"/>
    <mergeCell ref="J107:J108"/>
    <mergeCell ref="K107:K108"/>
    <mergeCell ref="L107:L108"/>
    <mergeCell ref="M107:M108"/>
    <mergeCell ref="N107:N108"/>
    <mergeCell ref="O107:O108"/>
    <mergeCell ref="P107:P108"/>
    <mergeCell ref="Q107:Q108"/>
    <mergeCell ref="AN113:AN114"/>
    <mergeCell ref="AO113:AO114"/>
    <mergeCell ref="AN109:AN110"/>
    <mergeCell ref="AO109:AO110"/>
    <mergeCell ref="AU109:AU110"/>
    <mergeCell ref="AV109:AV110"/>
    <mergeCell ref="A111:A112"/>
    <mergeCell ref="B111:B112"/>
    <mergeCell ref="C111:C112"/>
    <mergeCell ref="D111:D112"/>
    <mergeCell ref="E111:E112"/>
    <mergeCell ref="F111:F112"/>
    <mergeCell ref="G111:G112"/>
    <mergeCell ref="H111:H112"/>
    <mergeCell ref="I111:I112"/>
    <mergeCell ref="J111:J112"/>
    <mergeCell ref="K111:K112"/>
    <mergeCell ref="L111:L112"/>
    <mergeCell ref="M111:M112"/>
    <mergeCell ref="N111:N112"/>
    <mergeCell ref="O111:O112"/>
    <mergeCell ref="P111:P112"/>
    <mergeCell ref="Q111:Q112"/>
    <mergeCell ref="R111:R112"/>
    <mergeCell ref="AM111:AM112"/>
    <mergeCell ref="AN111:AN112"/>
    <mergeCell ref="D115:D116"/>
    <mergeCell ref="E115:E116"/>
    <mergeCell ref="F115:F116"/>
    <mergeCell ref="G115:G116"/>
    <mergeCell ref="H115:H116"/>
    <mergeCell ref="I115:I116"/>
    <mergeCell ref="AO111:AO112"/>
    <mergeCell ref="AU111:AU112"/>
    <mergeCell ref="AV111:AV112"/>
    <mergeCell ref="A113:A114"/>
    <mergeCell ref="B113:B114"/>
    <mergeCell ref="C113:C114"/>
    <mergeCell ref="D113:D114"/>
    <mergeCell ref="E113:E114"/>
    <mergeCell ref="F113:F114"/>
    <mergeCell ref="G113:G114"/>
    <mergeCell ref="H113:H114"/>
    <mergeCell ref="I113:I114"/>
    <mergeCell ref="J113:J114"/>
    <mergeCell ref="K113:K114"/>
    <mergeCell ref="L113:L114"/>
    <mergeCell ref="M113:M114"/>
    <mergeCell ref="N113:N114"/>
    <mergeCell ref="O113:O114"/>
    <mergeCell ref="P113:P114"/>
    <mergeCell ref="Q113:Q114"/>
    <mergeCell ref="R113:R114"/>
    <mergeCell ref="AM113:AM114"/>
    <mergeCell ref="N117:N118"/>
    <mergeCell ref="O117:O118"/>
    <mergeCell ref="P117:P118"/>
    <mergeCell ref="Q117:Q118"/>
    <mergeCell ref="R117:R118"/>
    <mergeCell ref="AM117:AM118"/>
    <mergeCell ref="J115:J116"/>
    <mergeCell ref="K115:K116"/>
    <mergeCell ref="L115:L116"/>
    <mergeCell ref="M115:M116"/>
    <mergeCell ref="N115:N116"/>
    <mergeCell ref="O115:O116"/>
    <mergeCell ref="P115:P116"/>
    <mergeCell ref="Q115:Q116"/>
    <mergeCell ref="N123:N124"/>
    <mergeCell ref="O123:O124"/>
    <mergeCell ref="P123:P124"/>
    <mergeCell ref="AU117:AU118"/>
    <mergeCell ref="AV117:AV118"/>
    <mergeCell ref="A119:A120"/>
    <mergeCell ref="B119:B120"/>
    <mergeCell ref="C119:C120"/>
    <mergeCell ref="D119:D120"/>
    <mergeCell ref="E119:E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AM119:AM120"/>
    <mergeCell ref="AN119:AN120"/>
    <mergeCell ref="D117:D118"/>
    <mergeCell ref="E117:E118"/>
    <mergeCell ref="F117:F118"/>
    <mergeCell ref="B117:B118"/>
    <mergeCell ref="G117:G118"/>
    <mergeCell ref="H117:H118"/>
    <mergeCell ref="I117:I118"/>
    <mergeCell ref="J117:J118"/>
    <mergeCell ref="K117:K118"/>
    <mergeCell ref="L117:L118"/>
    <mergeCell ref="M117:M118"/>
    <mergeCell ref="D123:D124"/>
    <mergeCell ref="E123:E124"/>
    <mergeCell ref="F123:F124"/>
    <mergeCell ref="G123:G124"/>
    <mergeCell ref="H123:H124"/>
    <mergeCell ref="I123:I124"/>
    <mergeCell ref="AO119:AO120"/>
    <mergeCell ref="AU119:AU120"/>
    <mergeCell ref="AV119:AV120"/>
    <mergeCell ref="A121:A122"/>
    <mergeCell ref="B121:B122"/>
    <mergeCell ref="C121:C122"/>
    <mergeCell ref="D121:D122"/>
    <mergeCell ref="E121:E122"/>
    <mergeCell ref="F121:F122"/>
    <mergeCell ref="G121:G122"/>
    <mergeCell ref="H121:H122"/>
    <mergeCell ref="I121:I122"/>
    <mergeCell ref="J121:J122"/>
    <mergeCell ref="K121:K122"/>
    <mergeCell ref="L121:L122"/>
    <mergeCell ref="M121:M122"/>
    <mergeCell ref="N121:N122"/>
    <mergeCell ref="O121:O122"/>
    <mergeCell ref="P121:P122"/>
    <mergeCell ref="AM121:AM122"/>
    <mergeCell ref="AU123:AU124"/>
    <mergeCell ref="AV123:AV124"/>
    <mergeCell ref="J123:J124"/>
    <mergeCell ref="K123:K124"/>
    <mergeCell ref="L123:L124"/>
    <mergeCell ref="M123:M124"/>
    <mergeCell ref="AU129:AU130"/>
    <mergeCell ref="AV129:AV130"/>
    <mergeCell ref="D125:D126"/>
    <mergeCell ref="E125:E126"/>
    <mergeCell ref="F125:F126"/>
    <mergeCell ref="G125:G126"/>
    <mergeCell ref="H125:H126"/>
    <mergeCell ref="I125:I126"/>
    <mergeCell ref="J125:J126"/>
    <mergeCell ref="K125:K126"/>
    <mergeCell ref="L125:L126"/>
    <mergeCell ref="M125:M126"/>
    <mergeCell ref="N125:N126"/>
    <mergeCell ref="O125:O126"/>
    <mergeCell ref="P125:P126"/>
    <mergeCell ref="Q125:Q126"/>
    <mergeCell ref="R125:R126"/>
    <mergeCell ref="AM125:AM126"/>
    <mergeCell ref="AN125:AN126"/>
    <mergeCell ref="AO125:AO126"/>
    <mergeCell ref="AU125:AU126"/>
    <mergeCell ref="AV125:AV126"/>
    <mergeCell ref="R127:R128"/>
    <mergeCell ref="AM127:AM128"/>
    <mergeCell ref="AN127:AN128"/>
    <mergeCell ref="A127:A128"/>
    <mergeCell ref="B127:B128"/>
    <mergeCell ref="C127:C128"/>
    <mergeCell ref="D127:D128"/>
    <mergeCell ref="E127:E128"/>
    <mergeCell ref="F127:F128"/>
    <mergeCell ref="G127:G128"/>
    <mergeCell ref="H127:H128"/>
    <mergeCell ref="I127:I128"/>
    <mergeCell ref="J127:J128"/>
    <mergeCell ref="K127:K128"/>
    <mergeCell ref="L127:L128"/>
    <mergeCell ref="M127:M128"/>
    <mergeCell ref="N127:N128"/>
    <mergeCell ref="O127:O128"/>
    <mergeCell ref="P127:P128"/>
    <mergeCell ref="Q127:Q128"/>
    <mergeCell ref="D131:D132"/>
    <mergeCell ref="E131:E132"/>
    <mergeCell ref="F131:F132"/>
    <mergeCell ref="G131:G132"/>
    <mergeCell ref="H131:H132"/>
    <mergeCell ref="I131:I132"/>
    <mergeCell ref="AO127:AO128"/>
    <mergeCell ref="AU127:AU128"/>
    <mergeCell ref="AV127:AV128"/>
    <mergeCell ref="A129:A130"/>
    <mergeCell ref="B129:B130"/>
    <mergeCell ref="C129:C130"/>
    <mergeCell ref="D129:D130"/>
    <mergeCell ref="E129:E130"/>
    <mergeCell ref="F129:F130"/>
    <mergeCell ref="G129:G130"/>
    <mergeCell ref="H129:H130"/>
    <mergeCell ref="I129:I130"/>
    <mergeCell ref="J129:J130"/>
    <mergeCell ref="K129:K130"/>
    <mergeCell ref="L129:L130"/>
    <mergeCell ref="M129:M130"/>
    <mergeCell ref="N129:N130"/>
    <mergeCell ref="O129:O130"/>
    <mergeCell ref="P129:P130"/>
    <mergeCell ref="Q129:Q130"/>
    <mergeCell ref="R129:R130"/>
    <mergeCell ref="AM129:AM130"/>
    <mergeCell ref="AM131:AM132"/>
    <mergeCell ref="AN129:AN130"/>
    <mergeCell ref="AN131:AN132"/>
    <mergeCell ref="AO129:AO130"/>
    <mergeCell ref="AU131:AU132"/>
    <mergeCell ref="AV131:AV132"/>
    <mergeCell ref="A133:A134"/>
    <mergeCell ref="B133:B134"/>
    <mergeCell ref="C133:C134"/>
    <mergeCell ref="D133:D134"/>
    <mergeCell ref="E133:E134"/>
    <mergeCell ref="F133:F134"/>
    <mergeCell ref="G133:G134"/>
    <mergeCell ref="H133:H134"/>
    <mergeCell ref="I133:I134"/>
    <mergeCell ref="J133:J134"/>
    <mergeCell ref="K133:K134"/>
    <mergeCell ref="L133:L134"/>
    <mergeCell ref="M133:M134"/>
    <mergeCell ref="N133:N134"/>
    <mergeCell ref="O133:O134"/>
    <mergeCell ref="P133:P134"/>
    <mergeCell ref="Q133:Q134"/>
    <mergeCell ref="R133:R134"/>
    <mergeCell ref="AM133:AM134"/>
    <mergeCell ref="J131:J132"/>
    <mergeCell ref="K131:K132"/>
    <mergeCell ref="L131:L132"/>
    <mergeCell ref="M131:M132"/>
    <mergeCell ref="N131:N132"/>
    <mergeCell ref="O131:O132"/>
    <mergeCell ref="P131:P132"/>
    <mergeCell ref="Q131:Q132"/>
    <mergeCell ref="A131:A132"/>
    <mergeCell ref="C131:C132"/>
    <mergeCell ref="AN133:AN134"/>
    <mergeCell ref="AU133:AU134"/>
    <mergeCell ref="AV133:AV134"/>
    <mergeCell ref="A135:A136"/>
    <mergeCell ref="B135:B136"/>
    <mergeCell ref="C135:C136"/>
    <mergeCell ref="D135:D136"/>
    <mergeCell ref="E135:E136"/>
    <mergeCell ref="F135:F136"/>
    <mergeCell ref="G135:G136"/>
    <mergeCell ref="H135:H136"/>
    <mergeCell ref="I135:I136"/>
    <mergeCell ref="J135:J136"/>
    <mergeCell ref="K135:K136"/>
    <mergeCell ref="L135:L136"/>
    <mergeCell ref="M135:M136"/>
    <mergeCell ref="N135:N136"/>
    <mergeCell ref="O135:O136"/>
    <mergeCell ref="P135:P136"/>
    <mergeCell ref="Q135:Q136"/>
    <mergeCell ref="R135:R136"/>
    <mergeCell ref="AM135:AM136"/>
    <mergeCell ref="AN135:AN136"/>
    <mergeCell ref="C139:C140"/>
    <mergeCell ref="D139:D140"/>
    <mergeCell ref="E139:E140"/>
    <mergeCell ref="F139:F140"/>
    <mergeCell ref="G139:G140"/>
    <mergeCell ref="H139:H140"/>
    <mergeCell ref="I139:I140"/>
    <mergeCell ref="AO135:AO136"/>
    <mergeCell ref="AU135:AU136"/>
    <mergeCell ref="AV135:AV136"/>
    <mergeCell ref="A137:A138"/>
    <mergeCell ref="B137:B138"/>
    <mergeCell ref="C137:C138"/>
    <mergeCell ref="D137:D138"/>
    <mergeCell ref="E137:E138"/>
    <mergeCell ref="F137:F138"/>
    <mergeCell ref="G137:G138"/>
    <mergeCell ref="H137:H138"/>
    <mergeCell ref="I137:I138"/>
    <mergeCell ref="J137:J138"/>
    <mergeCell ref="K137:K138"/>
    <mergeCell ref="L137:L138"/>
    <mergeCell ref="M137:M138"/>
    <mergeCell ref="N137:N138"/>
    <mergeCell ref="O137:O138"/>
    <mergeCell ref="AM137:AM138"/>
    <mergeCell ref="AN137:AN138"/>
    <mergeCell ref="AO137:AO138"/>
    <mergeCell ref="AU137:AU138"/>
    <mergeCell ref="AV137:AV138"/>
    <mergeCell ref="AU141:AU142"/>
    <mergeCell ref="AV141:AV142"/>
    <mergeCell ref="AM139:AM140"/>
    <mergeCell ref="AN139:AN140"/>
    <mergeCell ref="AO139:AO140"/>
    <mergeCell ref="AU139:AU140"/>
    <mergeCell ref="AV139:AV140"/>
    <mergeCell ref="A141:A142"/>
    <mergeCell ref="B141:B142"/>
    <mergeCell ref="C141:C142"/>
    <mergeCell ref="D141:D142"/>
    <mergeCell ref="E141:E142"/>
    <mergeCell ref="F141:F142"/>
    <mergeCell ref="G141:G142"/>
    <mergeCell ref="H141:H142"/>
    <mergeCell ref="I141:I142"/>
    <mergeCell ref="J141:J142"/>
    <mergeCell ref="K141:K142"/>
    <mergeCell ref="L141:L142"/>
    <mergeCell ref="M141:M142"/>
    <mergeCell ref="N141:N142"/>
    <mergeCell ref="O141:O142"/>
    <mergeCell ref="P141:P142"/>
    <mergeCell ref="Q141:Q142"/>
    <mergeCell ref="R141:R142"/>
    <mergeCell ref="AM141:AM142"/>
    <mergeCell ref="J139:J140"/>
    <mergeCell ref="K139:K140"/>
    <mergeCell ref="L139:L140"/>
    <mergeCell ref="M139:M140"/>
    <mergeCell ref="A139:A140"/>
    <mergeCell ref="B139:B140"/>
  </mergeCells>
  <phoneticPr fontId="12" type="noConversion"/>
  <conditionalFormatting sqref="R6:R25">
    <cfRule type="cellIs" dxfId="97" priority="3" operator="between">
      <formula>$Q$6</formula>
      <formula>0.01</formula>
    </cfRule>
    <cfRule type="cellIs" dxfId="96" priority="4" operator="greaterThanOrEqual">
      <formula>$Q$6</formula>
    </cfRule>
    <cfRule type="cellIs" dxfId="95" priority="5" operator="equal">
      <formula>0</formula>
    </cfRule>
  </conditionalFormatting>
  <conditionalFormatting sqref="S6:S25">
    <cfRule type="containsText" dxfId="94" priority="15" operator="containsText" text="Concluído">
      <formula>NOT(ISERROR(SEARCH("Concluído",S6)))</formula>
    </cfRule>
    <cfRule type="containsText" dxfId="93" priority="16" operator="containsText" text="Conforme Planejado">
      <formula>NOT(ISERROR(SEARCH("Conforme Planejado",S6)))</formula>
    </cfRule>
    <cfRule type="containsText" dxfId="92" priority="17" operator="containsText" text="FALTA PLANEJAMENTO">
      <formula>NOT(ISERROR(SEARCH("FALTA PLANEJAMENTO",S6)))</formula>
    </cfRule>
    <cfRule type="containsText" dxfId="91" priority="18" operator="containsText" text="Atraso">
      <formula>NOT(ISERROR(SEARCH("Atraso",S6)))</formula>
    </cfRule>
  </conditionalFormatting>
  <conditionalFormatting sqref="T6:T25 AR55:AR144 AO145:AO194">
    <cfRule type="cellIs" dxfId="90" priority="6" operator="lessThan">
      <formula>0</formula>
    </cfRule>
  </conditionalFormatting>
  <conditionalFormatting sqref="AA6:AA25">
    <cfRule type="cellIs" dxfId="89" priority="47" operator="lessThanOrEqual">
      <formula>0.81</formula>
    </cfRule>
  </conditionalFormatting>
  <conditionalFormatting sqref="AD6:AD25">
    <cfRule type="containsText" dxfId="88" priority="9" operator="containsText" text="ADIANTADO">
      <formula>NOT(ISERROR(SEARCH("ADIANTADO",AD6)))</formula>
    </cfRule>
    <cfRule type="containsText" dxfId="87" priority="10" operator="containsText" text="FALTA DE ACOMPANHAMENTO">
      <formula>NOT(ISERROR(SEARCH("FALTA DE ACOMPANHAMENTO",AD6)))</formula>
    </cfRule>
    <cfRule type="containsText" dxfId="86" priority="11" operator="containsText" text="Concluído">
      <formula>NOT(ISERROR(SEARCH("Concluído",AD6)))</formula>
    </cfRule>
    <cfRule type="containsText" dxfId="85" priority="12" operator="containsText" text="Conforme Planejado">
      <formula>NOT(ISERROR(SEARCH("Conforme Planejado",AD6)))</formula>
    </cfRule>
    <cfRule type="containsText" dxfId="84" priority="13" operator="containsText" text="PROJETO NÃO INICIADO">
      <formula>NOT(ISERROR(SEARCH("PROJETO NÃO INICIADO",AD6)))</formula>
    </cfRule>
    <cfRule type="containsText" dxfId="83" priority="14" operator="containsText" text="Atraso">
      <formula>NOT(ISERROR(SEARCH("Atraso",AD6)))</formula>
    </cfRule>
  </conditionalFormatting>
  <dataValidations count="6">
    <dataValidation type="list" allowBlank="1" showInputMessage="1" showErrorMessage="1" sqref="I29:I51 K29:K51 M29:M51 O29:O51 Q29:Q51 AE29:AE51 U29:U51 W29:W51 Y29:Y51 AA29:AA51 AC29:AC51 S29:S51" xr:uid="{0F4861CD-A665-499A-A8F9-E7EF66E776C3}">
      <formula1>"Método,mão de obra,máquina,materiais,medidas,meio ambiente "</formula1>
    </dataValidation>
    <dataValidation type="list" allowBlank="1" showInputMessage="1" showErrorMessage="1" sqref="E197:E264" xr:uid="{B4BD5359-C2F5-4AF6-BFFA-E2FA976BA817}">
      <formula1>"Sim,Não"</formula1>
    </dataValidation>
    <dataValidation type="list" allowBlank="1" showInputMessage="1" showErrorMessage="1" sqref="D146:D149 D154:D160 D168 D170 D172:D174" xr:uid="{1B210C57-608A-4FEE-9814-0B396EE571DF}">
      <formula1>"1,2,3"</formula1>
    </dataValidation>
    <dataValidation type="list" allowBlank="1" showInputMessage="1" showErrorMessage="1" sqref="E147:F174" xr:uid="{5D284B69-620B-4E49-A4C4-19C173B067C2}">
      <formula1>"0%,25%,50%,75%,100%"</formula1>
    </dataValidation>
    <dataValidation type="list" allowBlank="1" showInputMessage="1" showErrorMessage="1" sqref="AM55:AM144" xr:uid="{9E60AB47-C3B0-4424-934B-DE09378DCCC1}">
      <formula1>$AJ$47:$AJ$51</formula1>
    </dataValidation>
    <dataValidation type="list" allowBlank="1" showInputMessage="1" showErrorMessage="1" sqref="B55:B144" xr:uid="{90C7203B-7493-444D-A98E-864A518B728E}">
      <formula1>"VA,GGF,MA,Outros"</formula1>
    </dataValidation>
  </dataValidations>
  <hyperlinks>
    <hyperlink ref="C83:C84" r:id="rId1" display="17 - Consumo de água " xr:uid="{DFD50583-4590-406A-8147-052B3F2E5170}"/>
    <hyperlink ref="C79:C80" r:id="rId2" display="15 - Enclausuramento do jato granalha" xr:uid="{FB09FB39-ABF4-494E-B78A-8EE287EA2831}"/>
    <hyperlink ref="C77:C78" r:id="rId3" display="14 - Consumo de EPI's" xr:uid="{86E4D4BB-D9DB-456A-9315-60C07AECBF7E}"/>
    <hyperlink ref="C75:C76" r:id="rId4" display="13 - Transferência Hasenclaver para o plasma " xr:uid="{7347A4BD-3BC3-4334-8839-B9C858825FF9}"/>
    <hyperlink ref="C71:C72" r:id="rId5" display="10 - Consumo de energia elétrica: vazamentos de ar " xr:uid="{A025B1F7-3918-45AC-AA9E-DB09F149CA49}"/>
    <hyperlink ref="C73:C74" r:id="rId6" display="12 - Sistema hidráulico 3500T" xr:uid="{C4103470-BF45-47BA-9CD3-739DDBE6C44E}"/>
    <hyperlink ref="C67:C68" r:id="rId7" display="07 - Consumo de gás " xr:uid="{BF764B63-115E-4826-BC77-75337BED7687}"/>
    <hyperlink ref="C65:C66" r:id="rId8" display="06 - Reaproveitamento de lixas " xr:uid="{1D5D6401-286D-4C41-8C98-3F01D9EAD873}"/>
    <hyperlink ref="C61:C62" r:id="rId9" display="04 - Redução dos retrabalhos " xr:uid="{67D0826C-39F9-41C6-9745-7074574D9B11}"/>
    <hyperlink ref="C59:C60" r:id="rId10" display="03 - Consumo de desmoldante " xr:uid="{1F4A2DCF-6B36-4CF1-AB3A-8BA3F9AAE5FF}"/>
    <hyperlink ref="D55:D56" r:id="rId11" display="\\dfsrvfile01\Departamentos\Engenharia\02. Engenharia de Processo\02 - Projetos\05 - Projetos estratégicos\01 - Clientes com baixa margem de contribuição\PROJETO - CLIENTES COM BAIXA MARGEM DE CONTRIBUIÇÃO.xlsx" xr:uid="{58676B2C-0E17-4225-82FC-BA1699959407}"/>
    <hyperlink ref="D57" r:id="rId12" xr:uid="{557A9EEF-E70E-4D4B-B0C2-0F6640B7423A}"/>
    <hyperlink ref="D61" r:id="rId13" xr:uid="{58EFDD55-40B1-4679-A6F5-07840DA58B05}"/>
    <hyperlink ref="D55" r:id="rId14" xr:uid="{E4FC5CD5-1841-4D3C-8831-0B466AC253B6}"/>
    <hyperlink ref="D63" r:id="rId15" xr:uid="{A72306DE-DC7D-4BC1-9632-B6B0C164BA8B}"/>
    <hyperlink ref="D65" r:id="rId16" xr:uid="{E4FDA7EB-E026-4ECB-9608-E8D6378673BD}"/>
    <hyperlink ref="D67" r:id="rId17" xr:uid="{FD0C9E18-4BC4-4BB3-ABFA-710E96A59801}"/>
    <hyperlink ref="D69" r:id="rId18" xr:uid="{A33EB2EE-EC59-442C-88CC-907D3092D7C5}"/>
    <hyperlink ref="D71" r:id="rId19" xr:uid="{E3FCE5D8-7071-4F41-8AAE-6C0238A466C6}"/>
    <hyperlink ref="D73" r:id="rId20" xr:uid="{B080E2E2-7F9A-49EA-95D7-5EF3878B2D4B}"/>
    <hyperlink ref="D75" r:id="rId21" xr:uid="{3A8CC2C3-DF9C-477D-940E-213A35AB529B}"/>
    <hyperlink ref="D77" r:id="rId22" xr:uid="{C1763BBE-0D54-41E7-B630-DA2FA298E950}"/>
    <hyperlink ref="D79" r:id="rId23" xr:uid="{ADD15021-A00E-4DDF-983D-A331FE77AD48}"/>
    <hyperlink ref="D83" r:id="rId24" xr:uid="{1097B20F-8390-4C4A-B96A-4A1A043AECD9}"/>
    <hyperlink ref="D85" r:id="rId25" xr:uid="{AAB690F7-9351-4CF3-BC57-9E9E9FA5E683}"/>
    <hyperlink ref="D59" r:id="rId26" xr:uid="{CB40EB65-49CF-44D7-B696-73FD355DF633}"/>
    <hyperlink ref="D95" r:id="rId27" display="https://delgadiadema.sharepoint.com/sites/GestoEstratgica/Documentos%20Compartilhados/Controle%20Master/Evid%C3%AAncias%20Grupo%20Delga%202026/Evid%C3%AAncias%20Delga%20Ferraz/26%20-%20Redu%C3%A7%C3%A3o%20da%20MO%20do%20processo%20do%20Crossmember%20Scania/KAIZEN%2026%20-%202026%20-%20FERRAZ%20-%20Redu%C3%A7%C3%A3o%20da%20MO%20do%20processo%20CM%20Scania.xlsx?web=1" xr:uid="{651B9C92-E0B4-46D7-AE33-B3F23F20EA7A}"/>
    <hyperlink ref="D87" r:id="rId28" display="https://delgadiadema.sharepoint.com/sites/GestoEstratgica/Documentos%20Compartilhados/Controle%20Master/Evid%C3%AAncias%20Grupo%20Delga%202026/Evid%C3%AAncias%20Delga%20Ferraz/22%20-%20Tablet%20-%20Dobradeira/KAIZEN_A3%20-%20TABLET%20-%20PROJETO%2022.xlsx?web=1" xr:uid="{52CD25F2-57F0-4D71-A020-9B3C8E2B50B1}"/>
    <hyperlink ref="D97" r:id="rId29" display="https://delgadiadema.sharepoint.com/sites/GestoEstratgica/Documentos%20Compartilhados/Controle%20Master/Evid%C3%AAncias%20Grupo%20Delga%202026/Evid%C3%AAncias%20Delga%20Ferraz/27%20-%20Transfer%C3%AAncia%20do%20processo%20Volvo%20da%20tampa%20de%20fog%C3%A3o%20-%20Metalsa/KAIZEN%2027%20-%202026%20-%20FERRAZ%20-%20Transfer%C3%AAncia%20do%20processo%20Volvo.xlsx?web=1" xr:uid="{CCDCA424-54B8-410E-B03D-67B78F613689}"/>
    <hyperlink ref="D99" r:id="rId30" display="https://delgadiadema.sharepoint.com/sites/GestoEstratgica/Documentos%20Compartilhados/Controle%20Master/Evid%C3%AAncias%20Grupo%20Delga%202026/Evid%C3%AAncias%20Delga%20Ferraz/28%20-%20Manuten%C3%A7%C3%A3o%20de%20Lixadeiras/A3_Projeto%20Manuten%C3%A7%C3%A3o%20de%20Lixadeiras.xlsx?web=1" xr:uid="{2EA9F3F7-461C-4AAF-8868-272DF12AE685}"/>
    <hyperlink ref="D103" r:id="rId31" display="https://delgadiadema.sharepoint.com/sites/GestoEstratgica/Documentos%20Compartilhados/Controle%20Master/Evid%C3%AAncias%20Grupo%20Delga%202026/Evid%C3%AAncias%20Delga%20Ferraz/30%20-%20Redu%C3%A7%C3%A3o%20de%20hora%20extra/A3%20Projeto_Redu%C3%A7%C3%A3o%20de%20hora%20extra.xlsx?web=1" xr:uid="{9684553F-2E19-4CCE-AB70-A30304752EED}"/>
    <hyperlink ref="D105" r:id="rId32" display="https://delgadiadema.sharepoint.com/sites/GestoEstratgica/Documentos%20Compartilhados/Controle%20Master/Evid%C3%AAncias%20Grupo%20Delga%202026/Evid%C3%AAncias%20Delga%20Ferraz/31%20-%20Redu%C3%A7%C3%A3o%20da%20nota%20de%20d%C3%A9bitos%20de%20clientes/A3%20Projeto%20Redu%C3%A7%C3%A3o%20da%20nota%20de%20d%C3%A9bitos%20de%20clientes.xlsx?web=1" xr:uid="{60FEB9C3-F8B0-487C-B3CE-237631908D53}"/>
    <hyperlink ref="D91" r:id="rId33" display="https://delgadiadema.sharepoint.com/sites/GestoEstratgica/Documentos%20Compartilhados/Controle%20Master/Evid%C3%AAncias%20Grupo%20Delga%202026/Evid%C3%AAncias%20Delga%20Ferraz/24%20-%20Aquisi%C3%A7%C3%A3o%20do%20equipamento%20de%20ultrassom/A3_Projeto_Aquisi%C3%A7%C3%A3o%20do%20equipamento%20de%20ultrassom.xlsx?web=1" xr:uid="{1B967F36-3CF9-4F81-9112-B8169970F25E}"/>
    <hyperlink ref="D111" r:id="rId34" xr:uid="{6663ABCC-BEA1-4576-8110-8C0632CEF433}"/>
    <hyperlink ref="D107:D108" r:id="rId35" display="https://delgadiadema.sharepoint.com/:x:/s/GestoEstratgica/IQAdZAOjwJ4VRbJoKCb6lkSbAV2qI9DcvflybNV7wpxl4hk?e=Xth4Kc" xr:uid="{250DB10C-8F10-497A-9C86-8AE3D7F0527E}"/>
  </hyperlinks>
  <pageMargins left="0.75" right="0.75" top="1" bottom="1" header="0.5" footer="0.5"/>
  <pageSetup paperSize="9" scale="11" orientation="portrait" r:id="rId36"/>
  <drawing r:id="rId37"/>
  <legacyDrawing r:id="rId38"/>
  <mc:AlternateContent xmlns:mc="http://schemas.openxmlformats.org/markup-compatibility/2006">
    <mc:Choice Requires="x14">
      <controls>
        <mc:AlternateContent xmlns:mc="http://schemas.openxmlformats.org/markup-compatibility/2006">
          <mc:Choice Requires="x14">
            <control shapeId="4154" r:id="rId39" name="Check Box 58">
              <controlPr defaultSize="0" autoFill="0" autoLine="0" autoPict="0">
                <anchor moveWithCells="1">
                  <from>
                    <xdr:col>11</xdr:col>
                    <xdr:colOff>0</xdr:colOff>
                    <xdr:row>54</xdr:row>
                    <xdr:rowOff>259080</xdr:rowOff>
                  </from>
                  <to>
                    <xdr:col>11</xdr:col>
                    <xdr:colOff>1783080</xdr:colOff>
                    <xdr:row>55</xdr:row>
                    <xdr:rowOff>106680</xdr:rowOff>
                  </to>
                </anchor>
              </controlPr>
            </control>
          </mc:Choice>
        </mc:AlternateContent>
        <mc:AlternateContent xmlns:mc="http://schemas.openxmlformats.org/markup-compatibility/2006">
          <mc:Choice Requires="x14">
            <control shapeId="4155" r:id="rId40" name="Check Box 59">
              <controlPr defaultSize="0" autoFill="0" autoLine="0" autoPict="0">
                <anchor moveWithCells="1">
                  <from>
                    <xdr:col>11</xdr:col>
                    <xdr:colOff>0</xdr:colOff>
                    <xdr:row>55</xdr:row>
                    <xdr:rowOff>106680</xdr:rowOff>
                  </from>
                  <to>
                    <xdr:col>11</xdr:col>
                    <xdr:colOff>1783080</xdr:colOff>
                    <xdr:row>55</xdr:row>
                    <xdr:rowOff>342900</xdr:rowOff>
                  </to>
                </anchor>
              </controlPr>
            </control>
          </mc:Choice>
        </mc:AlternateContent>
        <mc:AlternateContent xmlns:mc="http://schemas.openxmlformats.org/markup-compatibility/2006">
          <mc:Choice Requires="x14">
            <control shapeId="4157" r:id="rId41" name="Check Box 61">
              <controlPr defaultSize="0" autoFill="0" autoLine="0" autoPict="0">
                <anchor moveWithCells="1">
                  <from>
                    <xdr:col>11</xdr:col>
                    <xdr:colOff>0</xdr:colOff>
                    <xdr:row>56</xdr:row>
                    <xdr:rowOff>259080</xdr:rowOff>
                  </from>
                  <to>
                    <xdr:col>11</xdr:col>
                    <xdr:colOff>1783080</xdr:colOff>
                    <xdr:row>57</xdr:row>
                    <xdr:rowOff>99060</xdr:rowOff>
                  </to>
                </anchor>
              </controlPr>
            </control>
          </mc:Choice>
        </mc:AlternateContent>
        <mc:AlternateContent xmlns:mc="http://schemas.openxmlformats.org/markup-compatibility/2006">
          <mc:Choice Requires="x14">
            <control shapeId="4158" r:id="rId42" name="Check Box 62">
              <controlPr defaultSize="0" autoFill="0" autoLine="0" autoPict="0">
                <anchor moveWithCells="1">
                  <from>
                    <xdr:col>11</xdr:col>
                    <xdr:colOff>0</xdr:colOff>
                    <xdr:row>57</xdr:row>
                    <xdr:rowOff>106680</xdr:rowOff>
                  </from>
                  <to>
                    <xdr:col>11</xdr:col>
                    <xdr:colOff>1783080</xdr:colOff>
                    <xdr:row>57</xdr:row>
                    <xdr:rowOff>312420</xdr:rowOff>
                  </to>
                </anchor>
              </controlPr>
            </control>
          </mc:Choice>
        </mc:AlternateContent>
        <mc:AlternateContent xmlns:mc="http://schemas.openxmlformats.org/markup-compatibility/2006">
          <mc:Choice Requires="x14">
            <control shapeId="4160" r:id="rId43" name="Check Box 64">
              <controlPr defaultSize="0" autoFill="0" autoLine="0" autoPict="0">
                <anchor moveWithCells="1">
                  <from>
                    <xdr:col>11</xdr:col>
                    <xdr:colOff>0</xdr:colOff>
                    <xdr:row>58</xdr:row>
                    <xdr:rowOff>259080</xdr:rowOff>
                  </from>
                  <to>
                    <xdr:col>11</xdr:col>
                    <xdr:colOff>1783080</xdr:colOff>
                    <xdr:row>59</xdr:row>
                    <xdr:rowOff>99060</xdr:rowOff>
                  </to>
                </anchor>
              </controlPr>
            </control>
          </mc:Choice>
        </mc:AlternateContent>
        <mc:AlternateContent xmlns:mc="http://schemas.openxmlformats.org/markup-compatibility/2006">
          <mc:Choice Requires="x14">
            <control shapeId="4161" r:id="rId44" name="Check Box 65">
              <controlPr defaultSize="0" autoFill="0" autoLine="0" autoPict="0">
                <anchor moveWithCells="1">
                  <from>
                    <xdr:col>11</xdr:col>
                    <xdr:colOff>0</xdr:colOff>
                    <xdr:row>59</xdr:row>
                    <xdr:rowOff>106680</xdr:rowOff>
                  </from>
                  <to>
                    <xdr:col>11</xdr:col>
                    <xdr:colOff>1783080</xdr:colOff>
                    <xdr:row>59</xdr:row>
                    <xdr:rowOff>312420</xdr:rowOff>
                  </to>
                </anchor>
              </controlPr>
            </control>
          </mc:Choice>
        </mc:AlternateContent>
        <mc:AlternateContent xmlns:mc="http://schemas.openxmlformats.org/markup-compatibility/2006">
          <mc:Choice Requires="x14">
            <control shapeId="4163" r:id="rId45" name="Check Box 67">
              <controlPr defaultSize="0" autoFill="0" autoLine="0" autoPict="0">
                <anchor moveWithCells="1">
                  <from>
                    <xdr:col>11</xdr:col>
                    <xdr:colOff>0</xdr:colOff>
                    <xdr:row>60</xdr:row>
                    <xdr:rowOff>259080</xdr:rowOff>
                  </from>
                  <to>
                    <xdr:col>11</xdr:col>
                    <xdr:colOff>1783080</xdr:colOff>
                    <xdr:row>61</xdr:row>
                    <xdr:rowOff>106680</xdr:rowOff>
                  </to>
                </anchor>
              </controlPr>
            </control>
          </mc:Choice>
        </mc:AlternateContent>
        <mc:AlternateContent xmlns:mc="http://schemas.openxmlformats.org/markup-compatibility/2006">
          <mc:Choice Requires="x14">
            <control shapeId="4164" r:id="rId46" name="Check Box 68">
              <controlPr defaultSize="0" autoFill="0" autoLine="0" autoPict="0">
                <anchor moveWithCells="1">
                  <from>
                    <xdr:col>11</xdr:col>
                    <xdr:colOff>0</xdr:colOff>
                    <xdr:row>61</xdr:row>
                    <xdr:rowOff>106680</xdr:rowOff>
                  </from>
                  <to>
                    <xdr:col>11</xdr:col>
                    <xdr:colOff>1783080</xdr:colOff>
                    <xdr:row>61</xdr:row>
                    <xdr:rowOff>342900</xdr:rowOff>
                  </to>
                </anchor>
              </controlPr>
            </control>
          </mc:Choice>
        </mc:AlternateContent>
        <mc:AlternateContent xmlns:mc="http://schemas.openxmlformats.org/markup-compatibility/2006">
          <mc:Choice Requires="x14">
            <control shapeId="4166" r:id="rId47" name="Check Box 70">
              <controlPr defaultSize="0" autoFill="0" autoLine="0" autoPict="0">
                <anchor moveWithCells="1">
                  <from>
                    <xdr:col>11</xdr:col>
                    <xdr:colOff>0</xdr:colOff>
                    <xdr:row>62</xdr:row>
                    <xdr:rowOff>259080</xdr:rowOff>
                  </from>
                  <to>
                    <xdr:col>11</xdr:col>
                    <xdr:colOff>1783080</xdr:colOff>
                    <xdr:row>63</xdr:row>
                    <xdr:rowOff>152400</xdr:rowOff>
                  </to>
                </anchor>
              </controlPr>
            </control>
          </mc:Choice>
        </mc:AlternateContent>
        <mc:AlternateContent xmlns:mc="http://schemas.openxmlformats.org/markup-compatibility/2006">
          <mc:Choice Requires="x14">
            <control shapeId="4167" r:id="rId48" name="Check Box 71">
              <controlPr defaultSize="0" autoFill="0" autoLine="0" autoPict="0">
                <anchor moveWithCells="1">
                  <from>
                    <xdr:col>11</xdr:col>
                    <xdr:colOff>0</xdr:colOff>
                    <xdr:row>63</xdr:row>
                    <xdr:rowOff>106680</xdr:rowOff>
                  </from>
                  <to>
                    <xdr:col>11</xdr:col>
                    <xdr:colOff>1783080</xdr:colOff>
                    <xdr:row>63</xdr:row>
                    <xdr:rowOff>312420</xdr:rowOff>
                  </to>
                </anchor>
              </controlPr>
            </control>
          </mc:Choice>
        </mc:AlternateContent>
        <mc:AlternateContent xmlns:mc="http://schemas.openxmlformats.org/markup-compatibility/2006">
          <mc:Choice Requires="x14">
            <control shapeId="4169" r:id="rId49" name="Check Box 73">
              <controlPr defaultSize="0" autoFill="0" autoLine="0" autoPict="0">
                <anchor moveWithCells="1">
                  <from>
                    <xdr:col>11</xdr:col>
                    <xdr:colOff>0</xdr:colOff>
                    <xdr:row>64</xdr:row>
                    <xdr:rowOff>259080</xdr:rowOff>
                  </from>
                  <to>
                    <xdr:col>11</xdr:col>
                    <xdr:colOff>1783080</xdr:colOff>
                    <xdr:row>65</xdr:row>
                    <xdr:rowOff>99060</xdr:rowOff>
                  </to>
                </anchor>
              </controlPr>
            </control>
          </mc:Choice>
        </mc:AlternateContent>
        <mc:AlternateContent xmlns:mc="http://schemas.openxmlformats.org/markup-compatibility/2006">
          <mc:Choice Requires="x14">
            <control shapeId="4170" r:id="rId50" name="Check Box 74">
              <controlPr defaultSize="0" autoFill="0" autoLine="0" autoPict="0">
                <anchor moveWithCells="1">
                  <from>
                    <xdr:col>11</xdr:col>
                    <xdr:colOff>0</xdr:colOff>
                    <xdr:row>65</xdr:row>
                    <xdr:rowOff>106680</xdr:rowOff>
                  </from>
                  <to>
                    <xdr:col>11</xdr:col>
                    <xdr:colOff>1783080</xdr:colOff>
                    <xdr:row>65</xdr:row>
                    <xdr:rowOff>312420</xdr:rowOff>
                  </to>
                </anchor>
              </controlPr>
            </control>
          </mc:Choice>
        </mc:AlternateContent>
        <mc:AlternateContent xmlns:mc="http://schemas.openxmlformats.org/markup-compatibility/2006">
          <mc:Choice Requires="x14">
            <control shapeId="4172" r:id="rId51" name="Check Box 76">
              <controlPr defaultSize="0" autoFill="0" autoLine="0" autoPict="0">
                <anchor moveWithCells="1">
                  <from>
                    <xdr:col>11</xdr:col>
                    <xdr:colOff>0</xdr:colOff>
                    <xdr:row>66</xdr:row>
                    <xdr:rowOff>259080</xdr:rowOff>
                  </from>
                  <to>
                    <xdr:col>11</xdr:col>
                    <xdr:colOff>1783080</xdr:colOff>
                    <xdr:row>67</xdr:row>
                    <xdr:rowOff>106680</xdr:rowOff>
                  </to>
                </anchor>
              </controlPr>
            </control>
          </mc:Choice>
        </mc:AlternateContent>
        <mc:AlternateContent xmlns:mc="http://schemas.openxmlformats.org/markup-compatibility/2006">
          <mc:Choice Requires="x14">
            <control shapeId="4173" r:id="rId52" name="Check Box 77">
              <controlPr defaultSize="0" autoFill="0" autoLine="0" autoPict="0">
                <anchor moveWithCells="1">
                  <from>
                    <xdr:col>11</xdr:col>
                    <xdr:colOff>0</xdr:colOff>
                    <xdr:row>67</xdr:row>
                    <xdr:rowOff>106680</xdr:rowOff>
                  </from>
                  <to>
                    <xdr:col>11</xdr:col>
                    <xdr:colOff>1783080</xdr:colOff>
                    <xdr:row>67</xdr:row>
                    <xdr:rowOff>312420</xdr:rowOff>
                  </to>
                </anchor>
              </controlPr>
            </control>
          </mc:Choice>
        </mc:AlternateContent>
        <mc:AlternateContent xmlns:mc="http://schemas.openxmlformats.org/markup-compatibility/2006">
          <mc:Choice Requires="x14">
            <control shapeId="4176" r:id="rId53" name="Check Box 80">
              <controlPr defaultSize="0" autoFill="0" autoLine="0" autoPict="0">
                <anchor moveWithCells="1">
                  <from>
                    <xdr:col>11</xdr:col>
                    <xdr:colOff>0</xdr:colOff>
                    <xdr:row>68</xdr:row>
                    <xdr:rowOff>0</xdr:rowOff>
                  </from>
                  <to>
                    <xdr:col>11</xdr:col>
                    <xdr:colOff>1783080</xdr:colOff>
                    <xdr:row>68</xdr:row>
                    <xdr:rowOff>228600</xdr:rowOff>
                  </to>
                </anchor>
              </controlPr>
            </control>
          </mc:Choice>
        </mc:AlternateContent>
        <mc:AlternateContent xmlns:mc="http://schemas.openxmlformats.org/markup-compatibility/2006">
          <mc:Choice Requires="x14">
            <control shapeId="4178" r:id="rId54" name="Check Box 82">
              <controlPr defaultSize="0" autoFill="0" autoLine="0" autoPict="0">
                <anchor moveWithCells="1">
                  <from>
                    <xdr:col>11</xdr:col>
                    <xdr:colOff>0</xdr:colOff>
                    <xdr:row>68</xdr:row>
                    <xdr:rowOff>259080</xdr:rowOff>
                  </from>
                  <to>
                    <xdr:col>11</xdr:col>
                    <xdr:colOff>1783080</xdr:colOff>
                    <xdr:row>69</xdr:row>
                    <xdr:rowOff>99060</xdr:rowOff>
                  </to>
                </anchor>
              </controlPr>
            </control>
          </mc:Choice>
        </mc:AlternateContent>
        <mc:AlternateContent xmlns:mc="http://schemas.openxmlformats.org/markup-compatibility/2006">
          <mc:Choice Requires="x14">
            <control shapeId="4179" r:id="rId55" name="Check Box 83">
              <controlPr defaultSize="0" autoFill="0" autoLine="0" autoPict="0">
                <anchor moveWithCells="1">
                  <from>
                    <xdr:col>11</xdr:col>
                    <xdr:colOff>0</xdr:colOff>
                    <xdr:row>69</xdr:row>
                    <xdr:rowOff>106680</xdr:rowOff>
                  </from>
                  <to>
                    <xdr:col>11</xdr:col>
                    <xdr:colOff>1783080</xdr:colOff>
                    <xdr:row>69</xdr:row>
                    <xdr:rowOff>342900</xdr:rowOff>
                  </to>
                </anchor>
              </controlPr>
            </control>
          </mc:Choice>
        </mc:AlternateContent>
        <mc:AlternateContent xmlns:mc="http://schemas.openxmlformats.org/markup-compatibility/2006">
          <mc:Choice Requires="x14">
            <control shapeId="4181" r:id="rId56" name="Check Box 85">
              <controlPr defaultSize="0" autoFill="0" autoLine="0" autoPict="0">
                <anchor moveWithCells="1">
                  <from>
                    <xdr:col>11</xdr:col>
                    <xdr:colOff>0</xdr:colOff>
                    <xdr:row>70</xdr:row>
                    <xdr:rowOff>259080</xdr:rowOff>
                  </from>
                  <to>
                    <xdr:col>11</xdr:col>
                    <xdr:colOff>1783080</xdr:colOff>
                    <xdr:row>71</xdr:row>
                    <xdr:rowOff>99060</xdr:rowOff>
                  </to>
                </anchor>
              </controlPr>
            </control>
          </mc:Choice>
        </mc:AlternateContent>
        <mc:AlternateContent xmlns:mc="http://schemas.openxmlformats.org/markup-compatibility/2006">
          <mc:Choice Requires="x14">
            <control shapeId="4182" r:id="rId57" name="Check Box 86">
              <controlPr defaultSize="0" autoFill="0" autoLine="0" autoPict="0">
                <anchor moveWithCells="1">
                  <from>
                    <xdr:col>11</xdr:col>
                    <xdr:colOff>0</xdr:colOff>
                    <xdr:row>71</xdr:row>
                    <xdr:rowOff>106680</xdr:rowOff>
                  </from>
                  <to>
                    <xdr:col>11</xdr:col>
                    <xdr:colOff>1783080</xdr:colOff>
                    <xdr:row>71</xdr:row>
                    <xdr:rowOff>312420</xdr:rowOff>
                  </to>
                </anchor>
              </controlPr>
            </control>
          </mc:Choice>
        </mc:AlternateContent>
        <mc:AlternateContent xmlns:mc="http://schemas.openxmlformats.org/markup-compatibility/2006">
          <mc:Choice Requires="x14">
            <control shapeId="4187" r:id="rId58" name="Check Box 91">
              <controlPr defaultSize="0" autoFill="0" autoLine="0" autoPict="0">
                <anchor moveWithCells="1">
                  <from>
                    <xdr:col>11</xdr:col>
                    <xdr:colOff>0</xdr:colOff>
                    <xdr:row>72</xdr:row>
                    <xdr:rowOff>259080</xdr:rowOff>
                  </from>
                  <to>
                    <xdr:col>11</xdr:col>
                    <xdr:colOff>1783080</xdr:colOff>
                    <xdr:row>73</xdr:row>
                    <xdr:rowOff>152400</xdr:rowOff>
                  </to>
                </anchor>
              </controlPr>
            </control>
          </mc:Choice>
        </mc:AlternateContent>
        <mc:AlternateContent xmlns:mc="http://schemas.openxmlformats.org/markup-compatibility/2006">
          <mc:Choice Requires="x14">
            <control shapeId="4188" r:id="rId59" name="Check Box 92">
              <controlPr defaultSize="0" autoFill="0" autoLine="0" autoPict="0">
                <anchor moveWithCells="1">
                  <from>
                    <xdr:col>11</xdr:col>
                    <xdr:colOff>0</xdr:colOff>
                    <xdr:row>73</xdr:row>
                    <xdr:rowOff>106680</xdr:rowOff>
                  </from>
                  <to>
                    <xdr:col>11</xdr:col>
                    <xdr:colOff>1783080</xdr:colOff>
                    <xdr:row>73</xdr:row>
                    <xdr:rowOff>312420</xdr:rowOff>
                  </to>
                </anchor>
              </controlPr>
            </control>
          </mc:Choice>
        </mc:AlternateContent>
        <mc:AlternateContent xmlns:mc="http://schemas.openxmlformats.org/markup-compatibility/2006">
          <mc:Choice Requires="x14">
            <control shapeId="4190" r:id="rId60" name="Check Box 94">
              <controlPr defaultSize="0" autoFill="0" autoLine="0" autoPict="0">
                <anchor moveWithCells="1">
                  <from>
                    <xdr:col>11</xdr:col>
                    <xdr:colOff>0</xdr:colOff>
                    <xdr:row>74</xdr:row>
                    <xdr:rowOff>259080</xdr:rowOff>
                  </from>
                  <to>
                    <xdr:col>11</xdr:col>
                    <xdr:colOff>1783080</xdr:colOff>
                    <xdr:row>75</xdr:row>
                    <xdr:rowOff>152400</xdr:rowOff>
                  </to>
                </anchor>
              </controlPr>
            </control>
          </mc:Choice>
        </mc:AlternateContent>
        <mc:AlternateContent xmlns:mc="http://schemas.openxmlformats.org/markup-compatibility/2006">
          <mc:Choice Requires="x14">
            <control shapeId="4191" r:id="rId61" name="Check Box 95">
              <controlPr defaultSize="0" autoFill="0" autoLine="0" autoPict="0">
                <anchor moveWithCells="1">
                  <from>
                    <xdr:col>11</xdr:col>
                    <xdr:colOff>0</xdr:colOff>
                    <xdr:row>75</xdr:row>
                    <xdr:rowOff>106680</xdr:rowOff>
                  </from>
                  <to>
                    <xdr:col>11</xdr:col>
                    <xdr:colOff>1783080</xdr:colOff>
                    <xdr:row>75</xdr:row>
                    <xdr:rowOff>312420</xdr:rowOff>
                  </to>
                </anchor>
              </controlPr>
            </control>
          </mc:Choice>
        </mc:AlternateContent>
        <mc:AlternateContent xmlns:mc="http://schemas.openxmlformats.org/markup-compatibility/2006">
          <mc:Choice Requires="x14">
            <control shapeId="4193" r:id="rId62" name="Check Box 97">
              <controlPr defaultSize="0" autoFill="0" autoLine="0" autoPict="0">
                <anchor moveWithCells="1">
                  <from>
                    <xdr:col>11</xdr:col>
                    <xdr:colOff>0</xdr:colOff>
                    <xdr:row>76</xdr:row>
                    <xdr:rowOff>259080</xdr:rowOff>
                  </from>
                  <to>
                    <xdr:col>11</xdr:col>
                    <xdr:colOff>1783080</xdr:colOff>
                    <xdr:row>77</xdr:row>
                    <xdr:rowOff>99060</xdr:rowOff>
                  </to>
                </anchor>
              </controlPr>
            </control>
          </mc:Choice>
        </mc:AlternateContent>
        <mc:AlternateContent xmlns:mc="http://schemas.openxmlformats.org/markup-compatibility/2006">
          <mc:Choice Requires="x14">
            <control shapeId="4194" r:id="rId63" name="Check Box 98">
              <controlPr defaultSize="0" autoFill="0" autoLine="0" autoPict="0">
                <anchor moveWithCells="1">
                  <from>
                    <xdr:col>11</xdr:col>
                    <xdr:colOff>0</xdr:colOff>
                    <xdr:row>77</xdr:row>
                    <xdr:rowOff>106680</xdr:rowOff>
                  </from>
                  <to>
                    <xdr:col>11</xdr:col>
                    <xdr:colOff>1783080</xdr:colOff>
                    <xdr:row>77</xdr:row>
                    <xdr:rowOff>312420</xdr:rowOff>
                  </to>
                </anchor>
              </controlPr>
            </control>
          </mc:Choice>
        </mc:AlternateContent>
        <mc:AlternateContent xmlns:mc="http://schemas.openxmlformats.org/markup-compatibility/2006">
          <mc:Choice Requires="x14">
            <control shapeId="4196" r:id="rId64" name="Check Box 100">
              <controlPr defaultSize="0" autoFill="0" autoLine="0" autoPict="0">
                <anchor moveWithCells="1">
                  <from>
                    <xdr:col>11</xdr:col>
                    <xdr:colOff>0</xdr:colOff>
                    <xdr:row>78</xdr:row>
                    <xdr:rowOff>259080</xdr:rowOff>
                  </from>
                  <to>
                    <xdr:col>11</xdr:col>
                    <xdr:colOff>1783080</xdr:colOff>
                    <xdr:row>79</xdr:row>
                    <xdr:rowOff>106680</xdr:rowOff>
                  </to>
                </anchor>
              </controlPr>
            </control>
          </mc:Choice>
        </mc:AlternateContent>
        <mc:AlternateContent xmlns:mc="http://schemas.openxmlformats.org/markup-compatibility/2006">
          <mc:Choice Requires="x14">
            <control shapeId="4197" r:id="rId65" name="Check Box 101">
              <controlPr defaultSize="0" autoFill="0" autoLine="0" autoPict="0">
                <anchor moveWithCells="1">
                  <from>
                    <xdr:col>11</xdr:col>
                    <xdr:colOff>0</xdr:colOff>
                    <xdr:row>79</xdr:row>
                    <xdr:rowOff>106680</xdr:rowOff>
                  </from>
                  <to>
                    <xdr:col>11</xdr:col>
                    <xdr:colOff>1783080</xdr:colOff>
                    <xdr:row>79</xdr:row>
                    <xdr:rowOff>342900</xdr:rowOff>
                  </to>
                </anchor>
              </controlPr>
            </control>
          </mc:Choice>
        </mc:AlternateContent>
        <mc:AlternateContent xmlns:mc="http://schemas.openxmlformats.org/markup-compatibility/2006">
          <mc:Choice Requires="x14">
            <control shapeId="4199" r:id="rId66" name="Check Box 103">
              <controlPr defaultSize="0" autoFill="0" autoLine="0" autoPict="0">
                <anchor moveWithCells="1">
                  <from>
                    <xdr:col>11</xdr:col>
                    <xdr:colOff>0</xdr:colOff>
                    <xdr:row>80</xdr:row>
                    <xdr:rowOff>259080</xdr:rowOff>
                  </from>
                  <to>
                    <xdr:col>11</xdr:col>
                    <xdr:colOff>1783080</xdr:colOff>
                    <xdr:row>81</xdr:row>
                    <xdr:rowOff>152400</xdr:rowOff>
                  </to>
                </anchor>
              </controlPr>
            </control>
          </mc:Choice>
        </mc:AlternateContent>
        <mc:AlternateContent xmlns:mc="http://schemas.openxmlformats.org/markup-compatibility/2006">
          <mc:Choice Requires="x14">
            <control shapeId="4200" r:id="rId67" name="Check Box 104">
              <controlPr defaultSize="0" autoFill="0" autoLine="0" autoPict="0">
                <anchor moveWithCells="1">
                  <from>
                    <xdr:col>11</xdr:col>
                    <xdr:colOff>0</xdr:colOff>
                    <xdr:row>81</xdr:row>
                    <xdr:rowOff>106680</xdr:rowOff>
                  </from>
                  <to>
                    <xdr:col>11</xdr:col>
                    <xdr:colOff>1783080</xdr:colOff>
                    <xdr:row>81</xdr:row>
                    <xdr:rowOff>312420</xdr:rowOff>
                  </to>
                </anchor>
              </controlPr>
            </control>
          </mc:Choice>
        </mc:AlternateContent>
        <mc:AlternateContent xmlns:mc="http://schemas.openxmlformats.org/markup-compatibility/2006">
          <mc:Choice Requires="x14">
            <control shapeId="4202" r:id="rId68" name="Check Box 106">
              <controlPr defaultSize="0" autoFill="0" autoLine="0" autoPict="0">
                <anchor moveWithCells="1">
                  <from>
                    <xdr:col>11</xdr:col>
                    <xdr:colOff>0</xdr:colOff>
                    <xdr:row>82</xdr:row>
                    <xdr:rowOff>259080</xdr:rowOff>
                  </from>
                  <to>
                    <xdr:col>11</xdr:col>
                    <xdr:colOff>1783080</xdr:colOff>
                    <xdr:row>83</xdr:row>
                    <xdr:rowOff>99060</xdr:rowOff>
                  </to>
                </anchor>
              </controlPr>
            </control>
          </mc:Choice>
        </mc:AlternateContent>
        <mc:AlternateContent xmlns:mc="http://schemas.openxmlformats.org/markup-compatibility/2006">
          <mc:Choice Requires="x14">
            <control shapeId="4203" r:id="rId69" name="Check Box 107">
              <controlPr defaultSize="0" autoFill="0" autoLine="0" autoPict="0">
                <anchor moveWithCells="1">
                  <from>
                    <xdr:col>11</xdr:col>
                    <xdr:colOff>0</xdr:colOff>
                    <xdr:row>83</xdr:row>
                    <xdr:rowOff>106680</xdr:rowOff>
                  </from>
                  <to>
                    <xdr:col>11</xdr:col>
                    <xdr:colOff>1783080</xdr:colOff>
                    <xdr:row>83</xdr:row>
                    <xdr:rowOff>312420</xdr:rowOff>
                  </to>
                </anchor>
              </controlPr>
            </control>
          </mc:Choice>
        </mc:AlternateContent>
        <mc:AlternateContent xmlns:mc="http://schemas.openxmlformats.org/markup-compatibility/2006">
          <mc:Choice Requires="x14">
            <control shapeId="4205" r:id="rId70" name="Check Box 109">
              <controlPr defaultSize="0" autoFill="0" autoLine="0" autoPict="0">
                <anchor moveWithCells="1">
                  <from>
                    <xdr:col>11</xdr:col>
                    <xdr:colOff>0</xdr:colOff>
                    <xdr:row>84</xdr:row>
                    <xdr:rowOff>0</xdr:rowOff>
                  </from>
                  <to>
                    <xdr:col>11</xdr:col>
                    <xdr:colOff>1783080</xdr:colOff>
                    <xdr:row>84</xdr:row>
                    <xdr:rowOff>220980</xdr:rowOff>
                  </to>
                </anchor>
              </controlPr>
            </control>
          </mc:Choice>
        </mc:AlternateContent>
        <mc:AlternateContent xmlns:mc="http://schemas.openxmlformats.org/markup-compatibility/2006">
          <mc:Choice Requires="x14">
            <control shapeId="4208" r:id="rId71" name="Check Box 112">
              <controlPr defaultSize="0" autoFill="0" autoLine="0" autoPict="0">
                <anchor moveWithCells="1">
                  <from>
                    <xdr:col>11</xdr:col>
                    <xdr:colOff>0</xdr:colOff>
                    <xdr:row>84</xdr:row>
                    <xdr:rowOff>0</xdr:rowOff>
                  </from>
                  <to>
                    <xdr:col>11</xdr:col>
                    <xdr:colOff>1783080</xdr:colOff>
                    <xdr:row>84</xdr:row>
                    <xdr:rowOff>220980</xdr:rowOff>
                  </to>
                </anchor>
              </controlPr>
            </control>
          </mc:Choice>
        </mc:AlternateContent>
        <mc:AlternateContent xmlns:mc="http://schemas.openxmlformats.org/markup-compatibility/2006">
          <mc:Choice Requires="x14">
            <control shapeId="4209" r:id="rId72" name="Check Box 113">
              <controlPr defaultSize="0" autoFill="0" autoLine="0" autoPict="0">
                <anchor moveWithCells="1">
                  <from>
                    <xdr:col>11</xdr:col>
                    <xdr:colOff>0</xdr:colOff>
                    <xdr:row>84</xdr:row>
                    <xdr:rowOff>0</xdr:rowOff>
                  </from>
                  <to>
                    <xdr:col>11</xdr:col>
                    <xdr:colOff>1783080</xdr:colOff>
                    <xdr:row>84</xdr:row>
                    <xdr:rowOff>220980</xdr:rowOff>
                  </to>
                </anchor>
              </controlPr>
            </control>
          </mc:Choice>
        </mc:AlternateContent>
        <mc:AlternateContent xmlns:mc="http://schemas.openxmlformats.org/markup-compatibility/2006">
          <mc:Choice Requires="x14">
            <control shapeId="4211" r:id="rId73" name="Check Box 115">
              <controlPr defaultSize="0" autoFill="0" autoLine="0" autoPict="0">
                <anchor moveWithCells="1">
                  <from>
                    <xdr:col>11</xdr:col>
                    <xdr:colOff>0</xdr:colOff>
                    <xdr:row>84</xdr:row>
                    <xdr:rowOff>259080</xdr:rowOff>
                  </from>
                  <to>
                    <xdr:col>11</xdr:col>
                    <xdr:colOff>1783080</xdr:colOff>
                    <xdr:row>85</xdr:row>
                    <xdr:rowOff>152400</xdr:rowOff>
                  </to>
                </anchor>
              </controlPr>
            </control>
          </mc:Choice>
        </mc:AlternateContent>
        <mc:AlternateContent xmlns:mc="http://schemas.openxmlformats.org/markup-compatibility/2006">
          <mc:Choice Requires="x14">
            <control shapeId="4212" r:id="rId74" name="Check Box 116">
              <controlPr defaultSize="0" autoFill="0" autoLine="0" autoPict="0">
                <anchor moveWithCells="1">
                  <from>
                    <xdr:col>11</xdr:col>
                    <xdr:colOff>0</xdr:colOff>
                    <xdr:row>85</xdr:row>
                    <xdr:rowOff>106680</xdr:rowOff>
                  </from>
                  <to>
                    <xdr:col>11</xdr:col>
                    <xdr:colOff>1783080</xdr:colOff>
                    <xdr:row>85</xdr:row>
                    <xdr:rowOff>312420</xdr:rowOff>
                  </to>
                </anchor>
              </controlPr>
            </control>
          </mc:Choice>
        </mc:AlternateContent>
        <mc:AlternateContent xmlns:mc="http://schemas.openxmlformats.org/markup-compatibility/2006">
          <mc:Choice Requires="x14">
            <control shapeId="4214" r:id="rId75" name="Check Box 118">
              <controlPr defaultSize="0" autoFill="0" autoLine="0" autoPict="0">
                <anchor moveWithCells="1">
                  <from>
                    <xdr:col>11</xdr:col>
                    <xdr:colOff>0</xdr:colOff>
                    <xdr:row>86</xdr:row>
                    <xdr:rowOff>0</xdr:rowOff>
                  </from>
                  <to>
                    <xdr:col>11</xdr:col>
                    <xdr:colOff>1783080</xdr:colOff>
                    <xdr:row>86</xdr:row>
                    <xdr:rowOff>220980</xdr:rowOff>
                  </to>
                </anchor>
              </controlPr>
            </control>
          </mc:Choice>
        </mc:AlternateContent>
        <mc:AlternateContent xmlns:mc="http://schemas.openxmlformats.org/markup-compatibility/2006">
          <mc:Choice Requires="x14">
            <control shapeId="4217" r:id="rId76" name="Check Box 121">
              <controlPr defaultSize="0" autoFill="0" autoLine="0" autoPict="0">
                <anchor moveWithCells="1">
                  <from>
                    <xdr:col>11</xdr:col>
                    <xdr:colOff>0</xdr:colOff>
                    <xdr:row>86</xdr:row>
                    <xdr:rowOff>259080</xdr:rowOff>
                  </from>
                  <to>
                    <xdr:col>11</xdr:col>
                    <xdr:colOff>1783080</xdr:colOff>
                    <xdr:row>87</xdr:row>
                    <xdr:rowOff>152400</xdr:rowOff>
                  </to>
                </anchor>
              </controlPr>
            </control>
          </mc:Choice>
        </mc:AlternateContent>
        <mc:AlternateContent xmlns:mc="http://schemas.openxmlformats.org/markup-compatibility/2006">
          <mc:Choice Requires="x14">
            <control shapeId="4218" r:id="rId77" name="Check Box 122">
              <controlPr defaultSize="0" autoFill="0" autoLine="0" autoPict="0">
                <anchor moveWithCells="1">
                  <from>
                    <xdr:col>11</xdr:col>
                    <xdr:colOff>0</xdr:colOff>
                    <xdr:row>87</xdr:row>
                    <xdr:rowOff>106680</xdr:rowOff>
                  </from>
                  <to>
                    <xdr:col>11</xdr:col>
                    <xdr:colOff>1783080</xdr:colOff>
                    <xdr:row>87</xdr:row>
                    <xdr:rowOff>312420</xdr:rowOff>
                  </to>
                </anchor>
              </controlPr>
            </control>
          </mc:Choice>
        </mc:AlternateContent>
        <mc:AlternateContent xmlns:mc="http://schemas.openxmlformats.org/markup-compatibility/2006">
          <mc:Choice Requires="x14">
            <control shapeId="4220" r:id="rId78" name="Check Box 124">
              <controlPr defaultSize="0" autoFill="0" autoLine="0" autoPict="0">
                <anchor moveWithCells="1">
                  <from>
                    <xdr:col>11</xdr:col>
                    <xdr:colOff>0</xdr:colOff>
                    <xdr:row>88</xdr:row>
                    <xdr:rowOff>259080</xdr:rowOff>
                  </from>
                  <to>
                    <xdr:col>11</xdr:col>
                    <xdr:colOff>1783080</xdr:colOff>
                    <xdr:row>89</xdr:row>
                    <xdr:rowOff>152400</xdr:rowOff>
                  </to>
                </anchor>
              </controlPr>
            </control>
          </mc:Choice>
        </mc:AlternateContent>
        <mc:AlternateContent xmlns:mc="http://schemas.openxmlformats.org/markup-compatibility/2006">
          <mc:Choice Requires="x14">
            <control shapeId="4221" r:id="rId79" name="Check Box 125">
              <controlPr defaultSize="0" autoFill="0" autoLine="0" autoPict="0">
                <anchor moveWithCells="1">
                  <from>
                    <xdr:col>11</xdr:col>
                    <xdr:colOff>0</xdr:colOff>
                    <xdr:row>89</xdr:row>
                    <xdr:rowOff>106680</xdr:rowOff>
                  </from>
                  <to>
                    <xdr:col>11</xdr:col>
                    <xdr:colOff>1783080</xdr:colOff>
                    <xdr:row>89</xdr:row>
                    <xdr:rowOff>312420</xdr:rowOff>
                  </to>
                </anchor>
              </controlPr>
            </control>
          </mc:Choice>
        </mc:AlternateContent>
        <mc:AlternateContent xmlns:mc="http://schemas.openxmlformats.org/markup-compatibility/2006">
          <mc:Choice Requires="x14">
            <control shapeId="4222" r:id="rId80" name="Check Box 126">
              <controlPr defaultSize="0" autoFill="0" autoLine="0" autoPict="0">
                <anchor moveWithCells="1">
                  <from>
                    <xdr:col>11</xdr:col>
                    <xdr:colOff>0</xdr:colOff>
                    <xdr:row>90</xdr:row>
                    <xdr:rowOff>30480</xdr:rowOff>
                  </from>
                  <to>
                    <xdr:col>11</xdr:col>
                    <xdr:colOff>1783080</xdr:colOff>
                    <xdr:row>90</xdr:row>
                    <xdr:rowOff>228600</xdr:rowOff>
                  </to>
                </anchor>
              </controlPr>
            </control>
          </mc:Choice>
        </mc:AlternateContent>
        <mc:AlternateContent xmlns:mc="http://schemas.openxmlformats.org/markup-compatibility/2006">
          <mc:Choice Requires="x14">
            <control shapeId="4223" r:id="rId81" name="Check Box 127">
              <controlPr defaultSize="0" autoFill="0" autoLine="0" autoPict="0">
                <anchor moveWithCells="1">
                  <from>
                    <xdr:col>11</xdr:col>
                    <xdr:colOff>0</xdr:colOff>
                    <xdr:row>90</xdr:row>
                    <xdr:rowOff>259080</xdr:rowOff>
                  </from>
                  <to>
                    <xdr:col>11</xdr:col>
                    <xdr:colOff>1783080</xdr:colOff>
                    <xdr:row>91</xdr:row>
                    <xdr:rowOff>152400</xdr:rowOff>
                  </to>
                </anchor>
              </controlPr>
            </control>
          </mc:Choice>
        </mc:AlternateContent>
        <mc:AlternateContent xmlns:mc="http://schemas.openxmlformats.org/markup-compatibility/2006">
          <mc:Choice Requires="x14">
            <control shapeId="4224" r:id="rId82" name="Check Box 128">
              <controlPr defaultSize="0" autoFill="0" autoLine="0" autoPict="0">
                <anchor moveWithCells="1">
                  <from>
                    <xdr:col>11</xdr:col>
                    <xdr:colOff>0</xdr:colOff>
                    <xdr:row>91</xdr:row>
                    <xdr:rowOff>106680</xdr:rowOff>
                  </from>
                  <to>
                    <xdr:col>11</xdr:col>
                    <xdr:colOff>1783080</xdr:colOff>
                    <xdr:row>91</xdr:row>
                    <xdr:rowOff>312420</xdr:rowOff>
                  </to>
                </anchor>
              </controlPr>
            </control>
          </mc:Choice>
        </mc:AlternateContent>
        <mc:AlternateContent xmlns:mc="http://schemas.openxmlformats.org/markup-compatibility/2006">
          <mc:Choice Requires="x14">
            <control shapeId="4226" r:id="rId83" name="Check Box 130">
              <controlPr defaultSize="0" autoFill="0" autoLine="0" autoPict="0">
                <anchor moveWithCells="1">
                  <from>
                    <xdr:col>11</xdr:col>
                    <xdr:colOff>0</xdr:colOff>
                    <xdr:row>104</xdr:row>
                    <xdr:rowOff>259080</xdr:rowOff>
                  </from>
                  <to>
                    <xdr:col>11</xdr:col>
                    <xdr:colOff>1783080</xdr:colOff>
                    <xdr:row>105</xdr:row>
                    <xdr:rowOff>152400</xdr:rowOff>
                  </to>
                </anchor>
              </controlPr>
            </control>
          </mc:Choice>
        </mc:AlternateContent>
        <mc:AlternateContent xmlns:mc="http://schemas.openxmlformats.org/markup-compatibility/2006">
          <mc:Choice Requires="x14">
            <control shapeId="4227" r:id="rId84" name="Check Box 131">
              <controlPr defaultSize="0" autoFill="0" autoLine="0" autoPict="0">
                <anchor moveWithCells="1">
                  <from>
                    <xdr:col>11</xdr:col>
                    <xdr:colOff>0</xdr:colOff>
                    <xdr:row>105</xdr:row>
                    <xdr:rowOff>106680</xdr:rowOff>
                  </from>
                  <to>
                    <xdr:col>11</xdr:col>
                    <xdr:colOff>1783080</xdr:colOff>
                    <xdr:row>105</xdr:row>
                    <xdr:rowOff>297180</xdr:rowOff>
                  </to>
                </anchor>
              </controlPr>
            </control>
          </mc:Choice>
        </mc:AlternateContent>
        <mc:AlternateContent xmlns:mc="http://schemas.openxmlformats.org/markup-compatibility/2006">
          <mc:Choice Requires="x14">
            <control shapeId="4229" r:id="rId85" name="Check Box 133">
              <controlPr defaultSize="0" autoFill="0" autoLine="0" autoPict="0">
                <anchor moveWithCells="1">
                  <from>
                    <xdr:col>11</xdr:col>
                    <xdr:colOff>0</xdr:colOff>
                    <xdr:row>142</xdr:row>
                    <xdr:rowOff>259080</xdr:rowOff>
                  </from>
                  <to>
                    <xdr:col>11</xdr:col>
                    <xdr:colOff>1783080</xdr:colOff>
                    <xdr:row>143</xdr:row>
                    <xdr:rowOff>137160</xdr:rowOff>
                  </to>
                </anchor>
              </controlPr>
            </control>
          </mc:Choice>
        </mc:AlternateContent>
        <mc:AlternateContent xmlns:mc="http://schemas.openxmlformats.org/markup-compatibility/2006">
          <mc:Choice Requires="x14">
            <control shapeId="4230" r:id="rId86" name="Check Box 134">
              <controlPr defaultSize="0" autoFill="0" autoLine="0" autoPict="0">
                <anchor moveWithCells="1">
                  <from>
                    <xdr:col>11</xdr:col>
                    <xdr:colOff>0</xdr:colOff>
                    <xdr:row>143</xdr:row>
                    <xdr:rowOff>106680</xdr:rowOff>
                  </from>
                  <to>
                    <xdr:col>11</xdr:col>
                    <xdr:colOff>1783080</xdr:colOff>
                    <xdr:row>143</xdr:row>
                    <xdr:rowOff>297180</xdr:rowOff>
                  </to>
                </anchor>
              </controlPr>
            </control>
          </mc:Choice>
        </mc:AlternateContent>
        <mc:AlternateContent xmlns:mc="http://schemas.openxmlformats.org/markup-compatibility/2006">
          <mc:Choice Requires="x14">
            <control shapeId="4232" r:id="rId87" name="Check Box 136">
              <controlPr defaultSize="0" autoFill="0" autoLine="0" autoPict="0">
                <anchor moveWithCells="1">
                  <from>
                    <xdr:col>11</xdr:col>
                    <xdr:colOff>0</xdr:colOff>
                    <xdr:row>54</xdr:row>
                    <xdr:rowOff>30480</xdr:rowOff>
                  </from>
                  <to>
                    <xdr:col>11</xdr:col>
                    <xdr:colOff>1783080</xdr:colOff>
                    <xdr:row>54</xdr:row>
                    <xdr:rowOff>259080</xdr:rowOff>
                  </to>
                </anchor>
              </controlPr>
            </control>
          </mc:Choice>
        </mc:AlternateContent>
        <mc:AlternateContent xmlns:mc="http://schemas.openxmlformats.org/markup-compatibility/2006">
          <mc:Choice Requires="x14">
            <control shapeId="4233" r:id="rId88" name="Check Box 137">
              <controlPr defaultSize="0" autoFill="0" autoLine="0" autoPict="0">
                <anchor moveWithCells="1">
                  <from>
                    <xdr:col>11</xdr:col>
                    <xdr:colOff>0</xdr:colOff>
                    <xdr:row>56</xdr:row>
                    <xdr:rowOff>30480</xdr:rowOff>
                  </from>
                  <to>
                    <xdr:col>11</xdr:col>
                    <xdr:colOff>1783080</xdr:colOff>
                    <xdr:row>56</xdr:row>
                    <xdr:rowOff>259080</xdr:rowOff>
                  </to>
                </anchor>
              </controlPr>
            </control>
          </mc:Choice>
        </mc:AlternateContent>
        <mc:AlternateContent xmlns:mc="http://schemas.openxmlformats.org/markup-compatibility/2006">
          <mc:Choice Requires="x14">
            <control shapeId="4234" r:id="rId89" name="Check Box 138">
              <controlPr defaultSize="0" autoFill="0" autoLine="0" autoPict="0">
                <anchor moveWithCells="1">
                  <from>
                    <xdr:col>11</xdr:col>
                    <xdr:colOff>0</xdr:colOff>
                    <xdr:row>58</xdr:row>
                    <xdr:rowOff>30480</xdr:rowOff>
                  </from>
                  <to>
                    <xdr:col>11</xdr:col>
                    <xdr:colOff>1783080</xdr:colOff>
                    <xdr:row>58</xdr:row>
                    <xdr:rowOff>259080</xdr:rowOff>
                  </to>
                </anchor>
              </controlPr>
            </control>
          </mc:Choice>
        </mc:AlternateContent>
        <mc:AlternateContent xmlns:mc="http://schemas.openxmlformats.org/markup-compatibility/2006">
          <mc:Choice Requires="x14">
            <control shapeId="4235" r:id="rId90" name="Check Box 139">
              <controlPr defaultSize="0" autoFill="0" autoLine="0" autoPict="0">
                <anchor moveWithCells="1">
                  <from>
                    <xdr:col>11</xdr:col>
                    <xdr:colOff>0</xdr:colOff>
                    <xdr:row>60</xdr:row>
                    <xdr:rowOff>30480</xdr:rowOff>
                  </from>
                  <to>
                    <xdr:col>11</xdr:col>
                    <xdr:colOff>1783080</xdr:colOff>
                    <xdr:row>60</xdr:row>
                    <xdr:rowOff>259080</xdr:rowOff>
                  </to>
                </anchor>
              </controlPr>
            </control>
          </mc:Choice>
        </mc:AlternateContent>
        <mc:AlternateContent xmlns:mc="http://schemas.openxmlformats.org/markup-compatibility/2006">
          <mc:Choice Requires="x14">
            <control shapeId="4236" r:id="rId91" name="Check Box 140">
              <controlPr defaultSize="0" autoFill="0" autoLine="0" autoPict="0">
                <anchor moveWithCells="1">
                  <from>
                    <xdr:col>11</xdr:col>
                    <xdr:colOff>0</xdr:colOff>
                    <xdr:row>62</xdr:row>
                    <xdr:rowOff>30480</xdr:rowOff>
                  </from>
                  <to>
                    <xdr:col>11</xdr:col>
                    <xdr:colOff>1783080</xdr:colOff>
                    <xdr:row>62</xdr:row>
                    <xdr:rowOff>259080</xdr:rowOff>
                  </to>
                </anchor>
              </controlPr>
            </control>
          </mc:Choice>
        </mc:AlternateContent>
        <mc:AlternateContent xmlns:mc="http://schemas.openxmlformats.org/markup-compatibility/2006">
          <mc:Choice Requires="x14">
            <control shapeId="4237" r:id="rId92" name="Check Box 141">
              <controlPr defaultSize="0" autoFill="0" autoLine="0" autoPict="0">
                <anchor moveWithCells="1">
                  <from>
                    <xdr:col>11</xdr:col>
                    <xdr:colOff>0</xdr:colOff>
                    <xdr:row>64</xdr:row>
                    <xdr:rowOff>30480</xdr:rowOff>
                  </from>
                  <to>
                    <xdr:col>11</xdr:col>
                    <xdr:colOff>1783080</xdr:colOff>
                    <xdr:row>64</xdr:row>
                    <xdr:rowOff>259080</xdr:rowOff>
                  </to>
                </anchor>
              </controlPr>
            </control>
          </mc:Choice>
        </mc:AlternateContent>
        <mc:AlternateContent xmlns:mc="http://schemas.openxmlformats.org/markup-compatibility/2006">
          <mc:Choice Requires="x14">
            <control shapeId="4238" r:id="rId93" name="Check Box 142">
              <controlPr defaultSize="0" autoFill="0" autoLine="0" autoPict="0">
                <anchor moveWithCells="1">
                  <from>
                    <xdr:col>11</xdr:col>
                    <xdr:colOff>0</xdr:colOff>
                    <xdr:row>66</xdr:row>
                    <xdr:rowOff>30480</xdr:rowOff>
                  </from>
                  <to>
                    <xdr:col>11</xdr:col>
                    <xdr:colOff>1783080</xdr:colOff>
                    <xdr:row>66</xdr:row>
                    <xdr:rowOff>259080</xdr:rowOff>
                  </to>
                </anchor>
              </controlPr>
            </control>
          </mc:Choice>
        </mc:AlternateContent>
        <mc:AlternateContent xmlns:mc="http://schemas.openxmlformats.org/markup-compatibility/2006">
          <mc:Choice Requires="x14">
            <control shapeId="4242" r:id="rId94" name="Check Box 146">
              <controlPr defaultSize="0" autoFill="0" autoLine="0" autoPict="0">
                <anchor moveWithCells="1">
                  <from>
                    <xdr:col>11</xdr:col>
                    <xdr:colOff>0</xdr:colOff>
                    <xdr:row>70</xdr:row>
                    <xdr:rowOff>30480</xdr:rowOff>
                  </from>
                  <to>
                    <xdr:col>11</xdr:col>
                    <xdr:colOff>1783080</xdr:colOff>
                    <xdr:row>70</xdr:row>
                    <xdr:rowOff>259080</xdr:rowOff>
                  </to>
                </anchor>
              </controlPr>
            </control>
          </mc:Choice>
        </mc:AlternateContent>
        <mc:AlternateContent xmlns:mc="http://schemas.openxmlformats.org/markup-compatibility/2006">
          <mc:Choice Requires="x14">
            <control shapeId="4243" r:id="rId95" name="Check Box 147">
              <controlPr defaultSize="0" autoFill="0" autoLine="0" autoPict="0">
                <anchor moveWithCells="1">
                  <from>
                    <xdr:col>11</xdr:col>
                    <xdr:colOff>0</xdr:colOff>
                    <xdr:row>72</xdr:row>
                    <xdr:rowOff>30480</xdr:rowOff>
                  </from>
                  <to>
                    <xdr:col>11</xdr:col>
                    <xdr:colOff>1783080</xdr:colOff>
                    <xdr:row>72</xdr:row>
                    <xdr:rowOff>259080</xdr:rowOff>
                  </to>
                </anchor>
              </controlPr>
            </control>
          </mc:Choice>
        </mc:AlternateContent>
        <mc:AlternateContent xmlns:mc="http://schemas.openxmlformats.org/markup-compatibility/2006">
          <mc:Choice Requires="x14">
            <control shapeId="4244" r:id="rId96" name="Check Box 148">
              <controlPr defaultSize="0" autoFill="0" autoLine="0" autoPict="0">
                <anchor moveWithCells="1">
                  <from>
                    <xdr:col>11</xdr:col>
                    <xdr:colOff>0</xdr:colOff>
                    <xdr:row>74</xdr:row>
                    <xdr:rowOff>30480</xdr:rowOff>
                  </from>
                  <to>
                    <xdr:col>11</xdr:col>
                    <xdr:colOff>1783080</xdr:colOff>
                    <xdr:row>74</xdr:row>
                    <xdr:rowOff>259080</xdr:rowOff>
                  </to>
                </anchor>
              </controlPr>
            </control>
          </mc:Choice>
        </mc:AlternateContent>
        <mc:AlternateContent xmlns:mc="http://schemas.openxmlformats.org/markup-compatibility/2006">
          <mc:Choice Requires="x14">
            <control shapeId="4245" r:id="rId97" name="Check Box 149">
              <controlPr defaultSize="0" autoFill="0" autoLine="0" autoPict="0">
                <anchor moveWithCells="1">
                  <from>
                    <xdr:col>11</xdr:col>
                    <xdr:colOff>0</xdr:colOff>
                    <xdr:row>76</xdr:row>
                    <xdr:rowOff>30480</xdr:rowOff>
                  </from>
                  <to>
                    <xdr:col>11</xdr:col>
                    <xdr:colOff>1783080</xdr:colOff>
                    <xdr:row>76</xdr:row>
                    <xdr:rowOff>259080</xdr:rowOff>
                  </to>
                </anchor>
              </controlPr>
            </control>
          </mc:Choice>
        </mc:AlternateContent>
        <mc:AlternateContent xmlns:mc="http://schemas.openxmlformats.org/markup-compatibility/2006">
          <mc:Choice Requires="x14">
            <control shapeId="4246" r:id="rId98" name="Check Box 150">
              <controlPr defaultSize="0" autoFill="0" autoLine="0" autoPict="0">
                <anchor moveWithCells="1">
                  <from>
                    <xdr:col>11</xdr:col>
                    <xdr:colOff>0</xdr:colOff>
                    <xdr:row>78</xdr:row>
                    <xdr:rowOff>30480</xdr:rowOff>
                  </from>
                  <to>
                    <xdr:col>11</xdr:col>
                    <xdr:colOff>1783080</xdr:colOff>
                    <xdr:row>78</xdr:row>
                    <xdr:rowOff>259080</xdr:rowOff>
                  </to>
                </anchor>
              </controlPr>
            </control>
          </mc:Choice>
        </mc:AlternateContent>
        <mc:AlternateContent xmlns:mc="http://schemas.openxmlformats.org/markup-compatibility/2006">
          <mc:Choice Requires="x14">
            <control shapeId="4247" r:id="rId99" name="Check Box 151">
              <controlPr defaultSize="0" autoFill="0" autoLine="0" autoPict="0">
                <anchor moveWithCells="1">
                  <from>
                    <xdr:col>11</xdr:col>
                    <xdr:colOff>0</xdr:colOff>
                    <xdr:row>80</xdr:row>
                    <xdr:rowOff>30480</xdr:rowOff>
                  </from>
                  <to>
                    <xdr:col>11</xdr:col>
                    <xdr:colOff>1783080</xdr:colOff>
                    <xdr:row>80</xdr:row>
                    <xdr:rowOff>259080</xdr:rowOff>
                  </to>
                </anchor>
              </controlPr>
            </control>
          </mc:Choice>
        </mc:AlternateContent>
        <mc:AlternateContent xmlns:mc="http://schemas.openxmlformats.org/markup-compatibility/2006">
          <mc:Choice Requires="x14">
            <control shapeId="4248" r:id="rId100" name="Check Box 152">
              <controlPr defaultSize="0" autoFill="0" autoLine="0" autoPict="0">
                <anchor moveWithCells="1">
                  <from>
                    <xdr:col>11</xdr:col>
                    <xdr:colOff>0</xdr:colOff>
                    <xdr:row>82</xdr:row>
                    <xdr:rowOff>30480</xdr:rowOff>
                  </from>
                  <to>
                    <xdr:col>11</xdr:col>
                    <xdr:colOff>1783080</xdr:colOff>
                    <xdr:row>82</xdr:row>
                    <xdr:rowOff>259080</xdr:rowOff>
                  </to>
                </anchor>
              </controlPr>
            </control>
          </mc:Choice>
        </mc:AlternateContent>
        <mc:AlternateContent xmlns:mc="http://schemas.openxmlformats.org/markup-compatibility/2006">
          <mc:Choice Requires="x14">
            <control shapeId="4251" r:id="rId101" name="Check Box 155">
              <controlPr defaultSize="0" autoFill="0" autoLine="0" autoPict="0">
                <anchor moveWithCells="1">
                  <from>
                    <xdr:col>11</xdr:col>
                    <xdr:colOff>0</xdr:colOff>
                    <xdr:row>84</xdr:row>
                    <xdr:rowOff>30480</xdr:rowOff>
                  </from>
                  <to>
                    <xdr:col>11</xdr:col>
                    <xdr:colOff>1783080</xdr:colOff>
                    <xdr:row>84</xdr:row>
                    <xdr:rowOff>259080</xdr:rowOff>
                  </to>
                </anchor>
              </controlPr>
            </control>
          </mc:Choice>
        </mc:AlternateContent>
        <mc:AlternateContent xmlns:mc="http://schemas.openxmlformats.org/markup-compatibility/2006">
          <mc:Choice Requires="x14">
            <control shapeId="4254" r:id="rId102" name="Check Box 158">
              <controlPr defaultSize="0" autoFill="0" autoLine="0" autoPict="0">
                <anchor moveWithCells="1">
                  <from>
                    <xdr:col>11</xdr:col>
                    <xdr:colOff>0</xdr:colOff>
                    <xdr:row>88</xdr:row>
                    <xdr:rowOff>30480</xdr:rowOff>
                  </from>
                  <to>
                    <xdr:col>11</xdr:col>
                    <xdr:colOff>1783080</xdr:colOff>
                    <xdr:row>88</xdr:row>
                    <xdr:rowOff>259080</xdr:rowOff>
                  </to>
                </anchor>
              </controlPr>
            </control>
          </mc:Choice>
        </mc:AlternateContent>
        <mc:AlternateContent xmlns:mc="http://schemas.openxmlformats.org/markup-compatibility/2006">
          <mc:Choice Requires="x14">
            <control shapeId="4255" r:id="rId103" name="Check Box 159">
              <controlPr defaultSize="0" autoFill="0" autoLine="0" autoPict="0">
                <anchor moveWithCells="1">
                  <from>
                    <xdr:col>11</xdr:col>
                    <xdr:colOff>0</xdr:colOff>
                    <xdr:row>104</xdr:row>
                    <xdr:rowOff>30480</xdr:rowOff>
                  </from>
                  <to>
                    <xdr:col>11</xdr:col>
                    <xdr:colOff>1783080</xdr:colOff>
                    <xdr:row>104</xdr:row>
                    <xdr:rowOff>259080</xdr:rowOff>
                  </to>
                </anchor>
              </controlPr>
            </control>
          </mc:Choice>
        </mc:AlternateContent>
        <mc:AlternateContent xmlns:mc="http://schemas.openxmlformats.org/markup-compatibility/2006">
          <mc:Choice Requires="x14">
            <control shapeId="4256" r:id="rId104" name="Check Box 160">
              <controlPr defaultSize="0" autoFill="0" autoLine="0" autoPict="0">
                <anchor moveWithCells="1">
                  <from>
                    <xdr:col>11</xdr:col>
                    <xdr:colOff>0</xdr:colOff>
                    <xdr:row>142</xdr:row>
                    <xdr:rowOff>30480</xdr:rowOff>
                  </from>
                  <to>
                    <xdr:col>11</xdr:col>
                    <xdr:colOff>1783080</xdr:colOff>
                    <xdr:row>142</xdr:row>
                    <xdr:rowOff>259080</xdr:rowOff>
                  </to>
                </anchor>
              </controlPr>
            </control>
          </mc:Choice>
        </mc:AlternateContent>
        <mc:AlternateContent xmlns:mc="http://schemas.openxmlformats.org/markup-compatibility/2006">
          <mc:Choice Requires="x14">
            <control shapeId="4413" r:id="rId105" name="Check Box 317">
              <controlPr defaultSize="0" autoFill="0" autoLine="0" autoPict="0">
                <anchor moveWithCells="1">
                  <from>
                    <xdr:col>11</xdr:col>
                    <xdr:colOff>0</xdr:colOff>
                    <xdr:row>92</xdr:row>
                    <xdr:rowOff>259080</xdr:rowOff>
                  </from>
                  <to>
                    <xdr:col>11</xdr:col>
                    <xdr:colOff>1783080</xdr:colOff>
                    <xdr:row>93</xdr:row>
                    <xdr:rowOff>152400</xdr:rowOff>
                  </to>
                </anchor>
              </controlPr>
            </control>
          </mc:Choice>
        </mc:AlternateContent>
        <mc:AlternateContent xmlns:mc="http://schemas.openxmlformats.org/markup-compatibility/2006">
          <mc:Choice Requires="x14">
            <control shapeId="4414" r:id="rId106" name="Check Box 318">
              <controlPr defaultSize="0" autoFill="0" autoLine="0" autoPict="0">
                <anchor moveWithCells="1">
                  <from>
                    <xdr:col>11</xdr:col>
                    <xdr:colOff>0</xdr:colOff>
                    <xdr:row>93</xdr:row>
                    <xdr:rowOff>106680</xdr:rowOff>
                  </from>
                  <to>
                    <xdr:col>11</xdr:col>
                    <xdr:colOff>1783080</xdr:colOff>
                    <xdr:row>93</xdr:row>
                    <xdr:rowOff>312420</xdr:rowOff>
                  </to>
                </anchor>
              </controlPr>
            </control>
          </mc:Choice>
        </mc:AlternateContent>
        <mc:AlternateContent xmlns:mc="http://schemas.openxmlformats.org/markup-compatibility/2006">
          <mc:Choice Requires="x14">
            <control shapeId="4415" r:id="rId107" name="Check Box 319">
              <controlPr defaultSize="0" autoFill="0" autoLine="0" autoPict="0">
                <anchor moveWithCells="1">
                  <from>
                    <xdr:col>11</xdr:col>
                    <xdr:colOff>0</xdr:colOff>
                    <xdr:row>92</xdr:row>
                    <xdr:rowOff>30480</xdr:rowOff>
                  </from>
                  <to>
                    <xdr:col>11</xdr:col>
                    <xdr:colOff>1783080</xdr:colOff>
                    <xdr:row>92</xdr:row>
                    <xdr:rowOff>259080</xdr:rowOff>
                  </to>
                </anchor>
              </controlPr>
            </control>
          </mc:Choice>
        </mc:AlternateContent>
        <mc:AlternateContent xmlns:mc="http://schemas.openxmlformats.org/markup-compatibility/2006">
          <mc:Choice Requires="x14">
            <control shapeId="4416" r:id="rId108" name="Check Box 320">
              <controlPr defaultSize="0" autoFill="0" autoLine="0" autoPict="0">
                <anchor moveWithCells="1">
                  <from>
                    <xdr:col>11</xdr:col>
                    <xdr:colOff>0</xdr:colOff>
                    <xdr:row>94</xdr:row>
                    <xdr:rowOff>259080</xdr:rowOff>
                  </from>
                  <to>
                    <xdr:col>11</xdr:col>
                    <xdr:colOff>1783080</xdr:colOff>
                    <xdr:row>95</xdr:row>
                    <xdr:rowOff>152400</xdr:rowOff>
                  </to>
                </anchor>
              </controlPr>
            </control>
          </mc:Choice>
        </mc:AlternateContent>
        <mc:AlternateContent xmlns:mc="http://schemas.openxmlformats.org/markup-compatibility/2006">
          <mc:Choice Requires="x14">
            <control shapeId="4417" r:id="rId109" name="Check Box 321">
              <controlPr defaultSize="0" autoFill="0" autoLine="0" autoPict="0">
                <anchor moveWithCells="1">
                  <from>
                    <xdr:col>11</xdr:col>
                    <xdr:colOff>0</xdr:colOff>
                    <xdr:row>95</xdr:row>
                    <xdr:rowOff>106680</xdr:rowOff>
                  </from>
                  <to>
                    <xdr:col>11</xdr:col>
                    <xdr:colOff>1783080</xdr:colOff>
                    <xdr:row>95</xdr:row>
                    <xdr:rowOff>312420</xdr:rowOff>
                  </to>
                </anchor>
              </controlPr>
            </control>
          </mc:Choice>
        </mc:AlternateContent>
        <mc:AlternateContent xmlns:mc="http://schemas.openxmlformats.org/markup-compatibility/2006">
          <mc:Choice Requires="x14">
            <control shapeId="4418" r:id="rId110" name="Check Box 322">
              <controlPr defaultSize="0" autoFill="0" autoLine="0" autoPict="0">
                <anchor moveWithCells="1">
                  <from>
                    <xdr:col>11</xdr:col>
                    <xdr:colOff>0</xdr:colOff>
                    <xdr:row>94</xdr:row>
                    <xdr:rowOff>30480</xdr:rowOff>
                  </from>
                  <to>
                    <xdr:col>11</xdr:col>
                    <xdr:colOff>1783080</xdr:colOff>
                    <xdr:row>94</xdr:row>
                    <xdr:rowOff>259080</xdr:rowOff>
                  </to>
                </anchor>
              </controlPr>
            </control>
          </mc:Choice>
        </mc:AlternateContent>
        <mc:AlternateContent xmlns:mc="http://schemas.openxmlformats.org/markup-compatibility/2006">
          <mc:Choice Requires="x14">
            <control shapeId="4419" r:id="rId111" name="Check Box 323">
              <controlPr defaultSize="0" autoFill="0" autoLine="0" autoPict="0">
                <anchor moveWithCells="1">
                  <from>
                    <xdr:col>11</xdr:col>
                    <xdr:colOff>0</xdr:colOff>
                    <xdr:row>96</xdr:row>
                    <xdr:rowOff>259080</xdr:rowOff>
                  </from>
                  <to>
                    <xdr:col>11</xdr:col>
                    <xdr:colOff>1783080</xdr:colOff>
                    <xdr:row>97</xdr:row>
                    <xdr:rowOff>137160</xdr:rowOff>
                  </to>
                </anchor>
              </controlPr>
            </control>
          </mc:Choice>
        </mc:AlternateContent>
        <mc:AlternateContent xmlns:mc="http://schemas.openxmlformats.org/markup-compatibility/2006">
          <mc:Choice Requires="x14">
            <control shapeId="4420" r:id="rId112" name="Check Box 324">
              <controlPr defaultSize="0" autoFill="0" autoLine="0" autoPict="0">
                <anchor moveWithCells="1">
                  <from>
                    <xdr:col>11</xdr:col>
                    <xdr:colOff>0</xdr:colOff>
                    <xdr:row>97</xdr:row>
                    <xdr:rowOff>106680</xdr:rowOff>
                  </from>
                  <to>
                    <xdr:col>11</xdr:col>
                    <xdr:colOff>1783080</xdr:colOff>
                    <xdr:row>97</xdr:row>
                    <xdr:rowOff>297180</xdr:rowOff>
                  </to>
                </anchor>
              </controlPr>
            </control>
          </mc:Choice>
        </mc:AlternateContent>
        <mc:AlternateContent xmlns:mc="http://schemas.openxmlformats.org/markup-compatibility/2006">
          <mc:Choice Requires="x14">
            <control shapeId="4421" r:id="rId113" name="Check Box 325">
              <controlPr defaultSize="0" autoFill="0" autoLine="0" autoPict="0">
                <anchor moveWithCells="1">
                  <from>
                    <xdr:col>11</xdr:col>
                    <xdr:colOff>0</xdr:colOff>
                    <xdr:row>96</xdr:row>
                    <xdr:rowOff>30480</xdr:rowOff>
                  </from>
                  <to>
                    <xdr:col>11</xdr:col>
                    <xdr:colOff>1783080</xdr:colOff>
                    <xdr:row>96</xdr:row>
                    <xdr:rowOff>259080</xdr:rowOff>
                  </to>
                </anchor>
              </controlPr>
            </control>
          </mc:Choice>
        </mc:AlternateContent>
        <mc:AlternateContent xmlns:mc="http://schemas.openxmlformats.org/markup-compatibility/2006">
          <mc:Choice Requires="x14">
            <control shapeId="4422" r:id="rId114" name="Check Box 326">
              <controlPr defaultSize="0" autoFill="0" autoLine="0" autoPict="0">
                <anchor moveWithCells="1">
                  <from>
                    <xdr:col>11</xdr:col>
                    <xdr:colOff>0</xdr:colOff>
                    <xdr:row>98</xdr:row>
                    <xdr:rowOff>259080</xdr:rowOff>
                  </from>
                  <to>
                    <xdr:col>11</xdr:col>
                    <xdr:colOff>1783080</xdr:colOff>
                    <xdr:row>99</xdr:row>
                    <xdr:rowOff>152400</xdr:rowOff>
                  </to>
                </anchor>
              </controlPr>
            </control>
          </mc:Choice>
        </mc:AlternateContent>
        <mc:AlternateContent xmlns:mc="http://schemas.openxmlformats.org/markup-compatibility/2006">
          <mc:Choice Requires="x14">
            <control shapeId="4423" r:id="rId115" name="Check Box 327">
              <controlPr defaultSize="0" autoFill="0" autoLine="0" autoPict="0">
                <anchor moveWithCells="1">
                  <from>
                    <xdr:col>11</xdr:col>
                    <xdr:colOff>0</xdr:colOff>
                    <xdr:row>99</xdr:row>
                    <xdr:rowOff>106680</xdr:rowOff>
                  </from>
                  <to>
                    <xdr:col>11</xdr:col>
                    <xdr:colOff>1783080</xdr:colOff>
                    <xdr:row>99</xdr:row>
                    <xdr:rowOff>297180</xdr:rowOff>
                  </to>
                </anchor>
              </controlPr>
            </control>
          </mc:Choice>
        </mc:AlternateContent>
        <mc:AlternateContent xmlns:mc="http://schemas.openxmlformats.org/markup-compatibility/2006">
          <mc:Choice Requires="x14">
            <control shapeId="4424" r:id="rId116" name="Check Box 328">
              <controlPr defaultSize="0" autoFill="0" autoLine="0" autoPict="0">
                <anchor moveWithCells="1">
                  <from>
                    <xdr:col>11</xdr:col>
                    <xdr:colOff>0</xdr:colOff>
                    <xdr:row>98</xdr:row>
                    <xdr:rowOff>30480</xdr:rowOff>
                  </from>
                  <to>
                    <xdr:col>11</xdr:col>
                    <xdr:colOff>1783080</xdr:colOff>
                    <xdr:row>98</xdr:row>
                    <xdr:rowOff>259080</xdr:rowOff>
                  </to>
                </anchor>
              </controlPr>
            </control>
          </mc:Choice>
        </mc:AlternateContent>
        <mc:AlternateContent xmlns:mc="http://schemas.openxmlformats.org/markup-compatibility/2006">
          <mc:Choice Requires="x14">
            <control shapeId="4425" r:id="rId117" name="Check Box 329">
              <controlPr defaultSize="0" autoFill="0" autoLine="0" autoPict="0">
                <anchor moveWithCells="1">
                  <from>
                    <xdr:col>11</xdr:col>
                    <xdr:colOff>0</xdr:colOff>
                    <xdr:row>100</xdr:row>
                    <xdr:rowOff>259080</xdr:rowOff>
                  </from>
                  <to>
                    <xdr:col>11</xdr:col>
                    <xdr:colOff>1783080</xdr:colOff>
                    <xdr:row>101</xdr:row>
                    <xdr:rowOff>152400</xdr:rowOff>
                  </to>
                </anchor>
              </controlPr>
            </control>
          </mc:Choice>
        </mc:AlternateContent>
        <mc:AlternateContent xmlns:mc="http://schemas.openxmlformats.org/markup-compatibility/2006">
          <mc:Choice Requires="x14">
            <control shapeId="4426" r:id="rId118" name="Check Box 330">
              <controlPr defaultSize="0" autoFill="0" autoLine="0" autoPict="0">
                <anchor moveWithCells="1">
                  <from>
                    <xdr:col>11</xdr:col>
                    <xdr:colOff>0</xdr:colOff>
                    <xdr:row>101</xdr:row>
                    <xdr:rowOff>106680</xdr:rowOff>
                  </from>
                  <to>
                    <xdr:col>11</xdr:col>
                    <xdr:colOff>1783080</xdr:colOff>
                    <xdr:row>101</xdr:row>
                    <xdr:rowOff>297180</xdr:rowOff>
                  </to>
                </anchor>
              </controlPr>
            </control>
          </mc:Choice>
        </mc:AlternateContent>
        <mc:AlternateContent xmlns:mc="http://schemas.openxmlformats.org/markup-compatibility/2006">
          <mc:Choice Requires="x14">
            <control shapeId="4427" r:id="rId119" name="Check Box 331">
              <controlPr defaultSize="0" autoFill="0" autoLine="0" autoPict="0">
                <anchor moveWithCells="1">
                  <from>
                    <xdr:col>11</xdr:col>
                    <xdr:colOff>0</xdr:colOff>
                    <xdr:row>100</xdr:row>
                    <xdr:rowOff>30480</xdr:rowOff>
                  </from>
                  <to>
                    <xdr:col>11</xdr:col>
                    <xdr:colOff>1783080</xdr:colOff>
                    <xdr:row>100</xdr:row>
                    <xdr:rowOff>259080</xdr:rowOff>
                  </to>
                </anchor>
              </controlPr>
            </control>
          </mc:Choice>
        </mc:AlternateContent>
        <mc:AlternateContent xmlns:mc="http://schemas.openxmlformats.org/markup-compatibility/2006">
          <mc:Choice Requires="x14">
            <control shapeId="4428" r:id="rId120" name="Check Box 332">
              <controlPr defaultSize="0" autoFill="0" autoLine="0" autoPict="0">
                <anchor moveWithCells="1">
                  <from>
                    <xdr:col>11</xdr:col>
                    <xdr:colOff>0</xdr:colOff>
                    <xdr:row>102</xdr:row>
                    <xdr:rowOff>259080</xdr:rowOff>
                  </from>
                  <to>
                    <xdr:col>11</xdr:col>
                    <xdr:colOff>1783080</xdr:colOff>
                    <xdr:row>103</xdr:row>
                    <xdr:rowOff>152400</xdr:rowOff>
                  </to>
                </anchor>
              </controlPr>
            </control>
          </mc:Choice>
        </mc:AlternateContent>
        <mc:AlternateContent xmlns:mc="http://schemas.openxmlformats.org/markup-compatibility/2006">
          <mc:Choice Requires="x14">
            <control shapeId="4429" r:id="rId121" name="Check Box 333">
              <controlPr defaultSize="0" autoFill="0" autoLine="0" autoPict="0">
                <anchor moveWithCells="1">
                  <from>
                    <xdr:col>11</xdr:col>
                    <xdr:colOff>0</xdr:colOff>
                    <xdr:row>103</xdr:row>
                    <xdr:rowOff>106680</xdr:rowOff>
                  </from>
                  <to>
                    <xdr:col>11</xdr:col>
                    <xdr:colOff>1783080</xdr:colOff>
                    <xdr:row>103</xdr:row>
                    <xdr:rowOff>297180</xdr:rowOff>
                  </to>
                </anchor>
              </controlPr>
            </control>
          </mc:Choice>
        </mc:AlternateContent>
        <mc:AlternateContent xmlns:mc="http://schemas.openxmlformats.org/markup-compatibility/2006">
          <mc:Choice Requires="x14">
            <control shapeId="4430" r:id="rId122" name="Check Box 334">
              <controlPr defaultSize="0" autoFill="0" autoLine="0" autoPict="0">
                <anchor moveWithCells="1">
                  <from>
                    <xdr:col>11</xdr:col>
                    <xdr:colOff>0</xdr:colOff>
                    <xdr:row>102</xdr:row>
                    <xdr:rowOff>30480</xdr:rowOff>
                  </from>
                  <to>
                    <xdr:col>11</xdr:col>
                    <xdr:colOff>1783080</xdr:colOff>
                    <xdr:row>102</xdr:row>
                    <xdr:rowOff>259080</xdr:rowOff>
                  </to>
                </anchor>
              </controlPr>
            </control>
          </mc:Choice>
        </mc:AlternateContent>
        <mc:AlternateContent xmlns:mc="http://schemas.openxmlformats.org/markup-compatibility/2006">
          <mc:Choice Requires="x14">
            <control shapeId="4468" r:id="rId123" name="Check Box 372">
              <controlPr defaultSize="0" autoFill="0" autoLine="0" autoPict="0">
                <anchor moveWithCells="1">
                  <from>
                    <xdr:col>11</xdr:col>
                    <xdr:colOff>0</xdr:colOff>
                    <xdr:row>106</xdr:row>
                    <xdr:rowOff>259080</xdr:rowOff>
                  </from>
                  <to>
                    <xdr:col>11</xdr:col>
                    <xdr:colOff>1775460</xdr:colOff>
                    <xdr:row>107</xdr:row>
                    <xdr:rowOff>152400</xdr:rowOff>
                  </to>
                </anchor>
              </controlPr>
            </control>
          </mc:Choice>
        </mc:AlternateContent>
        <mc:AlternateContent xmlns:mc="http://schemas.openxmlformats.org/markup-compatibility/2006">
          <mc:Choice Requires="x14">
            <control shapeId="4469" r:id="rId124" name="Check Box 373">
              <controlPr defaultSize="0" autoFill="0" autoLine="0" autoPict="0">
                <anchor moveWithCells="1">
                  <from>
                    <xdr:col>11</xdr:col>
                    <xdr:colOff>0</xdr:colOff>
                    <xdr:row>107</xdr:row>
                    <xdr:rowOff>106680</xdr:rowOff>
                  </from>
                  <to>
                    <xdr:col>11</xdr:col>
                    <xdr:colOff>1775460</xdr:colOff>
                    <xdr:row>107</xdr:row>
                    <xdr:rowOff>297180</xdr:rowOff>
                  </to>
                </anchor>
              </controlPr>
            </control>
          </mc:Choice>
        </mc:AlternateContent>
        <mc:AlternateContent xmlns:mc="http://schemas.openxmlformats.org/markup-compatibility/2006">
          <mc:Choice Requires="x14">
            <control shapeId="4470" r:id="rId125" name="Check Box 374">
              <controlPr defaultSize="0" autoFill="0" autoLine="0" autoPict="0">
                <anchor moveWithCells="1">
                  <from>
                    <xdr:col>11</xdr:col>
                    <xdr:colOff>0</xdr:colOff>
                    <xdr:row>106</xdr:row>
                    <xdr:rowOff>30480</xdr:rowOff>
                  </from>
                  <to>
                    <xdr:col>11</xdr:col>
                    <xdr:colOff>1775460</xdr:colOff>
                    <xdr:row>106</xdr:row>
                    <xdr:rowOff>251460</xdr:rowOff>
                  </to>
                </anchor>
              </controlPr>
            </control>
          </mc:Choice>
        </mc:AlternateContent>
        <mc:AlternateContent xmlns:mc="http://schemas.openxmlformats.org/markup-compatibility/2006">
          <mc:Choice Requires="x14">
            <control shapeId="4471" r:id="rId126" name="Check Box 375">
              <controlPr defaultSize="0" autoFill="0" autoLine="0" autoPict="0">
                <anchor moveWithCells="1">
                  <from>
                    <xdr:col>11</xdr:col>
                    <xdr:colOff>0</xdr:colOff>
                    <xdr:row>108</xdr:row>
                    <xdr:rowOff>259080</xdr:rowOff>
                  </from>
                  <to>
                    <xdr:col>11</xdr:col>
                    <xdr:colOff>1775460</xdr:colOff>
                    <xdr:row>109</xdr:row>
                    <xdr:rowOff>152400</xdr:rowOff>
                  </to>
                </anchor>
              </controlPr>
            </control>
          </mc:Choice>
        </mc:AlternateContent>
        <mc:AlternateContent xmlns:mc="http://schemas.openxmlformats.org/markup-compatibility/2006">
          <mc:Choice Requires="x14">
            <control shapeId="4472" r:id="rId127" name="Check Box 376">
              <controlPr defaultSize="0" autoFill="0" autoLine="0" autoPict="0">
                <anchor moveWithCells="1">
                  <from>
                    <xdr:col>11</xdr:col>
                    <xdr:colOff>0</xdr:colOff>
                    <xdr:row>109</xdr:row>
                    <xdr:rowOff>106680</xdr:rowOff>
                  </from>
                  <to>
                    <xdr:col>11</xdr:col>
                    <xdr:colOff>1775460</xdr:colOff>
                    <xdr:row>109</xdr:row>
                    <xdr:rowOff>297180</xdr:rowOff>
                  </to>
                </anchor>
              </controlPr>
            </control>
          </mc:Choice>
        </mc:AlternateContent>
        <mc:AlternateContent xmlns:mc="http://schemas.openxmlformats.org/markup-compatibility/2006">
          <mc:Choice Requires="x14">
            <control shapeId="4473" r:id="rId128" name="Check Box 377">
              <controlPr defaultSize="0" autoFill="0" autoLine="0" autoPict="0">
                <anchor moveWithCells="1">
                  <from>
                    <xdr:col>11</xdr:col>
                    <xdr:colOff>0</xdr:colOff>
                    <xdr:row>108</xdr:row>
                    <xdr:rowOff>30480</xdr:rowOff>
                  </from>
                  <to>
                    <xdr:col>11</xdr:col>
                    <xdr:colOff>1775460</xdr:colOff>
                    <xdr:row>108</xdr:row>
                    <xdr:rowOff>251460</xdr:rowOff>
                  </to>
                </anchor>
              </controlPr>
            </control>
          </mc:Choice>
        </mc:AlternateContent>
        <mc:AlternateContent xmlns:mc="http://schemas.openxmlformats.org/markup-compatibility/2006">
          <mc:Choice Requires="x14">
            <control shapeId="4474" r:id="rId129" name="Check Box 378">
              <controlPr defaultSize="0" autoFill="0" autoLine="0" autoPict="0">
                <anchor moveWithCells="1">
                  <from>
                    <xdr:col>11</xdr:col>
                    <xdr:colOff>0</xdr:colOff>
                    <xdr:row>110</xdr:row>
                    <xdr:rowOff>259080</xdr:rowOff>
                  </from>
                  <to>
                    <xdr:col>11</xdr:col>
                    <xdr:colOff>1775460</xdr:colOff>
                    <xdr:row>111</xdr:row>
                    <xdr:rowOff>152400</xdr:rowOff>
                  </to>
                </anchor>
              </controlPr>
            </control>
          </mc:Choice>
        </mc:AlternateContent>
        <mc:AlternateContent xmlns:mc="http://schemas.openxmlformats.org/markup-compatibility/2006">
          <mc:Choice Requires="x14">
            <control shapeId="4475" r:id="rId130" name="Check Box 379">
              <controlPr defaultSize="0" autoFill="0" autoLine="0" autoPict="0">
                <anchor moveWithCells="1">
                  <from>
                    <xdr:col>11</xdr:col>
                    <xdr:colOff>0</xdr:colOff>
                    <xdr:row>111</xdr:row>
                    <xdr:rowOff>106680</xdr:rowOff>
                  </from>
                  <to>
                    <xdr:col>11</xdr:col>
                    <xdr:colOff>1775460</xdr:colOff>
                    <xdr:row>111</xdr:row>
                    <xdr:rowOff>297180</xdr:rowOff>
                  </to>
                </anchor>
              </controlPr>
            </control>
          </mc:Choice>
        </mc:AlternateContent>
        <mc:AlternateContent xmlns:mc="http://schemas.openxmlformats.org/markup-compatibility/2006">
          <mc:Choice Requires="x14">
            <control shapeId="4476" r:id="rId131" name="Check Box 380">
              <controlPr defaultSize="0" autoFill="0" autoLine="0" autoPict="0">
                <anchor moveWithCells="1">
                  <from>
                    <xdr:col>11</xdr:col>
                    <xdr:colOff>0</xdr:colOff>
                    <xdr:row>110</xdr:row>
                    <xdr:rowOff>30480</xdr:rowOff>
                  </from>
                  <to>
                    <xdr:col>11</xdr:col>
                    <xdr:colOff>1775460</xdr:colOff>
                    <xdr:row>110</xdr:row>
                    <xdr:rowOff>251460</xdr:rowOff>
                  </to>
                </anchor>
              </controlPr>
            </control>
          </mc:Choice>
        </mc:AlternateContent>
        <mc:AlternateContent xmlns:mc="http://schemas.openxmlformats.org/markup-compatibility/2006">
          <mc:Choice Requires="x14">
            <control shapeId="4477" r:id="rId132" name="Check Box 381">
              <controlPr defaultSize="0" autoFill="0" autoLine="0" autoPict="0">
                <anchor moveWithCells="1">
                  <from>
                    <xdr:col>11</xdr:col>
                    <xdr:colOff>0</xdr:colOff>
                    <xdr:row>112</xdr:row>
                    <xdr:rowOff>259080</xdr:rowOff>
                  </from>
                  <to>
                    <xdr:col>11</xdr:col>
                    <xdr:colOff>1775460</xdr:colOff>
                    <xdr:row>113</xdr:row>
                    <xdr:rowOff>152400</xdr:rowOff>
                  </to>
                </anchor>
              </controlPr>
            </control>
          </mc:Choice>
        </mc:AlternateContent>
        <mc:AlternateContent xmlns:mc="http://schemas.openxmlformats.org/markup-compatibility/2006">
          <mc:Choice Requires="x14">
            <control shapeId="4478" r:id="rId133" name="Check Box 382">
              <controlPr defaultSize="0" autoFill="0" autoLine="0" autoPict="0">
                <anchor moveWithCells="1">
                  <from>
                    <xdr:col>11</xdr:col>
                    <xdr:colOff>0</xdr:colOff>
                    <xdr:row>113</xdr:row>
                    <xdr:rowOff>106680</xdr:rowOff>
                  </from>
                  <to>
                    <xdr:col>11</xdr:col>
                    <xdr:colOff>1775460</xdr:colOff>
                    <xdr:row>113</xdr:row>
                    <xdr:rowOff>297180</xdr:rowOff>
                  </to>
                </anchor>
              </controlPr>
            </control>
          </mc:Choice>
        </mc:AlternateContent>
        <mc:AlternateContent xmlns:mc="http://schemas.openxmlformats.org/markup-compatibility/2006">
          <mc:Choice Requires="x14">
            <control shapeId="4479" r:id="rId134" name="Check Box 383">
              <controlPr defaultSize="0" autoFill="0" autoLine="0" autoPict="0">
                <anchor moveWithCells="1">
                  <from>
                    <xdr:col>11</xdr:col>
                    <xdr:colOff>0</xdr:colOff>
                    <xdr:row>112</xdr:row>
                    <xdr:rowOff>30480</xdr:rowOff>
                  </from>
                  <to>
                    <xdr:col>11</xdr:col>
                    <xdr:colOff>1775460</xdr:colOff>
                    <xdr:row>112</xdr:row>
                    <xdr:rowOff>251460</xdr:rowOff>
                  </to>
                </anchor>
              </controlPr>
            </control>
          </mc:Choice>
        </mc:AlternateContent>
        <mc:AlternateContent xmlns:mc="http://schemas.openxmlformats.org/markup-compatibility/2006">
          <mc:Choice Requires="x14">
            <control shapeId="4480" r:id="rId135" name="Check Box 384">
              <controlPr defaultSize="0" autoFill="0" autoLine="0" autoPict="0">
                <anchor moveWithCells="1">
                  <from>
                    <xdr:col>11</xdr:col>
                    <xdr:colOff>0</xdr:colOff>
                    <xdr:row>114</xdr:row>
                    <xdr:rowOff>259080</xdr:rowOff>
                  </from>
                  <to>
                    <xdr:col>11</xdr:col>
                    <xdr:colOff>1775460</xdr:colOff>
                    <xdr:row>115</xdr:row>
                    <xdr:rowOff>137160</xdr:rowOff>
                  </to>
                </anchor>
              </controlPr>
            </control>
          </mc:Choice>
        </mc:AlternateContent>
        <mc:AlternateContent xmlns:mc="http://schemas.openxmlformats.org/markup-compatibility/2006">
          <mc:Choice Requires="x14">
            <control shapeId="4481" r:id="rId136" name="Check Box 385">
              <controlPr defaultSize="0" autoFill="0" autoLine="0" autoPict="0">
                <anchor moveWithCells="1">
                  <from>
                    <xdr:col>11</xdr:col>
                    <xdr:colOff>0</xdr:colOff>
                    <xdr:row>115</xdr:row>
                    <xdr:rowOff>106680</xdr:rowOff>
                  </from>
                  <to>
                    <xdr:col>11</xdr:col>
                    <xdr:colOff>1775460</xdr:colOff>
                    <xdr:row>115</xdr:row>
                    <xdr:rowOff>297180</xdr:rowOff>
                  </to>
                </anchor>
              </controlPr>
            </control>
          </mc:Choice>
        </mc:AlternateContent>
        <mc:AlternateContent xmlns:mc="http://schemas.openxmlformats.org/markup-compatibility/2006">
          <mc:Choice Requires="x14">
            <control shapeId="4482" r:id="rId137" name="Check Box 386">
              <controlPr defaultSize="0" autoFill="0" autoLine="0" autoPict="0">
                <anchor moveWithCells="1">
                  <from>
                    <xdr:col>11</xdr:col>
                    <xdr:colOff>0</xdr:colOff>
                    <xdr:row>114</xdr:row>
                    <xdr:rowOff>30480</xdr:rowOff>
                  </from>
                  <to>
                    <xdr:col>11</xdr:col>
                    <xdr:colOff>1775460</xdr:colOff>
                    <xdr:row>114</xdr:row>
                    <xdr:rowOff>220980</xdr:rowOff>
                  </to>
                </anchor>
              </controlPr>
            </control>
          </mc:Choice>
        </mc:AlternateContent>
        <mc:AlternateContent xmlns:mc="http://schemas.openxmlformats.org/markup-compatibility/2006">
          <mc:Choice Requires="x14">
            <control shapeId="4483" r:id="rId138" name="Check Box 387">
              <controlPr defaultSize="0" autoFill="0" autoLine="0" autoPict="0">
                <anchor moveWithCells="1">
                  <from>
                    <xdr:col>11</xdr:col>
                    <xdr:colOff>0</xdr:colOff>
                    <xdr:row>116</xdr:row>
                    <xdr:rowOff>259080</xdr:rowOff>
                  </from>
                  <to>
                    <xdr:col>11</xdr:col>
                    <xdr:colOff>1775460</xdr:colOff>
                    <xdr:row>117</xdr:row>
                    <xdr:rowOff>137160</xdr:rowOff>
                  </to>
                </anchor>
              </controlPr>
            </control>
          </mc:Choice>
        </mc:AlternateContent>
        <mc:AlternateContent xmlns:mc="http://schemas.openxmlformats.org/markup-compatibility/2006">
          <mc:Choice Requires="x14">
            <control shapeId="4484" r:id="rId139" name="Check Box 388">
              <controlPr defaultSize="0" autoFill="0" autoLine="0" autoPict="0">
                <anchor moveWithCells="1">
                  <from>
                    <xdr:col>11</xdr:col>
                    <xdr:colOff>0</xdr:colOff>
                    <xdr:row>117</xdr:row>
                    <xdr:rowOff>106680</xdr:rowOff>
                  </from>
                  <to>
                    <xdr:col>11</xdr:col>
                    <xdr:colOff>1775460</xdr:colOff>
                    <xdr:row>117</xdr:row>
                    <xdr:rowOff>297180</xdr:rowOff>
                  </to>
                </anchor>
              </controlPr>
            </control>
          </mc:Choice>
        </mc:AlternateContent>
        <mc:AlternateContent xmlns:mc="http://schemas.openxmlformats.org/markup-compatibility/2006">
          <mc:Choice Requires="x14">
            <control shapeId="4485" r:id="rId140" name="Check Box 389">
              <controlPr defaultSize="0" autoFill="0" autoLine="0" autoPict="0">
                <anchor moveWithCells="1">
                  <from>
                    <xdr:col>11</xdr:col>
                    <xdr:colOff>0</xdr:colOff>
                    <xdr:row>116</xdr:row>
                    <xdr:rowOff>30480</xdr:rowOff>
                  </from>
                  <to>
                    <xdr:col>11</xdr:col>
                    <xdr:colOff>1775460</xdr:colOff>
                    <xdr:row>116</xdr:row>
                    <xdr:rowOff>220980</xdr:rowOff>
                  </to>
                </anchor>
              </controlPr>
            </control>
          </mc:Choice>
        </mc:AlternateContent>
        <mc:AlternateContent xmlns:mc="http://schemas.openxmlformats.org/markup-compatibility/2006">
          <mc:Choice Requires="x14">
            <control shapeId="4486" r:id="rId141" name="Check Box 390">
              <controlPr defaultSize="0" autoFill="0" autoLine="0" autoPict="0">
                <anchor moveWithCells="1">
                  <from>
                    <xdr:col>11</xdr:col>
                    <xdr:colOff>0</xdr:colOff>
                    <xdr:row>118</xdr:row>
                    <xdr:rowOff>259080</xdr:rowOff>
                  </from>
                  <to>
                    <xdr:col>11</xdr:col>
                    <xdr:colOff>1775460</xdr:colOff>
                    <xdr:row>119</xdr:row>
                    <xdr:rowOff>137160</xdr:rowOff>
                  </to>
                </anchor>
              </controlPr>
            </control>
          </mc:Choice>
        </mc:AlternateContent>
        <mc:AlternateContent xmlns:mc="http://schemas.openxmlformats.org/markup-compatibility/2006">
          <mc:Choice Requires="x14">
            <control shapeId="4487" r:id="rId142" name="Check Box 391">
              <controlPr defaultSize="0" autoFill="0" autoLine="0" autoPict="0">
                <anchor moveWithCells="1">
                  <from>
                    <xdr:col>11</xdr:col>
                    <xdr:colOff>0</xdr:colOff>
                    <xdr:row>119</xdr:row>
                    <xdr:rowOff>106680</xdr:rowOff>
                  </from>
                  <to>
                    <xdr:col>11</xdr:col>
                    <xdr:colOff>1775460</xdr:colOff>
                    <xdr:row>119</xdr:row>
                    <xdr:rowOff>297180</xdr:rowOff>
                  </to>
                </anchor>
              </controlPr>
            </control>
          </mc:Choice>
        </mc:AlternateContent>
        <mc:AlternateContent xmlns:mc="http://schemas.openxmlformats.org/markup-compatibility/2006">
          <mc:Choice Requires="x14">
            <control shapeId="4488" r:id="rId143" name="Check Box 392">
              <controlPr defaultSize="0" autoFill="0" autoLine="0" autoPict="0">
                <anchor moveWithCells="1">
                  <from>
                    <xdr:col>11</xdr:col>
                    <xdr:colOff>0</xdr:colOff>
                    <xdr:row>118</xdr:row>
                    <xdr:rowOff>30480</xdr:rowOff>
                  </from>
                  <to>
                    <xdr:col>11</xdr:col>
                    <xdr:colOff>1775460</xdr:colOff>
                    <xdr:row>118</xdr:row>
                    <xdr:rowOff>220980</xdr:rowOff>
                  </to>
                </anchor>
              </controlPr>
            </control>
          </mc:Choice>
        </mc:AlternateContent>
        <mc:AlternateContent xmlns:mc="http://schemas.openxmlformats.org/markup-compatibility/2006">
          <mc:Choice Requires="x14">
            <control shapeId="4489" r:id="rId144" name="Check Box 393">
              <controlPr defaultSize="0" autoFill="0" autoLine="0" autoPict="0">
                <anchor moveWithCells="1">
                  <from>
                    <xdr:col>11</xdr:col>
                    <xdr:colOff>0</xdr:colOff>
                    <xdr:row>120</xdr:row>
                    <xdr:rowOff>259080</xdr:rowOff>
                  </from>
                  <to>
                    <xdr:col>11</xdr:col>
                    <xdr:colOff>1775460</xdr:colOff>
                    <xdr:row>121</xdr:row>
                    <xdr:rowOff>137160</xdr:rowOff>
                  </to>
                </anchor>
              </controlPr>
            </control>
          </mc:Choice>
        </mc:AlternateContent>
        <mc:AlternateContent xmlns:mc="http://schemas.openxmlformats.org/markup-compatibility/2006">
          <mc:Choice Requires="x14">
            <control shapeId="4490" r:id="rId145" name="Check Box 394">
              <controlPr defaultSize="0" autoFill="0" autoLine="0" autoPict="0">
                <anchor moveWithCells="1">
                  <from>
                    <xdr:col>11</xdr:col>
                    <xdr:colOff>0</xdr:colOff>
                    <xdr:row>121</xdr:row>
                    <xdr:rowOff>106680</xdr:rowOff>
                  </from>
                  <to>
                    <xdr:col>11</xdr:col>
                    <xdr:colOff>1775460</xdr:colOff>
                    <xdr:row>121</xdr:row>
                    <xdr:rowOff>297180</xdr:rowOff>
                  </to>
                </anchor>
              </controlPr>
            </control>
          </mc:Choice>
        </mc:AlternateContent>
        <mc:AlternateContent xmlns:mc="http://schemas.openxmlformats.org/markup-compatibility/2006">
          <mc:Choice Requires="x14">
            <control shapeId="4491" r:id="rId146" name="Check Box 395">
              <controlPr defaultSize="0" autoFill="0" autoLine="0" autoPict="0">
                <anchor moveWithCells="1">
                  <from>
                    <xdr:col>11</xdr:col>
                    <xdr:colOff>0</xdr:colOff>
                    <xdr:row>120</xdr:row>
                    <xdr:rowOff>30480</xdr:rowOff>
                  </from>
                  <to>
                    <xdr:col>11</xdr:col>
                    <xdr:colOff>1775460</xdr:colOff>
                    <xdr:row>120</xdr:row>
                    <xdr:rowOff>220980</xdr:rowOff>
                  </to>
                </anchor>
              </controlPr>
            </control>
          </mc:Choice>
        </mc:AlternateContent>
        <mc:AlternateContent xmlns:mc="http://schemas.openxmlformats.org/markup-compatibility/2006">
          <mc:Choice Requires="x14">
            <control shapeId="4492" r:id="rId147" name="Check Box 396">
              <controlPr defaultSize="0" autoFill="0" autoLine="0" autoPict="0">
                <anchor moveWithCells="1">
                  <from>
                    <xdr:col>11</xdr:col>
                    <xdr:colOff>0</xdr:colOff>
                    <xdr:row>122</xdr:row>
                    <xdr:rowOff>259080</xdr:rowOff>
                  </from>
                  <to>
                    <xdr:col>11</xdr:col>
                    <xdr:colOff>1775460</xdr:colOff>
                    <xdr:row>123</xdr:row>
                    <xdr:rowOff>137160</xdr:rowOff>
                  </to>
                </anchor>
              </controlPr>
            </control>
          </mc:Choice>
        </mc:AlternateContent>
        <mc:AlternateContent xmlns:mc="http://schemas.openxmlformats.org/markup-compatibility/2006">
          <mc:Choice Requires="x14">
            <control shapeId="4493" r:id="rId148" name="Check Box 397">
              <controlPr defaultSize="0" autoFill="0" autoLine="0" autoPict="0">
                <anchor moveWithCells="1">
                  <from>
                    <xdr:col>11</xdr:col>
                    <xdr:colOff>0</xdr:colOff>
                    <xdr:row>123</xdr:row>
                    <xdr:rowOff>106680</xdr:rowOff>
                  </from>
                  <to>
                    <xdr:col>11</xdr:col>
                    <xdr:colOff>1775460</xdr:colOff>
                    <xdr:row>123</xdr:row>
                    <xdr:rowOff>297180</xdr:rowOff>
                  </to>
                </anchor>
              </controlPr>
            </control>
          </mc:Choice>
        </mc:AlternateContent>
        <mc:AlternateContent xmlns:mc="http://schemas.openxmlformats.org/markup-compatibility/2006">
          <mc:Choice Requires="x14">
            <control shapeId="4494" r:id="rId149" name="Check Box 398">
              <controlPr defaultSize="0" autoFill="0" autoLine="0" autoPict="0">
                <anchor moveWithCells="1">
                  <from>
                    <xdr:col>11</xdr:col>
                    <xdr:colOff>0</xdr:colOff>
                    <xdr:row>122</xdr:row>
                    <xdr:rowOff>30480</xdr:rowOff>
                  </from>
                  <to>
                    <xdr:col>11</xdr:col>
                    <xdr:colOff>1775460</xdr:colOff>
                    <xdr:row>122</xdr:row>
                    <xdr:rowOff>220980</xdr:rowOff>
                  </to>
                </anchor>
              </controlPr>
            </control>
          </mc:Choice>
        </mc:AlternateContent>
        <mc:AlternateContent xmlns:mc="http://schemas.openxmlformats.org/markup-compatibility/2006">
          <mc:Choice Requires="x14">
            <control shapeId="4495" r:id="rId150" name="Check Box 399">
              <controlPr defaultSize="0" autoFill="0" autoLine="0" autoPict="0">
                <anchor moveWithCells="1">
                  <from>
                    <xdr:col>11</xdr:col>
                    <xdr:colOff>0</xdr:colOff>
                    <xdr:row>124</xdr:row>
                    <xdr:rowOff>259080</xdr:rowOff>
                  </from>
                  <to>
                    <xdr:col>11</xdr:col>
                    <xdr:colOff>1775460</xdr:colOff>
                    <xdr:row>125</xdr:row>
                    <xdr:rowOff>137160</xdr:rowOff>
                  </to>
                </anchor>
              </controlPr>
            </control>
          </mc:Choice>
        </mc:AlternateContent>
        <mc:AlternateContent xmlns:mc="http://schemas.openxmlformats.org/markup-compatibility/2006">
          <mc:Choice Requires="x14">
            <control shapeId="4496" r:id="rId151" name="Check Box 400">
              <controlPr defaultSize="0" autoFill="0" autoLine="0" autoPict="0">
                <anchor moveWithCells="1">
                  <from>
                    <xdr:col>11</xdr:col>
                    <xdr:colOff>0</xdr:colOff>
                    <xdr:row>125</xdr:row>
                    <xdr:rowOff>106680</xdr:rowOff>
                  </from>
                  <to>
                    <xdr:col>11</xdr:col>
                    <xdr:colOff>1775460</xdr:colOff>
                    <xdr:row>125</xdr:row>
                    <xdr:rowOff>297180</xdr:rowOff>
                  </to>
                </anchor>
              </controlPr>
            </control>
          </mc:Choice>
        </mc:AlternateContent>
        <mc:AlternateContent xmlns:mc="http://schemas.openxmlformats.org/markup-compatibility/2006">
          <mc:Choice Requires="x14">
            <control shapeId="4497" r:id="rId152" name="Check Box 401">
              <controlPr defaultSize="0" autoFill="0" autoLine="0" autoPict="0">
                <anchor moveWithCells="1">
                  <from>
                    <xdr:col>11</xdr:col>
                    <xdr:colOff>0</xdr:colOff>
                    <xdr:row>124</xdr:row>
                    <xdr:rowOff>30480</xdr:rowOff>
                  </from>
                  <to>
                    <xdr:col>11</xdr:col>
                    <xdr:colOff>1775460</xdr:colOff>
                    <xdr:row>124</xdr:row>
                    <xdr:rowOff>220980</xdr:rowOff>
                  </to>
                </anchor>
              </controlPr>
            </control>
          </mc:Choice>
        </mc:AlternateContent>
        <mc:AlternateContent xmlns:mc="http://schemas.openxmlformats.org/markup-compatibility/2006">
          <mc:Choice Requires="x14">
            <control shapeId="4498" r:id="rId153" name="Check Box 402">
              <controlPr defaultSize="0" autoFill="0" autoLine="0" autoPict="0">
                <anchor moveWithCells="1">
                  <from>
                    <xdr:col>11</xdr:col>
                    <xdr:colOff>0</xdr:colOff>
                    <xdr:row>126</xdr:row>
                    <xdr:rowOff>259080</xdr:rowOff>
                  </from>
                  <to>
                    <xdr:col>11</xdr:col>
                    <xdr:colOff>1775460</xdr:colOff>
                    <xdr:row>127</xdr:row>
                    <xdr:rowOff>137160</xdr:rowOff>
                  </to>
                </anchor>
              </controlPr>
            </control>
          </mc:Choice>
        </mc:AlternateContent>
        <mc:AlternateContent xmlns:mc="http://schemas.openxmlformats.org/markup-compatibility/2006">
          <mc:Choice Requires="x14">
            <control shapeId="4499" r:id="rId154" name="Check Box 403">
              <controlPr defaultSize="0" autoFill="0" autoLine="0" autoPict="0">
                <anchor moveWithCells="1">
                  <from>
                    <xdr:col>11</xdr:col>
                    <xdr:colOff>0</xdr:colOff>
                    <xdr:row>127</xdr:row>
                    <xdr:rowOff>106680</xdr:rowOff>
                  </from>
                  <to>
                    <xdr:col>11</xdr:col>
                    <xdr:colOff>1775460</xdr:colOff>
                    <xdr:row>127</xdr:row>
                    <xdr:rowOff>297180</xdr:rowOff>
                  </to>
                </anchor>
              </controlPr>
            </control>
          </mc:Choice>
        </mc:AlternateContent>
        <mc:AlternateContent xmlns:mc="http://schemas.openxmlformats.org/markup-compatibility/2006">
          <mc:Choice Requires="x14">
            <control shapeId="4500" r:id="rId155" name="Check Box 404">
              <controlPr defaultSize="0" autoFill="0" autoLine="0" autoPict="0">
                <anchor moveWithCells="1">
                  <from>
                    <xdr:col>11</xdr:col>
                    <xdr:colOff>0</xdr:colOff>
                    <xdr:row>126</xdr:row>
                    <xdr:rowOff>30480</xdr:rowOff>
                  </from>
                  <to>
                    <xdr:col>11</xdr:col>
                    <xdr:colOff>1775460</xdr:colOff>
                    <xdr:row>126</xdr:row>
                    <xdr:rowOff>220980</xdr:rowOff>
                  </to>
                </anchor>
              </controlPr>
            </control>
          </mc:Choice>
        </mc:AlternateContent>
        <mc:AlternateContent xmlns:mc="http://schemas.openxmlformats.org/markup-compatibility/2006">
          <mc:Choice Requires="x14">
            <control shapeId="4501" r:id="rId156" name="Check Box 405">
              <controlPr defaultSize="0" autoFill="0" autoLine="0" autoPict="0">
                <anchor moveWithCells="1">
                  <from>
                    <xdr:col>11</xdr:col>
                    <xdr:colOff>0</xdr:colOff>
                    <xdr:row>128</xdr:row>
                    <xdr:rowOff>259080</xdr:rowOff>
                  </from>
                  <to>
                    <xdr:col>11</xdr:col>
                    <xdr:colOff>1775460</xdr:colOff>
                    <xdr:row>129</xdr:row>
                    <xdr:rowOff>137160</xdr:rowOff>
                  </to>
                </anchor>
              </controlPr>
            </control>
          </mc:Choice>
        </mc:AlternateContent>
        <mc:AlternateContent xmlns:mc="http://schemas.openxmlformats.org/markup-compatibility/2006">
          <mc:Choice Requires="x14">
            <control shapeId="4502" r:id="rId157" name="Check Box 406">
              <controlPr defaultSize="0" autoFill="0" autoLine="0" autoPict="0">
                <anchor moveWithCells="1">
                  <from>
                    <xdr:col>11</xdr:col>
                    <xdr:colOff>0</xdr:colOff>
                    <xdr:row>129</xdr:row>
                    <xdr:rowOff>106680</xdr:rowOff>
                  </from>
                  <to>
                    <xdr:col>11</xdr:col>
                    <xdr:colOff>1775460</xdr:colOff>
                    <xdr:row>129</xdr:row>
                    <xdr:rowOff>297180</xdr:rowOff>
                  </to>
                </anchor>
              </controlPr>
            </control>
          </mc:Choice>
        </mc:AlternateContent>
        <mc:AlternateContent xmlns:mc="http://schemas.openxmlformats.org/markup-compatibility/2006">
          <mc:Choice Requires="x14">
            <control shapeId="4503" r:id="rId158" name="Check Box 407">
              <controlPr defaultSize="0" autoFill="0" autoLine="0" autoPict="0">
                <anchor moveWithCells="1">
                  <from>
                    <xdr:col>11</xdr:col>
                    <xdr:colOff>0</xdr:colOff>
                    <xdr:row>128</xdr:row>
                    <xdr:rowOff>30480</xdr:rowOff>
                  </from>
                  <to>
                    <xdr:col>11</xdr:col>
                    <xdr:colOff>1775460</xdr:colOff>
                    <xdr:row>128</xdr:row>
                    <xdr:rowOff>220980</xdr:rowOff>
                  </to>
                </anchor>
              </controlPr>
            </control>
          </mc:Choice>
        </mc:AlternateContent>
        <mc:AlternateContent xmlns:mc="http://schemas.openxmlformats.org/markup-compatibility/2006">
          <mc:Choice Requires="x14">
            <control shapeId="4504" r:id="rId159" name="Check Box 408">
              <controlPr defaultSize="0" autoFill="0" autoLine="0" autoPict="0">
                <anchor moveWithCells="1">
                  <from>
                    <xdr:col>11</xdr:col>
                    <xdr:colOff>0</xdr:colOff>
                    <xdr:row>130</xdr:row>
                    <xdr:rowOff>259080</xdr:rowOff>
                  </from>
                  <to>
                    <xdr:col>11</xdr:col>
                    <xdr:colOff>1775460</xdr:colOff>
                    <xdr:row>131</xdr:row>
                    <xdr:rowOff>137160</xdr:rowOff>
                  </to>
                </anchor>
              </controlPr>
            </control>
          </mc:Choice>
        </mc:AlternateContent>
        <mc:AlternateContent xmlns:mc="http://schemas.openxmlformats.org/markup-compatibility/2006">
          <mc:Choice Requires="x14">
            <control shapeId="4505" r:id="rId160" name="Check Box 409">
              <controlPr defaultSize="0" autoFill="0" autoLine="0" autoPict="0">
                <anchor moveWithCells="1">
                  <from>
                    <xdr:col>11</xdr:col>
                    <xdr:colOff>0</xdr:colOff>
                    <xdr:row>131</xdr:row>
                    <xdr:rowOff>106680</xdr:rowOff>
                  </from>
                  <to>
                    <xdr:col>11</xdr:col>
                    <xdr:colOff>1775460</xdr:colOff>
                    <xdr:row>131</xdr:row>
                    <xdr:rowOff>297180</xdr:rowOff>
                  </to>
                </anchor>
              </controlPr>
            </control>
          </mc:Choice>
        </mc:AlternateContent>
        <mc:AlternateContent xmlns:mc="http://schemas.openxmlformats.org/markup-compatibility/2006">
          <mc:Choice Requires="x14">
            <control shapeId="4506" r:id="rId161" name="Check Box 410">
              <controlPr defaultSize="0" autoFill="0" autoLine="0" autoPict="0">
                <anchor moveWithCells="1">
                  <from>
                    <xdr:col>11</xdr:col>
                    <xdr:colOff>0</xdr:colOff>
                    <xdr:row>130</xdr:row>
                    <xdr:rowOff>30480</xdr:rowOff>
                  </from>
                  <to>
                    <xdr:col>11</xdr:col>
                    <xdr:colOff>1775460</xdr:colOff>
                    <xdr:row>130</xdr:row>
                    <xdr:rowOff>220980</xdr:rowOff>
                  </to>
                </anchor>
              </controlPr>
            </control>
          </mc:Choice>
        </mc:AlternateContent>
        <mc:AlternateContent xmlns:mc="http://schemas.openxmlformats.org/markup-compatibility/2006">
          <mc:Choice Requires="x14">
            <control shapeId="4507" r:id="rId162" name="Check Box 411">
              <controlPr defaultSize="0" autoFill="0" autoLine="0" autoPict="0">
                <anchor moveWithCells="1">
                  <from>
                    <xdr:col>11</xdr:col>
                    <xdr:colOff>0</xdr:colOff>
                    <xdr:row>132</xdr:row>
                    <xdr:rowOff>259080</xdr:rowOff>
                  </from>
                  <to>
                    <xdr:col>11</xdr:col>
                    <xdr:colOff>1775460</xdr:colOff>
                    <xdr:row>133</xdr:row>
                    <xdr:rowOff>137160</xdr:rowOff>
                  </to>
                </anchor>
              </controlPr>
            </control>
          </mc:Choice>
        </mc:AlternateContent>
        <mc:AlternateContent xmlns:mc="http://schemas.openxmlformats.org/markup-compatibility/2006">
          <mc:Choice Requires="x14">
            <control shapeId="4508" r:id="rId163" name="Check Box 412">
              <controlPr defaultSize="0" autoFill="0" autoLine="0" autoPict="0">
                <anchor moveWithCells="1">
                  <from>
                    <xdr:col>11</xdr:col>
                    <xdr:colOff>0</xdr:colOff>
                    <xdr:row>133</xdr:row>
                    <xdr:rowOff>106680</xdr:rowOff>
                  </from>
                  <to>
                    <xdr:col>11</xdr:col>
                    <xdr:colOff>1775460</xdr:colOff>
                    <xdr:row>133</xdr:row>
                    <xdr:rowOff>297180</xdr:rowOff>
                  </to>
                </anchor>
              </controlPr>
            </control>
          </mc:Choice>
        </mc:AlternateContent>
        <mc:AlternateContent xmlns:mc="http://schemas.openxmlformats.org/markup-compatibility/2006">
          <mc:Choice Requires="x14">
            <control shapeId="4509" r:id="rId164" name="Check Box 413">
              <controlPr defaultSize="0" autoFill="0" autoLine="0" autoPict="0">
                <anchor moveWithCells="1">
                  <from>
                    <xdr:col>11</xdr:col>
                    <xdr:colOff>0</xdr:colOff>
                    <xdr:row>132</xdr:row>
                    <xdr:rowOff>30480</xdr:rowOff>
                  </from>
                  <to>
                    <xdr:col>11</xdr:col>
                    <xdr:colOff>1775460</xdr:colOff>
                    <xdr:row>132</xdr:row>
                    <xdr:rowOff>220980</xdr:rowOff>
                  </to>
                </anchor>
              </controlPr>
            </control>
          </mc:Choice>
        </mc:AlternateContent>
        <mc:AlternateContent xmlns:mc="http://schemas.openxmlformats.org/markup-compatibility/2006">
          <mc:Choice Requires="x14">
            <control shapeId="4510" r:id="rId165" name="Check Box 414">
              <controlPr defaultSize="0" autoFill="0" autoLine="0" autoPict="0">
                <anchor moveWithCells="1">
                  <from>
                    <xdr:col>11</xdr:col>
                    <xdr:colOff>0</xdr:colOff>
                    <xdr:row>134</xdr:row>
                    <xdr:rowOff>259080</xdr:rowOff>
                  </from>
                  <to>
                    <xdr:col>11</xdr:col>
                    <xdr:colOff>1775460</xdr:colOff>
                    <xdr:row>135</xdr:row>
                    <xdr:rowOff>137160</xdr:rowOff>
                  </to>
                </anchor>
              </controlPr>
            </control>
          </mc:Choice>
        </mc:AlternateContent>
        <mc:AlternateContent xmlns:mc="http://schemas.openxmlformats.org/markup-compatibility/2006">
          <mc:Choice Requires="x14">
            <control shapeId="4511" r:id="rId166" name="Check Box 415">
              <controlPr defaultSize="0" autoFill="0" autoLine="0" autoPict="0">
                <anchor moveWithCells="1">
                  <from>
                    <xdr:col>11</xdr:col>
                    <xdr:colOff>0</xdr:colOff>
                    <xdr:row>135</xdr:row>
                    <xdr:rowOff>106680</xdr:rowOff>
                  </from>
                  <to>
                    <xdr:col>11</xdr:col>
                    <xdr:colOff>1775460</xdr:colOff>
                    <xdr:row>135</xdr:row>
                    <xdr:rowOff>297180</xdr:rowOff>
                  </to>
                </anchor>
              </controlPr>
            </control>
          </mc:Choice>
        </mc:AlternateContent>
        <mc:AlternateContent xmlns:mc="http://schemas.openxmlformats.org/markup-compatibility/2006">
          <mc:Choice Requires="x14">
            <control shapeId="4512" r:id="rId167" name="Check Box 416">
              <controlPr defaultSize="0" autoFill="0" autoLine="0" autoPict="0">
                <anchor moveWithCells="1">
                  <from>
                    <xdr:col>11</xdr:col>
                    <xdr:colOff>0</xdr:colOff>
                    <xdr:row>134</xdr:row>
                    <xdr:rowOff>30480</xdr:rowOff>
                  </from>
                  <to>
                    <xdr:col>11</xdr:col>
                    <xdr:colOff>1775460</xdr:colOff>
                    <xdr:row>134</xdr:row>
                    <xdr:rowOff>220980</xdr:rowOff>
                  </to>
                </anchor>
              </controlPr>
            </control>
          </mc:Choice>
        </mc:AlternateContent>
        <mc:AlternateContent xmlns:mc="http://schemas.openxmlformats.org/markup-compatibility/2006">
          <mc:Choice Requires="x14">
            <control shapeId="4513" r:id="rId168" name="Check Box 417">
              <controlPr defaultSize="0" autoFill="0" autoLine="0" autoPict="0">
                <anchor moveWithCells="1">
                  <from>
                    <xdr:col>11</xdr:col>
                    <xdr:colOff>0</xdr:colOff>
                    <xdr:row>136</xdr:row>
                    <xdr:rowOff>259080</xdr:rowOff>
                  </from>
                  <to>
                    <xdr:col>11</xdr:col>
                    <xdr:colOff>1775460</xdr:colOff>
                    <xdr:row>137</xdr:row>
                    <xdr:rowOff>137160</xdr:rowOff>
                  </to>
                </anchor>
              </controlPr>
            </control>
          </mc:Choice>
        </mc:AlternateContent>
        <mc:AlternateContent xmlns:mc="http://schemas.openxmlformats.org/markup-compatibility/2006">
          <mc:Choice Requires="x14">
            <control shapeId="4514" r:id="rId169" name="Check Box 418">
              <controlPr defaultSize="0" autoFill="0" autoLine="0" autoPict="0">
                <anchor moveWithCells="1">
                  <from>
                    <xdr:col>11</xdr:col>
                    <xdr:colOff>0</xdr:colOff>
                    <xdr:row>137</xdr:row>
                    <xdr:rowOff>106680</xdr:rowOff>
                  </from>
                  <to>
                    <xdr:col>11</xdr:col>
                    <xdr:colOff>1775460</xdr:colOff>
                    <xdr:row>137</xdr:row>
                    <xdr:rowOff>297180</xdr:rowOff>
                  </to>
                </anchor>
              </controlPr>
            </control>
          </mc:Choice>
        </mc:AlternateContent>
        <mc:AlternateContent xmlns:mc="http://schemas.openxmlformats.org/markup-compatibility/2006">
          <mc:Choice Requires="x14">
            <control shapeId="4515" r:id="rId170" name="Check Box 419">
              <controlPr defaultSize="0" autoFill="0" autoLine="0" autoPict="0">
                <anchor moveWithCells="1">
                  <from>
                    <xdr:col>11</xdr:col>
                    <xdr:colOff>0</xdr:colOff>
                    <xdr:row>136</xdr:row>
                    <xdr:rowOff>30480</xdr:rowOff>
                  </from>
                  <to>
                    <xdr:col>11</xdr:col>
                    <xdr:colOff>1775460</xdr:colOff>
                    <xdr:row>136</xdr:row>
                    <xdr:rowOff>220980</xdr:rowOff>
                  </to>
                </anchor>
              </controlPr>
            </control>
          </mc:Choice>
        </mc:AlternateContent>
        <mc:AlternateContent xmlns:mc="http://schemas.openxmlformats.org/markup-compatibility/2006">
          <mc:Choice Requires="x14">
            <control shapeId="4519" r:id="rId171" name="Check Box 423">
              <controlPr defaultSize="0" autoFill="0" autoLine="0" autoPict="0">
                <anchor moveWithCells="1">
                  <from>
                    <xdr:col>11</xdr:col>
                    <xdr:colOff>0</xdr:colOff>
                    <xdr:row>140</xdr:row>
                    <xdr:rowOff>259080</xdr:rowOff>
                  </from>
                  <to>
                    <xdr:col>11</xdr:col>
                    <xdr:colOff>1775460</xdr:colOff>
                    <xdr:row>141</xdr:row>
                    <xdr:rowOff>137160</xdr:rowOff>
                  </to>
                </anchor>
              </controlPr>
            </control>
          </mc:Choice>
        </mc:AlternateContent>
        <mc:AlternateContent xmlns:mc="http://schemas.openxmlformats.org/markup-compatibility/2006">
          <mc:Choice Requires="x14">
            <control shapeId="4520" r:id="rId172" name="Check Box 424">
              <controlPr defaultSize="0" autoFill="0" autoLine="0" autoPict="0">
                <anchor moveWithCells="1">
                  <from>
                    <xdr:col>11</xdr:col>
                    <xdr:colOff>0</xdr:colOff>
                    <xdr:row>141</xdr:row>
                    <xdr:rowOff>106680</xdr:rowOff>
                  </from>
                  <to>
                    <xdr:col>11</xdr:col>
                    <xdr:colOff>1775460</xdr:colOff>
                    <xdr:row>141</xdr:row>
                    <xdr:rowOff>297180</xdr:rowOff>
                  </to>
                </anchor>
              </controlPr>
            </control>
          </mc:Choice>
        </mc:AlternateContent>
        <mc:AlternateContent xmlns:mc="http://schemas.openxmlformats.org/markup-compatibility/2006">
          <mc:Choice Requires="x14">
            <control shapeId="4521" r:id="rId173" name="Check Box 425">
              <controlPr defaultSize="0" autoFill="0" autoLine="0" autoPict="0">
                <anchor moveWithCells="1">
                  <from>
                    <xdr:col>11</xdr:col>
                    <xdr:colOff>0</xdr:colOff>
                    <xdr:row>140</xdr:row>
                    <xdr:rowOff>30480</xdr:rowOff>
                  </from>
                  <to>
                    <xdr:col>11</xdr:col>
                    <xdr:colOff>1775460</xdr:colOff>
                    <xdr:row>140</xdr:row>
                    <xdr:rowOff>220980</xdr:rowOff>
                  </to>
                </anchor>
              </controlPr>
            </control>
          </mc:Choice>
        </mc:AlternateContent>
        <mc:AlternateContent xmlns:mc="http://schemas.openxmlformats.org/markup-compatibility/2006">
          <mc:Choice Requires="x14">
            <control shapeId="4516" r:id="rId174" name="Check Box 420">
              <controlPr defaultSize="0" autoFill="0" autoLine="0" autoPict="0">
                <anchor moveWithCells="1">
                  <from>
                    <xdr:col>11</xdr:col>
                    <xdr:colOff>0</xdr:colOff>
                    <xdr:row>138</xdr:row>
                    <xdr:rowOff>259080</xdr:rowOff>
                  </from>
                  <to>
                    <xdr:col>11</xdr:col>
                    <xdr:colOff>1775460</xdr:colOff>
                    <xdr:row>139</xdr:row>
                    <xdr:rowOff>137160</xdr:rowOff>
                  </to>
                </anchor>
              </controlPr>
            </control>
          </mc:Choice>
        </mc:AlternateContent>
        <mc:AlternateContent xmlns:mc="http://schemas.openxmlformats.org/markup-compatibility/2006">
          <mc:Choice Requires="x14">
            <control shapeId="4517" r:id="rId175" name="Check Box 421">
              <controlPr defaultSize="0" autoFill="0" autoLine="0" autoPict="0">
                <anchor moveWithCells="1">
                  <from>
                    <xdr:col>11</xdr:col>
                    <xdr:colOff>0</xdr:colOff>
                    <xdr:row>139</xdr:row>
                    <xdr:rowOff>106680</xdr:rowOff>
                  </from>
                  <to>
                    <xdr:col>11</xdr:col>
                    <xdr:colOff>1775460</xdr:colOff>
                    <xdr:row>139</xdr:row>
                    <xdr:rowOff>297180</xdr:rowOff>
                  </to>
                </anchor>
              </controlPr>
            </control>
          </mc:Choice>
        </mc:AlternateContent>
        <mc:AlternateContent xmlns:mc="http://schemas.openxmlformats.org/markup-compatibility/2006">
          <mc:Choice Requires="x14">
            <control shapeId="4518" r:id="rId176" name="Check Box 422">
              <controlPr defaultSize="0" autoFill="0" autoLine="0" autoPict="0">
                <anchor moveWithCells="1">
                  <from>
                    <xdr:col>11</xdr:col>
                    <xdr:colOff>0</xdr:colOff>
                    <xdr:row>138</xdr:row>
                    <xdr:rowOff>30480</xdr:rowOff>
                  </from>
                  <to>
                    <xdr:col>11</xdr:col>
                    <xdr:colOff>1775460</xdr:colOff>
                    <xdr:row>138</xdr:row>
                    <xdr:rowOff>220980</xdr:rowOff>
                  </to>
                </anchor>
              </controlPr>
            </control>
          </mc:Choice>
        </mc:AlternateContent>
      </controls>
    </mc:Choice>
  </mc:AlternateContent>
  <tableParts count="1">
    <tablePart r:id="rId177"/>
  </tableParts>
  <extLst>
    <ext xmlns:x14="http://schemas.microsoft.com/office/spreadsheetml/2009/9/main" uri="{78C0D931-6437-407d-A8EE-F0AAD7539E65}">
      <x14:conditionalFormattings>
        <x14:conditionalFormatting xmlns:xm="http://schemas.microsoft.com/office/excel/2006/main">
          <x14:cfRule type="iconSet" priority="46" id="{E43207D4-63CC-45E5-ABE7-AD7807BF4502}">
            <x14:iconSet iconSet="3Stars">
              <x14:cfvo type="percent">
                <xm:f>0</xm:f>
              </x14:cfvo>
              <x14:cfvo type="percent">
                <xm:f>33</xm:f>
              </x14:cfvo>
              <x14:cfvo type="percent">
                <xm:f>67</xm:f>
              </x14:cfvo>
            </x14:iconSet>
          </x14:cfRule>
          <xm:sqref>O6</xm:sqref>
        </x14:conditionalFormatting>
        <x14:conditionalFormatting xmlns:xm="http://schemas.microsoft.com/office/excel/2006/main">
          <x14:cfRule type="iconSet" priority="36" id="{29B978F4-A49C-4E50-866B-7BC9DC2AA14D}">
            <x14:iconSet iconSet="3Stars">
              <x14:cfvo type="percent">
                <xm:f>0</xm:f>
              </x14:cfvo>
              <x14:cfvo type="percent">
                <xm:f>33</xm:f>
              </x14:cfvo>
              <x14:cfvo type="percent">
                <xm:f>67</xm:f>
              </x14:cfvo>
            </x14:iconSet>
          </x14:cfRule>
          <xm:sqref>P6</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1766A1A-6D72-4FB5-8F79-A2C49D7791A7}">
          <x14:formula1>
            <xm:f>Parâmetros!$A$28:$A$29</xm:f>
          </x14:formula1>
          <xm:sqref>I148:K169 M55:M144</xm:sqref>
        </x14:dataValidation>
        <x14:dataValidation type="list" allowBlank="1" showInputMessage="1" showErrorMessage="1" xr:uid="{C0B4DD86-90EC-4C10-A2C7-4E37AFED646F}">
          <x14:formula1>
            <xm:f>Parâmetros!$A$31:$A$33</xm:f>
          </x14:formula1>
          <xm:sqref>O55 P143 O57 P107 P109 P111 P113 P115 P117 P119 P121 P123 P125 P127 P129 P131 P133 P135 P137 P139 O59:O144 P141</xm:sqref>
        </x14:dataValidation>
        <x14:dataValidation type="list" allowBlank="1" showInputMessage="1" showErrorMessage="1" xr:uid="{35BBFE3F-4907-443A-87AE-1C2213DDE67B}">
          <x14:formula1>
            <xm:f>Parâmetros!$A$36:$A$38</xm:f>
          </x14:formula1>
          <xm:sqref>H38</xm:sqref>
        </x14:dataValidation>
        <x14:dataValidation type="list" allowBlank="1" showInputMessage="1" showErrorMessage="1" xr:uid="{66D131EC-E431-4450-B8AC-BFA977B25FDC}">
          <x14:formula1>
            <xm:f>Parâmetros!$A$21:$A$27</xm:f>
          </x14:formula1>
          <xm:sqref>A55:A144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BE8C-6B84-41C5-8A58-1AB5D002824C}">
  <dimension ref="A1:AG72"/>
  <sheetViews>
    <sheetView zoomScale="85" zoomScaleNormal="85" workbookViewId="0">
      <selection activeCell="L9" sqref="L9"/>
    </sheetView>
  </sheetViews>
  <sheetFormatPr defaultColWidth="8.5546875" defaultRowHeight="14.4" x14ac:dyDescent="0.3"/>
  <cols>
    <col min="1" max="1" width="16" style="62" customWidth="1"/>
    <col min="2" max="2" width="17.5546875" style="62" customWidth="1"/>
    <col min="3" max="3" width="21.44140625" style="62" customWidth="1"/>
    <col min="4" max="4" width="17.44140625" style="62" customWidth="1"/>
    <col min="5" max="6" width="12.5546875" style="62" customWidth="1"/>
    <col min="7" max="7" width="15.44140625" style="62" bestFit="1" customWidth="1"/>
    <col min="8" max="8" width="13.44140625" style="62" customWidth="1"/>
    <col min="9" max="9" width="19.5546875" style="62" customWidth="1"/>
    <col min="10" max="10" width="8.5546875" style="62" bestFit="1" customWidth="1"/>
    <col min="11" max="32" width="13.44140625" style="62" customWidth="1"/>
    <col min="33" max="33" width="146.5546875" style="62" customWidth="1"/>
    <col min="34" max="16384" width="8.5546875" style="62"/>
  </cols>
  <sheetData>
    <row r="1" spans="1:33" ht="50.1" customHeight="1" x14ac:dyDescent="0.3">
      <c r="A1" s="1434" t="s">
        <v>1674</v>
      </c>
      <c r="B1" s="2214"/>
      <c r="C1" s="2214"/>
      <c r="D1" s="2214"/>
      <c r="E1" s="2214"/>
      <c r="F1" s="2214"/>
      <c r="G1" s="2214"/>
      <c r="H1" s="2214"/>
      <c r="I1" s="2214"/>
      <c r="J1" s="2214"/>
      <c r="K1" s="2214"/>
      <c r="L1" s="2214"/>
      <c r="M1" s="2214"/>
      <c r="N1" s="2214"/>
      <c r="O1" s="1434"/>
      <c r="P1" s="2214"/>
      <c r="Q1" s="2214"/>
      <c r="R1" s="2214"/>
      <c r="S1" s="2214"/>
      <c r="T1" s="2214"/>
      <c r="U1" s="2214"/>
      <c r="V1" s="2214"/>
      <c r="W1" s="2214"/>
      <c r="X1" s="2214"/>
      <c r="Y1" s="2214"/>
      <c r="Z1" s="2214"/>
      <c r="AA1" s="2214"/>
      <c r="AB1" s="2214"/>
      <c r="AC1" s="1434"/>
      <c r="AD1" s="2214"/>
      <c r="AE1" s="2214"/>
      <c r="AF1" s="2214"/>
      <c r="AG1" s="2214"/>
    </row>
    <row r="2" spans="1:33" ht="25.35" customHeight="1" x14ac:dyDescent="0.3">
      <c r="A2" s="1443" t="s">
        <v>46</v>
      </c>
      <c r="B2" s="2215"/>
      <c r="C2" s="2215"/>
      <c r="D2" s="2215"/>
      <c r="E2" s="2215"/>
      <c r="F2" s="2215"/>
      <c r="G2" s="2215"/>
      <c r="H2" s="2215"/>
      <c r="I2" s="2215"/>
      <c r="J2" s="2215"/>
      <c r="K2" s="2215"/>
      <c r="L2" s="2215"/>
      <c r="M2" s="2215"/>
      <c r="N2" s="2215"/>
      <c r="O2" s="1443"/>
      <c r="P2" s="2215"/>
      <c r="Q2" s="2215"/>
      <c r="R2" s="2215"/>
      <c r="S2" s="2215"/>
      <c r="T2" s="2215"/>
      <c r="U2" s="2215"/>
      <c r="V2" s="2215"/>
      <c r="W2" s="2215"/>
      <c r="X2" s="2215"/>
      <c r="Y2" s="2215"/>
      <c r="Z2" s="2215"/>
      <c r="AA2" s="2215"/>
      <c r="AB2" s="2215"/>
      <c r="AC2" s="1443"/>
      <c r="AD2" s="2215"/>
      <c r="AE2" s="2215"/>
      <c r="AF2" s="2215"/>
      <c r="AG2" s="2215"/>
    </row>
    <row r="3" spans="1:33"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row>
    <row r="4" spans="1:33" ht="22.35" customHeight="1" x14ac:dyDescent="0.3">
      <c r="A4" s="2211" t="s">
        <v>1675</v>
      </c>
      <c r="B4" s="2211"/>
      <c r="C4" s="2212" t="s">
        <v>1676</v>
      </c>
      <c r="D4" s="2212"/>
      <c r="E4" s="1415" t="s">
        <v>100</v>
      </c>
      <c r="F4" s="1415"/>
      <c r="G4" s="2213" t="s">
        <v>102</v>
      </c>
      <c r="H4" s="2213"/>
      <c r="I4" s="2213"/>
      <c r="J4" s="2211" t="s">
        <v>54</v>
      </c>
      <c r="K4" s="2210"/>
      <c r="L4" s="2210"/>
      <c r="M4" s="2211" t="s">
        <v>55</v>
      </c>
      <c r="N4" s="2210"/>
      <c r="O4" s="47"/>
      <c r="P4" s="47"/>
      <c r="Q4" s="47"/>
      <c r="R4" s="47"/>
      <c r="S4" s="47"/>
      <c r="T4" s="47"/>
      <c r="U4" s="47"/>
      <c r="V4" s="47"/>
      <c r="W4" s="47"/>
      <c r="X4" s="47"/>
      <c r="Y4" s="47"/>
      <c r="Z4" s="47"/>
      <c r="AA4" s="47"/>
      <c r="AB4" s="47"/>
      <c r="AC4" s="47"/>
      <c r="AD4" s="47"/>
      <c r="AE4" s="47"/>
      <c r="AF4" s="47"/>
      <c r="AG4" s="47"/>
    </row>
    <row r="5" spans="1:33" ht="45" customHeight="1" x14ac:dyDescent="0.3">
      <c r="A5" s="2204" t="str">
        <f>Parâmetros!E11</f>
        <v>Definir..</v>
      </c>
      <c r="B5" s="2204"/>
      <c r="C5" s="2205">
        <f>SUM(G16:G67)</f>
        <v>0</v>
      </c>
      <c r="D5" s="2205"/>
      <c r="E5" s="1416">
        <f>SUM(I16:I67)</f>
        <v>0</v>
      </c>
      <c r="F5" s="1416"/>
      <c r="G5" s="2206">
        <f>SUMIF(K16:K67,"Real",AC16:AC67)</f>
        <v>0</v>
      </c>
      <c r="H5" s="2206"/>
      <c r="I5" s="2206"/>
      <c r="J5" s="2207" t="e">
        <f>G5/A5</f>
        <v>#VALUE!</v>
      </c>
      <c r="K5" s="2208"/>
      <c r="L5" s="2208"/>
      <c r="M5" s="2209">
        <f>COUNTA(C20:C71)</f>
        <v>0</v>
      </c>
      <c r="N5" s="2210"/>
      <c r="O5" s="47"/>
      <c r="P5" s="47"/>
      <c r="Q5" s="47"/>
      <c r="R5" s="47"/>
      <c r="S5" s="47"/>
      <c r="T5" s="47"/>
      <c r="U5" s="47"/>
      <c r="V5" s="47"/>
      <c r="W5" s="47"/>
      <c r="X5" s="47"/>
      <c r="Y5" s="47"/>
      <c r="Z5" s="47"/>
      <c r="AA5" s="47"/>
      <c r="AB5" s="47"/>
      <c r="AC5" s="47"/>
      <c r="AD5" s="47"/>
      <c r="AE5" s="47"/>
      <c r="AF5" s="47"/>
      <c r="AG5" s="47"/>
    </row>
    <row r="6" spans="1:33" ht="8.1" customHeight="1" x14ac:dyDescent="0.3">
      <c r="A6" s="20"/>
      <c r="B6" s="20"/>
      <c r="C6" s="20"/>
      <c r="D6" s="20"/>
      <c r="E6" s="20"/>
      <c r="F6" s="20"/>
      <c r="G6" s="20"/>
      <c r="H6" s="20"/>
      <c r="I6" s="20"/>
      <c r="J6" s="20"/>
      <c r="K6" s="20"/>
      <c r="L6" s="20"/>
      <c r="M6" s="20"/>
      <c r="N6" s="20"/>
      <c r="O6" s="47"/>
      <c r="P6" s="47"/>
      <c r="Q6" s="47"/>
      <c r="R6" s="47"/>
      <c r="S6" s="47"/>
      <c r="T6" s="47"/>
      <c r="U6" s="47"/>
      <c r="V6" s="47"/>
      <c r="W6" s="47"/>
      <c r="X6" s="47"/>
      <c r="Y6" s="47"/>
      <c r="Z6" s="47"/>
      <c r="AA6" s="47"/>
      <c r="AB6" s="47"/>
      <c r="AC6" s="47"/>
      <c r="AD6" s="47"/>
      <c r="AE6" s="47"/>
      <c r="AF6" s="47"/>
      <c r="AG6" s="47"/>
    </row>
    <row r="7" spans="1:33" ht="22.35" customHeight="1" x14ac:dyDescent="0.3">
      <c r="A7" s="2202" t="s">
        <v>1677</v>
      </c>
      <c r="B7" s="2202"/>
      <c r="C7" s="2202"/>
      <c r="D7" s="2202"/>
      <c r="E7" s="2202"/>
      <c r="F7" s="29"/>
      <c r="G7" s="2202" t="s">
        <v>64</v>
      </c>
      <c r="H7" s="2202"/>
      <c r="I7" s="2202"/>
      <c r="J7" s="20"/>
      <c r="K7" s="20"/>
      <c r="L7" s="20"/>
      <c r="M7" s="20"/>
      <c r="N7" s="20"/>
      <c r="O7" s="47"/>
      <c r="P7" s="47"/>
      <c r="Q7" s="47"/>
      <c r="R7" s="47"/>
      <c r="S7" s="47"/>
      <c r="T7" s="47"/>
      <c r="U7" s="47"/>
      <c r="V7" s="47"/>
      <c r="W7" s="47"/>
      <c r="X7" s="47"/>
      <c r="Y7" s="47"/>
      <c r="Z7" s="47"/>
      <c r="AA7" s="47"/>
      <c r="AB7" s="47"/>
      <c r="AC7" s="47"/>
      <c r="AD7" s="47"/>
      <c r="AE7" s="47"/>
      <c r="AF7" s="47"/>
      <c r="AG7" s="47"/>
    </row>
    <row r="8" spans="1:33" ht="18" customHeight="1" x14ac:dyDescent="0.3">
      <c r="A8" s="15" t="s">
        <v>67</v>
      </c>
      <c r="B8" s="15" t="s">
        <v>68</v>
      </c>
      <c r="C8" s="15" t="s">
        <v>69</v>
      </c>
      <c r="D8" s="15" t="s">
        <v>1678</v>
      </c>
      <c r="E8" s="15" t="s">
        <v>1679</v>
      </c>
      <c r="F8" s="29"/>
      <c r="G8" s="15" t="s">
        <v>72</v>
      </c>
      <c r="H8" s="15" t="s">
        <v>68</v>
      </c>
      <c r="I8" s="15" t="s">
        <v>1680</v>
      </c>
      <c r="J8" s="20"/>
      <c r="K8" s="20"/>
      <c r="L8" s="20"/>
      <c r="M8" s="20"/>
      <c r="N8" s="20"/>
      <c r="O8" s="47"/>
      <c r="P8" s="47"/>
      <c r="Q8" s="47"/>
      <c r="R8" s="47"/>
      <c r="S8" s="47"/>
      <c r="T8" s="47"/>
      <c r="U8" s="47"/>
      <c r="V8" s="47"/>
      <c r="W8" s="47"/>
      <c r="X8" s="47"/>
      <c r="Y8" s="47"/>
      <c r="Z8" s="47"/>
      <c r="AA8" s="47"/>
      <c r="AB8" s="47"/>
      <c r="AC8" s="47"/>
      <c r="AD8" s="47"/>
      <c r="AE8" s="47"/>
      <c r="AF8" s="47"/>
      <c r="AG8" s="47"/>
    </row>
    <row r="9" spans="1:33" ht="18" customHeight="1" x14ac:dyDescent="0.3">
      <c r="A9" s="16" t="s">
        <v>925</v>
      </c>
      <c r="B9" s="17">
        <f>COUNTIF($A$16:$A$67,A9)</f>
        <v>0</v>
      </c>
      <c r="C9" s="18">
        <f>SUMIF($A$16:$A$67,A9,$I$16:$I$67)</f>
        <v>0</v>
      </c>
      <c r="D9" s="191" t="str">
        <f>IF($C$12=0,"",C9/$C$12)</f>
        <v/>
      </c>
      <c r="E9" s="19" t="str">
        <f>D9</f>
        <v/>
      </c>
      <c r="F9" s="29"/>
      <c r="G9" s="21" t="s">
        <v>81</v>
      </c>
      <c r="H9" s="24">
        <f ca="1">COUNTIF($AE$16:$AE$67,G9)</f>
        <v>0</v>
      </c>
      <c r="I9" s="193">
        <f>SUMIF($AF$16:$AF$67,G9,$G$16:$G$67)</f>
        <v>0</v>
      </c>
      <c r="J9" s="20"/>
      <c r="K9" s="20"/>
      <c r="L9" s="20"/>
      <c r="M9" s="20"/>
      <c r="N9" s="20"/>
      <c r="O9" s="47"/>
      <c r="P9" s="47"/>
      <c r="Q9" s="47"/>
      <c r="R9" s="47"/>
      <c r="S9" s="47"/>
      <c r="T9" s="47"/>
      <c r="U9" s="47"/>
      <c r="V9" s="47"/>
      <c r="W9" s="47"/>
      <c r="X9" s="47"/>
      <c r="Y9" s="47"/>
      <c r="Z9" s="47"/>
      <c r="AA9" s="47"/>
      <c r="AB9" s="47"/>
      <c r="AC9" s="47"/>
      <c r="AD9" s="47"/>
      <c r="AE9" s="47"/>
      <c r="AF9" s="47"/>
      <c r="AG9" s="47"/>
    </row>
    <row r="10" spans="1:33" ht="15.6" customHeight="1" x14ac:dyDescent="0.3">
      <c r="A10" s="16" t="s">
        <v>89</v>
      </c>
      <c r="B10" s="17">
        <f>COUNTIF($A$16:$A$67,A10)</f>
        <v>0</v>
      </c>
      <c r="C10" s="18">
        <f>SUMIF($A$16:$A$67,A10,$I$16:$I$67)</f>
        <v>0</v>
      </c>
      <c r="D10" s="191" t="str">
        <f>IF($C$12=0,"",C10/$C$12)</f>
        <v/>
      </c>
      <c r="E10" s="19" t="str">
        <f>D10</f>
        <v/>
      </c>
      <c r="F10" s="29"/>
      <c r="G10" s="22" t="s">
        <v>83</v>
      </c>
      <c r="H10" s="25">
        <f ca="1">COUNTIF($AE$16:$AE$67,G10)</f>
        <v>0</v>
      </c>
      <c r="I10" s="194">
        <f t="shared" ref="I10:I11" si="0">SUMIF($AF$16:$AF$67,G10,$G$16:$G$67)</f>
        <v>0</v>
      </c>
      <c r="J10" s="20"/>
      <c r="K10" s="20"/>
      <c r="L10" s="20"/>
      <c r="M10" s="20"/>
      <c r="N10" s="20"/>
      <c r="O10" s="47"/>
      <c r="P10" s="47"/>
      <c r="Q10" s="47"/>
      <c r="R10" s="47"/>
      <c r="S10" s="47"/>
      <c r="T10" s="47"/>
      <c r="U10" s="47"/>
      <c r="V10" s="47"/>
      <c r="W10" s="47"/>
      <c r="X10" s="47"/>
      <c r="Y10" s="47"/>
      <c r="Z10" s="47"/>
      <c r="AA10" s="47"/>
      <c r="AB10" s="47"/>
      <c r="AC10" s="47"/>
      <c r="AD10" s="47"/>
      <c r="AE10" s="47"/>
      <c r="AF10" s="47"/>
      <c r="AG10" s="47"/>
    </row>
    <row r="11" spans="1:33" ht="15.6" customHeight="1" x14ac:dyDescent="0.3">
      <c r="A11" s="16" t="s">
        <v>90</v>
      </c>
      <c r="B11" s="17">
        <f>COUNTIF($A$16:$A$67,A11)</f>
        <v>0</v>
      </c>
      <c r="C11" s="18">
        <f>SUMIF($A$16:$A$67,A11,$I$16:$I$67)</f>
        <v>0</v>
      </c>
      <c r="D11" s="191" t="str">
        <f>IF($C$12=0,"",C11/$C$12)</f>
        <v/>
      </c>
      <c r="E11" s="19" t="str">
        <f>D11</f>
        <v/>
      </c>
      <c r="F11" s="29"/>
      <c r="G11" s="23" t="s">
        <v>85</v>
      </c>
      <c r="H11" s="26">
        <f>COUNTIF($AF$16:$AF$67,G11)</f>
        <v>0</v>
      </c>
      <c r="I11" s="195">
        <f t="shared" si="0"/>
        <v>0</v>
      </c>
      <c r="J11" s="20"/>
      <c r="K11" s="20"/>
      <c r="L11" s="20"/>
      <c r="M11" s="20"/>
      <c r="N11" s="20"/>
      <c r="O11" s="47"/>
      <c r="P11" s="47"/>
      <c r="Q11" s="47"/>
      <c r="R11" s="47"/>
      <c r="S11" s="47"/>
      <c r="T11" s="47"/>
      <c r="U11" s="47"/>
      <c r="V11" s="47"/>
      <c r="W11" s="47"/>
      <c r="X11" s="47"/>
      <c r="Y11" s="47"/>
      <c r="Z11" s="47"/>
      <c r="AA11" s="47"/>
      <c r="AB11" s="47"/>
      <c r="AC11" s="47"/>
      <c r="AD11" s="47"/>
      <c r="AE11" s="47"/>
      <c r="AF11" s="47"/>
      <c r="AG11" s="47"/>
    </row>
    <row r="12" spans="1:33" ht="18" x14ac:dyDescent="0.35">
      <c r="A12" s="173" t="s">
        <v>29</v>
      </c>
      <c r="B12" s="174">
        <f>SUM(B9:B11)</f>
        <v>0</v>
      </c>
      <c r="C12" s="30">
        <f>SUM(C9:C11)</f>
        <v>0</v>
      </c>
      <c r="D12" s="175">
        <f>SUM(D9:D11)</f>
        <v>0</v>
      </c>
      <c r="E12" s="20"/>
      <c r="F12" s="29"/>
      <c r="G12" s="20"/>
      <c r="H12" s="20"/>
      <c r="I12" s="20"/>
      <c r="J12" s="20"/>
      <c r="K12" s="176"/>
      <c r="L12" s="2203"/>
      <c r="M12" s="2203"/>
      <c r="N12" s="2203"/>
      <c r="O12" s="47"/>
      <c r="P12" s="47"/>
      <c r="Q12" s="47"/>
      <c r="R12" s="47"/>
      <c r="S12" s="47"/>
      <c r="T12" s="47"/>
      <c r="U12" s="47"/>
      <c r="V12" s="47"/>
      <c r="W12" s="47"/>
      <c r="X12" s="47"/>
      <c r="Y12" s="47"/>
      <c r="Z12" s="47"/>
      <c r="AA12" s="47"/>
      <c r="AB12" s="47"/>
      <c r="AC12" s="47"/>
      <c r="AD12" s="47"/>
      <c r="AE12" s="47"/>
      <c r="AF12" s="47"/>
      <c r="AG12" s="47"/>
    </row>
    <row r="13" spans="1:33" x14ac:dyDescent="0.3">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row>
    <row r="14" spans="1:33" ht="15.6" x14ac:dyDescent="0.3">
      <c r="A14" s="2201" t="s">
        <v>269</v>
      </c>
      <c r="B14" s="2201"/>
      <c r="C14" s="2201"/>
      <c r="D14" s="2201"/>
      <c r="E14" s="2201"/>
      <c r="F14" s="2201"/>
      <c r="G14" s="2201"/>
      <c r="H14" s="2201"/>
      <c r="I14" s="2201"/>
      <c r="J14" s="2201"/>
      <c r="K14" s="82"/>
      <c r="L14" s="1784" t="s">
        <v>270</v>
      </c>
      <c r="M14" s="1784"/>
      <c r="N14" s="1784"/>
      <c r="O14" s="1784"/>
      <c r="P14" s="1784" t="s">
        <v>271</v>
      </c>
      <c r="Q14" s="1784"/>
      <c r="R14" s="1784"/>
      <c r="S14" s="1784"/>
      <c r="T14" s="1784" t="s">
        <v>272</v>
      </c>
      <c r="U14" s="1784"/>
      <c r="V14" s="1784"/>
      <c r="W14" s="1784"/>
      <c r="X14" s="1784" t="s">
        <v>273</v>
      </c>
      <c r="Y14" s="1784"/>
      <c r="Z14" s="1784"/>
      <c r="AA14" s="1784"/>
      <c r="AB14" s="83"/>
      <c r="AC14" s="83"/>
      <c r="AD14" s="2201"/>
      <c r="AE14" s="2201"/>
      <c r="AF14" s="2201"/>
      <c r="AG14" s="2201"/>
    </row>
    <row r="15" spans="1:33" ht="36" x14ac:dyDescent="0.3">
      <c r="A15" s="84" t="s">
        <v>950</v>
      </c>
      <c r="B15" s="84" t="s">
        <v>276</v>
      </c>
      <c r="C15" s="84" t="s">
        <v>278</v>
      </c>
      <c r="D15" s="84" t="s">
        <v>279</v>
      </c>
      <c r="E15" s="84" t="s">
        <v>280</v>
      </c>
      <c r="F15" s="84" t="s">
        <v>281</v>
      </c>
      <c r="G15" s="84" t="s">
        <v>1681</v>
      </c>
      <c r="H15" s="7" t="s">
        <v>952</v>
      </c>
      <c r="I15" s="7" t="s">
        <v>287</v>
      </c>
      <c r="J15" s="84" t="s">
        <v>1682</v>
      </c>
      <c r="K15" s="84"/>
      <c r="L15" s="85">
        <v>46023</v>
      </c>
      <c r="M15" s="85">
        <v>46054</v>
      </c>
      <c r="N15" s="85">
        <v>46082</v>
      </c>
      <c r="O15" s="86" t="s">
        <v>292</v>
      </c>
      <c r="P15" s="85">
        <v>46113</v>
      </c>
      <c r="Q15" s="85">
        <v>46143</v>
      </c>
      <c r="R15" s="85">
        <v>46174</v>
      </c>
      <c r="S15" s="86" t="s">
        <v>293</v>
      </c>
      <c r="T15" s="85">
        <v>46204</v>
      </c>
      <c r="U15" s="85">
        <v>46235</v>
      </c>
      <c r="V15" s="85">
        <v>46266</v>
      </c>
      <c r="W15" s="86" t="s">
        <v>294</v>
      </c>
      <c r="X15" s="85">
        <v>46296</v>
      </c>
      <c r="Y15" s="85">
        <v>46327</v>
      </c>
      <c r="Z15" s="85">
        <v>46357</v>
      </c>
      <c r="AA15" s="84" t="s">
        <v>295</v>
      </c>
      <c r="AB15" s="84" t="s">
        <v>296</v>
      </c>
      <c r="AC15" s="84" t="s">
        <v>296</v>
      </c>
      <c r="AD15" s="84" t="s">
        <v>1683</v>
      </c>
      <c r="AE15" s="84" t="s">
        <v>291</v>
      </c>
      <c r="AF15" s="84" t="s">
        <v>72</v>
      </c>
      <c r="AG15" s="84" t="s">
        <v>297</v>
      </c>
    </row>
    <row r="16" spans="1:33" s="120" customFormat="1" ht="20.85" customHeight="1" x14ac:dyDescent="0.3">
      <c r="A16" s="1370"/>
      <c r="B16" s="1370"/>
      <c r="C16" s="1368"/>
      <c r="D16" s="1370"/>
      <c r="E16" s="1372"/>
      <c r="F16" s="1372"/>
      <c r="G16" s="1405"/>
      <c r="H16" s="2199"/>
      <c r="I16" s="2195"/>
      <c r="J16" s="2197">
        <f>DATEDIF(E16,F16,"m")</f>
        <v>0</v>
      </c>
      <c r="K16" s="115" t="s">
        <v>116</v>
      </c>
      <c r="L16" s="116"/>
      <c r="M16" s="116"/>
      <c r="N16" s="116"/>
      <c r="O16" s="117">
        <f t="shared" ref="O16:O67" si="1">SUM(L16:N16)</f>
        <v>0</v>
      </c>
      <c r="P16" s="116"/>
      <c r="Q16" s="116"/>
      <c r="R16" s="116"/>
      <c r="S16" s="117">
        <f t="shared" ref="S16:S67" si="2">SUM(P16:R16)</f>
        <v>0</v>
      </c>
      <c r="T16" s="116"/>
      <c r="U16" s="116"/>
      <c r="V16" s="116"/>
      <c r="W16" s="117">
        <f t="shared" ref="W16:W67" si="3">SUM(T16:V16)</f>
        <v>0</v>
      </c>
      <c r="X16" s="116"/>
      <c r="Y16" s="116"/>
      <c r="Z16" s="116"/>
      <c r="AA16" s="117">
        <f t="shared" ref="AA16:AA67" si="4">SUM(X16:Z16)</f>
        <v>0</v>
      </c>
      <c r="AB16" s="116"/>
      <c r="AC16" s="118">
        <f t="shared" ref="AC16:AC67" si="5">SUM(P16,T16,X16,AB16)</f>
        <v>0</v>
      </c>
      <c r="AD16" s="118" t="str">
        <f t="shared" ref="AD16:AD67" si="6">IF(J16=0,"0",AC16/J16)</f>
        <v>0</v>
      </c>
      <c r="AE16" s="119" t="str">
        <f ca="1">IF(OR(F16="", G16=""), "", IF(TODAY()&lt;F16, 0, IF(TODAY()&gt;G16, 1, (TODAY()-F16+1)/(G16-F16+1))))</f>
        <v/>
      </c>
      <c r="AF16" s="1411"/>
      <c r="AG16" s="98"/>
    </row>
    <row r="17" spans="1:33" s="120" customFormat="1" ht="20.85" customHeight="1" x14ac:dyDescent="0.3">
      <c r="A17" s="1371"/>
      <c r="B17" s="1371"/>
      <c r="C17" s="1369"/>
      <c r="D17" s="1371"/>
      <c r="E17" s="1373"/>
      <c r="F17" s="1373"/>
      <c r="G17" s="1406"/>
      <c r="H17" s="2200"/>
      <c r="I17" s="2196"/>
      <c r="J17" s="2198"/>
      <c r="K17" s="115" t="s">
        <v>117</v>
      </c>
      <c r="L17" s="116"/>
      <c r="M17" s="116"/>
      <c r="N17" s="116"/>
      <c r="O17" s="117">
        <f t="shared" si="1"/>
        <v>0</v>
      </c>
      <c r="P17" s="116"/>
      <c r="Q17" s="116"/>
      <c r="R17" s="116"/>
      <c r="S17" s="117">
        <f t="shared" si="2"/>
        <v>0</v>
      </c>
      <c r="T17" s="116"/>
      <c r="U17" s="116"/>
      <c r="V17" s="116"/>
      <c r="W17" s="117">
        <f t="shared" si="3"/>
        <v>0</v>
      </c>
      <c r="X17" s="116"/>
      <c r="Y17" s="116"/>
      <c r="Z17" s="116"/>
      <c r="AA17" s="117">
        <f t="shared" si="4"/>
        <v>0</v>
      </c>
      <c r="AB17" s="116"/>
      <c r="AC17" s="118">
        <f t="shared" si="5"/>
        <v>0</v>
      </c>
      <c r="AD17" s="118" t="str">
        <f t="shared" si="6"/>
        <v>0</v>
      </c>
      <c r="AE17" s="119"/>
      <c r="AF17" s="1412"/>
      <c r="AG17" s="98"/>
    </row>
    <row r="18" spans="1:33" s="120" customFormat="1" ht="20.85" customHeight="1" x14ac:dyDescent="0.3">
      <c r="A18" s="1742"/>
      <c r="B18" s="1451"/>
      <c r="C18" s="1449"/>
      <c r="D18" s="1451"/>
      <c r="E18" s="1785"/>
      <c r="F18" s="1785"/>
      <c r="G18" s="2185"/>
      <c r="H18" s="2187"/>
      <c r="I18" s="2189"/>
      <c r="J18" s="2191">
        <f>DATEDIF(E18,F18,"m")</f>
        <v>0</v>
      </c>
      <c r="K18" s="121" t="s">
        <v>116</v>
      </c>
      <c r="L18" s="122"/>
      <c r="M18" s="122"/>
      <c r="N18" s="122"/>
      <c r="O18" s="117">
        <f t="shared" si="1"/>
        <v>0</v>
      </c>
      <c r="P18" s="122"/>
      <c r="Q18" s="122"/>
      <c r="R18" s="122"/>
      <c r="S18" s="117">
        <f t="shared" si="2"/>
        <v>0</v>
      </c>
      <c r="T18" s="122"/>
      <c r="U18" s="122"/>
      <c r="V18" s="122"/>
      <c r="W18" s="117">
        <f t="shared" si="3"/>
        <v>0</v>
      </c>
      <c r="X18" s="122"/>
      <c r="Y18" s="122"/>
      <c r="Z18" s="122"/>
      <c r="AA18" s="117">
        <f t="shared" si="4"/>
        <v>0</v>
      </c>
      <c r="AB18" s="122"/>
      <c r="AC18" s="123">
        <f t="shared" si="5"/>
        <v>0</v>
      </c>
      <c r="AD18" s="123" t="str">
        <f t="shared" si="6"/>
        <v>0</v>
      </c>
      <c r="AE18" s="124" t="str">
        <f ca="1">IF(OR(F18="", G18=""), "", IF(TODAY()&lt;F18, 0, IF(TODAY()&gt;G18, 1, (TODAY()-F18+1)/(G18-F18+1))))</f>
        <v/>
      </c>
      <c r="AF18" s="1825"/>
      <c r="AG18" s="125"/>
    </row>
    <row r="19" spans="1:33" s="120" customFormat="1" ht="20.85" customHeight="1" x14ac:dyDescent="0.3">
      <c r="A19" s="1743"/>
      <c r="B19" s="1452"/>
      <c r="C19" s="1450"/>
      <c r="D19" s="1452"/>
      <c r="E19" s="1786"/>
      <c r="F19" s="1786"/>
      <c r="G19" s="2186"/>
      <c r="H19" s="2188"/>
      <c r="I19" s="2190"/>
      <c r="J19" s="2192"/>
      <c r="K19" s="121" t="s">
        <v>117</v>
      </c>
      <c r="L19" s="122"/>
      <c r="M19" s="122"/>
      <c r="N19" s="122"/>
      <c r="O19" s="117">
        <f t="shared" si="1"/>
        <v>0</v>
      </c>
      <c r="P19" s="122"/>
      <c r="Q19" s="122"/>
      <c r="R19" s="122"/>
      <c r="S19" s="117">
        <f t="shared" si="2"/>
        <v>0</v>
      </c>
      <c r="T19" s="122"/>
      <c r="U19" s="122"/>
      <c r="V19" s="122"/>
      <c r="W19" s="117">
        <f t="shared" si="3"/>
        <v>0</v>
      </c>
      <c r="X19" s="122"/>
      <c r="Y19" s="122"/>
      <c r="Z19" s="122"/>
      <c r="AA19" s="117">
        <f t="shared" si="4"/>
        <v>0</v>
      </c>
      <c r="AB19" s="122"/>
      <c r="AC19" s="123">
        <f t="shared" si="5"/>
        <v>0</v>
      </c>
      <c r="AD19" s="123" t="str">
        <f t="shared" si="6"/>
        <v>0</v>
      </c>
      <c r="AE19" s="124"/>
      <c r="AF19" s="1826"/>
      <c r="AG19" s="125"/>
    </row>
    <row r="20" spans="1:33" s="120" customFormat="1" ht="20.85" customHeight="1" x14ac:dyDescent="0.3">
      <c r="A20" s="1370"/>
      <c r="B20" s="1370"/>
      <c r="C20" s="1368"/>
      <c r="D20" s="1370"/>
      <c r="E20" s="1372"/>
      <c r="F20" s="1372"/>
      <c r="G20" s="1405"/>
      <c r="H20" s="2193"/>
      <c r="I20" s="2195"/>
      <c r="J20" s="2197">
        <f>DATEDIF(E20,F20,"m")</f>
        <v>0</v>
      </c>
      <c r="K20" s="115" t="s">
        <v>116</v>
      </c>
      <c r="L20" s="116"/>
      <c r="M20" s="116"/>
      <c r="N20" s="116"/>
      <c r="O20" s="117">
        <f t="shared" si="1"/>
        <v>0</v>
      </c>
      <c r="P20" s="116"/>
      <c r="Q20" s="116"/>
      <c r="R20" s="116"/>
      <c r="S20" s="117">
        <f t="shared" si="2"/>
        <v>0</v>
      </c>
      <c r="T20" s="116"/>
      <c r="U20" s="116"/>
      <c r="V20" s="116"/>
      <c r="W20" s="117">
        <f t="shared" si="3"/>
        <v>0</v>
      </c>
      <c r="X20" s="116"/>
      <c r="Y20" s="116"/>
      <c r="Z20" s="116"/>
      <c r="AA20" s="117">
        <f t="shared" si="4"/>
        <v>0</v>
      </c>
      <c r="AB20" s="116"/>
      <c r="AC20" s="118">
        <f t="shared" si="5"/>
        <v>0</v>
      </c>
      <c r="AD20" s="118" t="str">
        <f t="shared" si="6"/>
        <v>0</v>
      </c>
      <c r="AE20" s="119" t="str">
        <f ca="1">IF(OR(F20="", G20=""), "", IF(TODAY()&lt;F20, 0, IF(TODAY()&gt;G20, 1, (TODAY()-F20+1)/(G20-F20+1))))</f>
        <v/>
      </c>
      <c r="AF20" s="1411"/>
      <c r="AG20" s="98"/>
    </row>
    <row r="21" spans="1:33" s="120" customFormat="1" ht="20.85" customHeight="1" x14ac:dyDescent="0.3">
      <c r="A21" s="1371"/>
      <c r="B21" s="1371"/>
      <c r="C21" s="1369"/>
      <c r="D21" s="1371"/>
      <c r="E21" s="1373"/>
      <c r="F21" s="1373"/>
      <c r="G21" s="1406"/>
      <c r="H21" s="2194"/>
      <c r="I21" s="2196"/>
      <c r="J21" s="2198"/>
      <c r="K21" s="115" t="s">
        <v>117</v>
      </c>
      <c r="L21" s="116"/>
      <c r="M21" s="116"/>
      <c r="N21" s="116"/>
      <c r="O21" s="117">
        <f t="shared" si="1"/>
        <v>0</v>
      </c>
      <c r="P21" s="116"/>
      <c r="Q21" s="116"/>
      <c r="R21" s="116"/>
      <c r="S21" s="117">
        <f t="shared" si="2"/>
        <v>0</v>
      </c>
      <c r="T21" s="116"/>
      <c r="U21" s="116"/>
      <c r="V21" s="116"/>
      <c r="W21" s="117">
        <f t="shared" si="3"/>
        <v>0</v>
      </c>
      <c r="X21" s="116"/>
      <c r="Y21" s="116"/>
      <c r="Z21" s="116"/>
      <c r="AA21" s="117">
        <f t="shared" si="4"/>
        <v>0</v>
      </c>
      <c r="AB21" s="116"/>
      <c r="AC21" s="118">
        <f t="shared" si="5"/>
        <v>0</v>
      </c>
      <c r="AD21" s="118" t="str">
        <f t="shared" si="6"/>
        <v>0</v>
      </c>
      <c r="AE21" s="119"/>
      <c r="AF21" s="1412"/>
      <c r="AG21" s="98"/>
    </row>
    <row r="22" spans="1:33" s="120" customFormat="1" ht="20.85" customHeight="1" x14ac:dyDescent="0.3">
      <c r="A22" s="1742"/>
      <c r="B22" s="1451"/>
      <c r="C22" s="1449"/>
      <c r="D22" s="1451"/>
      <c r="E22" s="1785"/>
      <c r="F22" s="1785"/>
      <c r="G22" s="2185"/>
      <c r="H22" s="2187"/>
      <c r="I22" s="2189"/>
      <c r="J22" s="2191">
        <f>DATEDIF(E22,F22,"m")</f>
        <v>0</v>
      </c>
      <c r="K22" s="121" t="s">
        <v>116</v>
      </c>
      <c r="L22" s="122"/>
      <c r="M22" s="122"/>
      <c r="N22" s="122"/>
      <c r="O22" s="117">
        <f t="shared" si="1"/>
        <v>0</v>
      </c>
      <c r="P22" s="122"/>
      <c r="Q22" s="122"/>
      <c r="R22" s="122"/>
      <c r="S22" s="117">
        <f t="shared" si="2"/>
        <v>0</v>
      </c>
      <c r="T22" s="122"/>
      <c r="U22" s="122"/>
      <c r="V22" s="122"/>
      <c r="W22" s="117">
        <f t="shared" si="3"/>
        <v>0</v>
      </c>
      <c r="X22" s="122"/>
      <c r="Y22" s="122"/>
      <c r="Z22" s="122"/>
      <c r="AA22" s="117">
        <f t="shared" si="4"/>
        <v>0</v>
      </c>
      <c r="AB22" s="122"/>
      <c r="AC22" s="123">
        <f t="shared" si="5"/>
        <v>0</v>
      </c>
      <c r="AD22" s="123" t="str">
        <f t="shared" si="6"/>
        <v>0</v>
      </c>
      <c r="AE22" s="124" t="str">
        <f ca="1">IF(OR(F22="", G22=""), "", IF(TODAY()&lt;F22, 0, IF(TODAY()&gt;G22, 1, (TODAY()-F22+1)/(G22-F22+1))))</f>
        <v/>
      </c>
      <c r="AF22" s="1825"/>
      <c r="AG22" s="125"/>
    </row>
    <row r="23" spans="1:33" s="120" customFormat="1" ht="20.85" customHeight="1" x14ac:dyDescent="0.3">
      <c r="A23" s="1743"/>
      <c r="B23" s="1452"/>
      <c r="C23" s="1450"/>
      <c r="D23" s="1452"/>
      <c r="E23" s="1786"/>
      <c r="F23" s="1786"/>
      <c r="G23" s="2186"/>
      <c r="H23" s="2188"/>
      <c r="I23" s="2190"/>
      <c r="J23" s="2192"/>
      <c r="K23" s="121" t="s">
        <v>117</v>
      </c>
      <c r="L23" s="122"/>
      <c r="M23" s="122"/>
      <c r="N23" s="122"/>
      <c r="O23" s="117">
        <f t="shared" si="1"/>
        <v>0</v>
      </c>
      <c r="P23" s="122"/>
      <c r="Q23" s="122"/>
      <c r="R23" s="122"/>
      <c r="S23" s="117">
        <f t="shared" si="2"/>
        <v>0</v>
      </c>
      <c r="T23" s="122"/>
      <c r="U23" s="122"/>
      <c r="V23" s="122"/>
      <c r="W23" s="117">
        <f t="shared" si="3"/>
        <v>0</v>
      </c>
      <c r="X23" s="122"/>
      <c r="Y23" s="122"/>
      <c r="Z23" s="122"/>
      <c r="AA23" s="117">
        <f t="shared" si="4"/>
        <v>0</v>
      </c>
      <c r="AB23" s="122"/>
      <c r="AC23" s="123">
        <f t="shared" si="5"/>
        <v>0</v>
      </c>
      <c r="AD23" s="123" t="str">
        <f t="shared" si="6"/>
        <v>0</v>
      </c>
      <c r="AE23" s="124"/>
      <c r="AF23" s="1826"/>
      <c r="AG23" s="125"/>
    </row>
    <row r="24" spans="1:33" s="120" customFormat="1" ht="20.85" customHeight="1" x14ac:dyDescent="0.3">
      <c r="A24" s="1370"/>
      <c r="B24" s="1370"/>
      <c r="C24" s="1368"/>
      <c r="D24" s="1370"/>
      <c r="E24" s="1372"/>
      <c r="F24" s="1372"/>
      <c r="G24" s="1405"/>
      <c r="H24" s="2193"/>
      <c r="I24" s="2195"/>
      <c r="J24" s="2197">
        <f>DATEDIF(E24,F24,"m")</f>
        <v>0</v>
      </c>
      <c r="K24" s="115" t="s">
        <v>116</v>
      </c>
      <c r="L24" s="116"/>
      <c r="M24" s="116"/>
      <c r="N24" s="116"/>
      <c r="O24" s="117">
        <f t="shared" si="1"/>
        <v>0</v>
      </c>
      <c r="P24" s="116"/>
      <c r="Q24" s="116"/>
      <c r="R24" s="116"/>
      <c r="S24" s="117">
        <f t="shared" si="2"/>
        <v>0</v>
      </c>
      <c r="T24" s="116"/>
      <c r="U24" s="116"/>
      <c r="V24" s="116"/>
      <c r="W24" s="117">
        <f t="shared" si="3"/>
        <v>0</v>
      </c>
      <c r="X24" s="116"/>
      <c r="Y24" s="116"/>
      <c r="Z24" s="116"/>
      <c r="AA24" s="117">
        <f t="shared" si="4"/>
        <v>0</v>
      </c>
      <c r="AB24" s="116"/>
      <c r="AC24" s="118">
        <f t="shared" si="5"/>
        <v>0</v>
      </c>
      <c r="AD24" s="118" t="str">
        <f t="shared" si="6"/>
        <v>0</v>
      </c>
      <c r="AE24" s="119" t="str">
        <f ca="1">IF(OR(F24="", G24=""), "", IF(TODAY()&lt;F24, 0, IF(TODAY()&gt;G24, 1, (TODAY()-F24+1)/(G24-F24+1))))</f>
        <v/>
      </c>
      <c r="AF24" s="1411"/>
      <c r="AG24" s="98"/>
    </row>
    <row r="25" spans="1:33" s="120" customFormat="1" ht="20.85" customHeight="1" x14ac:dyDescent="0.3">
      <c r="A25" s="1371"/>
      <c r="B25" s="1371"/>
      <c r="C25" s="1369"/>
      <c r="D25" s="1371"/>
      <c r="E25" s="1373"/>
      <c r="F25" s="1373"/>
      <c r="G25" s="1406"/>
      <c r="H25" s="2194"/>
      <c r="I25" s="2196"/>
      <c r="J25" s="2198"/>
      <c r="K25" s="115" t="s">
        <v>117</v>
      </c>
      <c r="L25" s="116"/>
      <c r="M25" s="116"/>
      <c r="N25" s="116"/>
      <c r="O25" s="117">
        <f t="shared" si="1"/>
        <v>0</v>
      </c>
      <c r="P25" s="116"/>
      <c r="Q25" s="116"/>
      <c r="R25" s="116"/>
      <c r="S25" s="117">
        <f t="shared" si="2"/>
        <v>0</v>
      </c>
      <c r="T25" s="116"/>
      <c r="U25" s="116"/>
      <c r="V25" s="116"/>
      <c r="W25" s="117">
        <f t="shared" si="3"/>
        <v>0</v>
      </c>
      <c r="X25" s="116"/>
      <c r="Y25" s="116"/>
      <c r="Z25" s="116"/>
      <c r="AA25" s="117">
        <f t="shared" si="4"/>
        <v>0</v>
      </c>
      <c r="AB25" s="116"/>
      <c r="AC25" s="118">
        <f t="shared" si="5"/>
        <v>0</v>
      </c>
      <c r="AD25" s="118" t="str">
        <f t="shared" si="6"/>
        <v>0</v>
      </c>
      <c r="AE25" s="119"/>
      <c r="AF25" s="1412"/>
      <c r="AG25" s="98"/>
    </row>
    <row r="26" spans="1:33" s="120" customFormat="1" ht="20.85" customHeight="1" x14ac:dyDescent="0.3">
      <c r="A26" s="1742"/>
      <c r="B26" s="1451"/>
      <c r="C26" s="1449"/>
      <c r="D26" s="1451"/>
      <c r="E26" s="1785"/>
      <c r="F26" s="1785"/>
      <c r="G26" s="2185"/>
      <c r="H26" s="2187"/>
      <c r="I26" s="2189"/>
      <c r="J26" s="2191">
        <f>DATEDIF(E26,F26,"m")</f>
        <v>0</v>
      </c>
      <c r="K26" s="121" t="s">
        <v>116</v>
      </c>
      <c r="L26" s="122"/>
      <c r="M26" s="122"/>
      <c r="N26" s="122"/>
      <c r="O26" s="117">
        <f t="shared" si="1"/>
        <v>0</v>
      </c>
      <c r="P26" s="122"/>
      <c r="Q26" s="122"/>
      <c r="R26" s="122"/>
      <c r="S26" s="117">
        <f t="shared" si="2"/>
        <v>0</v>
      </c>
      <c r="T26" s="122"/>
      <c r="U26" s="122"/>
      <c r="V26" s="122"/>
      <c r="W26" s="117">
        <f t="shared" si="3"/>
        <v>0</v>
      </c>
      <c r="X26" s="122"/>
      <c r="Y26" s="122"/>
      <c r="Z26" s="122"/>
      <c r="AA26" s="117">
        <f t="shared" si="4"/>
        <v>0</v>
      </c>
      <c r="AB26" s="122"/>
      <c r="AC26" s="123">
        <f t="shared" si="5"/>
        <v>0</v>
      </c>
      <c r="AD26" s="123" t="str">
        <f t="shared" si="6"/>
        <v>0</v>
      </c>
      <c r="AE26" s="124" t="str">
        <f ca="1">IF(OR(F26="", G26=""), "", IF(TODAY()&lt;F26, 0, IF(TODAY()&gt;G26, 1, (TODAY()-F26+1)/(G26-F26+1))))</f>
        <v/>
      </c>
      <c r="AF26" s="1825"/>
      <c r="AG26" s="125"/>
    </row>
    <row r="27" spans="1:33" s="120" customFormat="1" ht="20.85" customHeight="1" x14ac:dyDescent="0.3">
      <c r="A27" s="1743"/>
      <c r="B27" s="1452"/>
      <c r="C27" s="1450"/>
      <c r="D27" s="1452"/>
      <c r="E27" s="1786"/>
      <c r="F27" s="1786"/>
      <c r="G27" s="2186"/>
      <c r="H27" s="2188"/>
      <c r="I27" s="2190"/>
      <c r="J27" s="2192"/>
      <c r="K27" s="121" t="s">
        <v>117</v>
      </c>
      <c r="L27" s="122"/>
      <c r="M27" s="122"/>
      <c r="N27" s="122"/>
      <c r="O27" s="117">
        <f t="shared" si="1"/>
        <v>0</v>
      </c>
      <c r="P27" s="122"/>
      <c r="Q27" s="122"/>
      <c r="R27" s="122"/>
      <c r="S27" s="117">
        <f t="shared" si="2"/>
        <v>0</v>
      </c>
      <c r="T27" s="122"/>
      <c r="U27" s="122"/>
      <c r="V27" s="122"/>
      <c r="W27" s="117">
        <f t="shared" si="3"/>
        <v>0</v>
      </c>
      <c r="X27" s="122"/>
      <c r="Y27" s="122"/>
      <c r="Z27" s="122"/>
      <c r="AA27" s="117">
        <f t="shared" si="4"/>
        <v>0</v>
      </c>
      <c r="AB27" s="122"/>
      <c r="AC27" s="123">
        <f t="shared" si="5"/>
        <v>0</v>
      </c>
      <c r="AD27" s="123" t="str">
        <f t="shared" si="6"/>
        <v>0</v>
      </c>
      <c r="AE27" s="124"/>
      <c r="AF27" s="1826"/>
      <c r="AG27" s="125"/>
    </row>
    <row r="28" spans="1:33" s="120" customFormat="1" ht="20.85" customHeight="1" x14ac:dyDescent="0.3">
      <c r="A28" s="1370"/>
      <c r="B28" s="1370"/>
      <c r="C28" s="1368"/>
      <c r="D28" s="1370"/>
      <c r="E28" s="1372"/>
      <c r="F28" s="1372"/>
      <c r="G28" s="1405"/>
      <c r="H28" s="2193"/>
      <c r="I28" s="2195"/>
      <c r="J28" s="2197">
        <f>DATEDIF(E28,F28,"m")</f>
        <v>0</v>
      </c>
      <c r="K28" s="115" t="s">
        <v>116</v>
      </c>
      <c r="L28" s="116"/>
      <c r="M28" s="116"/>
      <c r="N28" s="116"/>
      <c r="O28" s="117">
        <f t="shared" si="1"/>
        <v>0</v>
      </c>
      <c r="P28" s="116"/>
      <c r="Q28" s="116"/>
      <c r="R28" s="116"/>
      <c r="S28" s="117">
        <f t="shared" si="2"/>
        <v>0</v>
      </c>
      <c r="T28" s="116"/>
      <c r="U28" s="116"/>
      <c r="V28" s="116"/>
      <c r="W28" s="117">
        <f t="shared" si="3"/>
        <v>0</v>
      </c>
      <c r="X28" s="116"/>
      <c r="Y28" s="116"/>
      <c r="Z28" s="116"/>
      <c r="AA28" s="117">
        <f t="shared" si="4"/>
        <v>0</v>
      </c>
      <c r="AB28" s="116"/>
      <c r="AC28" s="118">
        <f t="shared" si="5"/>
        <v>0</v>
      </c>
      <c r="AD28" s="118" t="str">
        <f t="shared" si="6"/>
        <v>0</v>
      </c>
      <c r="AE28" s="119" t="str">
        <f ca="1">IF(OR(F28="", G28=""), "", IF(TODAY()&lt;F28, 0, IF(TODAY()&gt;G28, 1, (TODAY()-F28+1)/(G28-F28+1))))</f>
        <v/>
      </c>
      <c r="AF28" s="1411"/>
      <c r="AG28" s="98"/>
    </row>
    <row r="29" spans="1:33" s="120" customFormat="1" ht="20.85" customHeight="1" x14ac:dyDescent="0.3">
      <c r="A29" s="1371"/>
      <c r="B29" s="1371"/>
      <c r="C29" s="1369"/>
      <c r="D29" s="1371"/>
      <c r="E29" s="1373"/>
      <c r="F29" s="1373"/>
      <c r="G29" s="1406"/>
      <c r="H29" s="2194"/>
      <c r="I29" s="2196"/>
      <c r="J29" s="2198"/>
      <c r="K29" s="115" t="s">
        <v>117</v>
      </c>
      <c r="L29" s="116"/>
      <c r="M29" s="116"/>
      <c r="N29" s="116"/>
      <c r="O29" s="117">
        <f t="shared" si="1"/>
        <v>0</v>
      </c>
      <c r="P29" s="116"/>
      <c r="Q29" s="116"/>
      <c r="R29" s="116"/>
      <c r="S29" s="117">
        <f t="shared" si="2"/>
        <v>0</v>
      </c>
      <c r="T29" s="116"/>
      <c r="U29" s="116"/>
      <c r="V29" s="116"/>
      <c r="W29" s="117">
        <f t="shared" si="3"/>
        <v>0</v>
      </c>
      <c r="X29" s="116"/>
      <c r="Y29" s="116"/>
      <c r="Z29" s="116"/>
      <c r="AA29" s="117">
        <f t="shared" si="4"/>
        <v>0</v>
      </c>
      <c r="AB29" s="116"/>
      <c r="AC29" s="118">
        <f t="shared" si="5"/>
        <v>0</v>
      </c>
      <c r="AD29" s="118" t="str">
        <f t="shared" si="6"/>
        <v>0</v>
      </c>
      <c r="AE29" s="119"/>
      <c r="AF29" s="1412"/>
      <c r="AG29" s="98"/>
    </row>
    <row r="30" spans="1:33" s="120" customFormat="1" ht="20.85" customHeight="1" x14ac:dyDescent="0.3">
      <c r="A30" s="1742"/>
      <c r="B30" s="1451"/>
      <c r="C30" s="1449"/>
      <c r="D30" s="1451"/>
      <c r="E30" s="1785"/>
      <c r="F30" s="1785"/>
      <c r="G30" s="2185"/>
      <c r="H30" s="2187"/>
      <c r="I30" s="2189"/>
      <c r="J30" s="2191">
        <f>DATEDIF(E30,F30,"m")</f>
        <v>0</v>
      </c>
      <c r="K30" s="121" t="s">
        <v>116</v>
      </c>
      <c r="L30" s="122"/>
      <c r="M30" s="122"/>
      <c r="N30" s="122"/>
      <c r="O30" s="117">
        <f t="shared" si="1"/>
        <v>0</v>
      </c>
      <c r="P30" s="122"/>
      <c r="Q30" s="122"/>
      <c r="R30" s="122"/>
      <c r="S30" s="117">
        <f t="shared" si="2"/>
        <v>0</v>
      </c>
      <c r="T30" s="122"/>
      <c r="U30" s="122"/>
      <c r="V30" s="122"/>
      <c r="W30" s="117">
        <f t="shared" si="3"/>
        <v>0</v>
      </c>
      <c r="X30" s="122"/>
      <c r="Y30" s="122"/>
      <c r="Z30" s="122"/>
      <c r="AA30" s="117">
        <f t="shared" si="4"/>
        <v>0</v>
      </c>
      <c r="AB30" s="122"/>
      <c r="AC30" s="123">
        <f t="shared" si="5"/>
        <v>0</v>
      </c>
      <c r="AD30" s="123" t="str">
        <f t="shared" si="6"/>
        <v>0</v>
      </c>
      <c r="AE30" s="124" t="str">
        <f ca="1">IF(OR(F30="", G30=""), "", IF(TODAY()&lt;F30, 0, IF(TODAY()&gt;G30, 1, (TODAY()-F30+1)/(G30-F30+1))))</f>
        <v/>
      </c>
      <c r="AF30" s="1825"/>
      <c r="AG30" s="125"/>
    </row>
    <row r="31" spans="1:33" s="120" customFormat="1" ht="20.85" customHeight="1" x14ac:dyDescent="0.3">
      <c r="A31" s="1743"/>
      <c r="B31" s="1452"/>
      <c r="C31" s="1450"/>
      <c r="D31" s="1452"/>
      <c r="E31" s="1786"/>
      <c r="F31" s="1786"/>
      <c r="G31" s="2186"/>
      <c r="H31" s="2188"/>
      <c r="I31" s="2190"/>
      <c r="J31" s="2192"/>
      <c r="K31" s="121" t="s">
        <v>117</v>
      </c>
      <c r="L31" s="122"/>
      <c r="M31" s="122"/>
      <c r="N31" s="122"/>
      <c r="O31" s="117">
        <f t="shared" si="1"/>
        <v>0</v>
      </c>
      <c r="P31" s="122"/>
      <c r="Q31" s="122"/>
      <c r="R31" s="122"/>
      <c r="S31" s="117">
        <f t="shared" si="2"/>
        <v>0</v>
      </c>
      <c r="T31" s="122"/>
      <c r="U31" s="122"/>
      <c r="V31" s="122"/>
      <c r="W31" s="117">
        <f t="shared" si="3"/>
        <v>0</v>
      </c>
      <c r="X31" s="122"/>
      <c r="Y31" s="122"/>
      <c r="Z31" s="122"/>
      <c r="AA31" s="117">
        <f t="shared" si="4"/>
        <v>0</v>
      </c>
      <c r="AB31" s="122"/>
      <c r="AC31" s="123">
        <f t="shared" si="5"/>
        <v>0</v>
      </c>
      <c r="AD31" s="123" t="str">
        <f t="shared" si="6"/>
        <v>0</v>
      </c>
      <c r="AE31" s="124"/>
      <c r="AF31" s="1826"/>
      <c r="AG31" s="125"/>
    </row>
    <row r="32" spans="1:33" s="120" customFormat="1" ht="20.85" customHeight="1" x14ac:dyDescent="0.3">
      <c r="A32" s="1370"/>
      <c r="B32" s="1370"/>
      <c r="C32" s="1368"/>
      <c r="D32" s="1370"/>
      <c r="E32" s="1372"/>
      <c r="F32" s="1372"/>
      <c r="G32" s="1405"/>
      <c r="H32" s="2193"/>
      <c r="I32" s="2195"/>
      <c r="J32" s="2197">
        <f>DATEDIF(E32,F32,"m")</f>
        <v>0</v>
      </c>
      <c r="K32" s="115" t="s">
        <v>116</v>
      </c>
      <c r="L32" s="116"/>
      <c r="M32" s="116"/>
      <c r="N32" s="116"/>
      <c r="O32" s="117">
        <f t="shared" si="1"/>
        <v>0</v>
      </c>
      <c r="P32" s="116"/>
      <c r="Q32" s="116"/>
      <c r="R32" s="116"/>
      <c r="S32" s="117">
        <f t="shared" si="2"/>
        <v>0</v>
      </c>
      <c r="T32" s="116"/>
      <c r="U32" s="116"/>
      <c r="V32" s="116"/>
      <c r="W32" s="117">
        <f t="shared" si="3"/>
        <v>0</v>
      </c>
      <c r="X32" s="116"/>
      <c r="Y32" s="116"/>
      <c r="Z32" s="116"/>
      <c r="AA32" s="117">
        <f t="shared" si="4"/>
        <v>0</v>
      </c>
      <c r="AB32" s="116"/>
      <c r="AC32" s="118">
        <f t="shared" si="5"/>
        <v>0</v>
      </c>
      <c r="AD32" s="118" t="str">
        <f t="shared" si="6"/>
        <v>0</v>
      </c>
      <c r="AE32" s="119" t="str">
        <f ca="1">IF(OR(F32="", G32=""), "", IF(TODAY()&lt;F32, 0, IF(TODAY()&gt;G32, 1, (TODAY()-F32+1)/(G32-F32+1))))</f>
        <v/>
      </c>
      <c r="AF32" s="1411"/>
      <c r="AG32" s="98"/>
    </row>
    <row r="33" spans="1:33" s="120" customFormat="1" ht="20.85" customHeight="1" x14ac:dyDescent="0.3">
      <c r="A33" s="1371"/>
      <c r="B33" s="1371"/>
      <c r="C33" s="1369"/>
      <c r="D33" s="1371"/>
      <c r="E33" s="1373"/>
      <c r="F33" s="1373"/>
      <c r="G33" s="1406"/>
      <c r="H33" s="2194"/>
      <c r="I33" s="2196"/>
      <c r="J33" s="2198"/>
      <c r="K33" s="115" t="s">
        <v>117</v>
      </c>
      <c r="L33" s="116"/>
      <c r="M33" s="116"/>
      <c r="N33" s="116"/>
      <c r="O33" s="117">
        <f t="shared" si="1"/>
        <v>0</v>
      </c>
      <c r="P33" s="116"/>
      <c r="Q33" s="116"/>
      <c r="R33" s="116"/>
      <c r="S33" s="117">
        <f t="shared" si="2"/>
        <v>0</v>
      </c>
      <c r="T33" s="116"/>
      <c r="U33" s="116"/>
      <c r="V33" s="116"/>
      <c r="W33" s="117">
        <f t="shared" si="3"/>
        <v>0</v>
      </c>
      <c r="X33" s="116"/>
      <c r="Y33" s="116"/>
      <c r="Z33" s="116"/>
      <c r="AA33" s="117">
        <f t="shared" si="4"/>
        <v>0</v>
      </c>
      <c r="AB33" s="116"/>
      <c r="AC33" s="118">
        <f t="shared" si="5"/>
        <v>0</v>
      </c>
      <c r="AD33" s="118" t="str">
        <f t="shared" si="6"/>
        <v>0</v>
      </c>
      <c r="AE33" s="119"/>
      <c r="AF33" s="1412"/>
      <c r="AG33" s="98"/>
    </row>
    <row r="34" spans="1:33" s="120" customFormat="1" ht="20.85" customHeight="1" x14ac:dyDescent="0.3">
      <c r="A34" s="1742"/>
      <c r="B34" s="1451"/>
      <c r="C34" s="1449"/>
      <c r="D34" s="1451"/>
      <c r="E34" s="1785"/>
      <c r="F34" s="1785"/>
      <c r="G34" s="2185"/>
      <c r="H34" s="2187"/>
      <c r="I34" s="2189"/>
      <c r="J34" s="2191">
        <f>DATEDIF(E34,F34,"m")</f>
        <v>0</v>
      </c>
      <c r="K34" s="121" t="s">
        <v>116</v>
      </c>
      <c r="L34" s="122"/>
      <c r="M34" s="122"/>
      <c r="N34" s="122"/>
      <c r="O34" s="117">
        <f t="shared" si="1"/>
        <v>0</v>
      </c>
      <c r="P34" s="122"/>
      <c r="Q34" s="122"/>
      <c r="R34" s="122"/>
      <c r="S34" s="117">
        <f t="shared" si="2"/>
        <v>0</v>
      </c>
      <c r="T34" s="122"/>
      <c r="U34" s="122"/>
      <c r="V34" s="122"/>
      <c r="W34" s="117">
        <f t="shared" si="3"/>
        <v>0</v>
      </c>
      <c r="X34" s="122"/>
      <c r="Y34" s="122"/>
      <c r="Z34" s="122"/>
      <c r="AA34" s="117">
        <f t="shared" si="4"/>
        <v>0</v>
      </c>
      <c r="AB34" s="122"/>
      <c r="AC34" s="123">
        <f t="shared" si="5"/>
        <v>0</v>
      </c>
      <c r="AD34" s="123" t="str">
        <f t="shared" si="6"/>
        <v>0</v>
      </c>
      <c r="AE34" s="124" t="str">
        <f ca="1">IF(OR(F34="", G34=""), "", IF(TODAY()&lt;F34, 0, IF(TODAY()&gt;G34, 1, (TODAY()-F34+1)/(G34-F34+1))))</f>
        <v/>
      </c>
      <c r="AF34" s="1825"/>
      <c r="AG34" s="125"/>
    </row>
    <row r="35" spans="1:33" s="120" customFormat="1" ht="20.85" customHeight="1" x14ac:dyDescent="0.3">
      <c r="A35" s="1743"/>
      <c r="B35" s="1452"/>
      <c r="C35" s="1450"/>
      <c r="D35" s="1452"/>
      <c r="E35" s="1786"/>
      <c r="F35" s="1786"/>
      <c r="G35" s="2186"/>
      <c r="H35" s="2188"/>
      <c r="I35" s="2190"/>
      <c r="J35" s="2192"/>
      <c r="K35" s="121" t="s">
        <v>117</v>
      </c>
      <c r="L35" s="122"/>
      <c r="M35" s="122"/>
      <c r="N35" s="122"/>
      <c r="O35" s="117">
        <f t="shared" si="1"/>
        <v>0</v>
      </c>
      <c r="P35" s="122"/>
      <c r="Q35" s="122"/>
      <c r="R35" s="122"/>
      <c r="S35" s="117">
        <f t="shared" si="2"/>
        <v>0</v>
      </c>
      <c r="T35" s="122"/>
      <c r="U35" s="122"/>
      <c r="V35" s="122"/>
      <c r="W35" s="117">
        <f t="shared" si="3"/>
        <v>0</v>
      </c>
      <c r="X35" s="122"/>
      <c r="Y35" s="122"/>
      <c r="Z35" s="122"/>
      <c r="AA35" s="117">
        <f t="shared" si="4"/>
        <v>0</v>
      </c>
      <c r="AB35" s="122"/>
      <c r="AC35" s="123">
        <f t="shared" si="5"/>
        <v>0</v>
      </c>
      <c r="AD35" s="123" t="str">
        <f t="shared" si="6"/>
        <v>0</v>
      </c>
      <c r="AE35" s="124"/>
      <c r="AF35" s="1826"/>
      <c r="AG35" s="125"/>
    </row>
    <row r="36" spans="1:33" s="120" customFormat="1" ht="20.85" customHeight="1" x14ac:dyDescent="0.3">
      <c r="A36" s="1370"/>
      <c r="B36" s="1370"/>
      <c r="C36" s="1368"/>
      <c r="D36" s="1370"/>
      <c r="E36" s="1372"/>
      <c r="F36" s="1372"/>
      <c r="G36" s="1405"/>
      <c r="H36" s="2193"/>
      <c r="I36" s="2195"/>
      <c r="J36" s="2197">
        <f>DATEDIF(E36,F36,"m")</f>
        <v>0</v>
      </c>
      <c r="K36" s="115" t="s">
        <v>116</v>
      </c>
      <c r="L36" s="116"/>
      <c r="M36" s="116"/>
      <c r="N36" s="116"/>
      <c r="O36" s="117">
        <f t="shared" si="1"/>
        <v>0</v>
      </c>
      <c r="P36" s="116"/>
      <c r="Q36" s="116"/>
      <c r="R36" s="116"/>
      <c r="S36" s="117">
        <f t="shared" si="2"/>
        <v>0</v>
      </c>
      <c r="T36" s="116"/>
      <c r="U36" s="116"/>
      <c r="V36" s="116"/>
      <c r="W36" s="117">
        <f t="shared" si="3"/>
        <v>0</v>
      </c>
      <c r="X36" s="116"/>
      <c r="Y36" s="116"/>
      <c r="Z36" s="116"/>
      <c r="AA36" s="117">
        <f t="shared" si="4"/>
        <v>0</v>
      </c>
      <c r="AB36" s="116"/>
      <c r="AC36" s="118">
        <f t="shared" si="5"/>
        <v>0</v>
      </c>
      <c r="AD36" s="118" t="str">
        <f t="shared" si="6"/>
        <v>0</v>
      </c>
      <c r="AE36" s="119" t="str">
        <f ca="1">IF(OR(F36="", G36=""), "", IF(TODAY()&lt;F36, 0, IF(TODAY()&gt;G36, 1, (TODAY()-F36+1)/(G36-F36+1))))</f>
        <v/>
      </c>
      <c r="AF36" s="1411"/>
      <c r="AG36" s="98"/>
    </row>
    <row r="37" spans="1:33" s="120" customFormat="1" ht="20.85" customHeight="1" x14ac:dyDescent="0.3">
      <c r="A37" s="1371"/>
      <c r="B37" s="1371"/>
      <c r="C37" s="1369"/>
      <c r="D37" s="1371"/>
      <c r="E37" s="1373"/>
      <c r="F37" s="1373"/>
      <c r="G37" s="1406"/>
      <c r="H37" s="2194"/>
      <c r="I37" s="2196"/>
      <c r="J37" s="2198"/>
      <c r="K37" s="115" t="s">
        <v>117</v>
      </c>
      <c r="L37" s="116"/>
      <c r="M37" s="116"/>
      <c r="N37" s="116"/>
      <c r="O37" s="117">
        <f t="shared" si="1"/>
        <v>0</v>
      </c>
      <c r="P37" s="116"/>
      <c r="Q37" s="116"/>
      <c r="R37" s="116"/>
      <c r="S37" s="117">
        <f t="shared" si="2"/>
        <v>0</v>
      </c>
      <c r="T37" s="116"/>
      <c r="U37" s="116"/>
      <c r="V37" s="116"/>
      <c r="W37" s="117">
        <f t="shared" si="3"/>
        <v>0</v>
      </c>
      <c r="X37" s="116"/>
      <c r="Y37" s="116"/>
      <c r="Z37" s="116"/>
      <c r="AA37" s="117">
        <f t="shared" si="4"/>
        <v>0</v>
      </c>
      <c r="AB37" s="116"/>
      <c r="AC37" s="118">
        <f t="shared" si="5"/>
        <v>0</v>
      </c>
      <c r="AD37" s="118" t="str">
        <f t="shared" si="6"/>
        <v>0</v>
      </c>
      <c r="AE37" s="119"/>
      <c r="AF37" s="1412"/>
      <c r="AG37" s="98"/>
    </row>
    <row r="38" spans="1:33" s="120" customFormat="1" ht="20.85" customHeight="1" x14ac:dyDescent="0.3">
      <c r="A38" s="1742"/>
      <c r="B38" s="1451"/>
      <c r="C38" s="1449"/>
      <c r="D38" s="1451"/>
      <c r="E38" s="1785"/>
      <c r="F38" s="1785"/>
      <c r="G38" s="2185"/>
      <c r="H38" s="2187"/>
      <c r="I38" s="2189"/>
      <c r="J38" s="2191">
        <f>DATEDIF(E38,F38,"m")</f>
        <v>0</v>
      </c>
      <c r="K38" s="121" t="s">
        <v>116</v>
      </c>
      <c r="L38" s="122"/>
      <c r="M38" s="122"/>
      <c r="N38" s="122"/>
      <c r="O38" s="117">
        <f t="shared" si="1"/>
        <v>0</v>
      </c>
      <c r="P38" s="122"/>
      <c r="Q38" s="122"/>
      <c r="R38" s="122"/>
      <c r="S38" s="117">
        <f t="shared" si="2"/>
        <v>0</v>
      </c>
      <c r="T38" s="122"/>
      <c r="U38" s="122"/>
      <c r="V38" s="122"/>
      <c r="W38" s="117">
        <f t="shared" si="3"/>
        <v>0</v>
      </c>
      <c r="X38" s="122"/>
      <c r="Y38" s="122"/>
      <c r="Z38" s="122"/>
      <c r="AA38" s="117">
        <f t="shared" si="4"/>
        <v>0</v>
      </c>
      <c r="AB38" s="122"/>
      <c r="AC38" s="123">
        <f t="shared" si="5"/>
        <v>0</v>
      </c>
      <c r="AD38" s="123" t="str">
        <f t="shared" si="6"/>
        <v>0</v>
      </c>
      <c r="AE38" s="124" t="str">
        <f ca="1">IF(OR(F38="", G38=""), "", IF(TODAY()&lt;F38, 0, IF(TODAY()&gt;G38, 1, (TODAY()-F38+1)/(G38-F38+1))))</f>
        <v/>
      </c>
      <c r="AF38" s="1825"/>
      <c r="AG38" s="125"/>
    </row>
    <row r="39" spans="1:33" s="120" customFormat="1" ht="20.85" customHeight="1" x14ac:dyDescent="0.3">
      <c r="A39" s="1743"/>
      <c r="B39" s="1452"/>
      <c r="C39" s="1450"/>
      <c r="D39" s="1452"/>
      <c r="E39" s="1786"/>
      <c r="F39" s="1786"/>
      <c r="G39" s="2186"/>
      <c r="H39" s="2188"/>
      <c r="I39" s="2190"/>
      <c r="J39" s="2192"/>
      <c r="K39" s="121" t="s">
        <v>117</v>
      </c>
      <c r="L39" s="122"/>
      <c r="M39" s="122"/>
      <c r="N39" s="122"/>
      <c r="O39" s="117">
        <f t="shared" si="1"/>
        <v>0</v>
      </c>
      <c r="P39" s="122"/>
      <c r="Q39" s="122"/>
      <c r="R39" s="122"/>
      <c r="S39" s="117">
        <f t="shared" si="2"/>
        <v>0</v>
      </c>
      <c r="T39" s="122"/>
      <c r="U39" s="122"/>
      <c r="V39" s="122"/>
      <c r="W39" s="117">
        <f t="shared" si="3"/>
        <v>0</v>
      </c>
      <c r="X39" s="122"/>
      <c r="Y39" s="122"/>
      <c r="Z39" s="122"/>
      <c r="AA39" s="117">
        <f t="shared" si="4"/>
        <v>0</v>
      </c>
      <c r="AB39" s="122"/>
      <c r="AC39" s="123">
        <f t="shared" si="5"/>
        <v>0</v>
      </c>
      <c r="AD39" s="123" t="str">
        <f t="shared" si="6"/>
        <v>0</v>
      </c>
      <c r="AE39" s="124"/>
      <c r="AF39" s="1826"/>
      <c r="AG39" s="125"/>
    </row>
    <row r="40" spans="1:33" s="120" customFormat="1" ht="20.85" customHeight="1" x14ac:dyDescent="0.3">
      <c r="A40" s="1370"/>
      <c r="B40" s="1370"/>
      <c r="C40" s="1368"/>
      <c r="D40" s="1370"/>
      <c r="E40" s="1372"/>
      <c r="F40" s="1372"/>
      <c r="G40" s="1405"/>
      <c r="H40" s="2193"/>
      <c r="I40" s="2195"/>
      <c r="J40" s="2197">
        <f>DATEDIF(E40,F40,"m")</f>
        <v>0</v>
      </c>
      <c r="K40" s="115" t="s">
        <v>116</v>
      </c>
      <c r="L40" s="116"/>
      <c r="M40" s="116"/>
      <c r="N40" s="116"/>
      <c r="O40" s="117">
        <f t="shared" si="1"/>
        <v>0</v>
      </c>
      <c r="P40" s="116"/>
      <c r="Q40" s="116"/>
      <c r="R40" s="116"/>
      <c r="S40" s="117">
        <f t="shared" si="2"/>
        <v>0</v>
      </c>
      <c r="T40" s="116"/>
      <c r="U40" s="116"/>
      <c r="V40" s="116"/>
      <c r="W40" s="117">
        <f t="shared" si="3"/>
        <v>0</v>
      </c>
      <c r="X40" s="116"/>
      <c r="Y40" s="116"/>
      <c r="Z40" s="116"/>
      <c r="AA40" s="117">
        <f t="shared" si="4"/>
        <v>0</v>
      </c>
      <c r="AB40" s="116"/>
      <c r="AC40" s="118">
        <f t="shared" si="5"/>
        <v>0</v>
      </c>
      <c r="AD40" s="118" t="str">
        <f t="shared" si="6"/>
        <v>0</v>
      </c>
      <c r="AE40" s="119" t="str">
        <f ca="1">IF(OR(F40="", G40=""), "", IF(TODAY()&lt;F40, 0, IF(TODAY()&gt;G40, 1, (TODAY()-F40+1)/(G40-F40+1))))</f>
        <v/>
      </c>
      <c r="AF40" s="1411"/>
      <c r="AG40" s="98"/>
    </row>
    <row r="41" spans="1:33" s="120" customFormat="1" ht="20.85" customHeight="1" x14ac:dyDescent="0.3">
      <c r="A41" s="1371"/>
      <c r="B41" s="1371"/>
      <c r="C41" s="1369"/>
      <c r="D41" s="1371"/>
      <c r="E41" s="1373"/>
      <c r="F41" s="1373"/>
      <c r="G41" s="1406"/>
      <c r="H41" s="2194"/>
      <c r="I41" s="2196"/>
      <c r="J41" s="2198"/>
      <c r="K41" s="115" t="s">
        <v>117</v>
      </c>
      <c r="L41" s="116"/>
      <c r="M41" s="116"/>
      <c r="N41" s="116"/>
      <c r="O41" s="117">
        <f t="shared" si="1"/>
        <v>0</v>
      </c>
      <c r="P41" s="116"/>
      <c r="Q41" s="116"/>
      <c r="R41" s="116"/>
      <c r="S41" s="117">
        <f t="shared" si="2"/>
        <v>0</v>
      </c>
      <c r="T41" s="116"/>
      <c r="U41" s="116"/>
      <c r="V41" s="116"/>
      <c r="W41" s="117">
        <f t="shared" si="3"/>
        <v>0</v>
      </c>
      <c r="X41" s="116"/>
      <c r="Y41" s="116"/>
      <c r="Z41" s="116"/>
      <c r="AA41" s="117">
        <f t="shared" si="4"/>
        <v>0</v>
      </c>
      <c r="AB41" s="116"/>
      <c r="AC41" s="118">
        <f t="shared" si="5"/>
        <v>0</v>
      </c>
      <c r="AD41" s="118" t="str">
        <f t="shared" si="6"/>
        <v>0</v>
      </c>
      <c r="AE41" s="119"/>
      <c r="AF41" s="1412"/>
      <c r="AG41" s="98"/>
    </row>
    <row r="42" spans="1:33" s="120" customFormat="1" ht="20.85" customHeight="1" x14ac:dyDescent="0.3">
      <c r="A42" s="1742"/>
      <c r="B42" s="1451"/>
      <c r="C42" s="1449"/>
      <c r="D42" s="1451"/>
      <c r="E42" s="1785"/>
      <c r="F42" s="1785"/>
      <c r="G42" s="2185"/>
      <c r="H42" s="2187"/>
      <c r="I42" s="2189"/>
      <c r="J42" s="2191">
        <f>DATEDIF(E42,F42,"m")</f>
        <v>0</v>
      </c>
      <c r="K42" s="121" t="s">
        <v>116</v>
      </c>
      <c r="L42" s="122"/>
      <c r="M42" s="122"/>
      <c r="N42" s="122"/>
      <c r="O42" s="117">
        <f t="shared" si="1"/>
        <v>0</v>
      </c>
      <c r="P42" s="122"/>
      <c r="Q42" s="122"/>
      <c r="R42" s="122"/>
      <c r="S42" s="117">
        <f t="shared" si="2"/>
        <v>0</v>
      </c>
      <c r="T42" s="122"/>
      <c r="U42" s="122"/>
      <c r="V42" s="122"/>
      <c r="W42" s="117">
        <f t="shared" si="3"/>
        <v>0</v>
      </c>
      <c r="X42" s="122"/>
      <c r="Y42" s="122"/>
      <c r="Z42" s="122"/>
      <c r="AA42" s="117">
        <f t="shared" si="4"/>
        <v>0</v>
      </c>
      <c r="AB42" s="122"/>
      <c r="AC42" s="123">
        <f t="shared" si="5"/>
        <v>0</v>
      </c>
      <c r="AD42" s="123" t="str">
        <f t="shared" si="6"/>
        <v>0</v>
      </c>
      <c r="AE42" s="124" t="str">
        <f ca="1">IF(OR(F42="", G42=""), "", IF(TODAY()&lt;F42, 0, IF(TODAY()&gt;G42, 1, (TODAY()-F42+1)/(G42-F42+1))))</f>
        <v/>
      </c>
      <c r="AF42" s="1825"/>
      <c r="AG42" s="125"/>
    </row>
    <row r="43" spans="1:33" s="120" customFormat="1" ht="20.85" customHeight="1" x14ac:dyDescent="0.3">
      <c r="A43" s="1743"/>
      <c r="B43" s="1452"/>
      <c r="C43" s="1450"/>
      <c r="D43" s="1452"/>
      <c r="E43" s="1786"/>
      <c r="F43" s="1786"/>
      <c r="G43" s="2186"/>
      <c r="H43" s="2188"/>
      <c r="I43" s="2190"/>
      <c r="J43" s="2192"/>
      <c r="K43" s="121" t="s">
        <v>117</v>
      </c>
      <c r="L43" s="122"/>
      <c r="M43" s="122"/>
      <c r="N43" s="122"/>
      <c r="O43" s="117">
        <f t="shared" si="1"/>
        <v>0</v>
      </c>
      <c r="P43" s="122"/>
      <c r="Q43" s="122"/>
      <c r="R43" s="122"/>
      <c r="S43" s="117">
        <f t="shared" si="2"/>
        <v>0</v>
      </c>
      <c r="T43" s="122"/>
      <c r="U43" s="122"/>
      <c r="V43" s="122"/>
      <c r="W43" s="117">
        <f t="shared" si="3"/>
        <v>0</v>
      </c>
      <c r="X43" s="122"/>
      <c r="Y43" s="122"/>
      <c r="Z43" s="122"/>
      <c r="AA43" s="117">
        <f t="shared" si="4"/>
        <v>0</v>
      </c>
      <c r="AB43" s="122"/>
      <c r="AC43" s="123">
        <f t="shared" si="5"/>
        <v>0</v>
      </c>
      <c r="AD43" s="123" t="str">
        <f t="shared" si="6"/>
        <v>0</v>
      </c>
      <c r="AE43" s="124"/>
      <c r="AF43" s="1826"/>
      <c r="AG43" s="125"/>
    </row>
    <row r="44" spans="1:33" s="120" customFormat="1" ht="20.85" customHeight="1" x14ac:dyDescent="0.3">
      <c r="A44" s="1370"/>
      <c r="B44" s="1370"/>
      <c r="C44" s="1368"/>
      <c r="D44" s="1370"/>
      <c r="E44" s="1372"/>
      <c r="F44" s="1372"/>
      <c r="G44" s="1405"/>
      <c r="H44" s="2193"/>
      <c r="I44" s="2195"/>
      <c r="J44" s="2197">
        <f>DATEDIF(E44,F44,"m")</f>
        <v>0</v>
      </c>
      <c r="K44" s="115" t="s">
        <v>116</v>
      </c>
      <c r="L44" s="116"/>
      <c r="M44" s="116"/>
      <c r="N44" s="116"/>
      <c r="O44" s="117">
        <f t="shared" si="1"/>
        <v>0</v>
      </c>
      <c r="P44" s="116"/>
      <c r="Q44" s="116"/>
      <c r="R44" s="116"/>
      <c r="S44" s="117">
        <f t="shared" si="2"/>
        <v>0</v>
      </c>
      <c r="T44" s="116"/>
      <c r="U44" s="116"/>
      <c r="V44" s="116"/>
      <c r="W44" s="117">
        <f t="shared" si="3"/>
        <v>0</v>
      </c>
      <c r="X44" s="116"/>
      <c r="Y44" s="116"/>
      <c r="Z44" s="116"/>
      <c r="AA44" s="117">
        <f t="shared" si="4"/>
        <v>0</v>
      </c>
      <c r="AB44" s="116"/>
      <c r="AC44" s="118">
        <f t="shared" si="5"/>
        <v>0</v>
      </c>
      <c r="AD44" s="118" t="str">
        <f t="shared" si="6"/>
        <v>0</v>
      </c>
      <c r="AE44" s="119" t="str">
        <f ca="1">IF(OR(F44="", G44=""), "", IF(TODAY()&lt;F44, 0, IF(TODAY()&gt;G44, 1, (TODAY()-F44+1)/(G44-F44+1))))</f>
        <v/>
      </c>
      <c r="AF44" s="1411"/>
      <c r="AG44" s="98"/>
    </row>
    <row r="45" spans="1:33" s="120" customFormat="1" ht="20.85" customHeight="1" x14ac:dyDescent="0.3">
      <c r="A45" s="1371"/>
      <c r="B45" s="1371"/>
      <c r="C45" s="1369"/>
      <c r="D45" s="1371"/>
      <c r="E45" s="1373"/>
      <c r="F45" s="1373"/>
      <c r="G45" s="1406"/>
      <c r="H45" s="2194"/>
      <c r="I45" s="2196"/>
      <c r="J45" s="2198"/>
      <c r="K45" s="115" t="s">
        <v>117</v>
      </c>
      <c r="L45" s="116"/>
      <c r="M45" s="116"/>
      <c r="N45" s="116"/>
      <c r="O45" s="117">
        <f t="shared" si="1"/>
        <v>0</v>
      </c>
      <c r="P45" s="116"/>
      <c r="Q45" s="116"/>
      <c r="R45" s="116"/>
      <c r="S45" s="117">
        <f t="shared" si="2"/>
        <v>0</v>
      </c>
      <c r="T45" s="116"/>
      <c r="U45" s="116"/>
      <c r="V45" s="116"/>
      <c r="W45" s="117">
        <f t="shared" si="3"/>
        <v>0</v>
      </c>
      <c r="X45" s="116"/>
      <c r="Y45" s="116"/>
      <c r="Z45" s="116"/>
      <c r="AA45" s="117">
        <f t="shared" si="4"/>
        <v>0</v>
      </c>
      <c r="AB45" s="116"/>
      <c r="AC45" s="118">
        <f t="shared" si="5"/>
        <v>0</v>
      </c>
      <c r="AD45" s="118" t="str">
        <f t="shared" si="6"/>
        <v>0</v>
      </c>
      <c r="AE45" s="119"/>
      <c r="AF45" s="1412"/>
      <c r="AG45" s="98"/>
    </row>
    <row r="46" spans="1:33" s="120" customFormat="1" ht="20.85" customHeight="1" x14ac:dyDescent="0.3">
      <c r="A46" s="1742"/>
      <c r="B46" s="1451"/>
      <c r="C46" s="1449"/>
      <c r="D46" s="1451"/>
      <c r="E46" s="1785"/>
      <c r="F46" s="1785"/>
      <c r="G46" s="2185"/>
      <c r="H46" s="2187"/>
      <c r="I46" s="2189"/>
      <c r="J46" s="2191">
        <f>DATEDIF(E46,F46,"m")</f>
        <v>0</v>
      </c>
      <c r="K46" s="121" t="s">
        <v>116</v>
      </c>
      <c r="L46" s="122"/>
      <c r="M46" s="122"/>
      <c r="N46" s="122"/>
      <c r="O46" s="117">
        <f t="shared" si="1"/>
        <v>0</v>
      </c>
      <c r="P46" s="122"/>
      <c r="Q46" s="122"/>
      <c r="R46" s="122"/>
      <c r="S46" s="117">
        <f t="shared" si="2"/>
        <v>0</v>
      </c>
      <c r="T46" s="122"/>
      <c r="U46" s="122"/>
      <c r="V46" s="122"/>
      <c r="W46" s="117">
        <f t="shared" si="3"/>
        <v>0</v>
      </c>
      <c r="X46" s="122"/>
      <c r="Y46" s="122"/>
      <c r="Z46" s="122"/>
      <c r="AA46" s="117">
        <f t="shared" si="4"/>
        <v>0</v>
      </c>
      <c r="AB46" s="122"/>
      <c r="AC46" s="123">
        <f t="shared" si="5"/>
        <v>0</v>
      </c>
      <c r="AD46" s="123" t="str">
        <f t="shared" si="6"/>
        <v>0</v>
      </c>
      <c r="AE46" s="124" t="str">
        <f ca="1">IF(OR(F46="", G46=""), "", IF(TODAY()&lt;F46, 0, IF(TODAY()&gt;G46, 1, (TODAY()-F46+1)/(G46-F46+1))))</f>
        <v/>
      </c>
      <c r="AF46" s="1825"/>
      <c r="AG46" s="125"/>
    </row>
    <row r="47" spans="1:33" s="120" customFormat="1" ht="20.85" customHeight="1" x14ac:dyDescent="0.3">
      <c r="A47" s="1743"/>
      <c r="B47" s="1452"/>
      <c r="C47" s="1450"/>
      <c r="D47" s="1452"/>
      <c r="E47" s="1786"/>
      <c r="F47" s="1786"/>
      <c r="G47" s="2186"/>
      <c r="H47" s="2188"/>
      <c r="I47" s="2190"/>
      <c r="J47" s="2192"/>
      <c r="K47" s="121" t="s">
        <v>117</v>
      </c>
      <c r="L47" s="122"/>
      <c r="M47" s="122"/>
      <c r="N47" s="122"/>
      <c r="O47" s="117">
        <f t="shared" si="1"/>
        <v>0</v>
      </c>
      <c r="P47" s="122"/>
      <c r="Q47" s="122"/>
      <c r="R47" s="122"/>
      <c r="S47" s="117">
        <f t="shared" si="2"/>
        <v>0</v>
      </c>
      <c r="T47" s="122"/>
      <c r="U47" s="122"/>
      <c r="V47" s="122"/>
      <c r="W47" s="117">
        <f t="shared" si="3"/>
        <v>0</v>
      </c>
      <c r="X47" s="122"/>
      <c r="Y47" s="122"/>
      <c r="Z47" s="122"/>
      <c r="AA47" s="117">
        <f t="shared" si="4"/>
        <v>0</v>
      </c>
      <c r="AB47" s="122"/>
      <c r="AC47" s="123">
        <f t="shared" si="5"/>
        <v>0</v>
      </c>
      <c r="AD47" s="123" t="str">
        <f t="shared" si="6"/>
        <v>0</v>
      </c>
      <c r="AE47" s="124"/>
      <c r="AF47" s="1826"/>
      <c r="AG47" s="125"/>
    </row>
    <row r="48" spans="1:33" s="120" customFormat="1" ht="20.85" customHeight="1" x14ac:dyDescent="0.3">
      <c r="A48" s="1370"/>
      <c r="B48" s="1370"/>
      <c r="C48" s="1368"/>
      <c r="D48" s="1370"/>
      <c r="E48" s="1372"/>
      <c r="F48" s="1372"/>
      <c r="G48" s="1405"/>
      <c r="H48" s="2193"/>
      <c r="I48" s="2195"/>
      <c r="J48" s="2197">
        <f>DATEDIF(E48,F48,"m")</f>
        <v>0</v>
      </c>
      <c r="K48" s="115" t="s">
        <v>116</v>
      </c>
      <c r="L48" s="116"/>
      <c r="M48" s="116"/>
      <c r="N48" s="116"/>
      <c r="O48" s="117">
        <f t="shared" si="1"/>
        <v>0</v>
      </c>
      <c r="P48" s="116"/>
      <c r="Q48" s="116"/>
      <c r="R48" s="116"/>
      <c r="S48" s="117">
        <f t="shared" si="2"/>
        <v>0</v>
      </c>
      <c r="T48" s="116"/>
      <c r="U48" s="116"/>
      <c r="V48" s="116"/>
      <c r="W48" s="117">
        <f t="shared" si="3"/>
        <v>0</v>
      </c>
      <c r="X48" s="116"/>
      <c r="Y48" s="116"/>
      <c r="Z48" s="116"/>
      <c r="AA48" s="117">
        <f t="shared" si="4"/>
        <v>0</v>
      </c>
      <c r="AB48" s="116"/>
      <c r="AC48" s="118">
        <f t="shared" si="5"/>
        <v>0</v>
      </c>
      <c r="AD48" s="118" t="str">
        <f t="shared" si="6"/>
        <v>0</v>
      </c>
      <c r="AE48" s="119" t="str">
        <f ca="1">IF(OR(F48="", G48=""), "", IF(TODAY()&lt;F48, 0, IF(TODAY()&gt;G48, 1, (TODAY()-F48+1)/(G48-F48+1))))</f>
        <v/>
      </c>
      <c r="AF48" s="1411"/>
      <c r="AG48" s="98"/>
    </row>
    <row r="49" spans="1:33" s="120" customFormat="1" ht="20.85" customHeight="1" x14ac:dyDescent="0.3">
      <c r="A49" s="1371"/>
      <c r="B49" s="1371"/>
      <c r="C49" s="1369"/>
      <c r="D49" s="1371"/>
      <c r="E49" s="1373"/>
      <c r="F49" s="1373"/>
      <c r="G49" s="1406"/>
      <c r="H49" s="2194"/>
      <c r="I49" s="2196"/>
      <c r="J49" s="2198"/>
      <c r="K49" s="115" t="s">
        <v>117</v>
      </c>
      <c r="L49" s="116"/>
      <c r="M49" s="116"/>
      <c r="N49" s="116"/>
      <c r="O49" s="117">
        <f t="shared" si="1"/>
        <v>0</v>
      </c>
      <c r="P49" s="116"/>
      <c r="Q49" s="116"/>
      <c r="R49" s="116"/>
      <c r="S49" s="117">
        <f t="shared" si="2"/>
        <v>0</v>
      </c>
      <c r="T49" s="116"/>
      <c r="U49" s="116"/>
      <c r="V49" s="116"/>
      <c r="W49" s="117">
        <f t="shared" si="3"/>
        <v>0</v>
      </c>
      <c r="X49" s="116"/>
      <c r="Y49" s="116"/>
      <c r="Z49" s="116"/>
      <c r="AA49" s="117">
        <f t="shared" si="4"/>
        <v>0</v>
      </c>
      <c r="AB49" s="116"/>
      <c r="AC49" s="118">
        <f t="shared" si="5"/>
        <v>0</v>
      </c>
      <c r="AD49" s="118" t="str">
        <f t="shared" si="6"/>
        <v>0</v>
      </c>
      <c r="AE49" s="119"/>
      <c r="AF49" s="1412"/>
      <c r="AG49" s="98"/>
    </row>
    <row r="50" spans="1:33" s="120" customFormat="1" ht="20.85" customHeight="1" x14ac:dyDescent="0.3">
      <c r="A50" s="1742"/>
      <c r="B50" s="1451"/>
      <c r="C50" s="1449"/>
      <c r="D50" s="1451"/>
      <c r="E50" s="1785"/>
      <c r="F50" s="1785"/>
      <c r="G50" s="2185"/>
      <c r="H50" s="2187"/>
      <c r="I50" s="2189"/>
      <c r="J50" s="2191">
        <f>DATEDIF(E50,F50,"m")</f>
        <v>0</v>
      </c>
      <c r="K50" s="121" t="s">
        <v>116</v>
      </c>
      <c r="L50" s="122"/>
      <c r="M50" s="122"/>
      <c r="N50" s="122"/>
      <c r="O50" s="117">
        <f t="shared" si="1"/>
        <v>0</v>
      </c>
      <c r="P50" s="122"/>
      <c r="Q50" s="122"/>
      <c r="R50" s="122"/>
      <c r="S50" s="117">
        <f t="shared" si="2"/>
        <v>0</v>
      </c>
      <c r="T50" s="122"/>
      <c r="U50" s="122"/>
      <c r="V50" s="122"/>
      <c r="W50" s="117">
        <f t="shared" si="3"/>
        <v>0</v>
      </c>
      <c r="X50" s="122"/>
      <c r="Y50" s="122"/>
      <c r="Z50" s="122"/>
      <c r="AA50" s="117">
        <f t="shared" si="4"/>
        <v>0</v>
      </c>
      <c r="AB50" s="122"/>
      <c r="AC50" s="123">
        <f t="shared" si="5"/>
        <v>0</v>
      </c>
      <c r="AD50" s="123" t="str">
        <f t="shared" si="6"/>
        <v>0</v>
      </c>
      <c r="AE50" s="124" t="str">
        <f ca="1">IF(OR(F50="", G50=""), "", IF(TODAY()&lt;F50, 0, IF(TODAY()&gt;G50, 1, (TODAY()-F50+1)/(G50-F50+1))))</f>
        <v/>
      </c>
      <c r="AF50" s="1825"/>
      <c r="AG50" s="125"/>
    </row>
    <row r="51" spans="1:33" s="120" customFormat="1" ht="20.85" customHeight="1" x14ac:dyDescent="0.3">
      <c r="A51" s="1743"/>
      <c r="B51" s="1452"/>
      <c r="C51" s="1450"/>
      <c r="D51" s="1452"/>
      <c r="E51" s="1786"/>
      <c r="F51" s="1786"/>
      <c r="G51" s="2186"/>
      <c r="H51" s="2188"/>
      <c r="I51" s="2190"/>
      <c r="J51" s="2192"/>
      <c r="K51" s="121" t="s">
        <v>117</v>
      </c>
      <c r="L51" s="122"/>
      <c r="M51" s="122"/>
      <c r="N51" s="122"/>
      <c r="O51" s="117">
        <f t="shared" si="1"/>
        <v>0</v>
      </c>
      <c r="P51" s="122"/>
      <c r="Q51" s="122"/>
      <c r="R51" s="122"/>
      <c r="S51" s="117">
        <f t="shared" si="2"/>
        <v>0</v>
      </c>
      <c r="T51" s="122"/>
      <c r="U51" s="122"/>
      <c r="V51" s="122"/>
      <c r="W51" s="117">
        <f t="shared" si="3"/>
        <v>0</v>
      </c>
      <c r="X51" s="122"/>
      <c r="Y51" s="122"/>
      <c r="Z51" s="122"/>
      <c r="AA51" s="117">
        <f t="shared" si="4"/>
        <v>0</v>
      </c>
      <c r="AB51" s="122"/>
      <c r="AC51" s="123">
        <f t="shared" si="5"/>
        <v>0</v>
      </c>
      <c r="AD51" s="123" t="str">
        <f t="shared" si="6"/>
        <v>0</v>
      </c>
      <c r="AE51" s="124"/>
      <c r="AF51" s="1826"/>
      <c r="AG51" s="125"/>
    </row>
    <row r="52" spans="1:33" s="120" customFormat="1" ht="20.85" customHeight="1" x14ac:dyDescent="0.3">
      <c r="A52" s="1370"/>
      <c r="B52" s="1370"/>
      <c r="C52" s="1368"/>
      <c r="D52" s="1370"/>
      <c r="E52" s="1372"/>
      <c r="F52" s="1372"/>
      <c r="G52" s="1405"/>
      <c r="H52" s="2193"/>
      <c r="I52" s="2195"/>
      <c r="J52" s="2197">
        <f>DATEDIF(E52,F52,"m")</f>
        <v>0</v>
      </c>
      <c r="K52" s="115" t="s">
        <v>116</v>
      </c>
      <c r="L52" s="116"/>
      <c r="M52" s="116"/>
      <c r="N52" s="116"/>
      <c r="O52" s="117">
        <f t="shared" si="1"/>
        <v>0</v>
      </c>
      <c r="P52" s="116"/>
      <c r="Q52" s="116"/>
      <c r="R52" s="116"/>
      <c r="S52" s="117">
        <f t="shared" si="2"/>
        <v>0</v>
      </c>
      <c r="T52" s="116"/>
      <c r="U52" s="116"/>
      <c r="V52" s="116"/>
      <c r="W52" s="117">
        <f t="shared" si="3"/>
        <v>0</v>
      </c>
      <c r="X52" s="116"/>
      <c r="Y52" s="116"/>
      <c r="Z52" s="116"/>
      <c r="AA52" s="117">
        <f t="shared" si="4"/>
        <v>0</v>
      </c>
      <c r="AB52" s="116"/>
      <c r="AC52" s="118">
        <f t="shared" si="5"/>
        <v>0</v>
      </c>
      <c r="AD52" s="118" t="str">
        <f t="shared" si="6"/>
        <v>0</v>
      </c>
      <c r="AE52" s="119" t="str">
        <f ca="1">IF(OR(F52="", G52=""), "", IF(TODAY()&lt;F52, 0, IF(TODAY()&gt;G52, 1, (TODAY()-F52+1)/(G52-F52+1))))</f>
        <v/>
      </c>
      <c r="AF52" s="1411"/>
      <c r="AG52" s="98"/>
    </row>
    <row r="53" spans="1:33" s="120" customFormat="1" ht="20.85" customHeight="1" x14ac:dyDescent="0.3">
      <c r="A53" s="1371"/>
      <c r="B53" s="1371"/>
      <c r="C53" s="1369"/>
      <c r="D53" s="1371"/>
      <c r="E53" s="1373"/>
      <c r="F53" s="1373"/>
      <c r="G53" s="1406"/>
      <c r="H53" s="2194"/>
      <c r="I53" s="2196"/>
      <c r="J53" s="2198"/>
      <c r="K53" s="115" t="s">
        <v>117</v>
      </c>
      <c r="L53" s="116"/>
      <c r="M53" s="116"/>
      <c r="N53" s="116"/>
      <c r="O53" s="117">
        <f t="shared" si="1"/>
        <v>0</v>
      </c>
      <c r="P53" s="116"/>
      <c r="Q53" s="116"/>
      <c r="R53" s="116"/>
      <c r="S53" s="117">
        <f t="shared" si="2"/>
        <v>0</v>
      </c>
      <c r="T53" s="116"/>
      <c r="U53" s="116"/>
      <c r="V53" s="116"/>
      <c r="W53" s="117">
        <f t="shared" si="3"/>
        <v>0</v>
      </c>
      <c r="X53" s="116"/>
      <c r="Y53" s="116"/>
      <c r="Z53" s="116"/>
      <c r="AA53" s="117">
        <f t="shared" si="4"/>
        <v>0</v>
      </c>
      <c r="AB53" s="116"/>
      <c r="AC53" s="118">
        <f t="shared" si="5"/>
        <v>0</v>
      </c>
      <c r="AD53" s="118" t="str">
        <f t="shared" si="6"/>
        <v>0</v>
      </c>
      <c r="AE53" s="119"/>
      <c r="AF53" s="1412"/>
      <c r="AG53" s="98"/>
    </row>
    <row r="54" spans="1:33" s="120" customFormat="1" ht="20.85" customHeight="1" x14ac:dyDescent="0.3">
      <c r="A54" s="1742"/>
      <c r="B54" s="1451"/>
      <c r="C54" s="1449"/>
      <c r="D54" s="1451"/>
      <c r="E54" s="1785"/>
      <c r="F54" s="1785"/>
      <c r="G54" s="2185"/>
      <c r="H54" s="2187"/>
      <c r="I54" s="2189"/>
      <c r="J54" s="2191">
        <f>DATEDIF(E54,F54,"m")</f>
        <v>0</v>
      </c>
      <c r="K54" s="121" t="s">
        <v>116</v>
      </c>
      <c r="L54" s="122"/>
      <c r="M54" s="122"/>
      <c r="N54" s="122"/>
      <c r="O54" s="117">
        <f t="shared" si="1"/>
        <v>0</v>
      </c>
      <c r="P54" s="122"/>
      <c r="Q54" s="122"/>
      <c r="R54" s="122"/>
      <c r="S54" s="117">
        <f t="shared" si="2"/>
        <v>0</v>
      </c>
      <c r="T54" s="122"/>
      <c r="U54" s="122"/>
      <c r="V54" s="122"/>
      <c r="W54" s="117">
        <f t="shared" si="3"/>
        <v>0</v>
      </c>
      <c r="X54" s="122"/>
      <c r="Y54" s="122"/>
      <c r="Z54" s="122"/>
      <c r="AA54" s="117">
        <f t="shared" si="4"/>
        <v>0</v>
      </c>
      <c r="AB54" s="122"/>
      <c r="AC54" s="123">
        <f t="shared" si="5"/>
        <v>0</v>
      </c>
      <c r="AD54" s="123" t="str">
        <f t="shared" si="6"/>
        <v>0</v>
      </c>
      <c r="AE54" s="124" t="str">
        <f ca="1">IF(OR(F54="", G54=""), "", IF(TODAY()&lt;F54, 0, IF(TODAY()&gt;G54, 1, (TODAY()-F54+1)/(G54-F54+1))))</f>
        <v/>
      </c>
      <c r="AF54" s="1825"/>
      <c r="AG54" s="125"/>
    </row>
    <row r="55" spans="1:33" s="120" customFormat="1" ht="20.85" customHeight="1" x14ac:dyDescent="0.3">
      <c r="A55" s="1743"/>
      <c r="B55" s="1452"/>
      <c r="C55" s="1450"/>
      <c r="D55" s="1452"/>
      <c r="E55" s="1786"/>
      <c r="F55" s="1786"/>
      <c r="G55" s="2186"/>
      <c r="H55" s="2188"/>
      <c r="I55" s="2190"/>
      <c r="J55" s="2192"/>
      <c r="K55" s="121" t="s">
        <v>117</v>
      </c>
      <c r="L55" s="122"/>
      <c r="M55" s="122"/>
      <c r="N55" s="122"/>
      <c r="O55" s="117">
        <f t="shared" si="1"/>
        <v>0</v>
      </c>
      <c r="P55" s="122"/>
      <c r="Q55" s="122"/>
      <c r="R55" s="122"/>
      <c r="S55" s="117">
        <f t="shared" si="2"/>
        <v>0</v>
      </c>
      <c r="T55" s="122"/>
      <c r="U55" s="122"/>
      <c r="V55" s="122"/>
      <c r="W55" s="117">
        <f t="shared" si="3"/>
        <v>0</v>
      </c>
      <c r="X55" s="122"/>
      <c r="Y55" s="122"/>
      <c r="Z55" s="122"/>
      <c r="AA55" s="117">
        <f t="shared" si="4"/>
        <v>0</v>
      </c>
      <c r="AB55" s="122"/>
      <c r="AC55" s="123">
        <f t="shared" si="5"/>
        <v>0</v>
      </c>
      <c r="AD55" s="123" t="str">
        <f t="shared" si="6"/>
        <v>0</v>
      </c>
      <c r="AE55" s="124"/>
      <c r="AF55" s="1826"/>
      <c r="AG55" s="125"/>
    </row>
    <row r="56" spans="1:33" s="120" customFormat="1" ht="20.85" customHeight="1" x14ac:dyDescent="0.3">
      <c r="A56" s="1370"/>
      <c r="B56" s="1370"/>
      <c r="C56" s="1368"/>
      <c r="D56" s="1370"/>
      <c r="E56" s="1372"/>
      <c r="F56" s="1372"/>
      <c r="G56" s="1405"/>
      <c r="H56" s="2193"/>
      <c r="I56" s="2195"/>
      <c r="J56" s="2197">
        <f>DATEDIF(E56,F56,"m")</f>
        <v>0</v>
      </c>
      <c r="K56" s="115" t="s">
        <v>116</v>
      </c>
      <c r="L56" s="116"/>
      <c r="M56" s="116"/>
      <c r="N56" s="116"/>
      <c r="O56" s="117">
        <f t="shared" si="1"/>
        <v>0</v>
      </c>
      <c r="P56" s="116"/>
      <c r="Q56" s="116"/>
      <c r="R56" s="116"/>
      <c r="S56" s="117">
        <f t="shared" si="2"/>
        <v>0</v>
      </c>
      <c r="T56" s="116"/>
      <c r="U56" s="116"/>
      <c r="V56" s="116"/>
      <c r="W56" s="117">
        <f t="shared" si="3"/>
        <v>0</v>
      </c>
      <c r="X56" s="116"/>
      <c r="Y56" s="116"/>
      <c r="Z56" s="116"/>
      <c r="AA56" s="117">
        <f t="shared" si="4"/>
        <v>0</v>
      </c>
      <c r="AB56" s="116"/>
      <c r="AC56" s="118">
        <f t="shared" si="5"/>
        <v>0</v>
      </c>
      <c r="AD56" s="118" t="str">
        <f t="shared" si="6"/>
        <v>0</v>
      </c>
      <c r="AE56" s="119" t="str">
        <f ca="1">IF(OR(F56="", G56=""), "", IF(TODAY()&lt;F56, 0, IF(TODAY()&gt;G56, 1, (TODAY()-F56+1)/(G56-F56+1))))</f>
        <v/>
      </c>
      <c r="AF56" s="1411"/>
      <c r="AG56" s="98"/>
    </row>
    <row r="57" spans="1:33" s="120" customFormat="1" ht="20.85" customHeight="1" x14ac:dyDescent="0.3">
      <c r="A57" s="1371"/>
      <c r="B57" s="1371"/>
      <c r="C57" s="1369"/>
      <c r="D57" s="1371"/>
      <c r="E57" s="1373"/>
      <c r="F57" s="1373"/>
      <c r="G57" s="1406"/>
      <c r="H57" s="2194"/>
      <c r="I57" s="2196"/>
      <c r="J57" s="2198"/>
      <c r="K57" s="115" t="s">
        <v>117</v>
      </c>
      <c r="L57" s="116"/>
      <c r="M57" s="116"/>
      <c r="N57" s="116"/>
      <c r="O57" s="117">
        <f t="shared" si="1"/>
        <v>0</v>
      </c>
      <c r="P57" s="116"/>
      <c r="Q57" s="116"/>
      <c r="R57" s="116"/>
      <c r="S57" s="117">
        <f t="shared" si="2"/>
        <v>0</v>
      </c>
      <c r="T57" s="116"/>
      <c r="U57" s="116"/>
      <c r="V57" s="116"/>
      <c r="W57" s="117">
        <f t="shared" si="3"/>
        <v>0</v>
      </c>
      <c r="X57" s="116"/>
      <c r="Y57" s="116"/>
      <c r="Z57" s="116"/>
      <c r="AA57" s="117">
        <f t="shared" si="4"/>
        <v>0</v>
      </c>
      <c r="AB57" s="116"/>
      <c r="AC57" s="118">
        <f t="shared" si="5"/>
        <v>0</v>
      </c>
      <c r="AD57" s="118" t="str">
        <f t="shared" si="6"/>
        <v>0</v>
      </c>
      <c r="AE57" s="119"/>
      <c r="AF57" s="1412"/>
      <c r="AG57" s="98"/>
    </row>
    <row r="58" spans="1:33" s="120" customFormat="1" ht="20.85" customHeight="1" x14ac:dyDescent="0.3">
      <c r="A58" s="1742"/>
      <c r="B58" s="1451"/>
      <c r="C58" s="1449"/>
      <c r="D58" s="1451"/>
      <c r="E58" s="1785"/>
      <c r="F58" s="1785"/>
      <c r="G58" s="2185"/>
      <c r="H58" s="2187"/>
      <c r="I58" s="2189"/>
      <c r="J58" s="2191">
        <f>DATEDIF(E58,F58,"m")</f>
        <v>0</v>
      </c>
      <c r="K58" s="121" t="s">
        <v>116</v>
      </c>
      <c r="L58" s="122"/>
      <c r="M58" s="122"/>
      <c r="N58" s="122"/>
      <c r="O58" s="117">
        <f t="shared" si="1"/>
        <v>0</v>
      </c>
      <c r="P58" s="122"/>
      <c r="Q58" s="122"/>
      <c r="R58" s="122"/>
      <c r="S58" s="117">
        <f t="shared" si="2"/>
        <v>0</v>
      </c>
      <c r="T58" s="122"/>
      <c r="U58" s="122"/>
      <c r="V58" s="122"/>
      <c r="W58" s="117">
        <f t="shared" si="3"/>
        <v>0</v>
      </c>
      <c r="X58" s="122"/>
      <c r="Y58" s="122"/>
      <c r="Z58" s="122"/>
      <c r="AA58" s="117">
        <f t="shared" si="4"/>
        <v>0</v>
      </c>
      <c r="AB58" s="122"/>
      <c r="AC58" s="123">
        <f t="shared" si="5"/>
        <v>0</v>
      </c>
      <c r="AD58" s="123" t="str">
        <f t="shared" si="6"/>
        <v>0</v>
      </c>
      <c r="AE58" s="124" t="str">
        <f ca="1">IF(OR(F58="", G58=""), "", IF(TODAY()&lt;F58, 0, IF(TODAY()&gt;G58, 1, (TODAY()-F58+1)/(G58-F58+1))))</f>
        <v/>
      </c>
      <c r="AF58" s="1825"/>
      <c r="AG58" s="125"/>
    </row>
    <row r="59" spans="1:33" s="120" customFormat="1" ht="20.85" customHeight="1" x14ac:dyDescent="0.3">
      <c r="A59" s="1743"/>
      <c r="B59" s="1452"/>
      <c r="C59" s="1450"/>
      <c r="D59" s="1452"/>
      <c r="E59" s="1786"/>
      <c r="F59" s="1786"/>
      <c r="G59" s="2186"/>
      <c r="H59" s="2188"/>
      <c r="I59" s="2190"/>
      <c r="J59" s="2192"/>
      <c r="K59" s="121" t="s">
        <v>117</v>
      </c>
      <c r="L59" s="122"/>
      <c r="M59" s="122"/>
      <c r="N59" s="122"/>
      <c r="O59" s="117">
        <f t="shared" si="1"/>
        <v>0</v>
      </c>
      <c r="P59" s="122"/>
      <c r="Q59" s="122"/>
      <c r="R59" s="122"/>
      <c r="S59" s="117">
        <f t="shared" si="2"/>
        <v>0</v>
      </c>
      <c r="T59" s="122"/>
      <c r="U59" s="122"/>
      <c r="V59" s="122"/>
      <c r="W59" s="117">
        <f t="shared" si="3"/>
        <v>0</v>
      </c>
      <c r="X59" s="122"/>
      <c r="Y59" s="122"/>
      <c r="Z59" s="122"/>
      <c r="AA59" s="117">
        <f t="shared" si="4"/>
        <v>0</v>
      </c>
      <c r="AB59" s="122"/>
      <c r="AC59" s="123">
        <f t="shared" si="5"/>
        <v>0</v>
      </c>
      <c r="AD59" s="123" t="str">
        <f t="shared" si="6"/>
        <v>0</v>
      </c>
      <c r="AE59" s="124"/>
      <c r="AF59" s="1826"/>
      <c r="AG59" s="125"/>
    </row>
    <row r="60" spans="1:33" s="120" customFormat="1" ht="20.85" customHeight="1" x14ac:dyDescent="0.3">
      <c r="A60" s="1370"/>
      <c r="B60" s="1370"/>
      <c r="C60" s="1368"/>
      <c r="D60" s="1370"/>
      <c r="E60" s="1372"/>
      <c r="F60" s="1372"/>
      <c r="G60" s="1405"/>
      <c r="H60" s="2193"/>
      <c r="I60" s="2195"/>
      <c r="J60" s="2197">
        <f>DATEDIF(E60,F60,"m")</f>
        <v>0</v>
      </c>
      <c r="K60" s="115" t="s">
        <v>116</v>
      </c>
      <c r="L60" s="116"/>
      <c r="M60" s="116"/>
      <c r="N60" s="116"/>
      <c r="O60" s="117">
        <f t="shared" si="1"/>
        <v>0</v>
      </c>
      <c r="P60" s="116"/>
      <c r="Q60" s="116"/>
      <c r="R60" s="116"/>
      <c r="S60" s="117">
        <f t="shared" si="2"/>
        <v>0</v>
      </c>
      <c r="T60" s="116"/>
      <c r="U60" s="116"/>
      <c r="V60" s="116"/>
      <c r="W60" s="117">
        <f t="shared" si="3"/>
        <v>0</v>
      </c>
      <c r="X60" s="116"/>
      <c r="Y60" s="116"/>
      <c r="Z60" s="116"/>
      <c r="AA60" s="117">
        <f t="shared" si="4"/>
        <v>0</v>
      </c>
      <c r="AB60" s="116"/>
      <c r="AC60" s="118">
        <f t="shared" si="5"/>
        <v>0</v>
      </c>
      <c r="AD60" s="118" t="str">
        <f t="shared" si="6"/>
        <v>0</v>
      </c>
      <c r="AE60" s="119" t="str">
        <f ca="1">IF(OR(F60="", G60=""), "", IF(TODAY()&lt;F60, 0, IF(TODAY()&gt;G60, 1, (TODAY()-F60+1)/(G60-F60+1))))</f>
        <v/>
      </c>
      <c r="AF60" s="1411"/>
      <c r="AG60" s="98"/>
    </row>
    <row r="61" spans="1:33" s="120" customFormat="1" ht="20.85" customHeight="1" x14ac:dyDescent="0.3">
      <c r="A61" s="1371"/>
      <c r="B61" s="1371"/>
      <c r="C61" s="1369"/>
      <c r="D61" s="1371"/>
      <c r="E61" s="1373"/>
      <c r="F61" s="1373"/>
      <c r="G61" s="1406"/>
      <c r="H61" s="2194"/>
      <c r="I61" s="2196"/>
      <c r="J61" s="2198"/>
      <c r="K61" s="115" t="s">
        <v>117</v>
      </c>
      <c r="L61" s="116"/>
      <c r="M61" s="116"/>
      <c r="N61" s="116"/>
      <c r="O61" s="117">
        <f t="shared" si="1"/>
        <v>0</v>
      </c>
      <c r="P61" s="116"/>
      <c r="Q61" s="116"/>
      <c r="R61" s="116"/>
      <c r="S61" s="117">
        <f t="shared" si="2"/>
        <v>0</v>
      </c>
      <c r="T61" s="116"/>
      <c r="U61" s="116"/>
      <c r="V61" s="116"/>
      <c r="W61" s="117">
        <f t="shared" si="3"/>
        <v>0</v>
      </c>
      <c r="X61" s="116"/>
      <c r="Y61" s="116"/>
      <c r="Z61" s="116"/>
      <c r="AA61" s="117">
        <f t="shared" si="4"/>
        <v>0</v>
      </c>
      <c r="AB61" s="116"/>
      <c r="AC61" s="118">
        <f t="shared" si="5"/>
        <v>0</v>
      </c>
      <c r="AD61" s="118" t="str">
        <f t="shared" si="6"/>
        <v>0</v>
      </c>
      <c r="AE61" s="119"/>
      <c r="AF61" s="1412"/>
      <c r="AG61" s="98"/>
    </row>
    <row r="62" spans="1:33" s="120" customFormat="1" ht="20.85" customHeight="1" x14ac:dyDescent="0.3">
      <c r="A62" s="1742"/>
      <c r="B62" s="1451"/>
      <c r="C62" s="1449"/>
      <c r="D62" s="1451"/>
      <c r="E62" s="1785"/>
      <c r="F62" s="1785"/>
      <c r="G62" s="2185"/>
      <c r="H62" s="2187"/>
      <c r="I62" s="2189"/>
      <c r="J62" s="2191">
        <f>DATEDIF(E62,F62,"m")</f>
        <v>0</v>
      </c>
      <c r="K62" s="121" t="s">
        <v>116</v>
      </c>
      <c r="L62" s="122"/>
      <c r="M62" s="122"/>
      <c r="N62" s="122"/>
      <c r="O62" s="117">
        <f t="shared" si="1"/>
        <v>0</v>
      </c>
      <c r="P62" s="122"/>
      <c r="Q62" s="122"/>
      <c r="R62" s="122"/>
      <c r="S62" s="117">
        <f t="shared" si="2"/>
        <v>0</v>
      </c>
      <c r="T62" s="122"/>
      <c r="U62" s="122"/>
      <c r="V62" s="122"/>
      <c r="W62" s="117">
        <f t="shared" si="3"/>
        <v>0</v>
      </c>
      <c r="X62" s="122"/>
      <c r="Y62" s="122"/>
      <c r="Z62" s="122"/>
      <c r="AA62" s="117">
        <f t="shared" si="4"/>
        <v>0</v>
      </c>
      <c r="AB62" s="122"/>
      <c r="AC62" s="123">
        <f t="shared" si="5"/>
        <v>0</v>
      </c>
      <c r="AD62" s="123" t="str">
        <f t="shared" si="6"/>
        <v>0</v>
      </c>
      <c r="AE62" s="124" t="str">
        <f ca="1">IF(OR(F62="", G62=""), "", IF(TODAY()&lt;F62, 0, IF(TODAY()&gt;G62, 1, (TODAY()-F62+1)/(G62-F62+1))))</f>
        <v/>
      </c>
      <c r="AF62" s="1825"/>
      <c r="AG62" s="125"/>
    </row>
    <row r="63" spans="1:33" s="120" customFormat="1" ht="20.85" customHeight="1" x14ac:dyDescent="0.3">
      <c r="A63" s="1743"/>
      <c r="B63" s="1452"/>
      <c r="C63" s="1450"/>
      <c r="D63" s="1452"/>
      <c r="E63" s="1786"/>
      <c r="F63" s="1786"/>
      <c r="G63" s="2186"/>
      <c r="H63" s="2188"/>
      <c r="I63" s="2190"/>
      <c r="J63" s="2192"/>
      <c r="K63" s="121" t="s">
        <v>117</v>
      </c>
      <c r="L63" s="122"/>
      <c r="M63" s="122"/>
      <c r="N63" s="122"/>
      <c r="O63" s="117">
        <f t="shared" si="1"/>
        <v>0</v>
      </c>
      <c r="P63" s="122"/>
      <c r="Q63" s="122"/>
      <c r="R63" s="122"/>
      <c r="S63" s="117">
        <f t="shared" si="2"/>
        <v>0</v>
      </c>
      <c r="T63" s="122"/>
      <c r="U63" s="122"/>
      <c r="V63" s="122"/>
      <c r="W63" s="117">
        <f t="shared" si="3"/>
        <v>0</v>
      </c>
      <c r="X63" s="122"/>
      <c r="Y63" s="122"/>
      <c r="Z63" s="122"/>
      <c r="AA63" s="117">
        <f t="shared" si="4"/>
        <v>0</v>
      </c>
      <c r="AB63" s="122"/>
      <c r="AC63" s="123">
        <f t="shared" si="5"/>
        <v>0</v>
      </c>
      <c r="AD63" s="123" t="str">
        <f t="shared" si="6"/>
        <v>0</v>
      </c>
      <c r="AE63" s="124"/>
      <c r="AF63" s="1826"/>
      <c r="AG63" s="125"/>
    </row>
    <row r="64" spans="1:33" s="120" customFormat="1" ht="20.85" customHeight="1" x14ac:dyDescent="0.3">
      <c r="A64" s="1370"/>
      <c r="B64" s="1370"/>
      <c r="C64" s="1368"/>
      <c r="D64" s="1370"/>
      <c r="E64" s="1372"/>
      <c r="F64" s="1372"/>
      <c r="G64" s="1405"/>
      <c r="H64" s="2193"/>
      <c r="I64" s="2195"/>
      <c r="J64" s="2197">
        <f>DATEDIF(E64,F64,"m")</f>
        <v>0</v>
      </c>
      <c r="K64" s="115" t="s">
        <v>116</v>
      </c>
      <c r="L64" s="116"/>
      <c r="M64" s="116"/>
      <c r="N64" s="116"/>
      <c r="O64" s="117">
        <f t="shared" si="1"/>
        <v>0</v>
      </c>
      <c r="P64" s="116"/>
      <c r="Q64" s="116"/>
      <c r="R64" s="116"/>
      <c r="S64" s="117">
        <f t="shared" si="2"/>
        <v>0</v>
      </c>
      <c r="T64" s="116"/>
      <c r="U64" s="116"/>
      <c r="V64" s="116"/>
      <c r="W64" s="117">
        <f t="shared" si="3"/>
        <v>0</v>
      </c>
      <c r="X64" s="116"/>
      <c r="Y64" s="116"/>
      <c r="Z64" s="116"/>
      <c r="AA64" s="117">
        <f t="shared" si="4"/>
        <v>0</v>
      </c>
      <c r="AB64" s="116"/>
      <c r="AC64" s="118">
        <f t="shared" si="5"/>
        <v>0</v>
      </c>
      <c r="AD64" s="118" t="str">
        <f t="shared" si="6"/>
        <v>0</v>
      </c>
      <c r="AE64" s="119" t="str">
        <f ca="1">IF(OR(F64="", G64=""), "", IF(TODAY()&lt;F64, 0, IF(TODAY()&gt;G64, 1, (TODAY()-F64+1)/(G64-F64+1))))</f>
        <v/>
      </c>
      <c r="AF64" s="1411"/>
      <c r="AG64" s="98"/>
    </row>
    <row r="65" spans="1:33" s="120" customFormat="1" ht="20.85" customHeight="1" x14ac:dyDescent="0.3">
      <c r="A65" s="1371"/>
      <c r="B65" s="1371"/>
      <c r="C65" s="1369"/>
      <c r="D65" s="1371"/>
      <c r="E65" s="1373"/>
      <c r="F65" s="1373"/>
      <c r="G65" s="1406"/>
      <c r="H65" s="2194"/>
      <c r="I65" s="2196"/>
      <c r="J65" s="2198"/>
      <c r="K65" s="115" t="s">
        <v>117</v>
      </c>
      <c r="L65" s="116"/>
      <c r="M65" s="116"/>
      <c r="N65" s="116"/>
      <c r="O65" s="117">
        <f t="shared" si="1"/>
        <v>0</v>
      </c>
      <c r="P65" s="116"/>
      <c r="Q65" s="116"/>
      <c r="R65" s="116"/>
      <c r="S65" s="117">
        <f t="shared" si="2"/>
        <v>0</v>
      </c>
      <c r="T65" s="116"/>
      <c r="U65" s="116"/>
      <c r="V65" s="116"/>
      <c r="W65" s="117">
        <f t="shared" si="3"/>
        <v>0</v>
      </c>
      <c r="X65" s="116"/>
      <c r="Y65" s="116"/>
      <c r="Z65" s="116"/>
      <c r="AA65" s="117">
        <f t="shared" si="4"/>
        <v>0</v>
      </c>
      <c r="AB65" s="116"/>
      <c r="AC65" s="118">
        <f t="shared" si="5"/>
        <v>0</v>
      </c>
      <c r="AD65" s="118" t="str">
        <f t="shared" si="6"/>
        <v>0</v>
      </c>
      <c r="AE65" s="119"/>
      <c r="AF65" s="1412"/>
      <c r="AG65" s="98"/>
    </row>
    <row r="66" spans="1:33" s="120" customFormat="1" ht="20.85" customHeight="1" x14ac:dyDescent="0.3">
      <c r="A66" s="1742"/>
      <c r="B66" s="1451"/>
      <c r="C66" s="1449"/>
      <c r="D66" s="1451"/>
      <c r="E66" s="1785"/>
      <c r="F66" s="1785"/>
      <c r="G66" s="2185"/>
      <c r="H66" s="2187"/>
      <c r="I66" s="2189"/>
      <c r="J66" s="2191">
        <f>DATEDIF(E66,F66,"m")</f>
        <v>0</v>
      </c>
      <c r="K66" s="121" t="s">
        <v>116</v>
      </c>
      <c r="L66" s="122"/>
      <c r="M66" s="122"/>
      <c r="N66" s="122"/>
      <c r="O66" s="117">
        <f t="shared" si="1"/>
        <v>0</v>
      </c>
      <c r="P66" s="122"/>
      <c r="Q66" s="122"/>
      <c r="R66" s="122"/>
      <c r="S66" s="117">
        <f t="shared" si="2"/>
        <v>0</v>
      </c>
      <c r="T66" s="122"/>
      <c r="U66" s="122"/>
      <c r="V66" s="122"/>
      <c r="W66" s="117">
        <f t="shared" si="3"/>
        <v>0</v>
      </c>
      <c r="X66" s="122"/>
      <c r="Y66" s="122"/>
      <c r="Z66" s="122"/>
      <c r="AA66" s="117">
        <f t="shared" si="4"/>
        <v>0</v>
      </c>
      <c r="AB66" s="122"/>
      <c r="AC66" s="123">
        <f t="shared" si="5"/>
        <v>0</v>
      </c>
      <c r="AD66" s="123" t="str">
        <f t="shared" si="6"/>
        <v>0</v>
      </c>
      <c r="AE66" s="124" t="str">
        <f ca="1">IF(OR(F66="", G66=""), "", IF(TODAY()&lt;F66, 0, IF(TODAY()&gt;G66, 1, (TODAY()-F66+1)/(G66-F66+1))))</f>
        <v/>
      </c>
      <c r="AF66" s="1825"/>
      <c r="AG66" s="125"/>
    </row>
    <row r="67" spans="1:33" s="120" customFormat="1" ht="20.85" customHeight="1" x14ac:dyDescent="0.3">
      <c r="A67" s="1743"/>
      <c r="B67" s="1452"/>
      <c r="C67" s="1450"/>
      <c r="D67" s="1452"/>
      <c r="E67" s="1786"/>
      <c r="F67" s="1786"/>
      <c r="G67" s="2186"/>
      <c r="H67" s="2188"/>
      <c r="I67" s="2190"/>
      <c r="J67" s="2192"/>
      <c r="K67" s="121" t="s">
        <v>117</v>
      </c>
      <c r="L67" s="122"/>
      <c r="M67" s="122"/>
      <c r="N67" s="122"/>
      <c r="O67" s="117">
        <f t="shared" si="1"/>
        <v>0</v>
      </c>
      <c r="P67" s="122"/>
      <c r="Q67" s="122"/>
      <c r="R67" s="122"/>
      <c r="S67" s="117">
        <f t="shared" si="2"/>
        <v>0</v>
      </c>
      <c r="T67" s="122"/>
      <c r="U67" s="122"/>
      <c r="V67" s="122"/>
      <c r="W67" s="117">
        <f t="shared" si="3"/>
        <v>0</v>
      </c>
      <c r="X67" s="122"/>
      <c r="Y67" s="122"/>
      <c r="Z67" s="122"/>
      <c r="AA67" s="117">
        <f t="shared" si="4"/>
        <v>0</v>
      </c>
      <c r="AB67" s="122"/>
      <c r="AC67" s="123">
        <f t="shared" si="5"/>
        <v>0</v>
      </c>
      <c r="AD67" s="123" t="str">
        <f t="shared" si="6"/>
        <v>0</v>
      </c>
      <c r="AE67" s="124"/>
      <c r="AF67" s="1826"/>
      <c r="AG67" s="125"/>
    </row>
    <row r="68" spans="1:33" s="120" customFormat="1" ht="20.85" customHeight="1" x14ac:dyDescent="0.3"/>
    <row r="69" spans="1:33" x14ac:dyDescent="0.3">
      <c r="K69" s="151"/>
      <c r="L69" s="151">
        <v>46023</v>
      </c>
      <c r="M69" s="151">
        <v>46054</v>
      </c>
      <c r="N69" s="151">
        <v>46082</v>
      </c>
      <c r="O69" s="151">
        <v>46113</v>
      </c>
      <c r="P69" s="151">
        <v>46143</v>
      </c>
      <c r="Q69" s="151">
        <v>46174</v>
      </c>
      <c r="R69" s="151">
        <v>46204</v>
      </c>
      <c r="S69" s="151">
        <v>46235</v>
      </c>
      <c r="T69" s="151">
        <v>46266</v>
      </c>
      <c r="U69" s="151">
        <v>46296</v>
      </c>
      <c r="V69" s="151">
        <v>46327</v>
      </c>
      <c r="W69" s="151">
        <v>46357</v>
      </c>
      <c r="X69" s="151" t="s">
        <v>115</v>
      </c>
    </row>
    <row r="70" spans="1:33" x14ac:dyDescent="0.3">
      <c r="K70" s="151" t="s">
        <v>116</v>
      </c>
      <c r="L70" s="152" cm="1">
        <f t="array" ref="L70">SUMPRODUCT(
($K$16:$K$67="Previsto")*
INDEX($L$16:$AA$67,0,MATCH(L$69,$L$15:$AA$15,0))
)</f>
        <v>0</v>
      </c>
      <c r="M70" s="152" cm="1">
        <f t="array" ref="M70">SUMPRODUCT(
($K$16:$K$67="Previsto")*
INDEX($L$16:$AA$67,0,MATCH(M$69,$L$15:$AA$15,0))
)</f>
        <v>0</v>
      </c>
      <c r="N70" s="152" cm="1">
        <f t="array" ref="N70">SUMPRODUCT(
($K$16:$K$67="Previsto")*
INDEX($L$16:$AA$67,0,MATCH(N$69,$L$15:$AA$15,0))
)</f>
        <v>0</v>
      </c>
      <c r="O70" s="152" cm="1">
        <f t="array" ref="O70">SUMPRODUCT(
($K$16:$K$67="Previsto")*
INDEX($L$16:$AA$67,0,MATCH(O$69,$L$15:$AA$15,0))
)</f>
        <v>0</v>
      </c>
      <c r="P70" s="152" cm="1">
        <f t="array" ref="P70">SUMPRODUCT(
($K$16:$K$67="Previsto")*
INDEX($L$16:$AA$67,0,MATCH(P$69,$L$15:$AA$15,0))
)</f>
        <v>0</v>
      </c>
      <c r="Q70" s="152" cm="1">
        <f t="array" ref="Q70">SUMPRODUCT(
($K$16:$K$67="Previsto")*
INDEX($L$16:$AA$67,0,MATCH(Q$69,$L$15:$AA$15,0))
)</f>
        <v>0</v>
      </c>
      <c r="R70" s="152" cm="1">
        <f t="array" ref="R70">SUMPRODUCT(
($K$16:$K$67="Previsto")*
INDEX($L$16:$AA$67,0,MATCH(R$69,$L$15:$AA$15,0))
)</f>
        <v>0</v>
      </c>
      <c r="S70" s="152" cm="1">
        <f t="array" ref="S70">SUMPRODUCT(
($K$16:$K$67="Previsto")*
INDEX($L$16:$AA$67,0,MATCH(S$69,$L$15:$AA$15,0))
)</f>
        <v>0</v>
      </c>
      <c r="T70" s="152" cm="1">
        <f t="array" ref="T70">SUMPRODUCT(
($K$16:$K$67="Previsto")*
INDEX($L$16:$AA$67,0,MATCH(T$69,$L$15:$AA$15,0))
)</f>
        <v>0</v>
      </c>
      <c r="U70" s="152" cm="1">
        <f t="array" ref="U70">SUMPRODUCT(
($K$16:$K$67="Previsto")*
INDEX($L$16:$AA$67,0,MATCH(U$69,$L$15:$AA$15,0))
)</f>
        <v>0</v>
      </c>
      <c r="V70" s="152" cm="1">
        <f t="array" ref="V70">SUMPRODUCT(
($K$16:$K$67="Previsto")*
INDEX($L$16:$AA$67,0,MATCH(V$69,$L$15:$AA$15,0))
)</f>
        <v>0</v>
      </c>
      <c r="W70" s="152" cm="1">
        <f t="array" ref="W70">SUMPRODUCT(
($K$16:$K$67="Previsto")*
INDEX($L$16:$AA$67,0,MATCH(W$69,$L$15:$AA$15,0))
)</f>
        <v>0</v>
      </c>
      <c r="X70" s="152">
        <f>SUM(L70:W70)</f>
        <v>0</v>
      </c>
    </row>
    <row r="71" spans="1:33" x14ac:dyDescent="0.3">
      <c r="K71" s="153" t="s">
        <v>117</v>
      </c>
      <c r="L71" s="154" cm="1">
        <f t="array" ref="L71">SUMPRODUCT(
($K$16:$K$67="Real")*
INDEX($L$16:$AA$67,0,MATCH(L$69,$L$15:$AA$15,0))
)</f>
        <v>0</v>
      </c>
      <c r="M71" s="154" cm="1">
        <f t="array" ref="M71">SUMPRODUCT(
($K$16:$K$67="Real")*
INDEX($L$16:$AA$67,0,MATCH(M$69,$L$15:$AA$15,0))
)</f>
        <v>0</v>
      </c>
      <c r="N71" s="154" cm="1">
        <f t="array" ref="N71">SUMPRODUCT(
($K$16:$K$67="Real")*
INDEX($L$16:$AA$67,0,MATCH(N$69,$L$15:$AA$15,0))
)</f>
        <v>0</v>
      </c>
      <c r="O71" s="154" cm="1">
        <f t="array" ref="O71">SUMPRODUCT(
($K$16:$K$67="Real")*
INDEX($L$16:$AA$67,0,MATCH(O$69,$L$15:$AA$15,0))
)</f>
        <v>0</v>
      </c>
      <c r="P71" s="154" cm="1">
        <f t="array" ref="P71">SUMPRODUCT(
($K$16:$K$67="Real")*
INDEX($L$16:$AA$67,0,MATCH(P$69,$L$15:$AA$15,0))
)</f>
        <v>0</v>
      </c>
      <c r="Q71" s="154" cm="1">
        <f t="array" ref="Q71">SUMPRODUCT(
($K$16:$K$67="Real")*
INDEX($L$16:$AA$67,0,MATCH(Q$69,$L$15:$AA$15,0))
)</f>
        <v>0</v>
      </c>
      <c r="R71" s="154" cm="1">
        <f t="array" ref="R71">SUMPRODUCT(
($K$16:$K$67="Real")*
INDEX($L$16:$AA$67,0,MATCH(R$69,$L$15:$AA$15,0))
)</f>
        <v>0</v>
      </c>
      <c r="S71" s="154" cm="1">
        <f t="array" ref="S71">SUMPRODUCT(
($K$16:$K$67="Real")*
INDEX($L$16:$AA$67,0,MATCH(S$69,$L$15:$AA$15,0))
)</f>
        <v>0</v>
      </c>
      <c r="T71" s="154" cm="1">
        <f t="array" ref="T71">SUMPRODUCT(
($K$16:$K$67="Real")*
INDEX($L$16:$AA$67,0,MATCH(T$69,$L$15:$AA$15,0))
)</f>
        <v>0</v>
      </c>
      <c r="U71" s="154" cm="1">
        <f t="array" ref="U71">SUMPRODUCT(
($K$16:$K$67="Real")*
INDEX($L$16:$AA$67,0,MATCH(U$69,$L$15:$AA$15,0))
)</f>
        <v>0</v>
      </c>
      <c r="V71" s="154" cm="1">
        <f t="array" ref="V71">SUMPRODUCT(
($K$16:$K$67="Real")*
INDEX($L$16:$AA$67,0,MATCH(V$69,$L$15:$AA$15,0))
)</f>
        <v>0</v>
      </c>
      <c r="W71" s="154" cm="1">
        <f t="array" ref="W71">SUMPRODUCT(
($K$16:$K$67="Real")*
INDEX($L$16:$AA$67,0,MATCH(W$69,$L$15:$AA$15,0))
)</f>
        <v>0</v>
      </c>
      <c r="X71" s="154">
        <f>SUM(L71:W71)</f>
        <v>0</v>
      </c>
    </row>
    <row r="72" spans="1:33" x14ac:dyDescent="0.3">
      <c r="K72" s="160" t="s">
        <v>118</v>
      </c>
      <c r="L72" s="160" cm="1">
        <f t="array" ref="L72">SUMPRODUCT(
($E$16:$E$67&lt;&gt;"")*
($E$16:$E$67&lt;=L$69)*
(($F$16:$F$67="")+($F$16:$F$67&gt;=L$69))
)</f>
        <v>0</v>
      </c>
      <c r="M72" s="160" cm="1">
        <f t="array" ref="M72">SUMPRODUCT(
($E$16:$E$67&lt;&gt;"")*
($E$16:$E$67&lt;=M$69)*
(($F$16:$F$67="")+($F$16:$F$67&gt;=M$69))
)</f>
        <v>0</v>
      </c>
      <c r="N72" s="160" cm="1">
        <f t="array" ref="N72">SUMPRODUCT(
($E$16:$E$67&lt;&gt;"")*
($E$16:$E$67&lt;=N$69)*
(($F$16:$F$67="")+($F$16:$F$67&gt;=N$69))
)</f>
        <v>0</v>
      </c>
      <c r="O72" s="160" cm="1">
        <f t="array" ref="O72">SUMPRODUCT(
($E$16:$E$67&lt;&gt;"")*
($E$16:$E$67&lt;=O$69)*
(($F$16:$F$67="")+($F$16:$F$67&gt;=O$69))
)</f>
        <v>0</v>
      </c>
      <c r="P72" s="160" cm="1">
        <f t="array" ref="P72">SUMPRODUCT(
($E$16:$E$67&lt;&gt;"")*
($E$16:$E$67&lt;=P$69)*
(($F$16:$F$67="")+($F$16:$F$67&gt;=P$69))
)</f>
        <v>0</v>
      </c>
      <c r="Q72" s="160" cm="1">
        <f t="array" ref="Q72">SUMPRODUCT(
($E$16:$E$67&lt;&gt;"")*
($E$16:$E$67&lt;=Q$69)*
(($F$16:$F$67="")+($F$16:$F$67&gt;=Q$69))
)</f>
        <v>0</v>
      </c>
      <c r="R72" s="160" cm="1">
        <f t="array" ref="R72">SUMPRODUCT(
($E$16:$E$67&lt;&gt;"")*
($E$16:$E$67&lt;=R$69)*
(($F$16:$F$67="")+($F$16:$F$67&gt;=R$69))
)</f>
        <v>0</v>
      </c>
      <c r="S72" s="160" cm="1">
        <f t="array" ref="S72">SUMPRODUCT(
($E$16:$E$67&lt;&gt;"")*
($E$16:$E$67&lt;=S$69)*
(($F$16:$F$67="")+($F$16:$F$67&gt;=S$69))
)</f>
        <v>0</v>
      </c>
      <c r="T72" s="160" cm="1">
        <f t="array" ref="T72">SUMPRODUCT(
($E$16:$E$67&lt;&gt;"")*
($E$16:$E$67&lt;=T$69)*
(($F$16:$F$67="")+($F$16:$F$67&gt;=T$69))
)</f>
        <v>0</v>
      </c>
      <c r="U72" s="160" cm="1">
        <f t="array" ref="U72">SUMPRODUCT(
($E$16:$E$67&lt;&gt;"")*
($E$16:$E$67&lt;=U$69)*
(($F$16:$F$67="")+($F$16:$F$67&gt;=U$69))
)</f>
        <v>0</v>
      </c>
      <c r="V72" s="160" cm="1">
        <f t="array" ref="V72">SUMPRODUCT(
($E$16:$E$67&lt;&gt;"")*
($E$16:$E$67&lt;=V$69)*
(($F$16:$F$67="")+($F$16:$F$67&gt;=V$69))
)</f>
        <v>0</v>
      </c>
      <c r="W72" s="160" cm="1">
        <f t="array" ref="W72">SUMPRODUCT(
($E$16:$E$67&lt;&gt;"")*
($E$16:$E$67&lt;=W$69)*
(($F$16:$F$67="")+($F$16:$F$67&gt;=W$69))
)</f>
        <v>0</v>
      </c>
    </row>
  </sheetData>
  <sheetProtection algorithmName="SHA-512" hashValue="AJj9lLaFDXoBOROPgCM3zTpRPF5X80D6KAZQPnpq6SiodcjVsk9+yjCSi2pYVB5OF0PTV0FAld5HUW7z9QzoRw==" saltValue="yDKXGW24N5VUHWHm04cv7g==" spinCount="100000" sheet="1" objects="1" scenarios="1"/>
  <mergeCells count="313">
    <mergeCell ref="A4:B4"/>
    <mergeCell ref="C4:D4"/>
    <mergeCell ref="E4:F4"/>
    <mergeCell ref="G4:I4"/>
    <mergeCell ref="J4:L4"/>
    <mergeCell ref="M4:N4"/>
    <mergeCell ref="A1:N1"/>
    <mergeCell ref="O1:AB1"/>
    <mergeCell ref="AC1:AG1"/>
    <mergeCell ref="A2:N2"/>
    <mergeCell ref="O2:AB2"/>
    <mergeCell ref="AC2:AG2"/>
    <mergeCell ref="A7:E7"/>
    <mergeCell ref="G7:I7"/>
    <mergeCell ref="L12:N12"/>
    <mergeCell ref="A14:J14"/>
    <mergeCell ref="L14:O14"/>
    <mergeCell ref="P14:S14"/>
    <mergeCell ref="A5:B5"/>
    <mergeCell ref="C5:D5"/>
    <mergeCell ref="E5:F5"/>
    <mergeCell ref="G5:I5"/>
    <mergeCell ref="J5:L5"/>
    <mergeCell ref="M5:N5"/>
    <mergeCell ref="T14:W14"/>
    <mergeCell ref="X14:AA14"/>
    <mergeCell ref="AD14:AG14"/>
    <mergeCell ref="A16:A17"/>
    <mergeCell ref="B16:B17"/>
    <mergeCell ref="C16:C17"/>
    <mergeCell ref="D16:D17"/>
    <mergeCell ref="E16:E17"/>
    <mergeCell ref="F16:F17"/>
    <mergeCell ref="G16:G17"/>
    <mergeCell ref="A20:A21"/>
    <mergeCell ref="B20:B21"/>
    <mergeCell ref="C20:C21"/>
    <mergeCell ref="D20:D21"/>
    <mergeCell ref="E20:E21"/>
    <mergeCell ref="H16:H17"/>
    <mergeCell ref="I16:I17"/>
    <mergeCell ref="J16:J17"/>
    <mergeCell ref="AF16:AF17"/>
    <mergeCell ref="A18:A19"/>
    <mergeCell ref="B18:B19"/>
    <mergeCell ref="C18:C19"/>
    <mergeCell ref="D18:D19"/>
    <mergeCell ref="E18:E19"/>
    <mergeCell ref="F18:F19"/>
    <mergeCell ref="F20:F21"/>
    <mergeCell ref="G20:G21"/>
    <mergeCell ref="H20:H21"/>
    <mergeCell ref="I20:I21"/>
    <mergeCell ref="J20:J21"/>
    <mergeCell ref="AF20:AF21"/>
    <mergeCell ref="G18:G19"/>
    <mergeCell ref="H18:H19"/>
    <mergeCell ref="I18:I19"/>
    <mergeCell ref="J18:J19"/>
    <mergeCell ref="AF18:AF19"/>
    <mergeCell ref="A24:A25"/>
    <mergeCell ref="B24:B25"/>
    <mergeCell ref="C24:C25"/>
    <mergeCell ref="D24:D25"/>
    <mergeCell ref="E24:E25"/>
    <mergeCell ref="A22:A23"/>
    <mergeCell ref="B22:B23"/>
    <mergeCell ref="C22:C23"/>
    <mergeCell ref="D22:D23"/>
    <mergeCell ref="E22:E23"/>
    <mergeCell ref="F24:F25"/>
    <mergeCell ref="G24:G25"/>
    <mergeCell ref="H24:H25"/>
    <mergeCell ref="I24:I25"/>
    <mergeCell ref="J24:J25"/>
    <mergeCell ref="AF24:AF25"/>
    <mergeCell ref="G22:G23"/>
    <mergeCell ref="H22:H23"/>
    <mergeCell ref="I22:I23"/>
    <mergeCell ref="J22:J23"/>
    <mergeCell ref="AF22:AF23"/>
    <mergeCell ref="F22:F23"/>
    <mergeCell ref="A28:A29"/>
    <mergeCell ref="B28:B29"/>
    <mergeCell ref="C28:C29"/>
    <mergeCell ref="D28:D29"/>
    <mergeCell ref="E28:E29"/>
    <mergeCell ref="A26:A27"/>
    <mergeCell ref="B26:B27"/>
    <mergeCell ref="C26:C27"/>
    <mergeCell ref="D26:D27"/>
    <mergeCell ref="E26:E27"/>
    <mergeCell ref="F28:F29"/>
    <mergeCell ref="G28:G29"/>
    <mergeCell ref="H28:H29"/>
    <mergeCell ref="I28:I29"/>
    <mergeCell ref="J28:J29"/>
    <mergeCell ref="AF28:AF29"/>
    <mergeCell ref="G26:G27"/>
    <mergeCell ref="H26:H27"/>
    <mergeCell ref="I26:I27"/>
    <mergeCell ref="J26:J27"/>
    <mergeCell ref="AF26:AF27"/>
    <mergeCell ref="F26:F27"/>
    <mergeCell ref="A32:A33"/>
    <mergeCell ref="B32:B33"/>
    <mergeCell ref="C32:C33"/>
    <mergeCell ref="D32:D33"/>
    <mergeCell ref="E32:E33"/>
    <mergeCell ref="A30:A31"/>
    <mergeCell ref="B30:B31"/>
    <mergeCell ref="C30:C31"/>
    <mergeCell ref="D30:D31"/>
    <mergeCell ref="E30:E31"/>
    <mergeCell ref="F32:F33"/>
    <mergeCell ref="G32:G33"/>
    <mergeCell ref="H32:H33"/>
    <mergeCell ref="I32:I33"/>
    <mergeCell ref="J32:J33"/>
    <mergeCell ref="AF32:AF33"/>
    <mergeCell ref="G30:G31"/>
    <mergeCell ref="H30:H31"/>
    <mergeCell ref="I30:I31"/>
    <mergeCell ref="J30:J31"/>
    <mergeCell ref="AF30:AF31"/>
    <mergeCell ref="F30:F31"/>
    <mergeCell ref="A36:A37"/>
    <mergeCell ref="B36:B37"/>
    <mergeCell ref="C36:C37"/>
    <mergeCell ref="D36:D37"/>
    <mergeCell ref="E36:E37"/>
    <mergeCell ref="A34:A35"/>
    <mergeCell ref="B34:B35"/>
    <mergeCell ref="C34:C35"/>
    <mergeCell ref="D34:D35"/>
    <mergeCell ref="E34:E35"/>
    <mergeCell ref="F36:F37"/>
    <mergeCell ref="G36:G37"/>
    <mergeCell ref="H36:H37"/>
    <mergeCell ref="I36:I37"/>
    <mergeCell ref="J36:J37"/>
    <mergeCell ref="AF36:AF37"/>
    <mergeCell ref="G34:G35"/>
    <mergeCell ref="H34:H35"/>
    <mergeCell ref="I34:I35"/>
    <mergeCell ref="J34:J35"/>
    <mergeCell ref="AF34:AF35"/>
    <mergeCell ref="F34:F35"/>
    <mergeCell ref="A40:A41"/>
    <mergeCell ref="B40:B41"/>
    <mergeCell ref="C40:C41"/>
    <mergeCell ref="D40:D41"/>
    <mergeCell ref="E40:E41"/>
    <mergeCell ref="A38:A39"/>
    <mergeCell ref="B38:B39"/>
    <mergeCell ref="C38:C39"/>
    <mergeCell ref="D38:D39"/>
    <mergeCell ref="E38:E39"/>
    <mergeCell ref="F40:F41"/>
    <mergeCell ref="G40:G41"/>
    <mergeCell ref="H40:H41"/>
    <mergeCell ref="I40:I41"/>
    <mergeCell ref="J40:J41"/>
    <mergeCell ref="AF40:AF41"/>
    <mergeCell ref="G38:G39"/>
    <mergeCell ref="H38:H39"/>
    <mergeCell ref="I38:I39"/>
    <mergeCell ref="J38:J39"/>
    <mergeCell ref="AF38:AF39"/>
    <mergeCell ref="F38:F39"/>
    <mergeCell ref="A44:A45"/>
    <mergeCell ref="B44:B45"/>
    <mergeCell ref="C44:C45"/>
    <mergeCell ref="D44:D45"/>
    <mergeCell ref="E44:E45"/>
    <mergeCell ref="A42:A43"/>
    <mergeCell ref="B42:B43"/>
    <mergeCell ref="C42:C43"/>
    <mergeCell ref="D42:D43"/>
    <mergeCell ref="E42:E43"/>
    <mergeCell ref="F44:F45"/>
    <mergeCell ref="G44:G45"/>
    <mergeCell ref="H44:H45"/>
    <mergeCell ref="I44:I45"/>
    <mergeCell ref="J44:J45"/>
    <mergeCell ref="AF44:AF45"/>
    <mergeCell ref="G42:G43"/>
    <mergeCell ref="H42:H43"/>
    <mergeCell ref="I42:I43"/>
    <mergeCell ref="J42:J43"/>
    <mergeCell ref="AF42:AF43"/>
    <mergeCell ref="F42:F43"/>
    <mergeCell ref="A48:A49"/>
    <mergeCell ref="B48:B49"/>
    <mergeCell ref="C48:C49"/>
    <mergeCell ref="D48:D49"/>
    <mergeCell ref="E48:E49"/>
    <mergeCell ref="A46:A47"/>
    <mergeCell ref="B46:B47"/>
    <mergeCell ref="C46:C47"/>
    <mergeCell ref="D46:D47"/>
    <mergeCell ref="E46:E47"/>
    <mergeCell ref="F48:F49"/>
    <mergeCell ref="G48:G49"/>
    <mergeCell ref="H48:H49"/>
    <mergeCell ref="I48:I49"/>
    <mergeCell ref="J48:J49"/>
    <mergeCell ref="AF48:AF49"/>
    <mergeCell ref="G46:G47"/>
    <mergeCell ref="H46:H47"/>
    <mergeCell ref="I46:I47"/>
    <mergeCell ref="J46:J47"/>
    <mergeCell ref="AF46:AF47"/>
    <mergeCell ref="F46:F47"/>
    <mergeCell ref="A52:A53"/>
    <mergeCell ref="B52:B53"/>
    <mergeCell ref="C52:C53"/>
    <mergeCell ref="D52:D53"/>
    <mergeCell ref="E52:E53"/>
    <mergeCell ref="A50:A51"/>
    <mergeCell ref="B50:B51"/>
    <mergeCell ref="C50:C51"/>
    <mergeCell ref="D50:D51"/>
    <mergeCell ref="E50:E51"/>
    <mergeCell ref="F52:F53"/>
    <mergeCell ref="G52:G53"/>
    <mergeCell ref="H52:H53"/>
    <mergeCell ref="I52:I53"/>
    <mergeCell ref="J52:J53"/>
    <mergeCell ref="AF52:AF53"/>
    <mergeCell ref="G50:G51"/>
    <mergeCell ref="H50:H51"/>
    <mergeCell ref="I50:I51"/>
    <mergeCell ref="J50:J51"/>
    <mergeCell ref="AF50:AF51"/>
    <mergeCell ref="F50:F51"/>
    <mergeCell ref="A56:A57"/>
    <mergeCell ref="B56:B57"/>
    <mergeCell ref="C56:C57"/>
    <mergeCell ref="D56:D57"/>
    <mergeCell ref="E56:E57"/>
    <mergeCell ref="A54:A55"/>
    <mergeCell ref="B54:B55"/>
    <mergeCell ref="C54:C55"/>
    <mergeCell ref="D54:D55"/>
    <mergeCell ref="E54:E55"/>
    <mergeCell ref="F56:F57"/>
    <mergeCell ref="G56:G57"/>
    <mergeCell ref="H56:H57"/>
    <mergeCell ref="I56:I57"/>
    <mergeCell ref="J56:J57"/>
    <mergeCell ref="AF56:AF57"/>
    <mergeCell ref="G54:G55"/>
    <mergeCell ref="H54:H55"/>
    <mergeCell ref="I54:I55"/>
    <mergeCell ref="J54:J55"/>
    <mergeCell ref="AF54:AF55"/>
    <mergeCell ref="F54:F55"/>
    <mergeCell ref="A60:A61"/>
    <mergeCell ref="B60:B61"/>
    <mergeCell ref="C60:C61"/>
    <mergeCell ref="D60:D61"/>
    <mergeCell ref="E60:E61"/>
    <mergeCell ref="A58:A59"/>
    <mergeCell ref="B58:B59"/>
    <mergeCell ref="C58:C59"/>
    <mergeCell ref="D58:D59"/>
    <mergeCell ref="E58:E59"/>
    <mergeCell ref="F60:F61"/>
    <mergeCell ref="G60:G61"/>
    <mergeCell ref="H60:H61"/>
    <mergeCell ref="I60:I61"/>
    <mergeCell ref="J60:J61"/>
    <mergeCell ref="AF60:AF61"/>
    <mergeCell ref="G58:G59"/>
    <mergeCell ref="H58:H59"/>
    <mergeCell ref="I58:I59"/>
    <mergeCell ref="J58:J59"/>
    <mergeCell ref="AF58:AF59"/>
    <mergeCell ref="F58:F59"/>
    <mergeCell ref="A64:A65"/>
    <mergeCell ref="B64:B65"/>
    <mergeCell ref="C64:C65"/>
    <mergeCell ref="D64:D65"/>
    <mergeCell ref="E64:E65"/>
    <mergeCell ref="A62:A63"/>
    <mergeCell ref="B62:B63"/>
    <mergeCell ref="C62:C63"/>
    <mergeCell ref="D62:D63"/>
    <mergeCell ref="E62:E63"/>
    <mergeCell ref="F64:F65"/>
    <mergeCell ref="G64:G65"/>
    <mergeCell ref="H64:H65"/>
    <mergeCell ref="I64:I65"/>
    <mergeCell ref="J64:J65"/>
    <mergeCell ref="AF64:AF65"/>
    <mergeCell ref="G62:G63"/>
    <mergeCell ref="H62:H63"/>
    <mergeCell ref="I62:I63"/>
    <mergeCell ref="J62:J63"/>
    <mergeCell ref="AF62:AF63"/>
    <mergeCell ref="F62:F63"/>
    <mergeCell ref="G66:G67"/>
    <mergeCell ref="H66:H67"/>
    <mergeCell ref="I66:I67"/>
    <mergeCell ref="J66:J67"/>
    <mergeCell ref="AF66:AF67"/>
    <mergeCell ref="A66:A67"/>
    <mergeCell ref="B66:B67"/>
    <mergeCell ref="C66:C67"/>
    <mergeCell ref="D66:D67"/>
    <mergeCell ref="E66:E67"/>
    <mergeCell ref="F66:F67"/>
  </mergeCells>
  <conditionalFormatting sqref="E9:E11">
    <cfRule type="dataBar" priority="1">
      <dataBar showValue="0">
        <cfvo type="num" val="0"/>
        <cfvo type="num" val="1"/>
        <color rgb="FF00B050"/>
      </dataBar>
      <extLst>
        <ext xmlns:x14="http://schemas.microsoft.com/office/spreadsheetml/2009/9/main" uri="{B025F937-C7B1-47D3-B67F-A62EFF666E3E}">
          <x14:id>{F91A4645-2F68-47BA-A2F1-84101CDCDEEA}</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F91A4645-2F68-47BA-A2F1-84101CDCDEEA}">
            <x14:dataBar minLength="0" maxLength="100" border="1" direction="leftToRight">
              <x14:cfvo type="num">
                <xm:f>0</xm:f>
              </x14:cfvo>
              <x14:cfvo type="num">
                <xm:f>1</xm:f>
              </x14:cfvo>
              <x14:borderColor rgb="FF000099"/>
              <x14:negativeFillColor rgb="FFFF0000"/>
              <x14:axisColor rgb="FF000000"/>
            </x14:dataBar>
          </x14:cfRule>
          <xm:sqref>E9:E11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32FB86A5-9276-43CE-905F-9D590EBDA99A}">
          <x14:formula1>
            <xm:f>Parâmetros!$A$24:$A$26</xm:f>
          </x14:formula1>
          <xm:sqref>A16:A67</xm:sqref>
        </x14:dataValidation>
        <x14:dataValidation type="list" allowBlank="1" showInputMessage="1" showErrorMessage="1" xr:uid="{679C628A-AC67-4511-A5AD-17E2E967122F}">
          <x14:formula1>
            <xm:f>Parâmetros!$A$31:$A$33</xm:f>
          </x14:formula1>
          <xm:sqref>AF16:AF67</xm:sqref>
        </x14:dataValidation>
        <x14:dataValidation type="list" allowBlank="1" showInputMessage="1" showErrorMessage="1" xr:uid="{F46DCB7F-2DA0-4A5C-8C5C-5E0BF06D7463}">
          <x14:formula1>
            <xm:f>Parâmetros!$A$28:$A$29</xm:f>
          </x14:formula1>
          <xm:sqref>H16:H67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0B2C2-BB68-4E03-B8CB-19B96147F1DD}">
  <dimension ref="A1:F55"/>
  <sheetViews>
    <sheetView workbookViewId="0">
      <selection activeCell="D3" sqref="D3"/>
    </sheetView>
  </sheetViews>
  <sheetFormatPr defaultRowHeight="14.4" x14ac:dyDescent="0.3"/>
  <cols>
    <col min="1" max="2" width="4.44140625" bestFit="1" customWidth="1"/>
    <col min="3" max="3" width="16.44140625" customWidth="1"/>
    <col min="4" max="4" width="49" bestFit="1" customWidth="1"/>
    <col min="5" max="5" width="160.44140625" bestFit="1" customWidth="1"/>
    <col min="6" max="6" width="16.44140625" bestFit="1" customWidth="1"/>
  </cols>
  <sheetData>
    <row r="1" spans="1:6" x14ac:dyDescent="0.3">
      <c r="A1" s="2217" t="s">
        <v>21</v>
      </c>
      <c r="B1" s="2216" t="s">
        <v>1684</v>
      </c>
      <c r="C1" s="2216"/>
      <c r="D1" s="2216"/>
      <c r="E1" s="2216"/>
      <c r="F1" s="2216"/>
    </row>
    <row r="2" spans="1:6" x14ac:dyDescent="0.3">
      <c r="A2" s="2217"/>
      <c r="B2" t="s">
        <v>1685</v>
      </c>
      <c r="C2" t="s">
        <v>1686</v>
      </c>
      <c r="D2" t="s">
        <v>1687</v>
      </c>
      <c r="E2" t="s">
        <v>1688</v>
      </c>
      <c r="F2" t="s">
        <v>77</v>
      </c>
    </row>
    <row r="3" spans="1:6" x14ac:dyDescent="0.3">
      <c r="A3" s="2217"/>
      <c r="B3" s="223" cm="1">
        <f t="array" ref="B3:B7">_xlfn.SEQUENCE(5)</f>
        <v>1</v>
      </c>
      <c r="C3" s="224">
        <f>MAX(Diadema!$I$55:$I$176)</f>
        <v>450000.00900000002</v>
      </c>
      <c r="D3" t="str">
        <f>INDEX(
    Diadema!$C$55:$C$176,
    MATCH(
        C3,
        Diadema!$I$55:$I$176,
        0
    )
)</f>
        <v>29 - DA000489Z_DA000490Z - STC Scania M_</v>
      </c>
      <c r="E3" t="str">
        <f>INDEX(
    Diadema!$E$55:$E$176,
    MATCH(
        C3,
        Diadema!$I$55:$I$176,
        0
    )
)</f>
        <v>Redução de 20mm no blank (0,46kg)/peça</v>
      </c>
      <c r="F3" t="str">
        <f>INDEX(
    Diadema!$A$55:$A$176,
    MATCH(
        C3,
        Diadema!$I$55:$I$176,
        0
    )
)</f>
        <v>BSW</v>
      </c>
    </row>
    <row r="4" spans="1:6" x14ac:dyDescent="0.3">
      <c r="A4" s="2217"/>
      <c r="B4" s="223">
        <v>2</v>
      </c>
      <c r="C4" s="224">
        <f>LARGE(Diadema!$I$55:$I$176,B4)</f>
        <v>331600</v>
      </c>
      <c r="D4" t="str">
        <f>INDEX(
    Diadema!$C$55:$C$176,
    MATCH(
        C4,
        Diadema!$I$55:$I$176,
        0
    )
)</f>
        <v>01 - Redução de peso bruto DA000489A</v>
      </c>
      <c r="E4" t="str">
        <f>INDEX(
    Diadema!$E$55:$E$176,
    MATCH(
        C4,
        Diadema!$I$55:$I$176,
        0
    )
)</f>
        <v>Peso bruto: de 4,27 Kg / peça para 4,18kg / peça</v>
      </c>
      <c r="F4" t="str">
        <f>INDEX(
    Diadema!$A$55:$A$176,
    MATCH(
        C4,
        Diadema!$I$55:$I$176,
        0
    )
)</f>
        <v>BSW</v>
      </c>
    </row>
    <row r="5" spans="1:6" x14ac:dyDescent="0.3">
      <c r="A5" s="2217"/>
      <c r="B5" s="223">
        <v>3</v>
      </c>
      <c r="C5" s="224">
        <f>LARGE(Diadema!$I$55:$I$176,B5)</f>
        <v>288000.00300000003</v>
      </c>
      <c r="D5" t="str">
        <f>INDEX(
    Diadema!$C$55:$C$176,
    MATCH(
        C5,
        Diadema!$I$55:$I$176,
        0
    )
)</f>
        <v>06 - Produtividade</v>
      </c>
      <c r="E5" t="str">
        <f>INDEX(
    Diadema!$E$55:$E$176,
    MATCH(
        C5,
        Diadema!$I$55:$I$176,
        0
    )
)</f>
        <v>Aumento da eficiência da rua 2, 3 e 4 \para 73,4%.</v>
      </c>
      <c r="F5" t="str">
        <f>INDEX(
    Diadema!$A$55:$A$176,
    MATCH(
        C5,
        Diadema!$I$55:$I$176,
        0
    )
)</f>
        <v>Kaizen - Ganho Recorrente</v>
      </c>
    </row>
    <row r="6" spans="1:6" x14ac:dyDescent="0.3">
      <c r="A6" s="2217"/>
      <c r="B6" s="223">
        <v>4</v>
      </c>
      <c r="C6" s="224">
        <f>LARGE(Diadema!$I$55:$I$176,B6)</f>
        <v>288000.00009897997</v>
      </c>
      <c r="D6" t="str">
        <f>INDEX(
    Diadema!$C$55:$C$176,
    MATCH(
        C6,
        Diadema!$I$55:$I$176,
        0
    )
)</f>
        <v>26 - Redução_de_MP - DJ000059Z_DJ000060Z</v>
      </c>
      <c r="E6" t="str">
        <f>INDEX(
    Diadema!$E$55:$E$176,
    MATCH(
        C6,
        Diadema!$I$55:$I$176,
        0
    )
)</f>
        <v xml:space="preserve">Redução no passo de corte do blank da coluna "B" da GM (40m). </v>
      </c>
      <c r="F6" t="str">
        <f>INDEX(
    Diadema!$A$55:$A$176,
    MATCH(
        C6,
        Diadema!$I$55:$I$176,
        0
    )
)</f>
        <v>BSW</v>
      </c>
    </row>
    <row r="7" spans="1:6" x14ac:dyDescent="0.3">
      <c r="A7" s="2217"/>
      <c r="B7" s="223">
        <v>5</v>
      </c>
      <c r="C7" s="224">
        <f>LARGE(Diadema!$I$55:$I$176,B7)</f>
        <v>270000</v>
      </c>
      <c r="D7" t="str">
        <f>INDEX(
    Diadema!$C$55:$C$176,
    MATCH(
        C7,
        Diadema!$I$55:$I$176,
        0
    )
)</f>
        <v>23 - Redução do peso bruto VW000581Z / VW000582Z</v>
      </c>
      <c r="E7" t="str">
        <f>INDEX(
    Diadema!$E$55:$E$176,
    MATCH(
        C7,
        Diadema!$I$55:$I$176,
        0
    )
)</f>
        <v>Reduzir o blank de 840mm para 820mm (passo).</v>
      </c>
      <c r="F7" t="str">
        <f>INDEX(
    Diadema!$A$55:$A$176,
    MATCH(
        C7,
        Diadema!$I$55:$I$176,
        0
    )
)</f>
        <v>BSW</v>
      </c>
    </row>
    <row r="8" spans="1:6" x14ac:dyDescent="0.3">
      <c r="B8" s="223"/>
    </row>
    <row r="9" spans="1:6" x14ac:dyDescent="0.3">
      <c r="A9" s="2217" t="s">
        <v>22</v>
      </c>
      <c r="B9" s="2216" t="s">
        <v>1689</v>
      </c>
      <c r="C9" s="2216"/>
      <c r="D9" s="2216"/>
      <c r="E9" s="2216"/>
      <c r="F9" s="2216"/>
    </row>
    <row r="10" spans="1:6" ht="14.85" customHeight="1" x14ac:dyDescent="0.3">
      <c r="A10" s="2217"/>
      <c r="B10" t="s">
        <v>1685</v>
      </c>
      <c r="C10" t="s">
        <v>1686</v>
      </c>
      <c r="D10" t="s">
        <v>1687</v>
      </c>
      <c r="E10" t="s">
        <v>1688</v>
      </c>
      <c r="F10" t="s">
        <v>77</v>
      </c>
    </row>
    <row r="11" spans="1:6" x14ac:dyDescent="0.3">
      <c r="A11" s="2217"/>
      <c r="B11" s="223" cm="1">
        <f t="array" ref="B11:B15">_xlfn.SEQUENCE(5)</f>
        <v>1</v>
      </c>
      <c r="C11" s="224">
        <f>MAX(Ferraz!$I$55:$I$144)</f>
        <v>3000000</v>
      </c>
      <c r="D11" t="str">
        <f>INDEX(
    Ferraz!$C$55:$C$144,
    MATCH(
        C11,
        Ferraz!$I$55:$I$144,
        0
    )
)</f>
        <v>01 - Clientes com baixa margem de contribuição.</v>
      </c>
      <c r="E11" t="str">
        <f>INDEX(
    Ferraz!$E$55:$E$144,
    MATCH(
        C11,
        Ferraz!$I$55:$I$144,
        0
    )
)</f>
        <v>Redução de itens com baixa margem de contribuição.</v>
      </c>
      <c r="F11" t="str">
        <f>INDEX(
    Ferraz!$A$55:$A$144,
    MATCH(
        C11,
        Ferraz!$I$55:$I$144,
        0
    )
)</f>
        <v>Kaizen - Custo Evitado</v>
      </c>
    </row>
    <row r="12" spans="1:6" x14ac:dyDescent="0.3">
      <c r="A12" s="2217"/>
      <c r="B12" s="223">
        <v>2</v>
      </c>
      <c r="C12" s="224">
        <f>LARGE(Ferraz!$I$55:$I$144,B12)</f>
        <v>1540000</v>
      </c>
      <c r="D12" t="str">
        <f>INDEX(
    Ferraz!$C$55:$C$144,
    MATCH(
        C12,
        Ferraz!$I$55:$I$144,
        0
    )
)</f>
        <v>34 - Redução dos gastos de manutenção com monitoramento do Tractian</v>
      </c>
      <c r="E12" t="str">
        <f>INDEX(
    Ferraz!$E$55:$E$144,
    MATCH(
        C12,
        Ferraz!$I$55:$I$144,
        0
    )
)</f>
        <v>Implementar e utilizar o sistema de monitoramento preditivo Tractian para identificar antecipadamente falhas em equipamentos críticos da planta, através da análise contínua de vibração, temperatura e aceleração, reduzindo custos de manutenção corretiva, paradas não programadas e substituição de componentes.</v>
      </c>
      <c r="F12" t="str">
        <f>INDEX(
    Ferraz!$A$55:$A$144,
    MATCH(
        C12,
        Ferraz!$I$55:$I$144,
        0
    )
)</f>
        <v>Kaizen - Custo Evitado</v>
      </c>
    </row>
    <row r="13" spans="1:6" x14ac:dyDescent="0.3">
      <c r="A13" s="2217"/>
      <c r="B13" s="223">
        <v>3</v>
      </c>
      <c r="C13" s="224">
        <f>LARGE(Ferraz!$I$55:$I$144,B13)</f>
        <v>1000000</v>
      </c>
      <c r="D13" t="str">
        <f>INDEX(
    Ferraz!$C$55:$C$144,
    MATCH(
        C13,
        Ferraz!$I$55:$I$144,
        0
    )
)</f>
        <v xml:space="preserve">05 - Nitrogênio da máquina laser </v>
      </c>
      <c r="E13" t="str">
        <f>INDEX(
    Ferraz!$E$55:$E$144,
    MATCH(
        C13,
        Ferraz!$I$55:$I$144,
        0
    )
)</f>
        <v>Implementação de corte com nitrogênio na laser</v>
      </c>
      <c r="F13" t="str">
        <f>INDEX(
    Ferraz!$A$55:$A$144,
    MATCH(
        C13,
        Ferraz!$I$55:$I$144,
        0
    )
)</f>
        <v>Você Resolve</v>
      </c>
    </row>
    <row r="14" spans="1:6" x14ac:dyDescent="0.3">
      <c r="A14" s="2217"/>
      <c r="B14" s="223">
        <v>4</v>
      </c>
      <c r="C14" s="224">
        <f>LARGE(Ferraz!$I$55:$I$144,B14)</f>
        <v>900000</v>
      </c>
      <c r="D14" t="str">
        <f>INDEX(
    Ferraz!$C$55:$C$144,
    MATCH(
        C14,
        Ferraz!$I$55:$I$144,
        0
    )
)</f>
        <v xml:space="preserve">03 - Consumo de desmoldante </v>
      </c>
      <c r="E14" t="str">
        <f>INDEX(
    Ferraz!$E$55:$E$144,
    MATCH(
        C14,
        Ferraz!$I$55:$I$144,
        0
    )
)</f>
        <v xml:space="preserve">Redução do consumo de desmoldante (diluição, pulverização, eliminação de vazamentos e ajustes nos parâmetros de produção) </v>
      </c>
      <c r="F14" t="str">
        <f>INDEX(
    Ferraz!$A$55:$A$144,
    MATCH(
        C14,
        Ferraz!$I$55:$I$144,
        0
    )
)</f>
        <v>Redução de custo</v>
      </c>
    </row>
    <row r="15" spans="1:6" x14ac:dyDescent="0.3">
      <c r="A15" s="2217"/>
      <c r="B15" s="223">
        <v>5</v>
      </c>
      <c r="C15" s="224">
        <f>LARGE(Ferraz!$I$55:$I$144,B15)</f>
        <v>900000</v>
      </c>
      <c r="D15" t="str">
        <f>INDEX(
    Ferraz!$C$55:$C$144,
    MATCH(
        C15,
        Ferraz!$I$55:$I$144,
        0
    )
)</f>
        <v xml:space="preserve">03 - Consumo de desmoldante </v>
      </c>
      <c r="E15" t="str">
        <f>INDEX(
    Ferraz!$E$55:$E$144,
    MATCH(
        C15,
        Ferraz!$I$55:$I$144,
        0
    )
)</f>
        <v xml:space="preserve">Redução do consumo de desmoldante (diluição, pulverização, eliminação de vazamentos e ajustes nos parâmetros de produção) </v>
      </c>
      <c r="F15" t="str">
        <f>INDEX(
    Ferraz!$A$55:$A$144,
    MATCH(
        C15,
        Ferraz!$I$55:$I$144,
        0
    )
)</f>
        <v>Redução de custo</v>
      </c>
    </row>
    <row r="17" spans="1:6" x14ac:dyDescent="0.3">
      <c r="A17" s="2217" t="s">
        <v>23</v>
      </c>
      <c r="B17" s="2216" t="s">
        <v>1690</v>
      </c>
      <c r="C17" s="2216"/>
      <c r="D17" s="2216"/>
      <c r="E17" s="2216"/>
      <c r="F17" s="2216"/>
    </row>
    <row r="18" spans="1:6" x14ac:dyDescent="0.3">
      <c r="A18" s="2217"/>
      <c r="B18" t="s">
        <v>1685</v>
      </c>
      <c r="C18" t="s">
        <v>1686</v>
      </c>
      <c r="D18" t="s">
        <v>1687</v>
      </c>
      <c r="E18" t="s">
        <v>1688</v>
      </c>
      <c r="F18" t="s">
        <v>77</v>
      </c>
    </row>
    <row r="19" spans="1:6" x14ac:dyDescent="0.3">
      <c r="A19" s="2217"/>
      <c r="B19" s="223" cm="1">
        <f t="array" ref="B19:B23">_xlfn.SEQUENCE(5)</f>
        <v>1</v>
      </c>
      <c r="C19" s="224">
        <f>MAX('São Leopoldo'!I55:I106)</f>
        <v>733701.49999999988</v>
      </c>
      <c r="D19" t="str">
        <f>INDEX(
    'São Leopoldo'!$C$55:$C$106,
    MATCH(
        C19,
        'São Leopoldo'!$I$55:$I$106,
        0
    )
)</f>
        <v>07- Reestruturação</v>
      </c>
      <c r="E19" t="str">
        <f>INDEX(
    'São Leopoldo'!$E$55:$E$106,
    MATCH(
        C19,
        'São Leopoldo'!$I$55:$I$106,
        0
    )
)</f>
        <v>Reestruturação da folha de pagamento</v>
      </c>
      <c r="F19" t="str">
        <f>INDEX(
    'São Leopoldo'!$A$55:$A$106,
    MATCH(
        C19,
        'São Leopoldo'!$I$55:$I$106,
        0
    )
)</f>
        <v>Kaizen</v>
      </c>
    </row>
    <row r="20" spans="1:6" x14ac:dyDescent="0.3">
      <c r="A20" s="2217"/>
      <c r="B20" s="223">
        <v>2</v>
      </c>
      <c r="C20" s="224">
        <f>LARGE('São Leopoldo'!I55:I106,B20)</f>
        <v>296000</v>
      </c>
      <c r="D20" t="str">
        <f>INDEX(
    'São Leopoldo'!$C$55:$C$106,
    MATCH(
        C20,
        'São Leopoldo'!$I$55:$I$106,
        0
    )
)</f>
        <v>27-Redução no tempo de setup na Linha Schuler.</v>
      </c>
      <c r="E20" t="str">
        <f>INDEX(
    'São Leopoldo'!$E$55:$E$106,
    MATCH(
        C20,
        'São Leopoldo'!$I$55:$I$106,
        0
    )
)</f>
        <v>Reduzir o tempo de setup, utilizando os grampos hidraúlicos.</v>
      </c>
      <c r="F20" t="str">
        <f>INDEX(
    'São Leopoldo'!$A$55:$A$106,
    MATCH(
        C20,
        'São Leopoldo'!$I$55:$I$106,
        0
    )
)</f>
        <v>Kaizen</v>
      </c>
    </row>
    <row r="21" spans="1:6" x14ac:dyDescent="0.3">
      <c r="A21" s="2217"/>
      <c r="B21" s="223">
        <v>3</v>
      </c>
      <c r="C21" s="224">
        <f>LARGE('São Leopoldo'!G56:G107,B21)</f>
        <v>46146</v>
      </c>
      <c r="D21" t="e">
        <f>INDEX(
    'São Leopoldo'!$C$55:$C$106,
    MATCH(
        C21,
        'São Leopoldo'!$I$55:$I$106,
        0
    )
)</f>
        <v>#N/A</v>
      </c>
      <c r="E21" t="e">
        <f>INDEX(
    'São Leopoldo'!$E$55:$E$106,
    MATCH(
        C21,
        'São Leopoldo'!$I$55:$I$106,
        0
    )
)</f>
        <v>#N/A</v>
      </c>
      <c r="F21" t="e">
        <f>INDEX(
    'São Leopoldo'!$A$55:$A$106,
    MATCH(
        C21,
        'São Leopoldo'!$I$55:$I$106,
        0
    )
)</f>
        <v>#N/A</v>
      </c>
    </row>
    <row r="22" spans="1:6" x14ac:dyDescent="0.3">
      <c r="A22" s="2217"/>
      <c r="B22" s="223">
        <v>4</v>
      </c>
      <c r="C22" s="224">
        <f>LARGE('São Leopoldo'!G57:G107,B22)</f>
        <v>46135</v>
      </c>
      <c r="D22" t="e">
        <f>INDEX(
    'São Leopoldo'!$C$55:$C$106,
    MATCH(
        C22,
        'São Leopoldo'!$I$55:$I$106,
        0
    )
)</f>
        <v>#N/A</v>
      </c>
      <c r="E22" t="e">
        <f>INDEX(
    'São Leopoldo'!$E$55:$E$106,
    MATCH(
        C22,
        'São Leopoldo'!$I$55:$I$106,
        0
    )
)</f>
        <v>#N/A</v>
      </c>
      <c r="F22" t="e">
        <f>INDEX(
    'São Leopoldo'!$A$55:$A$106,
    MATCH(
        C22,
        'São Leopoldo'!$I$55:$I$106,
        0
    )
)</f>
        <v>#N/A</v>
      </c>
    </row>
    <row r="23" spans="1:6" x14ac:dyDescent="0.3">
      <c r="A23" s="2217"/>
      <c r="B23" s="223">
        <v>5</v>
      </c>
      <c r="C23" s="224">
        <f>IFERROR(LARGE('São Leopoldo'!G58:G107,B23),"0")</f>
        <v>46132</v>
      </c>
      <c r="D23" t="e">
        <f>INDEX(
    'São Leopoldo'!$C$55:$C$106,
    MATCH(
        C23,
        'São Leopoldo'!$I$55:$I$106,
        0
    )
)</f>
        <v>#N/A</v>
      </c>
      <c r="E23" t="e">
        <f>INDEX(
    'São Leopoldo'!$E$55:$E$106,
    MATCH(
        C23,
        'São Leopoldo'!$I$55:$I$106,
        0
    )
)</f>
        <v>#N/A</v>
      </c>
      <c r="F23" t="e">
        <f>INDEX(
    'São Leopoldo'!$A$55:$A$106,
    MATCH(
        C23,
        'São Leopoldo'!$I$55:$I$106,
        0
    )
)</f>
        <v>#N/A</v>
      </c>
    </row>
    <row r="25" spans="1:6" x14ac:dyDescent="0.3">
      <c r="A25" s="2217" t="s">
        <v>24</v>
      </c>
      <c r="B25" s="2216" t="s">
        <v>1691</v>
      </c>
      <c r="C25" s="2216"/>
      <c r="D25" s="2216"/>
      <c r="E25" s="2216"/>
      <c r="F25" s="2216"/>
    </row>
    <row r="26" spans="1:6" x14ac:dyDescent="0.3">
      <c r="A26" s="2217"/>
      <c r="B26" t="s">
        <v>1685</v>
      </c>
      <c r="C26" t="s">
        <v>1686</v>
      </c>
      <c r="D26" t="s">
        <v>1687</v>
      </c>
      <c r="E26" t="s">
        <v>1688</v>
      </c>
      <c r="F26" t="s">
        <v>77</v>
      </c>
    </row>
    <row r="27" spans="1:6" x14ac:dyDescent="0.3">
      <c r="A27" s="2217"/>
      <c r="B27" s="223" cm="1">
        <f t="array" ref="B27:B31">_xlfn.SEQUENCE(5)</f>
        <v>1</v>
      </c>
      <c r="C27" s="224">
        <f>MAX(Jarinu!I55:I144)</f>
        <v>1063359</v>
      </c>
      <c r="D27" t="str">
        <f>INDEX(
    Jarinu!$C$55:$C$144,
    MATCH(
        C27,
        Jarinu!$I$55:$I$144,
        0
    )
)</f>
        <v>06 - Redução consumo MTP aplicando tolerância mínima</v>
      </c>
      <c r="E27" t="str">
        <f>INDEX(
    Jarinu!$E$55:$E$144,
    MATCH(
        C27,
        Jarinu!$I$55:$I$144,
        0
    )
)</f>
        <v>Implementar mean to-low em 14 itens (Curva A)</v>
      </c>
      <c r="F27" t="str">
        <f>INDEX(
    Jarinu!$A$55:$A$144,
    MATCH(
        C27,
        Jarinu!$I$55:$I$144,
        0
    )
)</f>
        <v>BSW</v>
      </c>
    </row>
    <row r="28" spans="1:6" x14ac:dyDescent="0.3">
      <c r="A28" s="2217"/>
      <c r="B28" s="223">
        <v>2</v>
      </c>
      <c r="C28" s="224">
        <f>LARGE(Jarinu!I55:I144,B28)</f>
        <v>560000</v>
      </c>
      <c r="D28" t="str">
        <f>INDEX(
    Jarinu!$C$55:$C$144,
    MATCH(
        C28,
        Jarinu!$I$55:$I$144,
        0
    )
)</f>
        <v>01 - Desenvolver célula de solda para soldar porcas</v>
      </c>
      <c r="E28" t="str">
        <f>INDEX(
    Jarinu!$E$55:$E$144,
    MATCH(
        C28,
        Jarinu!$I$55:$I$144,
        0
    )
)</f>
        <v>Confeccionar uma célula de solda para manufaturar conjuntos e sub conjuntos  de elementos roscados substituindo as estacionarias</v>
      </c>
      <c r="F28" t="str">
        <f>INDEX(
    Jarinu!$A$55:$A$144,
    MATCH(
        C28,
        Jarinu!$I$55:$I$144,
        0
    )
)</f>
        <v>Redução de custo</v>
      </c>
    </row>
    <row r="29" spans="1:6" x14ac:dyDescent="0.3">
      <c r="A29" s="2217"/>
      <c r="B29" s="223">
        <v>3</v>
      </c>
      <c r="C29" s="224">
        <f>LARGE(Jarinu!G56:G145,B29)</f>
        <v>46235</v>
      </c>
      <c r="D29" t="e">
        <f>INDEX(
    Jarinu!$C$55:$C$144,
    MATCH(
        C29,
        Jarinu!$I$55:$I$144,
        0
    )
)</f>
        <v>#N/A</v>
      </c>
      <c r="E29" t="e">
        <f>INDEX(
    Jarinu!$E$55:$E$144,
    MATCH(
        C29,
        Jarinu!$I$55:$I$144,
        0
    )
)</f>
        <v>#N/A</v>
      </c>
      <c r="F29" t="e">
        <f>INDEX(
    Jarinu!$A$55:$A$144,
    MATCH(
        C29,
        Jarinu!$I$55:$I$144,
        0
    )
)</f>
        <v>#N/A</v>
      </c>
    </row>
    <row r="30" spans="1:6" x14ac:dyDescent="0.3">
      <c r="A30" s="2217"/>
      <c r="B30" s="223">
        <v>4</v>
      </c>
      <c r="C30" s="224">
        <f>LARGE(Jarinu!G57:G145,B30)</f>
        <v>46235</v>
      </c>
      <c r="D30" t="e">
        <f>INDEX(
    Jarinu!$C$55:$C$144,
    MATCH(
        C30,
        Jarinu!$I$55:$I$144,
        0
    )
)</f>
        <v>#N/A</v>
      </c>
      <c r="E30" t="e">
        <f>INDEX(
    Jarinu!$E$55:$E$144,
    MATCH(
        C30,
        Jarinu!$I$55:$I$144,
        0
    )
)</f>
        <v>#N/A</v>
      </c>
      <c r="F30" t="e">
        <f>INDEX(
    Jarinu!$A$55:$A$144,
    MATCH(
        C30,
        Jarinu!$I$55:$I$144,
        0
    )
)</f>
        <v>#N/A</v>
      </c>
    </row>
    <row r="31" spans="1:6" x14ac:dyDescent="0.3">
      <c r="A31" s="2217"/>
      <c r="B31" s="223">
        <v>5</v>
      </c>
      <c r="C31" s="224">
        <f>LARGE(Jarinu!G58:G145,B31)</f>
        <v>46235</v>
      </c>
      <c r="D31" t="e">
        <f>INDEX(
    Jarinu!$C$55:$C$144,
    MATCH(
        C31,
        Jarinu!$I$55:$I$144,
        0
    )
)</f>
        <v>#N/A</v>
      </c>
      <c r="E31" t="e">
        <f>INDEX(
    Jarinu!$E$55:$E$144,
    MATCH(
        C31,
        Jarinu!$I$55:$I$144,
        0
    )
)</f>
        <v>#N/A</v>
      </c>
      <c r="F31" t="e">
        <f>INDEX(
    Jarinu!$A$55:$A$144,
    MATCH(
        C31,
        Jarinu!$I$55:$I$144,
        0
    )
)</f>
        <v>#N/A</v>
      </c>
    </row>
    <row r="33" spans="1:6" x14ac:dyDescent="0.3">
      <c r="A33" s="2217" t="s">
        <v>25</v>
      </c>
      <c r="B33" s="2216" t="s">
        <v>1692</v>
      </c>
      <c r="C33" s="2216"/>
      <c r="D33" s="2216"/>
      <c r="E33" s="2216"/>
      <c r="F33" s="2216"/>
    </row>
    <row r="34" spans="1:6" x14ac:dyDescent="0.3">
      <c r="A34" s="2217"/>
      <c r="B34" t="s">
        <v>1685</v>
      </c>
      <c r="C34" t="s">
        <v>1686</v>
      </c>
      <c r="D34" t="s">
        <v>1687</v>
      </c>
      <c r="E34" t="s">
        <v>1688</v>
      </c>
      <c r="F34" t="s">
        <v>77</v>
      </c>
    </row>
    <row r="35" spans="1:6" x14ac:dyDescent="0.3">
      <c r="A35" s="2217"/>
      <c r="B35" s="223" cm="1">
        <f t="array" ref="B35:B39">_xlfn.SEQUENCE(5)</f>
        <v>1</v>
      </c>
      <c r="C35" s="226">
        <f>MAX(Anchieta!I59:I102)</f>
        <v>177479.64</v>
      </c>
      <c r="D35" t="str">
        <f>INDEX(
    Anchieta!$C$59:$C$102,
    MATCH(
        C35,
        Anchieta!$I$59:$I$102,
        0
    )
)</f>
        <v>16 - TROCA DA FROTA DE EMPILHADEIRAS</v>
      </c>
      <c r="E35" t="str">
        <f>INDEX(
    Anchieta!$E$59:$E$102,
    MATCH(
        C35,
        Anchieta!$I$59:$I$102,
        0
    )
)</f>
        <v>Substituir empilhadeiras movidas a gás por elétricas</v>
      </c>
      <c r="F35" t="str">
        <f>INDEX(
    Anchieta!$A$59:$A$102,
    MATCH(
        C35,
        Anchieta!$I$59:$I$102,
        0
    )
)</f>
        <v>Redução de custo</v>
      </c>
    </row>
    <row r="36" spans="1:6" x14ac:dyDescent="0.3">
      <c r="A36" s="2217"/>
      <c r="B36" s="223">
        <v>2</v>
      </c>
      <c r="C36" s="224">
        <f>LARGE(Anchieta!I59:I102,B36)</f>
        <v>135000</v>
      </c>
      <c r="D36" t="str">
        <f>INDEX(
    Anchieta!$C$59:$C$102,
    MATCH(
        C36,
        Anchieta!$I$59:$I$102,
        0
    )
)</f>
        <v>03 - PRODUTOS QUÍMICOS KTL</v>
      </c>
      <c r="E36" t="str">
        <f>INDEX(
    Anchieta!$E$59:$E$102,
    MATCH(
        C36,
        Anchieta!$I$59:$I$102,
        0
    )
)</f>
        <v>Reduzir o consumo de produtos químicos utilizado no processo KTL</v>
      </c>
      <c r="F36" t="str">
        <f>INDEX(
    Anchieta!$A$59:$A$102,
    MATCH(
        C36,
        Anchieta!$I$59:$I$102,
        0
    )
)</f>
        <v>Redução de custo</v>
      </c>
    </row>
    <row r="37" spans="1:6" x14ac:dyDescent="0.3">
      <c r="A37" s="2217"/>
      <c r="B37" s="223">
        <v>3</v>
      </c>
      <c r="C37" s="224">
        <f>LARGE(Anchieta!G60:G103,B37)</f>
        <v>46083</v>
      </c>
      <c r="D37" t="e">
        <f>INDEX(
    Anchieta!$C$59:$C$102,
    MATCH(
        C37,
        Anchieta!$I$59:$I$102,
        0
    )
)</f>
        <v>#N/A</v>
      </c>
      <c r="E37" t="e">
        <f>INDEX(
    Anchieta!$E$59:$E$102,
    MATCH(
        C37,
        Anchieta!$I$59:$I$102,
        0
    )
)</f>
        <v>#N/A</v>
      </c>
      <c r="F37" t="e">
        <f>INDEX(
    Anchieta!$A$59:$A$102,
    MATCH(
        C37,
        Anchieta!$I$59:$I$102,
        0
    )
)</f>
        <v>#N/A</v>
      </c>
    </row>
    <row r="38" spans="1:6" x14ac:dyDescent="0.3">
      <c r="A38" s="2217"/>
      <c r="B38" s="223">
        <v>4</v>
      </c>
      <c r="C38" s="224">
        <f>LARGE(Anchieta!G65:G103,B38)</f>
        <v>46083</v>
      </c>
      <c r="D38" t="e">
        <f>INDEX(
    Anchieta!$C$59:$C$102,
    MATCH(
        C38,
        Anchieta!$I$59:$I$102,
        0
    )
)</f>
        <v>#N/A</v>
      </c>
      <c r="E38" t="e">
        <f>INDEX(
    Anchieta!$E$59:$E$102,
    MATCH(
        C38,
        Anchieta!$I$59:$I$102,
        0
    )
)</f>
        <v>#N/A</v>
      </c>
      <c r="F38" t="e">
        <f>INDEX(
    Anchieta!$A$59:$A$102,
    MATCH(
        C38,
        Anchieta!$I$59:$I$102,
        0
    )
)</f>
        <v>#N/A</v>
      </c>
    </row>
    <row r="39" spans="1:6" x14ac:dyDescent="0.3">
      <c r="A39" s="2217"/>
      <c r="B39" s="223">
        <v>5</v>
      </c>
      <c r="C39" s="224">
        <f>LARGE(Anchieta!G66:G103,B39)</f>
        <v>46054</v>
      </c>
      <c r="D39" t="e">
        <f>INDEX(
    Anchieta!$C$59:$C$102,
    MATCH(
        C39,
        Anchieta!$I$59:$I$102,
        0
    )
)</f>
        <v>#N/A</v>
      </c>
      <c r="E39" t="e">
        <f>INDEX(
    Anchieta!$E$59:$E$102,
    MATCH(
        C39,
        Anchieta!$I$59:$I$102,
        0
    )
)</f>
        <v>#N/A</v>
      </c>
      <c r="F39" t="e">
        <f>INDEX(
    Anchieta!$A$59:$A$102,
    MATCH(
        C39,
        Anchieta!$I$59:$I$102,
        0
    )
)</f>
        <v>#N/A</v>
      </c>
    </row>
    <row r="41" spans="1:6" x14ac:dyDescent="0.3">
      <c r="A41" s="227"/>
    </row>
    <row r="42" spans="1:6" x14ac:dyDescent="0.3">
      <c r="A42" s="227"/>
    </row>
    <row r="43" spans="1:6" x14ac:dyDescent="0.3">
      <c r="A43" s="227"/>
    </row>
    <row r="44" spans="1:6" x14ac:dyDescent="0.3">
      <c r="A44" s="227"/>
    </row>
    <row r="45" spans="1:6" x14ac:dyDescent="0.3">
      <c r="A45" s="227"/>
    </row>
    <row r="46" spans="1:6" x14ac:dyDescent="0.3">
      <c r="A46" s="227"/>
    </row>
    <row r="47" spans="1:6" x14ac:dyDescent="0.3">
      <c r="A47" s="227"/>
    </row>
    <row r="49" spans="1:1" x14ac:dyDescent="0.3">
      <c r="A49" s="227"/>
    </row>
    <row r="50" spans="1:1" x14ac:dyDescent="0.3">
      <c r="A50" s="227"/>
    </row>
    <row r="51" spans="1:1" x14ac:dyDescent="0.3">
      <c r="A51" s="227"/>
    </row>
    <row r="52" spans="1:1" x14ac:dyDescent="0.3">
      <c r="A52" s="227"/>
    </row>
    <row r="53" spans="1:1" x14ac:dyDescent="0.3">
      <c r="A53" s="227"/>
    </row>
    <row r="54" spans="1:1" x14ac:dyDescent="0.3">
      <c r="A54" s="227"/>
    </row>
    <row r="55" spans="1:1" x14ac:dyDescent="0.3">
      <c r="A55" s="227"/>
    </row>
  </sheetData>
  <mergeCells count="10">
    <mergeCell ref="B33:F33"/>
    <mergeCell ref="A1:A7"/>
    <mergeCell ref="A9:A15"/>
    <mergeCell ref="A17:A23"/>
    <mergeCell ref="A25:A31"/>
    <mergeCell ref="A33:A39"/>
    <mergeCell ref="B1:F1"/>
    <mergeCell ref="B9:F9"/>
    <mergeCell ref="B17:F17"/>
    <mergeCell ref="B25:F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34214-D214-42AE-A2BE-25FCFC60A902}">
  <dimension ref="A1:AH73"/>
  <sheetViews>
    <sheetView zoomScale="85" zoomScaleNormal="85" workbookViewId="0">
      <selection activeCell="K9" sqref="K9"/>
    </sheetView>
  </sheetViews>
  <sheetFormatPr defaultColWidth="8.5546875" defaultRowHeight="14.4" x14ac:dyDescent="0.3"/>
  <cols>
    <col min="1" max="1" width="22.5546875" style="62" customWidth="1"/>
    <col min="2" max="2" width="17.5546875" style="62" customWidth="1"/>
    <col min="3" max="3" width="21.44140625" style="62" customWidth="1"/>
    <col min="4" max="4" width="17.44140625" style="62" customWidth="1"/>
    <col min="5" max="6" width="12.5546875" style="62" customWidth="1"/>
    <col min="7" max="7" width="15.44140625" style="62" bestFit="1" customWidth="1"/>
    <col min="8" max="8" width="13.44140625" style="62" customWidth="1"/>
    <col min="9" max="9" width="38.44140625" style="62" customWidth="1"/>
    <col min="10" max="10" width="11" style="62" customWidth="1"/>
    <col min="11" max="32" width="13.44140625" style="62" customWidth="1"/>
    <col min="33" max="33" width="146.5546875" style="62" customWidth="1"/>
    <col min="34" max="16384" width="8.5546875" style="62"/>
  </cols>
  <sheetData>
    <row r="1" spans="1:34" ht="50.1" customHeight="1" x14ac:dyDescent="0.3">
      <c r="A1" s="1434" t="s">
        <v>1693</v>
      </c>
      <c r="B1" s="2214"/>
      <c r="C1" s="2214"/>
      <c r="D1" s="2214"/>
      <c r="E1" s="2214"/>
      <c r="F1" s="2214"/>
      <c r="G1" s="2214"/>
      <c r="H1" s="2214"/>
      <c r="I1" s="2214"/>
      <c r="J1" s="2214"/>
      <c r="K1" s="2214"/>
      <c r="L1" s="2214"/>
      <c r="M1" s="2214"/>
      <c r="N1" s="2214"/>
      <c r="O1" s="1434"/>
      <c r="P1" s="2214"/>
      <c r="Q1" s="2214"/>
      <c r="R1" s="2214"/>
      <c r="S1" s="2214"/>
      <c r="T1" s="2214"/>
      <c r="U1" s="2214"/>
      <c r="V1" s="2214"/>
      <c r="W1" s="2214"/>
      <c r="X1" s="2214"/>
      <c r="Y1" s="2214"/>
      <c r="Z1" s="2214"/>
      <c r="AA1" s="2214"/>
      <c r="AB1" s="2214"/>
      <c r="AC1" s="1434"/>
      <c r="AD1" s="2214"/>
      <c r="AE1" s="2214"/>
      <c r="AF1" s="2214"/>
      <c r="AG1" s="2214"/>
    </row>
    <row r="2" spans="1:34" ht="25.35" customHeight="1" x14ac:dyDescent="0.3">
      <c r="A2" s="1443" t="s">
        <v>46</v>
      </c>
      <c r="B2" s="2215"/>
      <c r="C2" s="2215"/>
      <c r="D2" s="2215"/>
      <c r="E2" s="2215"/>
      <c r="F2" s="2215"/>
      <c r="G2" s="2215"/>
      <c r="H2" s="2215"/>
      <c r="I2" s="2215"/>
      <c r="J2" s="2215"/>
      <c r="K2" s="2215"/>
      <c r="L2" s="2215"/>
      <c r="M2" s="2215"/>
      <c r="N2" s="2215"/>
      <c r="O2" s="1443"/>
      <c r="P2" s="2215"/>
      <c r="Q2" s="2215"/>
      <c r="R2" s="2215"/>
      <c r="S2" s="2215"/>
      <c r="T2" s="2215"/>
      <c r="U2" s="2215"/>
      <c r="V2" s="2215"/>
      <c r="W2" s="2215"/>
      <c r="X2" s="2215"/>
      <c r="Y2" s="2215"/>
      <c r="Z2" s="2215"/>
      <c r="AA2" s="2215"/>
      <c r="AB2" s="2215"/>
      <c r="AC2" s="1443"/>
      <c r="AD2" s="2215"/>
      <c r="AE2" s="2215"/>
      <c r="AF2" s="2215"/>
      <c r="AG2" s="2215"/>
    </row>
    <row r="3" spans="1:34"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row>
    <row r="4" spans="1:34" ht="22.35" customHeight="1" x14ac:dyDescent="0.3">
      <c r="A4" s="2211" t="s">
        <v>1675</v>
      </c>
      <c r="B4" s="2211"/>
      <c r="C4" s="2212" t="s">
        <v>1676</v>
      </c>
      <c r="D4" s="2212"/>
      <c r="E4" s="1415" t="s">
        <v>100</v>
      </c>
      <c r="F4" s="1415"/>
      <c r="G4" s="2213" t="s">
        <v>102</v>
      </c>
      <c r="H4" s="2213"/>
      <c r="I4" s="2213"/>
      <c r="J4" s="2211" t="s">
        <v>54</v>
      </c>
      <c r="K4" s="2210"/>
      <c r="L4" s="2210"/>
      <c r="M4" s="2211" t="s">
        <v>55</v>
      </c>
      <c r="N4" s="2210"/>
      <c r="O4" s="47"/>
      <c r="P4" s="47"/>
      <c r="Q4" s="47"/>
      <c r="R4" s="47"/>
      <c r="S4" s="47"/>
      <c r="T4" s="47"/>
      <c r="U4" s="47"/>
      <c r="V4" s="47"/>
      <c r="W4" s="47"/>
      <c r="X4" s="47"/>
      <c r="Y4" s="47"/>
      <c r="Z4" s="47"/>
      <c r="AA4" s="47"/>
      <c r="AB4" s="47"/>
      <c r="AC4" s="47"/>
      <c r="AD4" s="47"/>
      <c r="AE4" s="47"/>
      <c r="AF4" s="47"/>
      <c r="AG4" s="47"/>
    </row>
    <row r="5" spans="1:34" ht="45" customHeight="1" x14ac:dyDescent="0.3">
      <c r="A5" s="2204">
        <v>0</v>
      </c>
      <c r="B5" s="2204"/>
      <c r="C5" s="2205">
        <f>SUM(G17:G68)</f>
        <v>0</v>
      </c>
      <c r="D5" s="2205"/>
      <c r="E5" s="1416">
        <f>SUM(I17:I68)</f>
        <v>0</v>
      </c>
      <c r="F5" s="1416"/>
      <c r="G5" s="2206">
        <f>SUMIF(L17:L68,"Real",AD17:AD68)</f>
        <v>0</v>
      </c>
      <c r="H5" s="2206"/>
      <c r="I5" s="2206"/>
      <c r="J5" s="2218" t="str">
        <f>IF(A5=0,"0",G5/A5)</f>
        <v>0</v>
      </c>
      <c r="K5" s="2219"/>
      <c r="L5" s="2219"/>
      <c r="M5" s="1439">
        <f ca="1">SUM(H9:H11)</f>
        <v>0</v>
      </c>
      <c r="N5" s="1440"/>
      <c r="O5" s="47"/>
      <c r="P5" s="47"/>
      <c r="Q5" s="47"/>
      <c r="R5" s="47"/>
      <c r="S5" s="47"/>
      <c r="T5" s="47"/>
      <c r="U5" s="47"/>
      <c r="V5" s="47"/>
      <c r="W5" s="47"/>
      <c r="X5" s="47"/>
      <c r="Y5" s="47"/>
      <c r="Z5" s="47"/>
      <c r="AA5" s="47"/>
      <c r="AB5" s="47"/>
      <c r="AC5" s="47"/>
      <c r="AD5" s="47"/>
      <c r="AE5" s="47"/>
      <c r="AF5" s="47"/>
      <c r="AG5" s="47"/>
    </row>
    <row r="6" spans="1:34" ht="8.1" customHeight="1" x14ac:dyDescent="0.3">
      <c r="A6" s="20"/>
      <c r="B6" s="20"/>
      <c r="C6" s="20"/>
      <c r="D6" s="20"/>
      <c r="E6" s="20"/>
      <c r="F6" s="20"/>
      <c r="G6" s="20"/>
      <c r="H6" s="20"/>
      <c r="I6" s="20"/>
      <c r="J6" s="20"/>
      <c r="K6" s="20"/>
      <c r="L6" s="20"/>
      <c r="M6" s="20"/>
      <c r="N6" s="20"/>
      <c r="O6" s="47"/>
      <c r="P6" s="47"/>
      <c r="Q6" s="47"/>
      <c r="R6" s="47"/>
      <c r="S6" s="47"/>
      <c r="T6" s="47"/>
      <c r="U6" s="47"/>
      <c r="V6" s="47"/>
      <c r="W6" s="47"/>
      <c r="X6" s="47"/>
      <c r="Y6" s="47"/>
      <c r="Z6" s="47"/>
      <c r="AA6" s="47"/>
      <c r="AB6" s="47"/>
      <c r="AC6" s="47"/>
      <c r="AD6" s="47"/>
      <c r="AE6" s="47"/>
      <c r="AF6" s="47"/>
      <c r="AG6" s="47"/>
    </row>
    <row r="7" spans="1:34" ht="22.35" customHeight="1" x14ac:dyDescent="0.3">
      <c r="A7" s="2202" t="s">
        <v>1677</v>
      </c>
      <c r="B7" s="2202"/>
      <c r="C7" s="2202"/>
      <c r="D7" s="2202"/>
      <c r="E7" s="2202"/>
      <c r="F7" s="29"/>
      <c r="G7" s="2202" t="s">
        <v>64</v>
      </c>
      <c r="H7" s="2202"/>
      <c r="I7" s="2202"/>
      <c r="J7" s="20"/>
      <c r="K7" s="20"/>
      <c r="L7" s="20"/>
      <c r="M7" s="20"/>
      <c r="N7" s="20"/>
      <c r="O7" s="47"/>
      <c r="P7" s="47"/>
      <c r="Q7" s="47"/>
      <c r="R7" s="47"/>
      <c r="S7" s="47"/>
      <c r="T7" s="47"/>
      <c r="U7" s="47"/>
      <c r="V7" s="47"/>
      <c r="W7" s="47"/>
      <c r="X7" s="47"/>
      <c r="Y7" s="47"/>
      <c r="Z7" s="47"/>
      <c r="AA7" s="47"/>
      <c r="AB7" s="47"/>
      <c r="AC7" s="47"/>
      <c r="AD7" s="47"/>
      <c r="AE7" s="47"/>
      <c r="AF7" s="47"/>
      <c r="AG7" s="47"/>
    </row>
    <row r="8" spans="1:34" ht="18" customHeight="1" x14ac:dyDescent="0.3">
      <c r="A8" s="15" t="s">
        <v>67</v>
      </c>
      <c r="B8" s="15" t="s">
        <v>68</v>
      </c>
      <c r="C8" s="15" t="s">
        <v>69</v>
      </c>
      <c r="D8" s="15" t="s">
        <v>1678</v>
      </c>
      <c r="E8" s="15" t="s">
        <v>1679</v>
      </c>
      <c r="F8" s="29"/>
      <c r="G8" s="15" t="s">
        <v>72</v>
      </c>
      <c r="H8" s="15" t="s">
        <v>68</v>
      </c>
      <c r="I8" s="15" t="s">
        <v>73</v>
      </c>
      <c r="J8" s="20"/>
      <c r="K8" s="20"/>
      <c r="L8" s="20"/>
      <c r="M8" s="20"/>
      <c r="N8" s="20"/>
      <c r="O8" s="47"/>
      <c r="P8" s="47"/>
      <c r="Q8" s="47"/>
      <c r="R8" s="47"/>
      <c r="S8" s="47"/>
      <c r="T8" s="47"/>
      <c r="U8" s="47"/>
      <c r="V8" s="47"/>
      <c r="W8" s="47"/>
      <c r="X8" s="47"/>
      <c r="Y8" s="47"/>
      <c r="Z8" s="47"/>
      <c r="AA8" s="47"/>
      <c r="AB8" s="47"/>
      <c r="AC8" s="47"/>
      <c r="AD8" s="47"/>
      <c r="AE8" s="47"/>
      <c r="AF8" s="47"/>
      <c r="AG8" s="47"/>
    </row>
    <row r="9" spans="1:34" ht="18" customHeight="1" x14ac:dyDescent="0.3">
      <c r="A9" s="16" t="s">
        <v>925</v>
      </c>
      <c r="B9" s="17">
        <f>COUNTIF($A$17:$A$68,A9)</f>
        <v>0</v>
      </c>
      <c r="C9" s="18">
        <f>SUMIF($A$17:$A$68,A9,$I$17:$I$68)</f>
        <v>0</v>
      </c>
      <c r="D9" s="60" t="str">
        <f>IF($C$13=0,"",C9/$C$13)</f>
        <v/>
      </c>
      <c r="E9" s="19" t="str">
        <f>D9</f>
        <v/>
      </c>
      <c r="F9" s="29"/>
      <c r="G9" s="21" t="s">
        <v>81</v>
      </c>
      <c r="H9" s="24">
        <f ca="1">COUNTIF($AF$17:$AF$68,G9)</f>
        <v>0</v>
      </c>
      <c r="I9" s="193">
        <f>SUMIF($AG$17:$AG$68,G9,$G$17:$G$68)</f>
        <v>0</v>
      </c>
      <c r="J9" s="20"/>
      <c r="K9" s="20"/>
      <c r="L9" s="20"/>
      <c r="M9" s="20"/>
      <c r="N9" s="20"/>
      <c r="O9" s="47"/>
      <c r="P9" s="47"/>
      <c r="Q9" s="47"/>
      <c r="R9" s="47"/>
      <c r="S9" s="47"/>
      <c r="T9" s="47"/>
      <c r="U9" s="47"/>
      <c r="V9" s="47"/>
      <c r="W9" s="47"/>
      <c r="X9" s="47"/>
      <c r="Y9" s="47"/>
      <c r="Z9" s="47"/>
      <c r="AA9" s="47"/>
      <c r="AB9" s="47"/>
      <c r="AC9" s="47"/>
      <c r="AD9" s="47"/>
      <c r="AE9" s="47"/>
      <c r="AF9" s="47"/>
      <c r="AG9" s="47"/>
    </row>
    <row r="10" spans="1:34" ht="15.6" customHeight="1" x14ac:dyDescent="0.3">
      <c r="A10" s="16" t="s">
        <v>89</v>
      </c>
      <c r="B10" s="17">
        <f>COUNTIF($A$17:$A$68,A10)</f>
        <v>0</v>
      </c>
      <c r="C10" s="18">
        <f>SUMIF($A$17:$A$68,A10,$I$17:$I$68)</f>
        <v>0</v>
      </c>
      <c r="D10" s="60" t="str">
        <f t="shared" ref="D10:D11" si="0">IF($C$13=0,"",C10/$C$13)</f>
        <v/>
      </c>
      <c r="E10" s="19" t="str">
        <f t="shared" ref="E10:E11" si="1">D10</f>
        <v/>
      </c>
      <c r="F10" s="29"/>
      <c r="G10" s="22" t="s">
        <v>83</v>
      </c>
      <c r="H10" s="25">
        <f ca="1">COUNTIF($AF$17:$AF$68,G10)</f>
        <v>0</v>
      </c>
      <c r="I10" s="194">
        <f>SUMIF($AG$17:$AG$68,G10,$G$17:$G$68)</f>
        <v>0</v>
      </c>
      <c r="J10" s="20"/>
      <c r="K10" s="20"/>
      <c r="L10" s="20"/>
      <c r="M10" s="20"/>
      <c r="N10" s="20"/>
      <c r="O10" s="47"/>
      <c r="P10" s="47"/>
      <c r="Q10" s="47"/>
      <c r="R10" s="47"/>
      <c r="S10" s="47"/>
      <c r="T10" s="47"/>
      <c r="U10" s="47"/>
      <c r="V10" s="47"/>
      <c r="W10" s="47"/>
      <c r="X10" s="47"/>
      <c r="Y10" s="47"/>
      <c r="Z10" s="47"/>
      <c r="AA10" s="47"/>
      <c r="AB10" s="47"/>
      <c r="AC10" s="47"/>
      <c r="AD10" s="47"/>
      <c r="AE10" s="47"/>
      <c r="AF10" s="47"/>
      <c r="AG10" s="47"/>
    </row>
    <row r="11" spans="1:34" ht="15.6" customHeight="1" x14ac:dyDescent="0.3">
      <c r="A11" s="16" t="s">
        <v>90</v>
      </c>
      <c r="B11" s="17">
        <f>COUNTIF($A$17:$A$68,A11)</f>
        <v>0</v>
      </c>
      <c r="C11" s="18">
        <f>SUMIF($A$17:$A$68,A11,$I$17:$I$68)</f>
        <v>0</v>
      </c>
      <c r="D11" s="60" t="str">
        <f t="shared" si="0"/>
        <v/>
      </c>
      <c r="E11" s="19" t="str">
        <f t="shared" si="1"/>
        <v/>
      </c>
      <c r="F11" s="29"/>
      <c r="G11" s="23" t="s">
        <v>85</v>
      </c>
      <c r="H11" s="26">
        <f>COUNTIF($AG$17:$AG$68,G11)</f>
        <v>0</v>
      </c>
      <c r="I11" s="195">
        <f>SUMIF($AG$17:$AG$68,G11,$G$17:$G$68)</f>
        <v>0</v>
      </c>
      <c r="J11" s="20"/>
      <c r="K11" s="20"/>
      <c r="L11" s="20"/>
      <c r="M11" s="20"/>
      <c r="N11" s="20"/>
      <c r="O11" s="47"/>
      <c r="P11" s="47"/>
      <c r="Q11" s="47"/>
      <c r="R11" s="47"/>
      <c r="S11" s="47"/>
      <c r="T11" s="47"/>
      <c r="U11" s="47"/>
      <c r="V11" s="47"/>
      <c r="W11" s="47"/>
      <c r="X11" s="47"/>
      <c r="Y11" s="47"/>
      <c r="Z11" s="47"/>
      <c r="AA11" s="47"/>
      <c r="AB11" s="47"/>
      <c r="AC11" s="47"/>
      <c r="AD11" s="47"/>
      <c r="AE11" s="47"/>
      <c r="AF11" s="47"/>
      <c r="AG11" s="47"/>
    </row>
    <row r="12" spans="1:34" ht="15.6" customHeight="1" x14ac:dyDescent="0.3">
      <c r="A12" s="16" t="s">
        <v>91</v>
      </c>
      <c r="B12" s="17">
        <f>COUNTIF($A$17:$A$68,A12)</f>
        <v>0</v>
      </c>
      <c r="C12" s="18">
        <f>SUMIF($A$17:$A$68,A12,$I$17:$I$68)</f>
        <v>0</v>
      </c>
      <c r="D12" s="60" t="str">
        <f t="shared" ref="D12" si="2">IF($C$13=0,"",C12/$C$13)</f>
        <v/>
      </c>
      <c r="E12" s="19" t="str">
        <f t="shared" ref="E12" si="3">D12</f>
        <v/>
      </c>
      <c r="F12" s="29"/>
      <c r="G12" s="20"/>
      <c r="H12" s="20"/>
      <c r="I12" s="20"/>
      <c r="J12" s="20"/>
      <c r="K12" s="20"/>
      <c r="L12" s="20"/>
      <c r="M12" s="20"/>
      <c r="N12" s="20"/>
      <c r="O12" s="47"/>
      <c r="P12" s="47"/>
      <c r="Q12" s="47"/>
      <c r="R12" s="47"/>
      <c r="S12" s="47"/>
      <c r="T12" s="47"/>
      <c r="U12" s="47"/>
      <c r="V12" s="47"/>
      <c r="W12" s="47"/>
      <c r="X12" s="47"/>
      <c r="Y12" s="47"/>
      <c r="Z12" s="47"/>
      <c r="AA12" s="47"/>
      <c r="AB12" s="47"/>
      <c r="AC12" s="47"/>
      <c r="AD12" s="47"/>
      <c r="AE12" s="47"/>
      <c r="AF12" s="47"/>
      <c r="AG12" s="47"/>
    </row>
    <row r="13" spans="1:34" ht="18" x14ac:dyDescent="0.35">
      <c r="A13" s="173" t="s">
        <v>29</v>
      </c>
      <c r="B13" s="174">
        <f>SUM(B9:B12)</f>
        <v>0</v>
      </c>
      <c r="C13" s="30">
        <f>SUM(C9:C12)</f>
        <v>0</v>
      </c>
      <c r="D13" s="171" t="str">
        <f>IF(C13=0,"0%",AVERAGE(D9:D12))</f>
        <v>0%</v>
      </c>
      <c r="E13" s="20"/>
      <c r="F13" s="29"/>
      <c r="G13" s="20"/>
      <c r="H13" s="20"/>
      <c r="I13" s="20"/>
      <c r="J13" s="20"/>
      <c r="K13" s="176"/>
      <c r="L13" s="2203"/>
      <c r="M13" s="2203"/>
      <c r="N13" s="2203"/>
      <c r="O13" s="47"/>
      <c r="P13" s="47"/>
      <c r="Q13" s="47"/>
      <c r="R13" s="47"/>
      <c r="S13" s="47"/>
      <c r="T13" s="47"/>
      <c r="U13" s="47"/>
      <c r="V13" s="47"/>
      <c r="W13" s="47"/>
      <c r="X13" s="47"/>
      <c r="Y13" s="47"/>
      <c r="Z13" s="47"/>
      <c r="AA13" s="47"/>
      <c r="AB13" s="47"/>
      <c r="AC13" s="47"/>
      <c r="AD13" s="47"/>
      <c r="AE13" s="47"/>
      <c r="AF13" s="47"/>
      <c r="AG13" s="47"/>
    </row>
    <row r="14" spans="1:34" x14ac:dyDescent="0.3">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row>
    <row r="15" spans="1:34" ht="15.6" x14ac:dyDescent="0.3">
      <c r="A15" s="208" t="s">
        <v>269</v>
      </c>
      <c r="B15" s="208"/>
      <c r="C15" s="208"/>
      <c r="D15" s="208"/>
      <c r="E15" s="208"/>
      <c r="F15" s="208"/>
      <c r="G15" s="208"/>
      <c r="H15" s="208"/>
      <c r="I15" s="208"/>
      <c r="J15" s="82"/>
      <c r="K15" s="208"/>
      <c r="L15" s="82"/>
      <c r="M15" s="204" t="s">
        <v>270</v>
      </c>
      <c r="N15" s="204"/>
      <c r="O15" s="204"/>
      <c r="P15" s="204"/>
      <c r="Q15" s="204" t="s">
        <v>271</v>
      </c>
      <c r="R15" s="204"/>
      <c r="S15" s="204"/>
      <c r="T15" s="204"/>
      <c r="U15" s="204" t="s">
        <v>272</v>
      </c>
      <c r="V15" s="204"/>
      <c r="W15" s="204"/>
      <c r="X15" s="204"/>
      <c r="Y15" s="204" t="s">
        <v>273</v>
      </c>
      <c r="Z15" s="204"/>
      <c r="AA15" s="204"/>
      <c r="AB15" s="204"/>
      <c r="AC15" s="83"/>
      <c r="AD15" s="83"/>
      <c r="AE15" s="82"/>
      <c r="AF15" s="82"/>
      <c r="AG15" s="82"/>
      <c r="AH15" s="82"/>
    </row>
    <row r="16" spans="1:34" ht="36" x14ac:dyDescent="0.3">
      <c r="A16" s="84" t="s">
        <v>950</v>
      </c>
      <c r="B16" s="84" t="s">
        <v>276</v>
      </c>
      <c r="C16" s="84" t="s">
        <v>278</v>
      </c>
      <c r="D16" s="84" t="s">
        <v>279</v>
      </c>
      <c r="E16" s="84" t="s">
        <v>280</v>
      </c>
      <c r="F16" s="84" t="s">
        <v>281</v>
      </c>
      <c r="G16" s="84" t="s">
        <v>1681</v>
      </c>
      <c r="H16" s="7" t="s">
        <v>952</v>
      </c>
      <c r="I16" s="7" t="s">
        <v>287</v>
      </c>
      <c r="J16" s="84" t="s">
        <v>72</v>
      </c>
      <c r="K16" s="84" t="s">
        <v>1694</v>
      </c>
      <c r="L16" s="84"/>
      <c r="M16" s="85">
        <v>46023</v>
      </c>
      <c r="N16" s="85">
        <v>46054</v>
      </c>
      <c r="O16" s="85">
        <v>46082</v>
      </c>
      <c r="P16" s="86" t="s">
        <v>292</v>
      </c>
      <c r="Q16" s="85">
        <v>46113</v>
      </c>
      <c r="R16" s="85">
        <v>46143</v>
      </c>
      <c r="S16" s="85">
        <v>46174</v>
      </c>
      <c r="T16" s="86" t="s">
        <v>293</v>
      </c>
      <c r="U16" s="85">
        <v>46204</v>
      </c>
      <c r="V16" s="85">
        <v>46235</v>
      </c>
      <c r="W16" s="85">
        <v>46266</v>
      </c>
      <c r="X16" s="86" t="s">
        <v>294</v>
      </c>
      <c r="Y16" s="85">
        <v>46296</v>
      </c>
      <c r="Z16" s="85">
        <v>46327</v>
      </c>
      <c r="AA16" s="85">
        <v>46357</v>
      </c>
      <c r="AB16" s="84" t="s">
        <v>295</v>
      </c>
      <c r="AC16" s="84" t="s">
        <v>296</v>
      </c>
      <c r="AD16" s="84" t="s">
        <v>296</v>
      </c>
      <c r="AE16" s="84" t="s">
        <v>1683</v>
      </c>
      <c r="AF16" s="84" t="s">
        <v>291</v>
      </c>
      <c r="AG16" s="84" t="s">
        <v>72</v>
      </c>
      <c r="AH16" s="84" t="s">
        <v>297</v>
      </c>
    </row>
    <row r="17" spans="1:34" s="120" customFormat="1" ht="20.85" customHeight="1" x14ac:dyDescent="0.3">
      <c r="A17" s="1370"/>
      <c r="B17" s="1370"/>
      <c r="C17" s="1368"/>
      <c r="D17" s="1370"/>
      <c r="E17" s="1372"/>
      <c r="F17" s="1372"/>
      <c r="G17" s="1405"/>
      <c r="H17" s="2220"/>
      <c r="I17" s="2222"/>
      <c r="J17" s="1411"/>
      <c r="K17" s="2197"/>
      <c r="L17" s="115" t="s">
        <v>116</v>
      </c>
      <c r="M17" s="116"/>
      <c r="N17" s="116"/>
      <c r="O17" s="116"/>
      <c r="P17" s="117">
        <f>SUM(M17:O17)</f>
        <v>0</v>
      </c>
      <c r="Q17" s="116"/>
      <c r="R17" s="116"/>
      <c r="S17" s="116"/>
      <c r="T17" s="117">
        <f t="shared" ref="T17:T42" si="4">SUM(Q17:S17)</f>
        <v>0</v>
      </c>
      <c r="U17" s="116"/>
      <c r="V17" s="116"/>
      <c r="W17" s="116"/>
      <c r="X17" s="117">
        <f t="shared" ref="X17:X68" si="5">SUM(U17:W17)</f>
        <v>0</v>
      </c>
      <c r="Y17" s="116"/>
      <c r="Z17" s="116"/>
      <c r="AA17" s="116"/>
      <c r="AB17" s="117">
        <f t="shared" ref="AB17:AB68" si="6">SUM(Y17:AA17)</f>
        <v>0</v>
      </c>
      <c r="AC17" s="116"/>
      <c r="AD17" s="118">
        <f>SUM(Q17,U17,Y17,AC17)</f>
        <v>0</v>
      </c>
      <c r="AE17" s="118" t="str">
        <f>IF(K17=0,"0",AD17/K17)</f>
        <v>0</v>
      </c>
      <c r="AF17" s="119" t="str">
        <f ca="1">IF(OR(F17="", G17=""), "", IF(TODAY()&lt;F17, 0, IF(TODAY()&gt;G17, 1, (TODAY()-F17+1)/(G17-F17+1))))</f>
        <v/>
      </c>
      <c r="AG17" s="183"/>
      <c r="AH17" s="98"/>
    </row>
    <row r="18" spans="1:34" s="120" customFormat="1" ht="20.85" customHeight="1" x14ac:dyDescent="0.3">
      <c r="A18" s="1371"/>
      <c r="B18" s="1371"/>
      <c r="C18" s="1369"/>
      <c r="D18" s="1371"/>
      <c r="E18" s="1373"/>
      <c r="F18" s="1373"/>
      <c r="G18" s="1406"/>
      <c r="H18" s="2221"/>
      <c r="I18" s="2223"/>
      <c r="J18" s="1412"/>
      <c r="K18" s="2198"/>
      <c r="L18" s="115" t="s">
        <v>117</v>
      </c>
      <c r="M18" s="116"/>
      <c r="N18" s="116"/>
      <c r="O18" s="116"/>
      <c r="P18" s="117">
        <f>SUM(M18:O18)</f>
        <v>0</v>
      </c>
      <c r="Q18" s="116"/>
      <c r="R18" s="116"/>
      <c r="S18" s="116"/>
      <c r="T18" s="117">
        <f t="shared" si="4"/>
        <v>0</v>
      </c>
      <c r="U18" s="116"/>
      <c r="V18" s="116"/>
      <c r="W18" s="116"/>
      <c r="X18" s="117">
        <f t="shared" si="5"/>
        <v>0</v>
      </c>
      <c r="Y18" s="116"/>
      <c r="Z18" s="116"/>
      <c r="AA18" s="116"/>
      <c r="AB18" s="117">
        <f t="shared" si="6"/>
        <v>0</v>
      </c>
      <c r="AC18" s="116"/>
      <c r="AD18" s="118">
        <f t="shared" ref="AD18:AD68" si="7">SUM(Q18,U18,Y18,AC18)</f>
        <v>0</v>
      </c>
      <c r="AE18" s="118" t="str">
        <f t="shared" ref="AE18:AE68" si="8">IF(K18=0,"0",AD18/K18)</f>
        <v>0</v>
      </c>
      <c r="AF18" s="119"/>
      <c r="AG18" s="184"/>
      <c r="AH18" s="98"/>
    </row>
    <row r="19" spans="1:34" s="120" customFormat="1" ht="20.85" customHeight="1" x14ac:dyDescent="0.3">
      <c r="A19" s="1742"/>
      <c r="B19" s="1451"/>
      <c r="C19" s="1449"/>
      <c r="D19" s="1451"/>
      <c r="E19" s="1785"/>
      <c r="F19" s="1785"/>
      <c r="G19" s="2185"/>
      <c r="H19" s="2187"/>
      <c r="I19" s="2224"/>
      <c r="J19" s="1825"/>
      <c r="K19" s="2191"/>
      <c r="L19" s="121" t="s">
        <v>116</v>
      </c>
      <c r="M19" s="122"/>
      <c r="N19" s="122"/>
      <c r="O19" s="122"/>
      <c r="P19" s="117">
        <f t="shared" ref="P19:P43" si="9">SUM(M19:O19)</f>
        <v>0</v>
      </c>
      <c r="Q19" s="122"/>
      <c r="R19" s="122"/>
      <c r="S19" s="122"/>
      <c r="T19" s="117">
        <f t="shared" si="4"/>
        <v>0</v>
      </c>
      <c r="U19" s="122"/>
      <c r="V19" s="122"/>
      <c r="W19" s="122"/>
      <c r="X19" s="117">
        <f t="shared" si="5"/>
        <v>0</v>
      </c>
      <c r="Y19" s="122"/>
      <c r="Z19" s="122"/>
      <c r="AA19" s="122"/>
      <c r="AB19" s="117">
        <f t="shared" si="6"/>
        <v>0</v>
      </c>
      <c r="AC19" s="122"/>
      <c r="AD19" s="123">
        <f t="shared" si="7"/>
        <v>0</v>
      </c>
      <c r="AE19" s="123" t="str">
        <f t="shared" si="8"/>
        <v>0</v>
      </c>
      <c r="AF19" s="124" t="str">
        <f ca="1">IF(OR(F19="", G19=""), "", IF(TODAY()&lt;F19, 0, IF(TODAY()&gt;G19, 1, (TODAY()-F19+1)/(G19-F19+1))))</f>
        <v/>
      </c>
      <c r="AG19" s="206"/>
      <c r="AH19" s="125"/>
    </row>
    <row r="20" spans="1:34" s="120" customFormat="1" ht="20.85" customHeight="1" x14ac:dyDescent="0.3">
      <c r="A20" s="1743"/>
      <c r="B20" s="1452"/>
      <c r="C20" s="1450"/>
      <c r="D20" s="1452"/>
      <c r="E20" s="1786"/>
      <c r="F20" s="1786"/>
      <c r="G20" s="2186"/>
      <c r="H20" s="2188"/>
      <c r="I20" s="2225"/>
      <c r="J20" s="1826"/>
      <c r="K20" s="2192"/>
      <c r="L20" s="121" t="s">
        <v>117</v>
      </c>
      <c r="M20" s="122"/>
      <c r="N20" s="122"/>
      <c r="O20" s="122"/>
      <c r="P20" s="117">
        <f t="shared" si="9"/>
        <v>0</v>
      </c>
      <c r="Q20" s="122"/>
      <c r="R20" s="122"/>
      <c r="S20" s="122"/>
      <c r="T20" s="117">
        <f t="shared" si="4"/>
        <v>0</v>
      </c>
      <c r="U20" s="122"/>
      <c r="V20" s="122"/>
      <c r="W20" s="122"/>
      <c r="X20" s="117">
        <f t="shared" si="5"/>
        <v>0</v>
      </c>
      <c r="Y20" s="122"/>
      <c r="Z20" s="122"/>
      <c r="AA20" s="122"/>
      <c r="AB20" s="117">
        <f t="shared" si="6"/>
        <v>0</v>
      </c>
      <c r="AC20" s="122"/>
      <c r="AD20" s="123">
        <f t="shared" si="7"/>
        <v>0</v>
      </c>
      <c r="AE20" s="123" t="str">
        <f t="shared" si="8"/>
        <v>0</v>
      </c>
      <c r="AF20" s="124"/>
      <c r="AG20" s="207"/>
      <c r="AH20" s="125"/>
    </row>
    <row r="21" spans="1:34" s="120" customFormat="1" ht="20.85" customHeight="1" x14ac:dyDescent="0.3">
      <c r="A21" s="1370"/>
      <c r="B21" s="1370"/>
      <c r="C21" s="1368"/>
      <c r="D21" s="1370"/>
      <c r="E21" s="1372"/>
      <c r="F21" s="1372"/>
      <c r="G21" s="1405"/>
      <c r="H21" s="2193"/>
      <c r="I21" s="2222"/>
      <c r="J21" s="1411"/>
      <c r="K21" s="2197"/>
      <c r="L21" s="115" t="s">
        <v>116</v>
      </c>
      <c r="M21" s="116"/>
      <c r="N21" s="116"/>
      <c r="O21" s="116"/>
      <c r="P21" s="117">
        <f t="shared" si="9"/>
        <v>0</v>
      </c>
      <c r="Q21" s="116"/>
      <c r="R21" s="116"/>
      <c r="S21" s="116"/>
      <c r="T21" s="117">
        <f t="shared" si="4"/>
        <v>0</v>
      </c>
      <c r="U21" s="116"/>
      <c r="V21" s="116"/>
      <c r="W21" s="116"/>
      <c r="X21" s="117">
        <f t="shared" si="5"/>
        <v>0</v>
      </c>
      <c r="Y21" s="116"/>
      <c r="Z21" s="116"/>
      <c r="AA21" s="116"/>
      <c r="AB21" s="117">
        <f t="shared" si="6"/>
        <v>0</v>
      </c>
      <c r="AC21" s="116"/>
      <c r="AD21" s="118">
        <f t="shared" si="7"/>
        <v>0</v>
      </c>
      <c r="AE21" s="118" t="str">
        <f t="shared" si="8"/>
        <v>0</v>
      </c>
      <c r="AF21" s="119" t="str">
        <f ca="1">IF(OR(F21="", G21=""), "", IF(TODAY()&lt;F21, 0, IF(TODAY()&gt;G21, 1, (TODAY()-F21+1)/(G21-F21+1))))</f>
        <v/>
      </c>
      <c r="AG21" s="183"/>
      <c r="AH21" s="98"/>
    </row>
    <row r="22" spans="1:34" s="120" customFormat="1" ht="20.85" customHeight="1" x14ac:dyDescent="0.3">
      <c r="A22" s="1371"/>
      <c r="B22" s="1371"/>
      <c r="C22" s="1369"/>
      <c r="D22" s="1371"/>
      <c r="E22" s="1373"/>
      <c r="F22" s="1373"/>
      <c r="G22" s="1406"/>
      <c r="H22" s="2194"/>
      <c r="I22" s="2223"/>
      <c r="J22" s="1412"/>
      <c r="K22" s="2198"/>
      <c r="L22" s="115" t="s">
        <v>117</v>
      </c>
      <c r="M22" s="116"/>
      <c r="N22" s="116"/>
      <c r="O22" s="116"/>
      <c r="P22" s="117">
        <f t="shared" si="9"/>
        <v>0</v>
      </c>
      <c r="Q22" s="116"/>
      <c r="R22" s="116"/>
      <c r="S22" s="116"/>
      <c r="T22" s="117">
        <f t="shared" si="4"/>
        <v>0</v>
      </c>
      <c r="U22" s="116"/>
      <c r="V22" s="116"/>
      <c r="W22" s="116"/>
      <c r="X22" s="117">
        <f t="shared" si="5"/>
        <v>0</v>
      </c>
      <c r="Y22" s="116"/>
      <c r="Z22" s="116"/>
      <c r="AA22" s="116"/>
      <c r="AB22" s="117">
        <f t="shared" si="6"/>
        <v>0</v>
      </c>
      <c r="AC22" s="116"/>
      <c r="AD22" s="118">
        <f t="shared" si="7"/>
        <v>0</v>
      </c>
      <c r="AE22" s="118" t="str">
        <f t="shared" si="8"/>
        <v>0</v>
      </c>
      <c r="AF22" s="119"/>
      <c r="AG22" s="184"/>
      <c r="AH22" s="98"/>
    </row>
    <row r="23" spans="1:34" s="120" customFormat="1" ht="20.85" customHeight="1" x14ac:dyDescent="0.3">
      <c r="A23" s="1742"/>
      <c r="B23" s="1451"/>
      <c r="C23" s="1449"/>
      <c r="D23" s="1451"/>
      <c r="E23" s="1785"/>
      <c r="F23" s="1785"/>
      <c r="G23" s="2185"/>
      <c r="H23" s="2187"/>
      <c r="I23" s="2224"/>
      <c r="J23" s="1825"/>
      <c r="K23" s="2191"/>
      <c r="L23" s="121" t="s">
        <v>116</v>
      </c>
      <c r="M23" s="122"/>
      <c r="N23" s="122"/>
      <c r="O23" s="122"/>
      <c r="P23" s="117">
        <f t="shared" si="9"/>
        <v>0</v>
      </c>
      <c r="Q23" s="122"/>
      <c r="R23" s="122"/>
      <c r="S23" s="122"/>
      <c r="T23" s="117">
        <f t="shared" si="4"/>
        <v>0</v>
      </c>
      <c r="U23" s="122"/>
      <c r="V23" s="122"/>
      <c r="W23" s="122"/>
      <c r="X23" s="117">
        <f t="shared" si="5"/>
        <v>0</v>
      </c>
      <c r="Y23" s="122"/>
      <c r="Z23" s="122"/>
      <c r="AA23" s="122"/>
      <c r="AB23" s="117">
        <f t="shared" si="6"/>
        <v>0</v>
      </c>
      <c r="AC23" s="122"/>
      <c r="AD23" s="123">
        <f t="shared" si="7"/>
        <v>0</v>
      </c>
      <c r="AE23" s="123" t="str">
        <f t="shared" si="8"/>
        <v>0</v>
      </c>
      <c r="AF23" s="124" t="str">
        <f ca="1">IF(OR(F23="", G23=""), "", IF(TODAY()&lt;F23, 0, IF(TODAY()&gt;G23, 1, (TODAY()-F23+1)/(G23-F23+1))))</f>
        <v/>
      </c>
      <c r="AG23" s="206"/>
      <c r="AH23" s="125"/>
    </row>
    <row r="24" spans="1:34" s="120" customFormat="1" ht="20.85" customHeight="1" x14ac:dyDescent="0.3">
      <c r="A24" s="1743"/>
      <c r="B24" s="1452"/>
      <c r="C24" s="1450"/>
      <c r="D24" s="1452"/>
      <c r="E24" s="1786"/>
      <c r="F24" s="1786"/>
      <c r="G24" s="2186"/>
      <c r="H24" s="2188"/>
      <c r="I24" s="2225"/>
      <c r="J24" s="1826"/>
      <c r="K24" s="2192"/>
      <c r="L24" s="121" t="s">
        <v>117</v>
      </c>
      <c r="M24" s="122"/>
      <c r="N24" s="122"/>
      <c r="O24" s="122"/>
      <c r="P24" s="117">
        <f t="shared" si="9"/>
        <v>0</v>
      </c>
      <c r="Q24" s="122"/>
      <c r="R24" s="122"/>
      <c r="S24" s="122"/>
      <c r="T24" s="117">
        <f t="shared" si="4"/>
        <v>0</v>
      </c>
      <c r="U24" s="122"/>
      <c r="V24" s="122"/>
      <c r="W24" s="122"/>
      <c r="X24" s="117">
        <f t="shared" si="5"/>
        <v>0</v>
      </c>
      <c r="Y24" s="122"/>
      <c r="Z24" s="122"/>
      <c r="AA24" s="122"/>
      <c r="AB24" s="117">
        <f t="shared" si="6"/>
        <v>0</v>
      </c>
      <c r="AC24" s="122"/>
      <c r="AD24" s="123">
        <f t="shared" si="7"/>
        <v>0</v>
      </c>
      <c r="AE24" s="123" t="str">
        <f t="shared" si="8"/>
        <v>0</v>
      </c>
      <c r="AF24" s="124"/>
      <c r="AG24" s="207"/>
      <c r="AH24" s="125"/>
    </row>
    <row r="25" spans="1:34" s="120" customFormat="1" ht="20.85" customHeight="1" x14ac:dyDescent="0.3">
      <c r="A25" s="1370"/>
      <c r="B25" s="1370"/>
      <c r="C25" s="1368"/>
      <c r="D25" s="1370"/>
      <c r="E25" s="1372"/>
      <c r="F25" s="1372"/>
      <c r="G25" s="1405"/>
      <c r="H25" s="2193"/>
      <c r="I25" s="2222"/>
      <c r="J25" s="1411"/>
      <c r="K25" s="2197"/>
      <c r="L25" s="115" t="s">
        <v>116</v>
      </c>
      <c r="M25" s="116"/>
      <c r="N25" s="116"/>
      <c r="O25" s="116"/>
      <c r="P25" s="117">
        <f t="shared" si="9"/>
        <v>0</v>
      </c>
      <c r="Q25" s="116"/>
      <c r="R25" s="116"/>
      <c r="S25" s="116"/>
      <c r="T25" s="117">
        <f t="shared" si="4"/>
        <v>0</v>
      </c>
      <c r="U25" s="116"/>
      <c r="V25" s="116"/>
      <c r="W25" s="116"/>
      <c r="X25" s="117">
        <f t="shared" si="5"/>
        <v>0</v>
      </c>
      <c r="Y25" s="116"/>
      <c r="Z25" s="116"/>
      <c r="AA25" s="116"/>
      <c r="AB25" s="117">
        <f t="shared" si="6"/>
        <v>0</v>
      </c>
      <c r="AC25" s="116"/>
      <c r="AD25" s="118">
        <f t="shared" si="7"/>
        <v>0</v>
      </c>
      <c r="AE25" s="118" t="str">
        <f t="shared" si="8"/>
        <v>0</v>
      </c>
      <c r="AF25" s="119" t="str">
        <f ca="1">IF(OR(F25="", G25=""), "", IF(TODAY()&lt;F25, 0, IF(TODAY()&gt;G25, 1, (TODAY()-F25+1)/(G25-F25+1))))</f>
        <v/>
      </c>
      <c r="AG25" s="183"/>
      <c r="AH25" s="98"/>
    </row>
    <row r="26" spans="1:34" s="120" customFormat="1" ht="20.85" customHeight="1" x14ac:dyDescent="0.3">
      <c r="A26" s="1371"/>
      <c r="B26" s="1371"/>
      <c r="C26" s="1369"/>
      <c r="D26" s="1371"/>
      <c r="E26" s="1373"/>
      <c r="F26" s="1373"/>
      <c r="G26" s="1406"/>
      <c r="H26" s="2194"/>
      <c r="I26" s="2223"/>
      <c r="J26" s="1412"/>
      <c r="K26" s="2198"/>
      <c r="L26" s="115" t="s">
        <v>117</v>
      </c>
      <c r="M26" s="116"/>
      <c r="N26" s="116"/>
      <c r="O26" s="116"/>
      <c r="P26" s="117">
        <f t="shared" si="9"/>
        <v>0</v>
      </c>
      <c r="Q26" s="116"/>
      <c r="R26" s="116"/>
      <c r="S26" s="116"/>
      <c r="T26" s="117">
        <f t="shared" si="4"/>
        <v>0</v>
      </c>
      <c r="U26" s="116"/>
      <c r="V26" s="116"/>
      <c r="W26" s="116"/>
      <c r="X26" s="117">
        <f t="shared" si="5"/>
        <v>0</v>
      </c>
      <c r="Y26" s="116"/>
      <c r="Z26" s="116"/>
      <c r="AA26" s="116"/>
      <c r="AB26" s="117">
        <f t="shared" si="6"/>
        <v>0</v>
      </c>
      <c r="AC26" s="116"/>
      <c r="AD26" s="118">
        <f t="shared" si="7"/>
        <v>0</v>
      </c>
      <c r="AE26" s="118" t="str">
        <f t="shared" si="8"/>
        <v>0</v>
      </c>
      <c r="AF26" s="119"/>
      <c r="AG26" s="184"/>
      <c r="AH26" s="98"/>
    </row>
    <row r="27" spans="1:34" s="120" customFormat="1" ht="20.85" customHeight="1" x14ac:dyDescent="0.3">
      <c r="A27" s="1742"/>
      <c r="B27" s="1451"/>
      <c r="C27" s="1449"/>
      <c r="D27" s="1451"/>
      <c r="E27" s="1785"/>
      <c r="F27" s="1785"/>
      <c r="G27" s="2185"/>
      <c r="H27" s="2187"/>
      <c r="I27" s="2224"/>
      <c r="J27" s="1825"/>
      <c r="K27" s="2191"/>
      <c r="L27" s="121" t="s">
        <v>116</v>
      </c>
      <c r="M27" s="122"/>
      <c r="N27" s="122"/>
      <c r="O27" s="122"/>
      <c r="P27" s="117">
        <f t="shared" si="9"/>
        <v>0</v>
      </c>
      <c r="Q27" s="122"/>
      <c r="R27" s="122"/>
      <c r="S27" s="122"/>
      <c r="T27" s="117">
        <f t="shared" si="4"/>
        <v>0</v>
      </c>
      <c r="U27" s="122"/>
      <c r="V27" s="122"/>
      <c r="W27" s="122"/>
      <c r="X27" s="117">
        <f t="shared" si="5"/>
        <v>0</v>
      </c>
      <c r="Y27" s="122"/>
      <c r="Z27" s="122"/>
      <c r="AA27" s="122"/>
      <c r="AB27" s="117">
        <f t="shared" si="6"/>
        <v>0</v>
      </c>
      <c r="AC27" s="122"/>
      <c r="AD27" s="123">
        <f t="shared" si="7"/>
        <v>0</v>
      </c>
      <c r="AE27" s="123" t="str">
        <f t="shared" si="8"/>
        <v>0</v>
      </c>
      <c r="AF27" s="124" t="str">
        <f ca="1">IF(OR(F27="", G27=""), "", IF(TODAY()&lt;F27, 0, IF(TODAY()&gt;G27, 1, (TODAY()-F27+1)/(G27-F27+1))))</f>
        <v/>
      </c>
      <c r="AG27" s="206"/>
      <c r="AH27" s="125"/>
    </row>
    <row r="28" spans="1:34" s="120" customFormat="1" ht="20.85" customHeight="1" x14ac:dyDescent="0.3">
      <c r="A28" s="1743"/>
      <c r="B28" s="1452"/>
      <c r="C28" s="1450"/>
      <c r="D28" s="1452"/>
      <c r="E28" s="1786"/>
      <c r="F28" s="1786"/>
      <c r="G28" s="2186"/>
      <c r="H28" s="2188"/>
      <c r="I28" s="2225"/>
      <c r="J28" s="1826"/>
      <c r="K28" s="2192"/>
      <c r="L28" s="121" t="s">
        <v>117</v>
      </c>
      <c r="M28" s="122"/>
      <c r="N28" s="122"/>
      <c r="O28" s="122"/>
      <c r="P28" s="117">
        <f t="shared" si="9"/>
        <v>0</v>
      </c>
      <c r="Q28" s="122"/>
      <c r="R28" s="122"/>
      <c r="S28" s="122"/>
      <c r="T28" s="117">
        <f t="shared" si="4"/>
        <v>0</v>
      </c>
      <c r="U28" s="122"/>
      <c r="V28" s="122"/>
      <c r="W28" s="122"/>
      <c r="X28" s="117">
        <f t="shared" si="5"/>
        <v>0</v>
      </c>
      <c r="Y28" s="122"/>
      <c r="Z28" s="122"/>
      <c r="AA28" s="122"/>
      <c r="AB28" s="117">
        <f t="shared" si="6"/>
        <v>0</v>
      </c>
      <c r="AC28" s="122"/>
      <c r="AD28" s="123">
        <f t="shared" si="7"/>
        <v>0</v>
      </c>
      <c r="AE28" s="123" t="str">
        <f t="shared" si="8"/>
        <v>0</v>
      </c>
      <c r="AF28" s="124"/>
      <c r="AG28" s="207"/>
      <c r="AH28" s="125"/>
    </row>
    <row r="29" spans="1:34" s="120" customFormat="1" ht="20.85" customHeight="1" x14ac:dyDescent="0.3">
      <c r="A29" s="1370"/>
      <c r="B29" s="1370"/>
      <c r="C29" s="1368"/>
      <c r="D29" s="1370"/>
      <c r="E29" s="1372"/>
      <c r="F29" s="1372"/>
      <c r="G29" s="1405"/>
      <c r="H29" s="2193"/>
      <c r="I29" s="2222"/>
      <c r="J29" s="1411"/>
      <c r="K29" s="2197"/>
      <c r="L29" s="115" t="s">
        <v>116</v>
      </c>
      <c r="M29" s="116"/>
      <c r="N29" s="116"/>
      <c r="O29" s="116"/>
      <c r="P29" s="117">
        <f t="shared" si="9"/>
        <v>0</v>
      </c>
      <c r="Q29" s="116"/>
      <c r="R29" s="116"/>
      <c r="S29" s="116"/>
      <c r="T29" s="117">
        <f t="shared" si="4"/>
        <v>0</v>
      </c>
      <c r="U29" s="116"/>
      <c r="V29" s="116"/>
      <c r="W29" s="116"/>
      <c r="X29" s="117">
        <f t="shared" si="5"/>
        <v>0</v>
      </c>
      <c r="Y29" s="116"/>
      <c r="Z29" s="116"/>
      <c r="AA29" s="116"/>
      <c r="AB29" s="117">
        <f t="shared" si="6"/>
        <v>0</v>
      </c>
      <c r="AC29" s="116"/>
      <c r="AD29" s="118">
        <f t="shared" si="7"/>
        <v>0</v>
      </c>
      <c r="AE29" s="118" t="str">
        <f t="shared" si="8"/>
        <v>0</v>
      </c>
      <c r="AF29" s="119" t="str">
        <f ca="1">IF(OR(F29="", G29=""), "", IF(TODAY()&lt;F29, 0, IF(TODAY()&gt;G29, 1, (TODAY()-F29+1)/(G29-F29+1))))</f>
        <v/>
      </c>
      <c r="AG29" s="183"/>
      <c r="AH29" s="98"/>
    </row>
    <row r="30" spans="1:34" s="120" customFormat="1" ht="20.85" customHeight="1" x14ac:dyDescent="0.3">
      <c r="A30" s="1371"/>
      <c r="B30" s="1371"/>
      <c r="C30" s="1369"/>
      <c r="D30" s="1371"/>
      <c r="E30" s="1373"/>
      <c r="F30" s="1373"/>
      <c r="G30" s="1406"/>
      <c r="H30" s="2194"/>
      <c r="I30" s="2223"/>
      <c r="J30" s="1412"/>
      <c r="K30" s="2198"/>
      <c r="L30" s="115" t="s">
        <v>117</v>
      </c>
      <c r="M30" s="116"/>
      <c r="N30" s="116"/>
      <c r="O30" s="116"/>
      <c r="P30" s="117">
        <f t="shared" si="9"/>
        <v>0</v>
      </c>
      <c r="Q30" s="116"/>
      <c r="R30" s="116"/>
      <c r="S30" s="116"/>
      <c r="T30" s="117">
        <f t="shared" si="4"/>
        <v>0</v>
      </c>
      <c r="U30" s="116"/>
      <c r="V30" s="116"/>
      <c r="W30" s="116"/>
      <c r="X30" s="117">
        <f t="shared" si="5"/>
        <v>0</v>
      </c>
      <c r="Y30" s="116"/>
      <c r="Z30" s="116"/>
      <c r="AA30" s="116"/>
      <c r="AB30" s="117">
        <f t="shared" si="6"/>
        <v>0</v>
      </c>
      <c r="AC30" s="116"/>
      <c r="AD30" s="118">
        <f t="shared" si="7"/>
        <v>0</v>
      </c>
      <c r="AE30" s="118" t="str">
        <f t="shared" si="8"/>
        <v>0</v>
      </c>
      <c r="AF30" s="119"/>
      <c r="AG30" s="184"/>
      <c r="AH30" s="98"/>
    </row>
    <row r="31" spans="1:34" s="120" customFormat="1" ht="20.85" customHeight="1" x14ac:dyDescent="0.3">
      <c r="A31" s="1742"/>
      <c r="B31" s="1451"/>
      <c r="C31" s="1449"/>
      <c r="D31" s="1451"/>
      <c r="E31" s="1785"/>
      <c r="F31" s="1785"/>
      <c r="G31" s="2185"/>
      <c r="H31" s="2187"/>
      <c r="I31" s="2224"/>
      <c r="J31" s="1825"/>
      <c r="K31" s="2191"/>
      <c r="L31" s="121" t="s">
        <v>116</v>
      </c>
      <c r="M31" s="122"/>
      <c r="N31" s="122"/>
      <c r="O31" s="122"/>
      <c r="P31" s="117">
        <f t="shared" si="9"/>
        <v>0</v>
      </c>
      <c r="Q31" s="122"/>
      <c r="R31" s="122"/>
      <c r="S31" s="122"/>
      <c r="T31" s="117">
        <f t="shared" si="4"/>
        <v>0</v>
      </c>
      <c r="U31" s="122"/>
      <c r="V31" s="122"/>
      <c r="W31" s="122"/>
      <c r="X31" s="117">
        <f t="shared" si="5"/>
        <v>0</v>
      </c>
      <c r="Y31" s="122"/>
      <c r="Z31" s="122"/>
      <c r="AA31" s="122"/>
      <c r="AB31" s="117">
        <f t="shared" si="6"/>
        <v>0</v>
      </c>
      <c r="AC31" s="122"/>
      <c r="AD31" s="123">
        <f t="shared" si="7"/>
        <v>0</v>
      </c>
      <c r="AE31" s="123" t="str">
        <f t="shared" si="8"/>
        <v>0</v>
      </c>
      <c r="AF31" s="124" t="str">
        <f ca="1">IF(OR(F31="", G31=""), "", IF(TODAY()&lt;F31, 0, IF(TODAY()&gt;G31, 1, (TODAY()-F31+1)/(G31-F31+1))))</f>
        <v/>
      </c>
      <c r="AG31" s="206"/>
      <c r="AH31" s="125"/>
    </row>
    <row r="32" spans="1:34" s="120" customFormat="1" ht="20.85" customHeight="1" x14ac:dyDescent="0.3">
      <c r="A32" s="1743"/>
      <c r="B32" s="1452"/>
      <c r="C32" s="1450"/>
      <c r="D32" s="1452"/>
      <c r="E32" s="1786"/>
      <c r="F32" s="1786"/>
      <c r="G32" s="2186"/>
      <c r="H32" s="2188"/>
      <c r="I32" s="2225"/>
      <c r="J32" s="1826"/>
      <c r="K32" s="2192"/>
      <c r="L32" s="121" t="s">
        <v>117</v>
      </c>
      <c r="M32" s="122"/>
      <c r="N32" s="122"/>
      <c r="O32" s="122"/>
      <c r="P32" s="117">
        <f t="shared" si="9"/>
        <v>0</v>
      </c>
      <c r="Q32" s="122"/>
      <c r="R32" s="122"/>
      <c r="S32" s="122"/>
      <c r="T32" s="117">
        <f t="shared" si="4"/>
        <v>0</v>
      </c>
      <c r="U32" s="122"/>
      <c r="V32" s="122"/>
      <c r="W32" s="122"/>
      <c r="X32" s="117">
        <f t="shared" si="5"/>
        <v>0</v>
      </c>
      <c r="Y32" s="122"/>
      <c r="Z32" s="122"/>
      <c r="AA32" s="122"/>
      <c r="AB32" s="117">
        <f t="shared" si="6"/>
        <v>0</v>
      </c>
      <c r="AC32" s="122"/>
      <c r="AD32" s="123">
        <f t="shared" si="7"/>
        <v>0</v>
      </c>
      <c r="AE32" s="123" t="str">
        <f t="shared" si="8"/>
        <v>0</v>
      </c>
      <c r="AF32" s="124"/>
      <c r="AG32" s="207"/>
      <c r="AH32" s="125"/>
    </row>
    <row r="33" spans="1:34" s="120" customFormat="1" ht="20.85" customHeight="1" x14ac:dyDescent="0.3">
      <c r="A33" s="1370"/>
      <c r="B33" s="1370"/>
      <c r="C33" s="1368"/>
      <c r="D33" s="1370"/>
      <c r="E33" s="1372"/>
      <c r="F33" s="1372"/>
      <c r="G33" s="1405"/>
      <c r="H33" s="2193"/>
      <c r="I33" s="2222"/>
      <c r="J33" s="1411"/>
      <c r="K33" s="2197"/>
      <c r="L33" s="115" t="s">
        <v>116</v>
      </c>
      <c r="M33" s="116"/>
      <c r="N33" s="116"/>
      <c r="O33" s="116"/>
      <c r="P33" s="117">
        <f t="shared" si="9"/>
        <v>0</v>
      </c>
      <c r="Q33" s="116"/>
      <c r="R33" s="116"/>
      <c r="S33" s="116"/>
      <c r="T33" s="117">
        <f t="shared" si="4"/>
        <v>0</v>
      </c>
      <c r="U33" s="116"/>
      <c r="V33" s="116"/>
      <c r="W33" s="116"/>
      <c r="X33" s="117">
        <f t="shared" si="5"/>
        <v>0</v>
      </c>
      <c r="Y33" s="116"/>
      <c r="Z33" s="116"/>
      <c r="AA33" s="116"/>
      <c r="AB33" s="117">
        <f t="shared" si="6"/>
        <v>0</v>
      </c>
      <c r="AC33" s="116"/>
      <c r="AD33" s="118">
        <f t="shared" si="7"/>
        <v>0</v>
      </c>
      <c r="AE33" s="118" t="str">
        <f t="shared" si="8"/>
        <v>0</v>
      </c>
      <c r="AF33" s="119" t="str">
        <f ca="1">IF(OR(F33="", G33=""), "", IF(TODAY()&lt;F33, 0, IF(TODAY()&gt;G33, 1, (TODAY()-F33+1)/(G33-F33+1))))</f>
        <v/>
      </c>
      <c r="AG33" s="183"/>
      <c r="AH33" s="98"/>
    </row>
    <row r="34" spans="1:34" s="120" customFormat="1" ht="20.85" customHeight="1" x14ac:dyDescent="0.3">
      <c r="A34" s="1371"/>
      <c r="B34" s="1371"/>
      <c r="C34" s="1369"/>
      <c r="D34" s="1371"/>
      <c r="E34" s="1373"/>
      <c r="F34" s="1373"/>
      <c r="G34" s="1406"/>
      <c r="H34" s="2194"/>
      <c r="I34" s="2223"/>
      <c r="J34" s="1412"/>
      <c r="K34" s="2198"/>
      <c r="L34" s="115" t="s">
        <v>117</v>
      </c>
      <c r="M34" s="116"/>
      <c r="N34" s="116"/>
      <c r="O34" s="116"/>
      <c r="P34" s="117">
        <f t="shared" si="9"/>
        <v>0</v>
      </c>
      <c r="Q34" s="116"/>
      <c r="R34" s="116"/>
      <c r="S34" s="116"/>
      <c r="T34" s="117">
        <f t="shared" si="4"/>
        <v>0</v>
      </c>
      <c r="U34" s="116"/>
      <c r="V34" s="116"/>
      <c r="W34" s="116"/>
      <c r="X34" s="117">
        <f t="shared" si="5"/>
        <v>0</v>
      </c>
      <c r="Y34" s="116"/>
      <c r="Z34" s="116"/>
      <c r="AA34" s="116"/>
      <c r="AB34" s="117">
        <f t="shared" si="6"/>
        <v>0</v>
      </c>
      <c r="AC34" s="116"/>
      <c r="AD34" s="118">
        <f t="shared" si="7"/>
        <v>0</v>
      </c>
      <c r="AE34" s="118" t="str">
        <f t="shared" si="8"/>
        <v>0</v>
      </c>
      <c r="AF34" s="119"/>
      <c r="AG34" s="184"/>
      <c r="AH34" s="98"/>
    </row>
    <row r="35" spans="1:34" s="120" customFormat="1" ht="20.85" customHeight="1" x14ac:dyDescent="0.3">
      <c r="A35" s="1742"/>
      <c r="B35" s="1451"/>
      <c r="C35" s="1449"/>
      <c r="D35" s="1451"/>
      <c r="E35" s="1785"/>
      <c r="F35" s="1785"/>
      <c r="G35" s="2185"/>
      <c r="H35" s="2187"/>
      <c r="I35" s="2224"/>
      <c r="J35" s="1825"/>
      <c r="K35" s="2191"/>
      <c r="L35" s="121" t="s">
        <v>116</v>
      </c>
      <c r="M35" s="122"/>
      <c r="N35" s="122"/>
      <c r="O35" s="122"/>
      <c r="P35" s="117">
        <f t="shared" si="9"/>
        <v>0</v>
      </c>
      <c r="Q35" s="122"/>
      <c r="R35" s="122"/>
      <c r="S35" s="122"/>
      <c r="T35" s="117">
        <f t="shared" si="4"/>
        <v>0</v>
      </c>
      <c r="U35" s="122"/>
      <c r="V35" s="122"/>
      <c r="W35" s="122"/>
      <c r="X35" s="117">
        <f t="shared" si="5"/>
        <v>0</v>
      </c>
      <c r="Y35" s="122"/>
      <c r="Z35" s="122"/>
      <c r="AA35" s="122"/>
      <c r="AB35" s="117">
        <f t="shared" si="6"/>
        <v>0</v>
      </c>
      <c r="AC35" s="122"/>
      <c r="AD35" s="123">
        <f t="shared" si="7"/>
        <v>0</v>
      </c>
      <c r="AE35" s="123" t="str">
        <f t="shared" si="8"/>
        <v>0</v>
      </c>
      <c r="AF35" s="124" t="str">
        <f ca="1">IF(OR(F35="", G35=""), "", IF(TODAY()&lt;F35, 0, IF(TODAY()&gt;G35, 1, (TODAY()-F35+1)/(G35-F35+1))))</f>
        <v/>
      </c>
      <c r="AG35" s="206"/>
      <c r="AH35" s="125"/>
    </row>
    <row r="36" spans="1:34" s="120" customFormat="1" ht="20.85" customHeight="1" x14ac:dyDescent="0.3">
      <c r="A36" s="1743"/>
      <c r="B36" s="1452"/>
      <c r="C36" s="1450"/>
      <c r="D36" s="1452"/>
      <c r="E36" s="1786"/>
      <c r="F36" s="1786"/>
      <c r="G36" s="2186"/>
      <c r="H36" s="2188"/>
      <c r="I36" s="2225"/>
      <c r="J36" s="1826"/>
      <c r="K36" s="2192"/>
      <c r="L36" s="121" t="s">
        <v>117</v>
      </c>
      <c r="M36" s="122"/>
      <c r="N36" s="122"/>
      <c r="O36" s="122"/>
      <c r="P36" s="117">
        <f t="shared" si="9"/>
        <v>0</v>
      </c>
      <c r="Q36" s="122"/>
      <c r="R36" s="122"/>
      <c r="S36" s="122"/>
      <c r="T36" s="117">
        <f t="shared" si="4"/>
        <v>0</v>
      </c>
      <c r="U36" s="122"/>
      <c r="V36" s="122"/>
      <c r="W36" s="122"/>
      <c r="X36" s="117">
        <f t="shared" si="5"/>
        <v>0</v>
      </c>
      <c r="Y36" s="122"/>
      <c r="Z36" s="122"/>
      <c r="AA36" s="122"/>
      <c r="AB36" s="117">
        <f t="shared" si="6"/>
        <v>0</v>
      </c>
      <c r="AC36" s="122"/>
      <c r="AD36" s="123">
        <f t="shared" si="7"/>
        <v>0</v>
      </c>
      <c r="AE36" s="123" t="str">
        <f t="shared" si="8"/>
        <v>0</v>
      </c>
      <c r="AF36" s="124"/>
      <c r="AG36" s="207"/>
      <c r="AH36" s="125"/>
    </row>
    <row r="37" spans="1:34" s="120" customFormat="1" ht="20.85" customHeight="1" x14ac:dyDescent="0.3">
      <c r="A37" s="1370"/>
      <c r="B37" s="1370"/>
      <c r="C37" s="1368"/>
      <c r="D37" s="1370"/>
      <c r="E37" s="1372"/>
      <c r="F37" s="1372"/>
      <c r="G37" s="1405"/>
      <c r="H37" s="2193"/>
      <c r="I37" s="2222"/>
      <c r="J37" s="1411"/>
      <c r="K37" s="2197"/>
      <c r="L37" s="115" t="s">
        <v>116</v>
      </c>
      <c r="M37" s="116"/>
      <c r="N37" s="116"/>
      <c r="O37" s="116"/>
      <c r="P37" s="117">
        <f t="shared" si="9"/>
        <v>0</v>
      </c>
      <c r="Q37" s="116"/>
      <c r="R37" s="116"/>
      <c r="S37" s="116"/>
      <c r="T37" s="117">
        <f t="shared" si="4"/>
        <v>0</v>
      </c>
      <c r="U37" s="116"/>
      <c r="V37" s="116"/>
      <c r="W37" s="116"/>
      <c r="X37" s="117">
        <f t="shared" si="5"/>
        <v>0</v>
      </c>
      <c r="Y37" s="116"/>
      <c r="Z37" s="116"/>
      <c r="AA37" s="116"/>
      <c r="AB37" s="117">
        <f t="shared" si="6"/>
        <v>0</v>
      </c>
      <c r="AC37" s="116"/>
      <c r="AD37" s="118">
        <f t="shared" si="7"/>
        <v>0</v>
      </c>
      <c r="AE37" s="118" t="str">
        <f t="shared" si="8"/>
        <v>0</v>
      </c>
      <c r="AF37" s="119" t="str">
        <f ca="1">IF(OR(F37="", G37=""), "", IF(TODAY()&lt;F37, 0, IF(TODAY()&gt;G37, 1, (TODAY()-F37+1)/(G37-F37+1))))</f>
        <v/>
      </c>
      <c r="AG37" s="183"/>
      <c r="AH37" s="98"/>
    </row>
    <row r="38" spans="1:34" s="120" customFormat="1" ht="20.85" customHeight="1" x14ac:dyDescent="0.3">
      <c r="A38" s="1371"/>
      <c r="B38" s="1371"/>
      <c r="C38" s="1369"/>
      <c r="D38" s="1371"/>
      <c r="E38" s="1373"/>
      <c r="F38" s="1373"/>
      <c r="G38" s="1406"/>
      <c r="H38" s="2194"/>
      <c r="I38" s="2223"/>
      <c r="J38" s="1412"/>
      <c r="K38" s="2198"/>
      <c r="L38" s="115" t="s">
        <v>117</v>
      </c>
      <c r="M38" s="116"/>
      <c r="N38" s="116"/>
      <c r="O38" s="116"/>
      <c r="P38" s="117">
        <f t="shared" si="9"/>
        <v>0</v>
      </c>
      <c r="Q38" s="116"/>
      <c r="R38" s="116"/>
      <c r="S38" s="116"/>
      <c r="T38" s="117">
        <f t="shared" si="4"/>
        <v>0</v>
      </c>
      <c r="U38" s="116"/>
      <c r="V38" s="116"/>
      <c r="W38" s="116"/>
      <c r="X38" s="117">
        <f t="shared" si="5"/>
        <v>0</v>
      </c>
      <c r="Y38" s="116"/>
      <c r="Z38" s="116"/>
      <c r="AA38" s="116"/>
      <c r="AB38" s="117">
        <f t="shared" si="6"/>
        <v>0</v>
      </c>
      <c r="AC38" s="116"/>
      <c r="AD38" s="118">
        <f t="shared" si="7"/>
        <v>0</v>
      </c>
      <c r="AE38" s="118" t="str">
        <f t="shared" si="8"/>
        <v>0</v>
      </c>
      <c r="AF38" s="119"/>
      <c r="AG38" s="184"/>
      <c r="AH38" s="98"/>
    </row>
    <row r="39" spans="1:34" s="120" customFormat="1" ht="20.85" customHeight="1" x14ac:dyDescent="0.3">
      <c r="A39" s="1742"/>
      <c r="B39" s="1451"/>
      <c r="C39" s="1449"/>
      <c r="D39" s="1451"/>
      <c r="E39" s="1785"/>
      <c r="F39" s="1785"/>
      <c r="G39" s="2185"/>
      <c r="H39" s="2187"/>
      <c r="I39" s="2224"/>
      <c r="J39" s="1825"/>
      <c r="K39" s="2191"/>
      <c r="L39" s="121" t="s">
        <v>116</v>
      </c>
      <c r="M39" s="122"/>
      <c r="N39" s="122"/>
      <c r="O39" s="122"/>
      <c r="P39" s="117">
        <f t="shared" si="9"/>
        <v>0</v>
      </c>
      <c r="Q39" s="122"/>
      <c r="R39" s="122"/>
      <c r="S39" s="122"/>
      <c r="T39" s="117">
        <f t="shared" si="4"/>
        <v>0</v>
      </c>
      <c r="U39" s="122"/>
      <c r="V39" s="122"/>
      <c r="W39" s="122"/>
      <c r="X39" s="117">
        <f t="shared" si="5"/>
        <v>0</v>
      </c>
      <c r="Y39" s="122"/>
      <c r="Z39" s="122"/>
      <c r="AA39" s="122"/>
      <c r="AB39" s="117">
        <f t="shared" si="6"/>
        <v>0</v>
      </c>
      <c r="AC39" s="122"/>
      <c r="AD39" s="123">
        <f t="shared" si="7"/>
        <v>0</v>
      </c>
      <c r="AE39" s="123" t="str">
        <f t="shared" si="8"/>
        <v>0</v>
      </c>
      <c r="AF39" s="124" t="str">
        <f ca="1">IF(OR(F39="", G39=""), "", IF(TODAY()&lt;F39, 0, IF(TODAY()&gt;G39, 1, (TODAY()-F39+1)/(G39-F39+1))))</f>
        <v/>
      </c>
      <c r="AG39" s="206"/>
      <c r="AH39" s="125"/>
    </row>
    <row r="40" spans="1:34" s="120" customFormat="1" ht="20.85" customHeight="1" x14ac:dyDescent="0.3">
      <c r="A40" s="1743"/>
      <c r="B40" s="1452"/>
      <c r="C40" s="1450"/>
      <c r="D40" s="1452"/>
      <c r="E40" s="1786"/>
      <c r="F40" s="1786"/>
      <c r="G40" s="2186"/>
      <c r="H40" s="2188"/>
      <c r="I40" s="2225"/>
      <c r="J40" s="1826"/>
      <c r="K40" s="2192"/>
      <c r="L40" s="121" t="s">
        <v>117</v>
      </c>
      <c r="M40" s="122"/>
      <c r="N40" s="122"/>
      <c r="O40" s="122"/>
      <c r="P40" s="117">
        <f t="shared" si="9"/>
        <v>0</v>
      </c>
      <c r="Q40" s="122"/>
      <c r="R40" s="122"/>
      <c r="S40" s="122"/>
      <c r="T40" s="117">
        <f t="shared" si="4"/>
        <v>0</v>
      </c>
      <c r="U40" s="122"/>
      <c r="V40" s="122"/>
      <c r="W40" s="122"/>
      <c r="X40" s="117">
        <f t="shared" si="5"/>
        <v>0</v>
      </c>
      <c r="Y40" s="122"/>
      <c r="Z40" s="122"/>
      <c r="AA40" s="122"/>
      <c r="AB40" s="117">
        <f t="shared" si="6"/>
        <v>0</v>
      </c>
      <c r="AC40" s="122"/>
      <c r="AD40" s="123">
        <f t="shared" si="7"/>
        <v>0</v>
      </c>
      <c r="AE40" s="123" t="str">
        <f t="shared" si="8"/>
        <v>0</v>
      </c>
      <c r="AF40" s="124"/>
      <c r="AG40" s="207"/>
      <c r="AH40" s="125"/>
    </row>
    <row r="41" spans="1:34" s="120" customFormat="1" ht="20.85" customHeight="1" x14ac:dyDescent="0.3">
      <c r="A41" s="1370"/>
      <c r="B41" s="1370"/>
      <c r="C41" s="1368"/>
      <c r="D41" s="1370"/>
      <c r="E41" s="1372"/>
      <c r="F41" s="1372"/>
      <c r="G41" s="1405"/>
      <c r="H41" s="2193"/>
      <c r="I41" s="2222"/>
      <c r="J41" s="1411"/>
      <c r="K41" s="2197"/>
      <c r="L41" s="115" t="s">
        <v>116</v>
      </c>
      <c r="M41" s="116"/>
      <c r="N41" s="116"/>
      <c r="O41" s="116"/>
      <c r="P41" s="117">
        <f t="shared" si="9"/>
        <v>0</v>
      </c>
      <c r="Q41" s="116"/>
      <c r="R41" s="116"/>
      <c r="S41" s="116"/>
      <c r="T41" s="117">
        <f t="shared" si="4"/>
        <v>0</v>
      </c>
      <c r="U41" s="116"/>
      <c r="V41" s="116"/>
      <c r="W41" s="116"/>
      <c r="X41" s="117">
        <f t="shared" si="5"/>
        <v>0</v>
      </c>
      <c r="Y41" s="116"/>
      <c r="Z41" s="116"/>
      <c r="AA41" s="116"/>
      <c r="AB41" s="117">
        <f t="shared" si="6"/>
        <v>0</v>
      </c>
      <c r="AC41" s="116"/>
      <c r="AD41" s="118">
        <f t="shared" si="7"/>
        <v>0</v>
      </c>
      <c r="AE41" s="118" t="str">
        <f t="shared" si="8"/>
        <v>0</v>
      </c>
      <c r="AF41" s="119" t="str">
        <f ca="1">IF(OR(F41="", G41=""), "", IF(TODAY()&lt;F41, 0, IF(TODAY()&gt;G41, 1, (TODAY()-F41+1)/(G41-F41+1))))</f>
        <v/>
      </c>
      <c r="AG41" s="183"/>
      <c r="AH41" s="98"/>
    </row>
    <row r="42" spans="1:34" s="120" customFormat="1" ht="20.85" customHeight="1" x14ac:dyDescent="0.3">
      <c r="A42" s="1371"/>
      <c r="B42" s="1371"/>
      <c r="C42" s="1369"/>
      <c r="D42" s="1371"/>
      <c r="E42" s="1373"/>
      <c r="F42" s="1373"/>
      <c r="G42" s="1406"/>
      <c r="H42" s="2194"/>
      <c r="I42" s="2223"/>
      <c r="J42" s="1412"/>
      <c r="K42" s="2198"/>
      <c r="L42" s="115" t="s">
        <v>117</v>
      </c>
      <c r="M42" s="116"/>
      <c r="N42" s="116"/>
      <c r="O42" s="116"/>
      <c r="P42" s="117">
        <f t="shared" si="9"/>
        <v>0</v>
      </c>
      <c r="Q42" s="116"/>
      <c r="R42" s="116"/>
      <c r="S42" s="116"/>
      <c r="T42" s="117">
        <f t="shared" si="4"/>
        <v>0</v>
      </c>
      <c r="U42" s="116"/>
      <c r="V42" s="116"/>
      <c r="W42" s="116"/>
      <c r="X42" s="117">
        <f t="shared" si="5"/>
        <v>0</v>
      </c>
      <c r="Y42" s="116"/>
      <c r="Z42" s="116"/>
      <c r="AA42" s="116"/>
      <c r="AB42" s="117">
        <f t="shared" si="6"/>
        <v>0</v>
      </c>
      <c r="AC42" s="116"/>
      <c r="AD42" s="118">
        <f t="shared" si="7"/>
        <v>0</v>
      </c>
      <c r="AE42" s="118" t="str">
        <f t="shared" si="8"/>
        <v>0</v>
      </c>
      <c r="AF42" s="119"/>
      <c r="AG42" s="184"/>
      <c r="AH42" s="98"/>
    </row>
    <row r="43" spans="1:34" s="120" customFormat="1" ht="20.85" customHeight="1" x14ac:dyDescent="0.3">
      <c r="A43" s="1742"/>
      <c r="B43" s="1451"/>
      <c r="C43" s="1449"/>
      <c r="D43" s="1451"/>
      <c r="E43" s="1785"/>
      <c r="F43" s="1785"/>
      <c r="G43" s="2185"/>
      <c r="H43" s="2187"/>
      <c r="I43" s="2224"/>
      <c r="J43" s="1825"/>
      <c r="K43" s="2191"/>
      <c r="L43" s="121" t="s">
        <v>116</v>
      </c>
      <c r="M43" s="122"/>
      <c r="N43" s="122"/>
      <c r="O43" s="122"/>
      <c r="P43" s="117">
        <f t="shared" si="9"/>
        <v>0</v>
      </c>
      <c r="Q43" s="122"/>
      <c r="R43" s="122"/>
      <c r="S43" s="122"/>
      <c r="T43" s="117">
        <f t="shared" ref="T43:T56" si="10">SUM(Q43:S43)</f>
        <v>0</v>
      </c>
      <c r="U43" s="122"/>
      <c r="V43" s="122"/>
      <c r="W43" s="122"/>
      <c r="X43" s="117">
        <f t="shared" si="5"/>
        <v>0</v>
      </c>
      <c r="Y43" s="122"/>
      <c r="Z43" s="122"/>
      <c r="AA43" s="122"/>
      <c r="AB43" s="117">
        <f t="shared" si="6"/>
        <v>0</v>
      </c>
      <c r="AC43" s="122"/>
      <c r="AD43" s="123">
        <f t="shared" si="7"/>
        <v>0</v>
      </c>
      <c r="AE43" s="123" t="str">
        <f t="shared" si="8"/>
        <v>0</v>
      </c>
      <c r="AF43" s="124" t="str">
        <f ca="1">IF(OR(F43="", G43=""), "", IF(TODAY()&lt;F43, 0, IF(TODAY()&gt;G43, 1, (TODAY()-F43+1)/(G43-F43+1))))</f>
        <v/>
      </c>
      <c r="AG43" s="206"/>
      <c r="AH43" s="125"/>
    </row>
    <row r="44" spans="1:34" s="120" customFormat="1" ht="20.85" customHeight="1" x14ac:dyDescent="0.3">
      <c r="A44" s="1743"/>
      <c r="B44" s="1452"/>
      <c r="C44" s="1450"/>
      <c r="D44" s="1452"/>
      <c r="E44" s="1786"/>
      <c r="F44" s="1786"/>
      <c r="G44" s="2186"/>
      <c r="H44" s="2188"/>
      <c r="I44" s="2225"/>
      <c r="J44" s="1826"/>
      <c r="K44" s="2192"/>
      <c r="L44" s="121" t="s">
        <v>117</v>
      </c>
      <c r="M44" s="122"/>
      <c r="N44" s="122"/>
      <c r="O44" s="122"/>
      <c r="P44" s="117">
        <f t="shared" ref="P44:P56" si="11">SUM(M44:O44)</f>
        <v>0</v>
      </c>
      <c r="Q44" s="122"/>
      <c r="R44" s="122"/>
      <c r="S44" s="122"/>
      <c r="T44" s="117">
        <f t="shared" si="10"/>
        <v>0</v>
      </c>
      <c r="U44" s="122"/>
      <c r="V44" s="122"/>
      <c r="W44" s="122"/>
      <c r="X44" s="117">
        <f t="shared" si="5"/>
        <v>0</v>
      </c>
      <c r="Y44" s="122"/>
      <c r="Z44" s="122"/>
      <c r="AA44" s="122"/>
      <c r="AB44" s="117">
        <f t="shared" si="6"/>
        <v>0</v>
      </c>
      <c r="AC44" s="122"/>
      <c r="AD44" s="123">
        <f t="shared" si="7"/>
        <v>0</v>
      </c>
      <c r="AE44" s="123" t="str">
        <f t="shared" si="8"/>
        <v>0</v>
      </c>
      <c r="AF44" s="124"/>
      <c r="AG44" s="207"/>
      <c r="AH44" s="125"/>
    </row>
    <row r="45" spans="1:34" s="120" customFormat="1" ht="20.85" customHeight="1" x14ac:dyDescent="0.3">
      <c r="A45" s="1370"/>
      <c r="B45" s="1370"/>
      <c r="C45" s="1368"/>
      <c r="D45" s="1370"/>
      <c r="E45" s="1372"/>
      <c r="F45" s="1372"/>
      <c r="G45" s="1405"/>
      <c r="H45" s="2193"/>
      <c r="I45" s="2222"/>
      <c r="J45" s="1411"/>
      <c r="K45" s="2197"/>
      <c r="L45" s="115" t="s">
        <v>116</v>
      </c>
      <c r="M45" s="116"/>
      <c r="N45" s="116"/>
      <c r="O45" s="116"/>
      <c r="P45" s="117">
        <f t="shared" si="11"/>
        <v>0</v>
      </c>
      <c r="Q45" s="116"/>
      <c r="R45" s="116"/>
      <c r="S45" s="116"/>
      <c r="T45" s="117">
        <f t="shared" si="10"/>
        <v>0</v>
      </c>
      <c r="U45" s="116"/>
      <c r="V45" s="116"/>
      <c r="W45" s="116"/>
      <c r="X45" s="117">
        <f t="shared" si="5"/>
        <v>0</v>
      </c>
      <c r="Y45" s="116"/>
      <c r="Z45" s="116"/>
      <c r="AA45" s="116"/>
      <c r="AB45" s="117">
        <f t="shared" si="6"/>
        <v>0</v>
      </c>
      <c r="AC45" s="116"/>
      <c r="AD45" s="118">
        <f t="shared" si="7"/>
        <v>0</v>
      </c>
      <c r="AE45" s="118" t="str">
        <f t="shared" si="8"/>
        <v>0</v>
      </c>
      <c r="AF45" s="119" t="str">
        <f ca="1">IF(OR(F45="", G45=""), "", IF(TODAY()&lt;F45, 0, IF(TODAY()&gt;G45, 1, (TODAY()-F45+1)/(G45-F45+1))))</f>
        <v/>
      </c>
      <c r="AG45" s="183"/>
      <c r="AH45" s="98"/>
    </row>
    <row r="46" spans="1:34" s="120" customFormat="1" ht="20.85" customHeight="1" x14ac:dyDescent="0.3">
      <c r="A46" s="1371"/>
      <c r="B46" s="1371"/>
      <c r="C46" s="1369"/>
      <c r="D46" s="1371"/>
      <c r="E46" s="1373"/>
      <c r="F46" s="1373"/>
      <c r="G46" s="1406"/>
      <c r="H46" s="2194"/>
      <c r="I46" s="2223"/>
      <c r="J46" s="1412"/>
      <c r="K46" s="2198"/>
      <c r="L46" s="115" t="s">
        <v>117</v>
      </c>
      <c r="M46" s="116"/>
      <c r="N46" s="116"/>
      <c r="O46" s="116"/>
      <c r="P46" s="117">
        <f t="shared" si="11"/>
        <v>0</v>
      </c>
      <c r="Q46" s="116"/>
      <c r="R46" s="116"/>
      <c r="S46" s="116"/>
      <c r="T46" s="117">
        <f t="shared" si="10"/>
        <v>0</v>
      </c>
      <c r="U46" s="116"/>
      <c r="V46" s="116"/>
      <c r="W46" s="116"/>
      <c r="X46" s="117">
        <f t="shared" si="5"/>
        <v>0</v>
      </c>
      <c r="Y46" s="116"/>
      <c r="Z46" s="116"/>
      <c r="AA46" s="116"/>
      <c r="AB46" s="117">
        <f t="shared" si="6"/>
        <v>0</v>
      </c>
      <c r="AC46" s="116"/>
      <c r="AD46" s="118">
        <f t="shared" si="7"/>
        <v>0</v>
      </c>
      <c r="AE46" s="118" t="str">
        <f t="shared" si="8"/>
        <v>0</v>
      </c>
      <c r="AF46" s="119"/>
      <c r="AG46" s="184"/>
      <c r="AH46" s="98"/>
    </row>
    <row r="47" spans="1:34" s="120" customFormat="1" ht="20.85" customHeight="1" x14ac:dyDescent="0.3">
      <c r="A47" s="1742"/>
      <c r="B47" s="1451"/>
      <c r="C47" s="1449"/>
      <c r="D47" s="1451"/>
      <c r="E47" s="1785"/>
      <c r="F47" s="1785"/>
      <c r="G47" s="2185"/>
      <c r="H47" s="2187"/>
      <c r="I47" s="2224"/>
      <c r="J47" s="1825"/>
      <c r="K47" s="2191"/>
      <c r="L47" s="121" t="s">
        <v>116</v>
      </c>
      <c r="M47" s="122"/>
      <c r="N47" s="122"/>
      <c r="O47" s="122"/>
      <c r="P47" s="117">
        <f t="shared" si="11"/>
        <v>0</v>
      </c>
      <c r="Q47" s="122"/>
      <c r="R47" s="122"/>
      <c r="S47" s="122"/>
      <c r="T47" s="117">
        <f t="shared" si="10"/>
        <v>0</v>
      </c>
      <c r="U47" s="122"/>
      <c r="V47" s="122"/>
      <c r="W47" s="122"/>
      <c r="X47" s="117">
        <f t="shared" si="5"/>
        <v>0</v>
      </c>
      <c r="Y47" s="122"/>
      <c r="Z47" s="122"/>
      <c r="AA47" s="122"/>
      <c r="AB47" s="117">
        <f t="shared" si="6"/>
        <v>0</v>
      </c>
      <c r="AC47" s="122"/>
      <c r="AD47" s="123">
        <f t="shared" si="7"/>
        <v>0</v>
      </c>
      <c r="AE47" s="123" t="str">
        <f t="shared" si="8"/>
        <v>0</v>
      </c>
      <c r="AF47" s="124" t="str">
        <f ca="1">IF(OR(F47="", G47=""), "", IF(TODAY()&lt;F47, 0, IF(TODAY()&gt;G47, 1, (TODAY()-F47+1)/(G47-F47+1))))</f>
        <v/>
      </c>
      <c r="AG47" s="206"/>
      <c r="AH47" s="125"/>
    </row>
    <row r="48" spans="1:34" s="120" customFormat="1" ht="20.85" customHeight="1" x14ac:dyDescent="0.3">
      <c r="A48" s="1743"/>
      <c r="B48" s="1452"/>
      <c r="C48" s="1450"/>
      <c r="D48" s="1452"/>
      <c r="E48" s="1786"/>
      <c r="F48" s="1786"/>
      <c r="G48" s="2186"/>
      <c r="H48" s="2188"/>
      <c r="I48" s="2225"/>
      <c r="J48" s="1826"/>
      <c r="K48" s="2192"/>
      <c r="L48" s="121" t="s">
        <v>117</v>
      </c>
      <c r="M48" s="122"/>
      <c r="N48" s="122"/>
      <c r="O48" s="122"/>
      <c r="P48" s="117">
        <f t="shared" si="11"/>
        <v>0</v>
      </c>
      <c r="Q48" s="122"/>
      <c r="R48" s="122"/>
      <c r="S48" s="122"/>
      <c r="T48" s="117">
        <f t="shared" si="10"/>
        <v>0</v>
      </c>
      <c r="U48" s="122"/>
      <c r="V48" s="122"/>
      <c r="W48" s="122"/>
      <c r="X48" s="117">
        <f t="shared" si="5"/>
        <v>0</v>
      </c>
      <c r="Y48" s="122"/>
      <c r="Z48" s="122"/>
      <c r="AA48" s="122"/>
      <c r="AB48" s="117">
        <f t="shared" si="6"/>
        <v>0</v>
      </c>
      <c r="AC48" s="122"/>
      <c r="AD48" s="123">
        <f t="shared" si="7"/>
        <v>0</v>
      </c>
      <c r="AE48" s="123" t="str">
        <f t="shared" si="8"/>
        <v>0</v>
      </c>
      <c r="AF48" s="124"/>
      <c r="AG48" s="207"/>
      <c r="AH48" s="125"/>
    </row>
    <row r="49" spans="1:34" s="120" customFormat="1" ht="20.85" customHeight="1" x14ac:dyDescent="0.3">
      <c r="A49" s="1370"/>
      <c r="B49" s="1370"/>
      <c r="C49" s="1368"/>
      <c r="D49" s="1370"/>
      <c r="E49" s="1372"/>
      <c r="F49" s="1372"/>
      <c r="G49" s="1405"/>
      <c r="H49" s="2193"/>
      <c r="I49" s="2222"/>
      <c r="J49" s="1411"/>
      <c r="K49" s="2197"/>
      <c r="L49" s="115" t="s">
        <v>116</v>
      </c>
      <c r="M49" s="116"/>
      <c r="N49" s="116"/>
      <c r="O49" s="116"/>
      <c r="P49" s="117">
        <f t="shared" si="11"/>
        <v>0</v>
      </c>
      <c r="Q49" s="116"/>
      <c r="R49" s="116"/>
      <c r="S49" s="116"/>
      <c r="T49" s="117">
        <f t="shared" si="10"/>
        <v>0</v>
      </c>
      <c r="U49" s="116"/>
      <c r="V49" s="116"/>
      <c r="W49" s="116"/>
      <c r="X49" s="117">
        <f t="shared" si="5"/>
        <v>0</v>
      </c>
      <c r="Y49" s="116"/>
      <c r="Z49" s="116"/>
      <c r="AA49" s="116"/>
      <c r="AB49" s="117">
        <f t="shared" si="6"/>
        <v>0</v>
      </c>
      <c r="AC49" s="116"/>
      <c r="AD49" s="118">
        <f t="shared" si="7"/>
        <v>0</v>
      </c>
      <c r="AE49" s="118" t="str">
        <f t="shared" si="8"/>
        <v>0</v>
      </c>
      <c r="AF49" s="119" t="str">
        <f ca="1">IF(OR(F49="", G49=""), "", IF(TODAY()&lt;F49, 0, IF(TODAY()&gt;G49, 1, (TODAY()-F49+1)/(G49-F49+1))))</f>
        <v/>
      </c>
      <c r="AG49" s="183"/>
      <c r="AH49" s="98"/>
    </row>
    <row r="50" spans="1:34" s="120" customFormat="1" ht="20.85" customHeight="1" x14ac:dyDescent="0.3">
      <c r="A50" s="1371"/>
      <c r="B50" s="1371"/>
      <c r="C50" s="1369"/>
      <c r="D50" s="1371"/>
      <c r="E50" s="1373"/>
      <c r="F50" s="1373"/>
      <c r="G50" s="1406"/>
      <c r="H50" s="2194"/>
      <c r="I50" s="2223"/>
      <c r="J50" s="1412"/>
      <c r="K50" s="2198"/>
      <c r="L50" s="115" t="s">
        <v>117</v>
      </c>
      <c r="M50" s="116"/>
      <c r="N50" s="116"/>
      <c r="O50" s="116"/>
      <c r="P50" s="117">
        <f t="shared" si="11"/>
        <v>0</v>
      </c>
      <c r="Q50" s="116"/>
      <c r="R50" s="116"/>
      <c r="S50" s="116"/>
      <c r="T50" s="117">
        <f t="shared" si="10"/>
        <v>0</v>
      </c>
      <c r="U50" s="116"/>
      <c r="V50" s="116"/>
      <c r="W50" s="116"/>
      <c r="X50" s="117">
        <f t="shared" si="5"/>
        <v>0</v>
      </c>
      <c r="Y50" s="116"/>
      <c r="Z50" s="116"/>
      <c r="AA50" s="116"/>
      <c r="AB50" s="117">
        <f t="shared" si="6"/>
        <v>0</v>
      </c>
      <c r="AC50" s="116"/>
      <c r="AD50" s="118">
        <f t="shared" si="7"/>
        <v>0</v>
      </c>
      <c r="AE50" s="118" t="str">
        <f t="shared" si="8"/>
        <v>0</v>
      </c>
      <c r="AF50" s="119"/>
      <c r="AG50" s="184"/>
      <c r="AH50" s="98"/>
    </row>
    <row r="51" spans="1:34" s="120" customFormat="1" ht="20.85" customHeight="1" x14ac:dyDescent="0.3">
      <c r="A51" s="1742"/>
      <c r="B51" s="1451"/>
      <c r="C51" s="1449"/>
      <c r="D51" s="1451"/>
      <c r="E51" s="1785"/>
      <c r="F51" s="1785"/>
      <c r="G51" s="2185"/>
      <c r="H51" s="2187"/>
      <c r="I51" s="2224"/>
      <c r="J51" s="1825"/>
      <c r="K51" s="2191"/>
      <c r="L51" s="121" t="s">
        <v>116</v>
      </c>
      <c r="M51" s="122"/>
      <c r="N51" s="122"/>
      <c r="O51" s="122"/>
      <c r="P51" s="117">
        <f t="shared" si="11"/>
        <v>0</v>
      </c>
      <c r="Q51" s="122"/>
      <c r="R51" s="122"/>
      <c r="S51" s="122"/>
      <c r="T51" s="117">
        <f t="shared" si="10"/>
        <v>0</v>
      </c>
      <c r="U51" s="122"/>
      <c r="V51" s="122"/>
      <c r="W51" s="122"/>
      <c r="X51" s="117">
        <f t="shared" si="5"/>
        <v>0</v>
      </c>
      <c r="Y51" s="122"/>
      <c r="Z51" s="122"/>
      <c r="AA51" s="122"/>
      <c r="AB51" s="117">
        <f t="shared" si="6"/>
        <v>0</v>
      </c>
      <c r="AC51" s="122"/>
      <c r="AD51" s="123">
        <f t="shared" si="7"/>
        <v>0</v>
      </c>
      <c r="AE51" s="123" t="str">
        <f t="shared" si="8"/>
        <v>0</v>
      </c>
      <c r="AF51" s="124" t="str">
        <f ca="1">IF(OR(F51="", G51=""), "", IF(TODAY()&lt;F51, 0, IF(TODAY()&gt;G51, 1, (TODAY()-F51+1)/(G51-F51+1))))</f>
        <v/>
      </c>
      <c r="AG51" s="206"/>
      <c r="AH51" s="125"/>
    </row>
    <row r="52" spans="1:34" s="120" customFormat="1" ht="20.85" customHeight="1" x14ac:dyDescent="0.3">
      <c r="A52" s="1743"/>
      <c r="B52" s="1452"/>
      <c r="C52" s="1450"/>
      <c r="D52" s="1452"/>
      <c r="E52" s="1786"/>
      <c r="F52" s="1786"/>
      <c r="G52" s="2186"/>
      <c r="H52" s="2188"/>
      <c r="I52" s="2225"/>
      <c r="J52" s="1826"/>
      <c r="K52" s="2192"/>
      <c r="L52" s="121" t="s">
        <v>117</v>
      </c>
      <c r="M52" s="122"/>
      <c r="N52" s="122"/>
      <c r="O52" s="122"/>
      <c r="P52" s="117">
        <f t="shared" si="11"/>
        <v>0</v>
      </c>
      <c r="Q52" s="122"/>
      <c r="R52" s="122"/>
      <c r="S52" s="122"/>
      <c r="T52" s="117">
        <f t="shared" si="10"/>
        <v>0</v>
      </c>
      <c r="U52" s="122"/>
      <c r="V52" s="122"/>
      <c r="W52" s="122"/>
      <c r="X52" s="117">
        <f t="shared" si="5"/>
        <v>0</v>
      </c>
      <c r="Y52" s="122"/>
      <c r="Z52" s="122"/>
      <c r="AA52" s="122"/>
      <c r="AB52" s="117">
        <f t="shared" si="6"/>
        <v>0</v>
      </c>
      <c r="AC52" s="122"/>
      <c r="AD52" s="123">
        <f t="shared" si="7"/>
        <v>0</v>
      </c>
      <c r="AE52" s="123" t="str">
        <f t="shared" si="8"/>
        <v>0</v>
      </c>
      <c r="AF52" s="124"/>
      <c r="AG52" s="207"/>
      <c r="AH52" s="125"/>
    </row>
    <row r="53" spans="1:34" s="120" customFormat="1" ht="20.85" customHeight="1" x14ac:dyDescent="0.3">
      <c r="A53" s="1370"/>
      <c r="B53" s="1370"/>
      <c r="C53" s="1368"/>
      <c r="D53" s="1370"/>
      <c r="E53" s="1372"/>
      <c r="F53" s="1372"/>
      <c r="G53" s="1405"/>
      <c r="H53" s="2193"/>
      <c r="I53" s="2222"/>
      <c r="J53" s="1411"/>
      <c r="K53" s="2197"/>
      <c r="L53" s="115" t="s">
        <v>116</v>
      </c>
      <c r="M53" s="116"/>
      <c r="N53" s="116"/>
      <c r="O53" s="116"/>
      <c r="P53" s="117">
        <f t="shared" si="11"/>
        <v>0</v>
      </c>
      <c r="Q53" s="116"/>
      <c r="R53" s="116"/>
      <c r="S53" s="116"/>
      <c r="T53" s="117">
        <f t="shared" si="10"/>
        <v>0</v>
      </c>
      <c r="U53" s="116"/>
      <c r="V53" s="116"/>
      <c r="W53" s="116"/>
      <c r="X53" s="117">
        <f t="shared" si="5"/>
        <v>0</v>
      </c>
      <c r="Y53" s="116"/>
      <c r="Z53" s="116"/>
      <c r="AA53" s="116"/>
      <c r="AB53" s="117">
        <f t="shared" si="6"/>
        <v>0</v>
      </c>
      <c r="AC53" s="116"/>
      <c r="AD53" s="118">
        <f t="shared" si="7"/>
        <v>0</v>
      </c>
      <c r="AE53" s="118" t="str">
        <f t="shared" si="8"/>
        <v>0</v>
      </c>
      <c r="AF53" s="119" t="str">
        <f ca="1">IF(OR(F53="", G53=""), "", IF(TODAY()&lt;F53, 0, IF(TODAY()&gt;G53, 1, (TODAY()-F53+1)/(G53-F53+1))))</f>
        <v/>
      </c>
      <c r="AG53" s="183"/>
      <c r="AH53" s="98"/>
    </row>
    <row r="54" spans="1:34" s="120" customFormat="1" ht="20.85" customHeight="1" x14ac:dyDescent="0.3">
      <c r="A54" s="1371"/>
      <c r="B54" s="1371"/>
      <c r="C54" s="1369"/>
      <c r="D54" s="1371"/>
      <c r="E54" s="1373"/>
      <c r="F54" s="1373"/>
      <c r="G54" s="1406"/>
      <c r="H54" s="2194"/>
      <c r="I54" s="2223"/>
      <c r="J54" s="1412"/>
      <c r="K54" s="2198"/>
      <c r="L54" s="115" t="s">
        <v>117</v>
      </c>
      <c r="M54" s="116"/>
      <c r="N54" s="116"/>
      <c r="O54" s="116"/>
      <c r="P54" s="117">
        <f t="shared" si="11"/>
        <v>0</v>
      </c>
      <c r="Q54" s="116"/>
      <c r="R54" s="116"/>
      <c r="S54" s="116"/>
      <c r="T54" s="117">
        <f t="shared" si="10"/>
        <v>0</v>
      </c>
      <c r="U54" s="116"/>
      <c r="V54" s="116"/>
      <c r="W54" s="116"/>
      <c r="X54" s="117">
        <f t="shared" si="5"/>
        <v>0</v>
      </c>
      <c r="Y54" s="116"/>
      <c r="Z54" s="116"/>
      <c r="AA54" s="116"/>
      <c r="AB54" s="117">
        <f t="shared" si="6"/>
        <v>0</v>
      </c>
      <c r="AC54" s="116"/>
      <c r="AD54" s="118">
        <f t="shared" si="7"/>
        <v>0</v>
      </c>
      <c r="AE54" s="118" t="str">
        <f t="shared" si="8"/>
        <v>0</v>
      </c>
      <c r="AF54" s="119"/>
      <c r="AG54" s="184"/>
      <c r="AH54" s="98"/>
    </row>
    <row r="55" spans="1:34" s="120" customFormat="1" ht="20.85" customHeight="1" x14ac:dyDescent="0.3">
      <c r="A55" s="1742"/>
      <c r="B55" s="1451"/>
      <c r="C55" s="1449"/>
      <c r="D55" s="1451"/>
      <c r="E55" s="1785"/>
      <c r="F55" s="1785"/>
      <c r="G55" s="2185"/>
      <c r="H55" s="2187"/>
      <c r="I55" s="2224"/>
      <c r="J55" s="1825"/>
      <c r="K55" s="2191"/>
      <c r="L55" s="121" t="s">
        <v>116</v>
      </c>
      <c r="M55" s="122"/>
      <c r="N55" s="122"/>
      <c r="O55" s="122"/>
      <c r="P55" s="117">
        <f t="shared" si="11"/>
        <v>0</v>
      </c>
      <c r="Q55" s="122"/>
      <c r="R55" s="122"/>
      <c r="S55" s="122"/>
      <c r="T55" s="117">
        <f t="shared" si="10"/>
        <v>0</v>
      </c>
      <c r="U55" s="122"/>
      <c r="V55" s="122"/>
      <c r="W55" s="122"/>
      <c r="X55" s="117">
        <f t="shared" si="5"/>
        <v>0</v>
      </c>
      <c r="Y55" s="122"/>
      <c r="Z55" s="122"/>
      <c r="AA55" s="122"/>
      <c r="AB55" s="117">
        <f t="shared" si="6"/>
        <v>0</v>
      </c>
      <c r="AC55" s="122"/>
      <c r="AD55" s="123">
        <f t="shared" si="7"/>
        <v>0</v>
      </c>
      <c r="AE55" s="123" t="str">
        <f t="shared" si="8"/>
        <v>0</v>
      </c>
      <c r="AF55" s="124" t="str">
        <f ca="1">IF(OR(F55="", G55=""), "", IF(TODAY()&lt;F55, 0, IF(TODAY()&gt;G55, 1, (TODAY()-F55+1)/(G55-F55+1))))</f>
        <v/>
      </c>
      <c r="AG55" s="206"/>
      <c r="AH55" s="125"/>
    </row>
    <row r="56" spans="1:34" s="120" customFormat="1" ht="20.85" customHeight="1" x14ac:dyDescent="0.3">
      <c r="A56" s="1743"/>
      <c r="B56" s="1452"/>
      <c r="C56" s="1450"/>
      <c r="D56" s="1452"/>
      <c r="E56" s="1786"/>
      <c r="F56" s="1786"/>
      <c r="G56" s="2186"/>
      <c r="H56" s="2188"/>
      <c r="I56" s="2225"/>
      <c r="J56" s="1826"/>
      <c r="K56" s="2192"/>
      <c r="L56" s="121" t="s">
        <v>117</v>
      </c>
      <c r="M56" s="122"/>
      <c r="N56" s="122"/>
      <c r="O56" s="122"/>
      <c r="P56" s="117">
        <f t="shared" si="11"/>
        <v>0</v>
      </c>
      <c r="Q56" s="122"/>
      <c r="R56" s="122"/>
      <c r="S56" s="122"/>
      <c r="T56" s="117">
        <f t="shared" si="10"/>
        <v>0</v>
      </c>
      <c r="U56" s="122"/>
      <c r="V56" s="122"/>
      <c r="W56" s="122"/>
      <c r="X56" s="117">
        <f t="shared" si="5"/>
        <v>0</v>
      </c>
      <c r="Y56" s="122"/>
      <c r="Z56" s="122"/>
      <c r="AA56" s="122"/>
      <c r="AB56" s="117">
        <f t="shared" si="6"/>
        <v>0</v>
      </c>
      <c r="AC56" s="122"/>
      <c r="AD56" s="123">
        <f t="shared" si="7"/>
        <v>0</v>
      </c>
      <c r="AE56" s="123" t="str">
        <f t="shared" si="8"/>
        <v>0</v>
      </c>
      <c r="AF56" s="124"/>
      <c r="AG56" s="207"/>
      <c r="AH56" s="125"/>
    </row>
    <row r="57" spans="1:34" s="120" customFormat="1" ht="20.85" customHeight="1" x14ac:dyDescent="0.3">
      <c r="A57" s="1370"/>
      <c r="B57" s="1370"/>
      <c r="C57" s="1368"/>
      <c r="D57" s="1370"/>
      <c r="E57" s="1372"/>
      <c r="F57" s="1372"/>
      <c r="G57" s="1405"/>
      <c r="H57" s="2193"/>
      <c r="I57" s="2222"/>
      <c r="J57" s="1411"/>
      <c r="K57" s="2197"/>
      <c r="L57" s="115" t="s">
        <v>116</v>
      </c>
      <c r="M57" s="116"/>
      <c r="N57" s="116"/>
      <c r="O57" s="116"/>
      <c r="P57" s="117">
        <f t="shared" ref="P57:P68" si="12">SUM(M57:O57)</f>
        <v>0</v>
      </c>
      <c r="Q57" s="116"/>
      <c r="R57" s="116"/>
      <c r="S57" s="116"/>
      <c r="T57" s="117">
        <f t="shared" ref="T57:T68" si="13">SUM(Q57:S57)</f>
        <v>0</v>
      </c>
      <c r="U57" s="116"/>
      <c r="V57" s="116"/>
      <c r="W57" s="116"/>
      <c r="X57" s="117">
        <f t="shared" si="5"/>
        <v>0</v>
      </c>
      <c r="Y57" s="116"/>
      <c r="Z57" s="116"/>
      <c r="AA57" s="116"/>
      <c r="AB57" s="117">
        <f t="shared" si="6"/>
        <v>0</v>
      </c>
      <c r="AC57" s="116"/>
      <c r="AD57" s="118">
        <f t="shared" si="7"/>
        <v>0</v>
      </c>
      <c r="AE57" s="118" t="str">
        <f t="shared" si="8"/>
        <v>0</v>
      </c>
      <c r="AF57" s="119" t="str">
        <f ca="1">IF(OR(F57="", G57=""), "", IF(TODAY()&lt;F57, 0, IF(TODAY()&gt;G57, 1, (TODAY()-F57+1)/(G57-F57+1))))</f>
        <v/>
      </c>
      <c r="AG57" s="183"/>
      <c r="AH57" s="98"/>
    </row>
    <row r="58" spans="1:34" s="120" customFormat="1" ht="20.85" customHeight="1" x14ac:dyDescent="0.3">
      <c r="A58" s="1371"/>
      <c r="B58" s="1371"/>
      <c r="C58" s="1369"/>
      <c r="D58" s="1371"/>
      <c r="E58" s="1373"/>
      <c r="F58" s="1373"/>
      <c r="G58" s="1406"/>
      <c r="H58" s="2194"/>
      <c r="I58" s="2223"/>
      <c r="J58" s="1412"/>
      <c r="K58" s="2198"/>
      <c r="L58" s="115" t="s">
        <v>117</v>
      </c>
      <c r="M58" s="116"/>
      <c r="N58" s="116"/>
      <c r="O58" s="116"/>
      <c r="P58" s="117">
        <f t="shared" si="12"/>
        <v>0</v>
      </c>
      <c r="Q58" s="116"/>
      <c r="R58" s="116"/>
      <c r="S58" s="116"/>
      <c r="T58" s="117">
        <f t="shared" si="13"/>
        <v>0</v>
      </c>
      <c r="U58" s="116"/>
      <c r="V58" s="116"/>
      <c r="W58" s="116"/>
      <c r="X58" s="117">
        <f t="shared" si="5"/>
        <v>0</v>
      </c>
      <c r="Y58" s="116"/>
      <c r="Z58" s="116"/>
      <c r="AA58" s="116"/>
      <c r="AB58" s="117">
        <f t="shared" si="6"/>
        <v>0</v>
      </c>
      <c r="AC58" s="116"/>
      <c r="AD58" s="118">
        <f t="shared" si="7"/>
        <v>0</v>
      </c>
      <c r="AE58" s="118" t="str">
        <f t="shared" si="8"/>
        <v>0</v>
      </c>
      <c r="AF58" s="119"/>
      <c r="AG58" s="184"/>
      <c r="AH58" s="98"/>
    </row>
    <row r="59" spans="1:34" s="120" customFormat="1" ht="20.85" customHeight="1" x14ac:dyDescent="0.3">
      <c r="A59" s="1742"/>
      <c r="B59" s="1451"/>
      <c r="C59" s="1449"/>
      <c r="D59" s="1451"/>
      <c r="E59" s="1785"/>
      <c r="F59" s="1785"/>
      <c r="G59" s="2185"/>
      <c r="H59" s="2187"/>
      <c r="I59" s="2224"/>
      <c r="J59" s="1825"/>
      <c r="K59" s="2191"/>
      <c r="L59" s="121" t="s">
        <v>116</v>
      </c>
      <c r="M59" s="122"/>
      <c r="N59" s="122"/>
      <c r="O59" s="122"/>
      <c r="P59" s="117">
        <f t="shared" si="12"/>
        <v>0</v>
      </c>
      <c r="Q59" s="122"/>
      <c r="R59" s="122"/>
      <c r="S59" s="122"/>
      <c r="T59" s="117">
        <f t="shared" si="13"/>
        <v>0</v>
      </c>
      <c r="U59" s="122"/>
      <c r="V59" s="122"/>
      <c r="W59" s="122"/>
      <c r="X59" s="117">
        <f t="shared" si="5"/>
        <v>0</v>
      </c>
      <c r="Y59" s="122"/>
      <c r="Z59" s="122"/>
      <c r="AA59" s="122"/>
      <c r="AB59" s="117">
        <f t="shared" si="6"/>
        <v>0</v>
      </c>
      <c r="AC59" s="122"/>
      <c r="AD59" s="123">
        <f t="shared" si="7"/>
        <v>0</v>
      </c>
      <c r="AE59" s="123" t="str">
        <f t="shared" si="8"/>
        <v>0</v>
      </c>
      <c r="AF59" s="124" t="str">
        <f ca="1">IF(OR(F59="", G59=""), "", IF(TODAY()&lt;F59, 0, IF(TODAY()&gt;G59, 1, (TODAY()-F59+1)/(G59-F59+1))))</f>
        <v/>
      </c>
      <c r="AG59" s="206"/>
      <c r="AH59" s="125"/>
    </row>
    <row r="60" spans="1:34" s="120" customFormat="1" ht="20.85" customHeight="1" x14ac:dyDescent="0.3">
      <c r="A60" s="1743"/>
      <c r="B60" s="1452"/>
      <c r="C60" s="1450"/>
      <c r="D60" s="1452"/>
      <c r="E60" s="1786"/>
      <c r="F60" s="1786"/>
      <c r="G60" s="2186"/>
      <c r="H60" s="2188"/>
      <c r="I60" s="2225"/>
      <c r="J60" s="1826"/>
      <c r="K60" s="2192"/>
      <c r="L60" s="121" t="s">
        <v>117</v>
      </c>
      <c r="M60" s="122"/>
      <c r="N60" s="122"/>
      <c r="O60" s="122"/>
      <c r="P60" s="117">
        <f t="shared" si="12"/>
        <v>0</v>
      </c>
      <c r="Q60" s="122"/>
      <c r="R60" s="122"/>
      <c r="S60" s="122"/>
      <c r="T60" s="117">
        <f t="shared" si="13"/>
        <v>0</v>
      </c>
      <c r="U60" s="122"/>
      <c r="V60" s="122"/>
      <c r="W60" s="122"/>
      <c r="X60" s="117">
        <f t="shared" si="5"/>
        <v>0</v>
      </c>
      <c r="Y60" s="122"/>
      <c r="Z60" s="122"/>
      <c r="AA60" s="122"/>
      <c r="AB60" s="117">
        <f t="shared" si="6"/>
        <v>0</v>
      </c>
      <c r="AC60" s="122"/>
      <c r="AD60" s="123">
        <f t="shared" si="7"/>
        <v>0</v>
      </c>
      <c r="AE60" s="123" t="str">
        <f t="shared" si="8"/>
        <v>0</v>
      </c>
      <c r="AF60" s="124"/>
      <c r="AG60" s="207"/>
      <c r="AH60" s="125"/>
    </row>
    <row r="61" spans="1:34" s="120" customFormat="1" ht="20.85" customHeight="1" x14ac:dyDescent="0.3">
      <c r="A61" s="1370"/>
      <c r="B61" s="1370"/>
      <c r="C61" s="1368"/>
      <c r="D61" s="1370"/>
      <c r="E61" s="1372"/>
      <c r="F61" s="1372"/>
      <c r="G61" s="1405"/>
      <c r="H61" s="2193"/>
      <c r="I61" s="2222"/>
      <c r="J61" s="1411"/>
      <c r="K61" s="2197"/>
      <c r="L61" s="115" t="s">
        <v>116</v>
      </c>
      <c r="M61" s="116"/>
      <c r="N61" s="116"/>
      <c r="O61" s="116"/>
      <c r="P61" s="117">
        <f t="shared" si="12"/>
        <v>0</v>
      </c>
      <c r="Q61" s="116"/>
      <c r="R61" s="116"/>
      <c r="S61" s="116"/>
      <c r="T61" s="117">
        <f t="shared" si="13"/>
        <v>0</v>
      </c>
      <c r="U61" s="116"/>
      <c r="V61" s="116"/>
      <c r="W61" s="116"/>
      <c r="X61" s="117">
        <f t="shared" si="5"/>
        <v>0</v>
      </c>
      <c r="Y61" s="116"/>
      <c r="Z61" s="116"/>
      <c r="AA61" s="116"/>
      <c r="AB61" s="117">
        <f t="shared" si="6"/>
        <v>0</v>
      </c>
      <c r="AC61" s="116"/>
      <c r="AD61" s="118">
        <f t="shared" si="7"/>
        <v>0</v>
      </c>
      <c r="AE61" s="118" t="str">
        <f t="shared" si="8"/>
        <v>0</v>
      </c>
      <c r="AF61" s="119" t="str">
        <f ca="1">IF(OR(F61="", G61=""), "", IF(TODAY()&lt;F61, 0, IF(TODAY()&gt;G61, 1, (TODAY()-F61+1)/(G61-F61+1))))</f>
        <v/>
      </c>
      <c r="AG61" s="183"/>
      <c r="AH61" s="98"/>
    </row>
    <row r="62" spans="1:34" s="120" customFormat="1" ht="20.85" customHeight="1" x14ac:dyDescent="0.3">
      <c r="A62" s="1371"/>
      <c r="B62" s="1371"/>
      <c r="C62" s="1369"/>
      <c r="D62" s="1371"/>
      <c r="E62" s="1373"/>
      <c r="F62" s="1373"/>
      <c r="G62" s="1406"/>
      <c r="H62" s="2194"/>
      <c r="I62" s="2223"/>
      <c r="J62" s="1412"/>
      <c r="K62" s="2198"/>
      <c r="L62" s="115" t="s">
        <v>117</v>
      </c>
      <c r="M62" s="116"/>
      <c r="N62" s="116"/>
      <c r="O62" s="116"/>
      <c r="P62" s="117">
        <f t="shared" si="12"/>
        <v>0</v>
      </c>
      <c r="Q62" s="116"/>
      <c r="R62" s="116"/>
      <c r="S62" s="116"/>
      <c r="T62" s="117">
        <f t="shared" si="13"/>
        <v>0</v>
      </c>
      <c r="U62" s="116"/>
      <c r="V62" s="116"/>
      <c r="W62" s="116"/>
      <c r="X62" s="117">
        <f t="shared" si="5"/>
        <v>0</v>
      </c>
      <c r="Y62" s="116"/>
      <c r="Z62" s="116"/>
      <c r="AA62" s="116"/>
      <c r="AB62" s="117">
        <f t="shared" si="6"/>
        <v>0</v>
      </c>
      <c r="AC62" s="116"/>
      <c r="AD62" s="118">
        <f t="shared" si="7"/>
        <v>0</v>
      </c>
      <c r="AE62" s="118" t="str">
        <f t="shared" si="8"/>
        <v>0</v>
      </c>
      <c r="AF62" s="119"/>
      <c r="AG62" s="184"/>
      <c r="AH62" s="98"/>
    </row>
    <row r="63" spans="1:34" s="120" customFormat="1" ht="20.85" customHeight="1" x14ac:dyDescent="0.3">
      <c r="A63" s="1742"/>
      <c r="B63" s="1451"/>
      <c r="C63" s="1449"/>
      <c r="D63" s="1451"/>
      <c r="E63" s="1785"/>
      <c r="F63" s="1785"/>
      <c r="G63" s="2185"/>
      <c r="H63" s="2187"/>
      <c r="I63" s="2224"/>
      <c r="J63" s="1825"/>
      <c r="K63" s="2191"/>
      <c r="L63" s="121" t="s">
        <v>116</v>
      </c>
      <c r="M63" s="122"/>
      <c r="N63" s="122"/>
      <c r="O63" s="122"/>
      <c r="P63" s="117">
        <f t="shared" si="12"/>
        <v>0</v>
      </c>
      <c r="Q63" s="122"/>
      <c r="R63" s="122"/>
      <c r="S63" s="122"/>
      <c r="T63" s="117">
        <f t="shared" si="13"/>
        <v>0</v>
      </c>
      <c r="U63" s="122"/>
      <c r="V63" s="122"/>
      <c r="W63" s="122"/>
      <c r="X63" s="117">
        <f t="shared" si="5"/>
        <v>0</v>
      </c>
      <c r="Y63" s="122"/>
      <c r="Z63" s="122"/>
      <c r="AA63" s="122"/>
      <c r="AB63" s="117">
        <f t="shared" si="6"/>
        <v>0</v>
      </c>
      <c r="AC63" s="122"/>
      <c r="AD63" s="123">
        <f t="shared" si="7"/>
        <v>0</v>
      </c>
      <c r="AE63" s="123" t="str">
        <f t="shared" si="8"/>
        <v>0</v>
      </c>
      <c r="AF63" s="124" t="str">
        <f ca="1">IF(OR(F63="", G63=""), "", IF(TODAY()&lt;F63, 0, IF(TODAY()&gt;G63, 1, (TODAY()-F63+1)/(G63-F63+1))))</f>
        <v/>
      </c>
      <c r="AG63" s="206"/>
      <c r="AH63" s="125"/>
    </row>
    <row r="64" spans="1:34" s="120" customFormat="1" ht="20.85" customHeight="1" x14ac:dyDescent="0.3">
      <c r="A64" s="1743"/>
      <c r="B64" s="1452"/>
      <c r="C64" s="1450"/>
      <c r="D64" s="1452"/>
      <c r="E64" s="1786"/>
      <c r="F64" s="1786"/>
      <c r="G64" s="2186"/>
      <c r="H64" s="2188"/>
      <c r="I64" s="2225"/>
      <c r="J64" s="1826"/>
      <c r="K64" s="2192"/>
      <c r="L64" s="121" t="s">
        <v>117</v>
      </c>
      <c r="M64" s="122"/>
      <c r="N64" s="122"/>
      <c r="O64" s="122"/>
      <c r="P64" s="117">
        <f t="shared" si="12"/>
        <v>0</v>
      </c>
      <c r="Q64" s="122"/>
      <c r="R64" s="122"/>
      <c r="S64" s="122"/>
      <c r="T64" s="117">
        <f t="shared" si="13"/>
        <v>0</v>
      </c>
      <c r="U64" s="122"/>
      <c r="V64" s="122"/>
      <c r="W64" s="122"/>
      <c r="X64" s="117">
        <f t="shared" si="5"/>
        <v>0</v>
      </c>
      <c r="Y64" s="122"/>
      <c r="Z64" s="122"/>
      <c r="AA64" s="122"/>
      <c r="AB64" s="117">
        <f t="shared" si="6"/>
        <v>0</v>
      </c>
      <c r="AC64" s="122"/>
      <c r="AD64" s="123">
        <f t="shared" si="7"/>
        <v>0</v>
      </c>
      <c r="AE64" s="123" t="str">
        <f t="shared" si="8"/>
        <v>0</v>
      </c>
      <c r="AF64" s="124"/>
      <c r="AG64" s="207"/>
      <c r="AH64" s="125"/>
    </row>
    <row r="65" spans="1:34" s="120" customFormat="1" ht="20.85" customHeight="1" x14ac:dyDescent="0.3">
      <c r="A65" s="1370"/>
      <c r="B65" s="1370"/>
      <c r="C65" s="1368"/>
      <c r="D65" s="1370"/>
      <c r="E65" s="1372"/>
      <c r="F65" s="1372"/>
      <c r="G65" s="1405"/>
      <c r="H65" s="2193"/>
      <c r="I65" s="2222"/>
      <c r="J65" s="1411"/>
      <c r="K65" s="2197"/>
      <c r="L65" s="115" t="s">
        <v>116</v>
      </c>
      <c r="M65" s="116"/>
      <c r="N65" s="116"/>
      <c r="O65" s="116"/>
      <c r="P65" s="117">
        <f t="shared" si="12"/>
        <v>0</v>
      </c>
      <c r="Q65" s="116"/>
      <c r="R65" s="116"/>
      <c r="S65" s="116"/>
      <c r="T65" s="117">
        <f t="shared" si="13"/>
        <v>0</v>
      </c>
      <c r="U65" s="116"/>
      <c r="V65" s="116"/>
      <c r="W65" s="116"/>
      <c r="X65" s="117">
        <f t="shared" si="5"/>
        <v>0</v>
      </c>
      <c r="Y65" s="116"/>
      <c r="Z65" s="116"/>
      <c r="AA65" s="116"/>
      <c r="AB65" s="117">
        <f t="shared" si="6"/>
        <v>0</v>
      </c>
      <c r="AC65" s="116"/>
      <c r="AD65" s="118">
        <f t="shared" si="7"/>
        <v>0</v>
      </c>
      <c r="AE65" s="118" t="str">
        <f t="shared" si="8"/>
        <v>0</v>
      </c>
      <c r="AF65" s="119" t="str">
        <f ca="1">IF(OR(F65="", G65=""), "", IF(TODAY()&lt;F65, 0, IF(TODAY()&gt;G65, 1, (TODAY()-F65+1)/(G65-F65+1))))</f>
        <v/>
      </c>
      <c r="AG65" s="183"/>
      <c r="AH65" s="98"/>
    </row>
    <row r="66" spans="1:34" s="120" customFormat="1" ht="20.85" customHeight="1" x14ac:dyDescent="0.3">
      <c r="A66" s="1371"/>
      <c r="B66" s="1371"/>
      <c r="C66" s="1369"/>
      <c r="D66" s="1371"/>
      <c r="E66" s="1373"/>
      <c r="F66" s="1373"/>
      <c r="G66" s="1406"/>
      <c r="H66" s="2194"/>
      <c r="I66" s="2223"/>
      <c r="J66" s="1412"/>
      <c r="K66" s="2198"/>
      <c r="L66" s="115" t="s">
        <v>117</v>
      </c>
      <c r="M66" s="116"/>
      <c r="N66" s="116"/>
      <c r="O66" s="116"/>
      <c r="P66" s="117">
        <f t="shared" si="12"/>
        <v>0</v>
      </c>
      <c r="Q66" s="116"/>
      <c r="R66" s="116"/>
      <c r="S66" s="116"/>
      <c r="T66" s="117">
        <f t="shared" si="13"/>
        <v>0</v>
      </c>
      <c r="U66" s="116"/>
      <c r="V66" s="116"/>
      <c r="W66" s="116"/>
      <c r="X66" s="117">
        <f t="shared" si="5"/>
        <v>0</v>
      </c>
      <c r="Y66" s="116"/>
      <c r="Z66" s="116"/>
      <c r="AA66" s="116"/>
      <c r="AB66" s="117">
        <f t="shared" si="6"/>
        <v>0</v>
      </c>
      <c r="AC66" s="116"/>
      <c r="AD66" s="118">
        <f t="shared" si="7"/>
        <v>0</v>
      </c>
      <c r="AE66" s="118" t="str">
        <f t="shared" si="8"/>
        <v>0</v>
      </c>
      <c r="AF66" s="119"/>
      <c r="AG66" s="184"/>
      <c r="AH66" s="98"/>
    </row>
    <row r="67" spans="1:34" s="120" customFormat="1" ht="20.85" customHeight="1" x14ac:dyDescent="0.3">
      <c r="A67" s="1742"/>
      <c r="B67" s="1451"/>
      <c r="C67" s="1449"/>
      <c r="D67" s="1451"/>
      <c r="E67" s="1785"/>
      <c r="F67" s="1785"/>
      <c r="G67" s="2185"/>
      <c r="H67" s="2187"/>
      <c r="I67" s="2224"/>
      <c r="J67" s="1825"/>
      <c r="K67" s="2191"/>
      <c r="L67" s="121" t="s">
        <v>116</v>
      </c>
      <c r="M67" s="122"/>
      <c r="N67" s="122"/>
      <c r="O67" s="122"/>
      <c r="P67" s="117">
        <f t="shared" si="12"/>
        <v>0</v>
      </c>
      <c r="Q67" s="122"/>
      <c r="R67" s="122"/>
      <c r="S67" s="122"/>
      <c r="T67" s="117">
        <f t="shared" si="13"/>
        <v>0</v>
      </c>
      <c r="U67" s="122"/>
      <c r="V67" s="122"/>
      <c r="W67" s="122"/>
      <c r="X67" s="117">
        <f t="shared" si="5"/>
        <v>0</v>
      </c>
      <c r="Y67" s="122"/>
      <c r="Z67" s="122"/>
      <c r="AA67" s="122"/>
      <c r="AB67" s="117">
        <f t="shared" si="6"/>
        <v>0</v>
      </c>
      <c r="AC67" s="122"/>
      <c r="AD67" s="123">
        <f t="shared" si="7"/>
        <v>0</v>
      </c>
      <c r="AE67" s="123" t="str">
        <f t="shared" si="8"/>
        <v>0</v>
      </c>
      <c r="AF67" s="124" t="str">
        <f ca="1">IF(OR(F67="", G67=""), "", IF(TODAY()&lt;F67, 0, IF(TODAY()&gt;G67, 1, (TODAY()-F67+1)/(G67-F67+1))))</f>
        <v/>
      </c>
      <c r="AG67" s="206"/>
      <c r="AH67" s="125"/>
    </row>
    <row r="68" spans="1:34" s="120" customFormat="1" ht="20.85" customHeight="1" x14ac:dyDescent="0.3">
      <c r="A68" s="1743"/>
      <c r="B68" s="1452"/>
      <c r="C68" s="1450"/>
      <c r="D68" s="1452"/>
      <c r="E68" s="1786"/>
      <c r="F68" s="1786"/>
      <c r="G68" s="2186"/>
      <c r="H68" s="2188"/>
      <c r="I68" s="2225"/>
      <c r="J68" s="1826"/>
      <c r="K68" s="2192"/>
      <c r="L68" s="121" t="s">
        <v>117</v>
      </c>
      <c r="M68" s="122"/>
      <c r="N68" s="122"/>
      <c r="O68" s="122"/>
      <c r="P68" s="117">
        <f t="shared" si="12"/>
        <v>0</v>
      </c>
      <c r="Q68" s="122"/>
      <c r="R68" s="122"/>
      <c r="S68" s="122"/>
      <c r="T68" s="117">
        <f t="shared" si="13"/>
        <v>0</v>
      </c>
      <c r="U68" s="122"/>
      <c r="V68" s="122"/>
      <c r="W68" s="122"/>
      <c r="X68" s="117">
        <f t="shared" si="5"/>
        <v>0</v>
      </c>
      <c r="Y68" s="122"/>
      <c r="Z68" s="122"/>
      <c r="AA68" s="122"/>
      <c r="AB68" s="117">
        <f t="shared" si="6"/>
        <v>0</v>
      </c>
      <c r="AC68" s="122"/>
      <c r="AD68" s="123">
        <f t="shared" si="7"/>
        <v>0</v>
      </c>
      <c r="AE68" s="123" t="str">
        <f t="shared" si="8"/>
        <v>0</v>
      </c>
      <c r="AF68" s="124"/>
      <c r="AG68" s="207"/>
      <c r="AH68" s="125"/>
    </row>
    <row r="69" spans="1:34" s="120" customFormat="1" ht="20.85" customHeight="1" x14ac:dyDescent="0.3"/>
    <row r="70" spans="1:34" x14ac:dyDescent="0.3">
      <c r="K70" s="151"/>
      <c r="L70" s="151">
        <v>46023</v>
      </c>
      <c r="M70" s="151">
        <v>46054</v>
      </c>
      <c r="N70" s="151">
        <v>46082</v>
      </c>
      <c r="O70" s="151">
        <v>46113</v>
      </c>
      <c r="P70" s="151">
        <v>46143</v>
      </c>
      <c r="Q70" s="151">
        <v>46174</v>
      </c>
      <c r="R70" s="151">
        <v>46204</v>
      </c>
      <c r="S70" s="151">
        <v>46235</v>
      </c>
      <c r="T70" s="151">
        <v>46266</v>
      </c>
      <c r="U70" s="151">
        <v>46296</v>
      </c>
      <c r="V70" s="151">
        <v>46327</v>
      </c>
      <c r="W70" s="151">
        <v>46357</v>
      </c>
      <c r="X70" s="151" t="s">
        <v>115</v>
      </c>
    </row>
    <row r="71" spans="1:34" x14ac:dyDescent="0.3">
      <c r="K71" s="151" t="s">
        <v>116</v>
      </c>
      <c r="L71" s="152" cm="1">
        <f t="array" ref="L71">SUMPRODUCT(
($L$17:$L$68="Previsto")*
INDEX($M$17:$AB$68,0,MATCH(L$70,$M$16:$AB$16,0))
)</f>
        <v>0</v>
      </c>
      <c r="M71" s="152" cm="1">
        <f t="array" ref="M71">SUMPRODUCT(
($L$17:$L$68="Previsto")*
INDEX($M$17:$AB$68,0,MATCH(M$70,$M$16:$AB$16,0))
)</f>
        <v>0</v>
      </c>
      <c r="N71" s="152" cm="1">
        <f t="array" ref="N71">SUMPRODUCT(
($L$17:$L$68="Previsto")*
INDEX($M$17:$AB$68,0,MATCH(N$70,$M$16:$AB$16,0))
)</f>
        <v>0</v>
      </c>
      <c r="O71" s="152" cm="1">
        <f t="array" ref="O71">SUMPRODUCT(
($L$17:$L$68="Previsto")*
INDEX($M$17:$AB$68,0,MATCH(O$70,$M$16:$AB$16,0))
)</f>
        <v>0</v>
      </c>
      <c r="P71" s="152" cm="1">
        <f t="array" ref="P71">SUMPRODUCT(
($L$17:$L$68="Previsto")*
INDEX($M$17:$AB$68,0,MATCH(P$70,$M$16:$AB$16,0))
)</f>
        <v>0</v>
      </c>
      <c r="Q71" s="152" cm="1">
        <f t="array" ref="Q71">SUMPRODUCT(
($L$17:$L$68="Previsto")*
INDEX($M$17:$AB$68,0,MATCH(Q$70,$M$16:$AB$16,0))
)</f>
        <v>0</v>
      </c>
      <c r="R71" s="152" cm="1">
        <f t="array" ref="R71">SUMPRODUCT(
($L$17:$L$68="Previsto")*
INDEX($M$17:$AB$68,0,MATCH(R$70,$M$16:$AB$16,0))
)</f>
        <v>0</v>
      </c>
      <c r="S71" s="152" cm="1">
        <f t="array" ref="S71">SUMPRODUCT(
($L$17:$L$68="Previsto")*
INDEX($M$17:$AB$68,0,MATCH(S$70,$M$16:$AB$16,0))
)</f>
        <v>0</v>
      </c>
      <c r="T71" s="152" cm="1">
        <f t="array" ref="T71">SUMPRODUCT(
($L$17:$L$68="Previsto")*
INDEX($M$17:$AB$68,0,MATCH(T$70,$M$16:$AB$16,0))
)</f>
        <v>0</v>
      </c>
      <c r="U71" s="152" cm="1">
        <f t="array" ref="U71">SUMPRODUCT(
($L$17:$L$68="Previsto")*
INDEX($M$17:$AB$68,0,MATCH(U$70,$M$16:$AB$16,0))
)</f>
        <v>0</v>
      </c>
      <c r="V71" s="152" cm="1">
        <f t="array" ref="V71">SUMPRODUCT(
($L$17:$L$68="Previsto")*
INDEX($M$17:$AB$68,0,MATCH(V$70,$M$16:$AB$16,0))
)</f>
        <v>0</v>
      </c>
      <c r="W71" s="152" cm="1">
        <f t="array" ref="W71">SUMPRODUCT(
($L$17:$L$68="Previsto")*
INDEX($M$17:$AB$68,0,MATCH(W$70,$M$16:$AB$16,0))
)</f>
        <v>0</v>
      </c>
      <c r="X71" s="152">
        <f>SUM(L71:W71)</f>
        <v>0</v>
      </c>
    </row>
    <row r="72" spans="1:34" x14ac:dyDescent="0.3">
      <c r="K72" s="153" t="s">
        <v>117</v>
      </c>
      <c r="L72" s="154" cm="1">
        <f t="array" ref="L72">SUMPRODUCT(
($L$17:$L$68="Real")*
INDEX($M$17:$AB$68,0,MATCH(L$70,$M$16:$AB$16,0))
)</f>
        <v>0</v>
      </c>
      <c r="M72" s="154" cm="1">
        <f t="array" ref="M72">SUMPRODUCT(
($L$17:$L$68="Real")*
INDEX($M$17:$AB$68,0,MATCH(M$70,$M$16:$AB$16,0))
)</f>
        <v>0</v>
      </c>
      <c r="N72" s="154" cm="1">
        <f t="array" ref="N72">SUMPRODUCT(
($L$17:$L$68="Real")*
INDEX($M$17:$AB$68,0,MATCH(N$70,$M$16:$AB$16,0))
)</f>
        <v>0</v>
      </c>
      <c r="O72" s="154" cm="1">
        <f t="array" ref="O72">SUMPRODUCT(
($L$17:$L$68="Real")*
INDEX($M$17:$AB$68,0,MATCH(O$70,$M$16:$AB$16,0))
)</f>
        <v>0</v>
      </c>
      <c r="P72" s="154" cm="1">
        <f t="array" ref="P72">SUMPRODUCT(
($L$17:$L$68="Real")*
INDEX($M$17:$AB$68,0,MATCH(P$70,$M$16:$AB$16,0))
)</f>
        <v>0</v>
      </c>
      <c r="Q72" s="154" cm="1">
        <f t="array" ref="Q72">SUMPRODUCT(
($L$17:$L$68="Real")*
INDEX($M$17:$AB$68,0,MATCH(Q$70,$M$16:$AB$16,0))
)</f>
        <v>0</v>
      </c>
      <c r="R72" s="154" cm="1">
        <f t="array" ref="R72">SUMPRODUCT(
($L$17:$L$68="Real")*
INDEX($M$17:$AB$68,0,MATCH(R$70,$M$16:$AB$16,0))
)</f>
        <v>0</v>
      </c>
      <c r="S72" s="154" cm="1">
        <f t="array" ref="S72">SUMPRODUCT(
($L$17:$L$68="Real")*
INDEX($M$17:$AB$68,0,MATCH(S$70,$M$16:$AB$16,0))
)</f>
        <v>0</v>
      </c>
      <c r="T72" s="154" cm="1">
        <f t="array" ref="T72">SUMPRODUCT(
($L$17:$L$68="Real")*
INDEX($M$17:$AB$68,0,MATCH(T$70,$M$16:$AB$16,0))
)</f>
        <v>0</v>
      </c>
      <c r="U72" s="154" cm="1">
        <f t="array" ref="U72">SUMPRODUCT(
($L$17:$L$68="Real")*
INDEX($M$17:$AB$68,0,MATCH(U$70,$M$16:$AB$16,0))
)</f>
        <v>0</v>
      </c>
      <c r="V72" s="154" cm="1">
        <f t="array" ref="V72">SUMPRODUCT(
($L$17:$L$68="Real")*
INDEX($M$17:$AB$68,0,MATCH(V$70,$M$16:$AB$16,0))
)</f>
        <v>0</v>
      </c>
      <c r="W72" s="154" cm="1">
        <f t="array" ref="W72">SUMPRODUCT(
($L$17:$L$68="Real")*
INDEX($M$17:$AB$68,0,MATCH(W$70,$M$16:$AB$16,0))
)</f>
        <v>0</v>
      </c>
      <c r="X72" s="154">
        <f>SUM(L72:W72)</f>
        <v>0</v>
      </c>
    </row>
    <row r="73" spans="1:34" x14ac:dyDescent="0.3">
      <c r="K73" s="160" t="s">
        <v>118</v>
      </c>
      <c r="L73" s="160" cm="1">
        <f t="array" ref="L73">SUMPRODUCT(
($E$17:$E$68&lt;&gt;"")*
($E$17:$E$68&lt;=L$70)*
(($F$17:$F$68="")+($F$17:$F$68&gt;=L$70))
)</f>
        <v>0</v>
      </c>
      <c r="M73" s="160" cm="1">
        <f t="array" ref="M73">SUMPRODUCT(
($E$17:$E$68&lt;&gt;"")*
($E$17:$E$68&lt;=M$70)*
(($F$17:$F$68="")+($F$17:$F$68&gt;=M$70))
)</f>
        <v>0</v>
      </c>
      <c r="N73" s="160" cm="1">
        <f t="array" ref="N73">SUMPRODUCT(
($E$17:$E$68&lt;&gt;"")*
($E$17:$E$68&lt;=N$70)*
(($F$17:$F$68="")+($F$17:$F$68&gt;=N$70))
)</f>
        <v>0</v>
      </c>
      <c r="O73" s="160" cm="1">
        <f t="array" ref="O73">SUMPRODUCT(
($E$17:$E$68&lt;&gt;"")*
($E$17:$E$68&lt;=O$70)*
(($F$17:$F$68="")+($F$17:$F$68&gt;=O$70))
)</f>
        <v>0</v>
      </c>
      <c r="P73" s="160" cm="1">
        <f t="array" ref="P73">SUMPRODUCT(
($E$17:$E$68&lt;&gt;"")*
($E$17:$E$68&lt;=P$70)*
(($F$17:$F$68="")+($F$17:$F$68&gt;=P$70))
)</f>
        <v>0</v>
      </c>
      <c r="Q73" s="160" cm="1">
        <f t="array" ref="Q73">SUMPRODUCT(
($E$17:$E$68&lt;&gt;"")*
($E$17:$E$68&lt;=Q$70)*
(($F$17:$F$68="")+($F$17:$F$68&gt;=Q$70))
)</f>
        <v>0</v>
      </c>
      <c r="R73" s="160" cm="1">
        <f t="array" ref="R73">SUMPRODUCT(
($E$17:$E$68&lt;&gt;"")*
($E$17:$E$68&lt;=R$70)*
(($F$17:$F$68="")+($F$17:$F$68&gt;=R$70))
)</f>
        <v>0</v>
      </c>
      <c r="S73" s="160" cm="1">
        <f t="array" ref="S73">SUMPRODUCT(
($E$17:$E$68&lt;&gt;"")*
($E$17:$E$68&lt;=S$70)*
(($F$17:$F$68="")+($F$17:$F$68&gt;=S$70))
)</f>
        <v>0</v>
      </c>
      <c r="T73" s="160" cm="1">
        <f t="array" ref="T73">SUMPRODUCT(
($E$17:$E$68&lt;&gt;"")*
($E$17:$E$68&lt;=T$70)*
(($F$17:$F$68="")+($F$17:$F$68&gt;=T$70))
)</f>
        <v>0</v>
      </c>
      <c r="U73" s="160" cm="1">
        <f t="array" ref="U73">SUMPRODUCT(
($E$17:$E$68&lt;&gt;"")*
($E$17:$E$68&lt;=U$70)*
(($F$17:$F$68="")+($F$17:$F$68&gt;=U$70))
)</f>
        <v>0</v>
      </c>
      <c r="V73" s="160" cm="1">
        <f t="array" ref="V73">SUMPRODUCT(
($E$17:$E$68&lt;&gt;"")*
($E$17:$E$68&lt;=V$70)*
(($F$17:$F$68="")+($F$17:$F$68&gt;=V$70))
)</f>
        <v>0</v>
      </c>
      <c r="W73" s="160" cm="1">
        <f t="array" ref="W73">SUMPRODUCT(
($E$17:$E$68&lt;&gt;"")*
($E$17:$E$68&lt;=W$70)*
(($F$17:$F$68="")+($F$17:$F$68&gt;=W$70))
)</f>
        <v>0</v>
      </c>
    </row>
  </sheetData>
  <sheetProtection algorithmName="SHA-512" hashValue="Tb/2vprWqgIaWowAN4O/zH2bqcVGqYyqW30eos3NLlNJZswKLTj3qbzsr0UncCiYPYz3B/UPoU6OygAyLUYzPQ==" saltValue="cSb3hXOtEw3WquSf4jdfBQ==" spinCount="100000" sheet="1" objects="1" scenarios="1"/>
  <mergeCells count="307">
    <mergeCell ref="F67:F68"/>
    <mergeCell ref="G67:G68"/>
    <mergeCell ref="H67:H68"/>
    <mergeCell ref="I67:I68"/>
    <mergeCell ref="K67:K68"/>
    <mergeCell ref="A67:A68"/>
    <mergeCell ref="B67:B68"/>
    <mergeCell ref="C67:C68"/>
    <mergeCell ref="D67:D68"/>
    <mergeCell ref="E67:E68"/>
    <mergeCell ref="J67:J68"/>
    <mergeCell ref="K65:K66"/>
    <mergeCell ref="F63:F64"/>
    <mergeCell ref="G63:G64"/>
    <mergeCell ref="H63:H64"/>
    <mergeCell ref="I63:I64"/>
    <mergeCell ref="K63:K64"/>
    <mergeCell ref="A63:A64"/>
    <mergeCell ref="B63:B64"/>
    <mergeCell ref="C63:C64"/>
    <mergeCell ref="D63:D64"/>
    <mergeCell ref="E63:E64"/>
    <mergeCell ref="J63:J64"/>
    <mergeCell ref="J65:J66"/>
    <mergeCell ref="A65:A66"/>
    <mergeCell ref="B65:B66"/>
    <mergeCell ref="C65:C66"/>
    <mergeCell ref="D65:D66"/>
    <mergeCell ref="E65:E66"/>
    <mergeCell ref="F65:F66"/>
    <mergeCell ref="G65:G66"/>
    <mergeCell ref="H65:H66"/>
    <mergeCell ref="I65:I66"/>
    <mergeCell ref="K61:K62"/>
    <mergeCell ref="F59:F60"/>
    <mergeCell ref="G59:G60"/>
    <mergeCell ref="H59:H60"/>
    <mergeCell ref="I59:I60"/>
    <mergeCell ref="K59:K60"/>
    <mergeCell ref="A59:A60"/>
    <mergeCell ref="B59:B60"/>
    <mergeCell ref="C59:C60"/>
    <mergeCell ref="D59:D60"/>
    <mergeCell ref="E59:E60"/>
    <mergeCell ref="J59:J60"/>
    <mergeCell ref="J61:J62"/>
    <mergeCell ref="A61:A62"/>
    <mergeCell ref="B61:B62"/>
    <mergeCell ref="C61:C62"/>
    <mergeCell ref="D61:D62"/>
    <mergeCell ref="E61:E62"/>
    <mergeCell ref="F61:F62"/>
    <mergeCell ref="G61:G62"/>
    <mergeCell ref="H61:H62"/>
    <mergeCell ref="I61:I62"/>
    <mergeCell ref="K57:K58"/>
    <mergeCell ref="F55:F56"/>
    <mergeCell ref="G55:G56"/>
    <mergeCell ref="H55:H56"/>
    <mergeCell ref="I55:I56"/>
    <mergeCell ref="K55:K56"/>
    <mergeCell ref="A55:A56"/>
    <mergeCell ref="B55:B56"/>
    <mergeCell ref="C55:C56"/>
    <mergeCell ref="D55:D56"/>
    <mergeCell ref="E55:E56"/>
    <mergeCell ref="J55:J56"/>
    <mergeCell ref="J57:J58"/>
    <mergeCell ref="A57:A58"/>
    <mergeCell ref="B57:B58"/>
    <mergeCell ref="C57:C58"/>
    <mergeCell ref="D57:D58"/>
    <mergeCell ref="E57:E58"/>
    <mergeCell ref="F57:F58"/>
    <mergeCell ref="G57:G58"/>
    <mergeCell ref="H57:H58"/>
    <mergeCell ref="I57:I58"/>
    <mergeCell ref="K53:K54"/>
    <mergeCell ref="F51:F52"/>
    <mergeCell ref="G51:G52"/>
    <mergeCell ref="H51:H52"/>
    <mergeCell ref="I51:I52"/>
    <mergeCell ref="K51:K52"/>
    <mergeCell ref="A51:A52"/>
    <mergeCell ref="B51:B52"/>
    <mergeCell ref="C51:C52"/>
    <mergeCell ref="D51:D52"/>
    <mergeCell ref="E51:E52"/>
    <mergeCell ref="J51:J52"/>
    <mergeCell ref="J53:J54"/>
    <mergeCell ref="A53:A54"/>
    <mergeCell ref="B53:B54"/>
    <mergeCell ref="C53:C54"/>
    <mergeCell ref="D53:D54"/>
    <mergeCell ref="E53:E54"/>
    <mergeCell ref="F53:F54"/>
    <mergeCell ref="G53:G54"/>
    <mergeCell ref="H53:H54"/>
    <mergeCell ref="I53:I54"/>
    <mergeCell ref="K49:K50"/>
    <mergeCell ref="F47:F48"/>
    <mergeCell ref="G47:G48"/>
    <mergeCell ref="H47:H48"/>
    <mergeCell ref="I47:I48"/>
    <mergeCell ref="K47:K48"/>
    <mergeCell ref="A47:A48"/>
    <mergeCell ref="B47:B48"/>
    <mergeCell ref="C47:C48"/>
    <mergeCell ref="D47:D48"/>
    <mergeCell ref="E47:E48"/>
    <mergeCell ref="J47:J48"/>
    <mergeCell ref="J49:J50"/>
    <mergeCell ref="A49:A50"/>
    <mergeCell ref="B49:B50"/>
    <mergeCell ref="C49:C50"/>
    <mergeCell ref="D49:D50"/>
    <mergeCell ref="E49:E50"/>
    <mergeCell ref="F49:F50"/>
    <mergeCell ref="G49:G50"/>
    <mergeCell ref="H49:H50"/>
    <mergeCell ref="I49:I50"/>
    <mergeCell ref="K45:K46"/>
    <mergeCell ref="F43:F44"/>
    <mergeCell ref="G43:G44"/>
    <mergeCell ref="H43:H44"/>
    <mergeCell ref="I43:I44"/>
    <mergeCell ref="K43:K44"/>
    <mergeCell ref="A43:A44"/>
    <mergeCell ref="B43:B44"/>
    <mergeCell ref="C43:C44"/>
    <mergeCell ref="D43:D44"/>
    <mergeCell ref="E43:E44"/>
    <mergeCell ref="J43:J44"/>
    <mergeCell ref="J45:J46"/>
    <mergeCell ref="A45:A46"/>
    <mergeCell ref="B45:B46"/>
    <mergeCell ref="C45:C46"/>
    <mergeCell ref="D45:D46"/>
    <mergeCell ref="E45:E46"/>
    <mergeCell ref="F45:F46"/>
    <mergeCell ref="G45:G46"/>
    <mergeCell ref="H45:H46"/>
    <mergeCell ref="I45:I46"/>
    <mergeCell ref="K41:K42"/>
    <mergeCell ref="F39:F40"/>
    <mergeCell ref="G39:G40"/>
    <mergeCell ref="H39:H40"/>
    <mergeCell ref="I39:I40"/>
    <mergeCell ref="K39:K40"/>
    <mergeCell ref="A39:A40"/>
    <mergeCell ref="B39:B40"/>
    <mergeCell ref="C39:C40"/>
    <mergeCell ref="D39:D40"/>
    <mergeCell ref="E39:E40"/>
    <mergeCell ref="J39:J40"/>
    <mergeCell ref="J41:J42"/>
    <mergeCell ref="A41:A42"/>
    <mergeCell ref="B41:B42"/>
    <mergeCell ref="C41:C42"/>
    <mergeCell ref="D41:D42"/>
    <mergeCell ref="E41:E42"/>
    <mergeCell ref="F41:F42"/>
    <mergeCell ref="G41:G42"/>
    <mergeCell ref="H41:H42"/>
    <mergeCell ref="I41:I42"/>
    <mergeCell ref="K37:K38"/>
    <mergeCell ref="F35:F36"/>
    <mergeCell ref="G35:G36"/>
    <mergeCell ref="H35:H36"/>
    <mergeCell ref="I35:I36"/>
    <mergeCell ref="K35:K36"/>
    <mergeCell ref="A35:A36"/>
    <mergeCell ref="B35:B36"/>
    <mergeCell ref="C35:C36"/>
    <mergeCell ref="D35:D36"/>
    <mergeCell ref="E35:E36"/>
    <mergeCell ref="J35:J36"/>
    <mergeCell ref="J37:J38"/>
    <mergeCell ref="A37:A38"/>
    <mergeCell ref="B37:B38"/>
    <mergeCell ref="C37:C38"/>
    <mergeCell ref="D37:D38"/>
    <mergeCell ref="E37:E38"/>
    <mergeCell ref="F37:F38"/>
    <mergeCell ref="G37:G38"/>
    <mergeCell ref="H37:H38"/>
    <mergeCell ref="I37:I38"/>
    <mergeCell ref="K33:K34"/>
    <mergeCell ref="F31:F32"/>
    <mergeCell ref="G31:G32"/>
    <mergeCell ref="H31:H32"/>
    <mergeCell ref="I31:I32"/>
    <mergeCell ref="K31:K32"/>
    <mergeCell ref="A31:A32"/>
    <mergeCell ref="B31:B32"/>
    <mergeCell ref="C31:C32"/>
    <mergeCell ref="D31:D32"/>
    <mergeCell ref="E31:E32"/>
    <mergeCell ref="J31:J32"/>
    <mergeCell ref="J33:J34"/>
    <mergeCell ref="A33:A34"/>
    <mergeCell ref="B33:B34"/>
    <mergeCell ref="C33:C34"/>
    <mergeCell ref="D33:D34"/>
    <mergeCell ref="E33:E34"/>
    <mergeCell ref="F33:F34"/>
    <mergeCell ref="G33:G34"/>
    <mergeCell ref="H33:H34"/>
    <mergeCell ref="I33:I34"/>
    <mergeCell ref="K29:K30"/>
    <mergeCell ref="F27:F28"/>
    <mergeCell ref="G27:G28"/>
    <mergeCell ref="H27:H28"/>
    <mergeCell ref="I27:I28"/>
    <mergeCell ref="K27:K28"/>
    <mergeCell ref="A27:A28"/>
    <mergeCell ref="B27:B28"/>
    <mergeCell ref="C27:C28"/>
    <mergeCell ref="D27:D28"/>
    <mergeCell ref="E27:E28"/>
    <mergeCell ref="J27:J28"/>
    <mergeCell ref="J29:J30"/>
    <mergeCell ref="A29:A30"/>
    <mergeCell ref="B29:B30"/>
    <mergeCell ref="C29:C30"/>
    <mergeCell ref="D29:D30"/>
    <mergeCell ref="E29:E30"/>
    <mergeCell ref="F29:F30"/>
    <mergeCell ref="G29:G30"/>
    <mergeCell ref="H29:H30"/>
    <mergeCell ref="I29:I30"/>
    <mergeCell ref="K25:K26"/>
    <mergeCell ref="F23:F24"/>
    <mergeCell ref="G23:G24"/>
    <mergeCell ref="H23:H24"/>
    <mergeCell ref="I23:I24"/>
    <mergeCell ref="K23:K24"/>
    <mergeCell ref="A23:A24"/>
    <mergeCell ref="B23:B24"/>
    <mergeCell ref="C23:C24"/>
    <mergeCell ref="D23:D24"/>
    <mergeCell ref="E23:E24"/>
    <mergeCell ref="J23:J24"/>
    <mergeCell ref="J25:J26"/>
    <mergeCell ref="A25:A26"/>
    <mergeCell ref="B25:B26"/>
    <mergeCell ref="C25:C26"/>
    <mergeCell ref="D25:D26"/>
    <mergeCell ref="E25:E26"/>
    <mergeCell ref="F25:F26"/>
    <mergeCell ref="G25:G26"/>
    <mergeCell ref="H25:H26"/>
    <mergeCell ref="I25:I26"/>
    <mergeCell ref="K21:K22"/>
    <mergeCell ref="F19:F20"/>
    <mergeCell ref="G19:G20"/>
    <mergeCell ref="H19:H20"/>
    <mergeCell ref="I19:I20"/>
    <mergeCell ref="K19:K20"/>
    <mergeCell ref="A19:A20"/>
    <mergeCell ref="B19:B20"/>
    <mergeCell ref="C19:C20"/>
    <mergeCell ref="D19:D20"/>
    <mergeCell ref="E19:E20"/>
    <mergeCell ref="J19:J20"/>
    <mergeCell ref="J21:J22"/>
    <mergeCell ref="A21:A22"/>
    <mergeCell ref="B21:B22"/>
    <mergeCell ref="C21:C22"/>
    <mergeCell ref="D21:D22"/>
    <mergeCell ref="E21:E22"/>
    <mergeCell ref="F21:F22"/>
    <mergeCell ref="G21:G22"/>
    <mergeCell ref="H21:H22"/>
    <mergeCell ref="I21:I22"/>
    <mergeCell ref="K17:K18"/>
    <mergeCell ref="J17:J18"/>
    <mergeCell ref="M5:N5"/>
    <mergeCell ref="A7:E7"/>
    <mergeCell ref="G7:I7"/>
    <mergeCell ref="L13:N13"/>
    <mergeCell ref="A5:B5"/>
    <mergeCell ref="C5:D5"/>
    <mergeCell ref="E5:F5"/>
    <mergeCell ref="G5:I5"/>
    <mergeCell ref="J5:L5"/>
    <mergeCell ref="A17:A18"/>
    <mergeCell ref="B17:B18"/>
    <mergeCell ref="C17:C18"/>
    <mergeCell ref="D17:D18"/>
    <mergeCell ref="E17:E18"/>
    <mergeCell ref="F17:F18"/>
    <mergeCell ref="G17:G18"/>
    <mergeCell ref="H17:H18"/>
    <mergeCell ref="I17:I18"/>
    <mergeCell ref="O1:AB1"/>
    <mergeCell ref="AC1:AG1"/>
    <mergeCell ref="O2:AB2"/>
    <mergeCell ref="AC2:AG2"/>
    <mergeCell ref="A1:N1"/>
    <mergeCell ref="A2:N2"/>
    <mergeCell ref="A4:B4"/>
    <mergeCell ref="C4:D4"/>
    <mergeCell ref="E4:F4"/>
    <mergeCell ref="G4:I4"/>
    <mergeCell ref="J4:L4"/>
    <mergeCell ref="M4:N4"/>
  </mergeCells>
  <conditionalFormatting sqref="E9:E12">
    <cfRule type="dataBar" priority="1">
      <dataBar showValue="0">
        <cfvo type="num" val="0"/>
        <cfvo type="num" val="1"/>
        <color rgb="FF00B050"/>
      </dataBar>
      <extLst>
        <ext xmlns:x14="http://schemas.microsoft.com/office/spreadsheetml/2009/9/main" uri="{B025F937-C7B1-47D3-B67F-A62EFF666E3E}">
          <x14:id>{A242E975-305F-4CC5-A0D0-4158A61CA254}</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A242E975-305F-4CC5-A0D0-4158A61CA254}">
            <x14:dataBar minLength="0" maxLength="100" border="1" direction="leftToRight">
              <x14:cfvo type="num">
                <xm:f>0</xm:f>
              </x14:cfvo>
              <x14:cfvo type="num">
                <xm:f>1</xm:f>
              </x14:cfvo>
              <x14:borderColor rgb="FF000099"/>
              <x14:negativeFillColor rgb="FFFF0000"/>
              <x14:axisColor rgb="FF000000"/>
            </x14:dataBar>
          </x14:cfRule>
          <xm:sqref>E9:E12</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F0421A3A-8110-4A70-9D75-BFD296217DF5}">
          <x14:formula1>
            <xm:f>Parâmetros!$A$24:$A$27</xm:f>
          </x14:formula1>
          <xm:sqref>A17:A68</xm:sqref>
        </x14:dataValidation>
        <x14:dataValidation type="list" allowBlank="1" showInputMessage="1" showErrorMessage="1" xr:uid="{E403B9C6-5736-4CFB-B061-D74176A52A1D}">
          <x14:formula1>
            <xm:f>Parâmetros!$A$31:$A$33</xm:f>
          </x14:formula1>
          <xm:sqref>AG17:AG68 J17 J19 J21 J25 J29 J33 J37 J41 J45 J49 J53 J57 J61 J65 J23 J27 J31 J35 J39 J43 J47 J51 J55 J59 J63 J67</xm:sqref>
        </x14:dataValidation>
        <x14:dataValidation type="list" allowBlank="1" showInputMessage="1" showErrorMessage="1" xr:uid="{F979005F-E22B-403E-B7C2-D6454ED118C7}">
          <x14:formula1>
            <xm:f>Parâmetros!$A$28:$A$29</xm:f>
          </x14:formula1>
          <xm:sqref>H17:H68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3A69-35B8-4FEA-BCDA-C02BAC1E4593}">
  <dimension ref="A1:AG73"/>
  <sheetViews>
    <sheetView zoomScale="85" zoomScaleNormal="85" workbookViewId="0">
      <selection activeCell="K16" sqref="K16:K68"/>
    </sheetView>
  </sheetViews>
  <sheetFormatPr defaultColWidth="8.5546875" defaultRowHeight="14.4" x14ac:dyDescent="0.3"/>
  <cols>
    <col min="1" max="1" width="16" style="62" customWidth="1"/>
    <col min="2" max="2" width="17.5546875" style="62" customWidth="1"/>
    <col min="3" max="3" width="21.44140625" style="62" customWidth="1"/>
    <col min="4" max="4" width="17.44140625" style="62" customWidth="1"/>
    <col min="5" max="6" width="12.5546875" style="62" customWidth="1"/>
    <col min="7" max="7" width="15.44140625" style="62" bestFit="1" customWidth="1"/>
    <col min="8" max="8" width="13.44140625" style="62" customWidth="1"/>
    <col min="9" max="9" width="38.44140625" style="62" customWidth="1"/>
    <col min="10" max="32" width="13.44140625" style="62" customWidth="1"/>
    <col min="33" max="33" width="146.5546875" style="62" customWidth="1"/>
    <col min="34" max="16384" width="8.5546875" style="62"/>
  </cols>
  <sheetData>
    <row r="1" spans="1:33" ht="50.1" customHeight="1" x14ac:dyDescent="0.3">
      <c r="A1" s="1434" t="s">
        <v>1695</v>
      </c>
      <c r="B1" s="2214"/>
      <c r="C1" s="2214"/>
      <c r="D1" s="2214"/>
      <c r="E1" s="2214"/>
      <c r="F1" s="2214"/>
      <c r="G1" s="2214"/>
      <c r="H1" s="2214"/>
      <c r="I1" s="2214"/>
      <c r="J1" s="2214"/>
      <c r="K1" s="2214"/>
      <c r="L1" s="2214"/>
      <c r="M1" s="2214"/>
      <c r="N1" s="2214"/>
      <c r="O1" s="1434"/>
      <c r="P1" s="2214"/>
      <c r="Q1" s="2214"/>
      <c r="R1" s="2214"/>
      <c r="S1" s="2214"/>
      <c r="T1" s="2214"/>
      <c r="U1" s="2214"/>
      <c r="V1" s="2214"/>
      <c r="W1" s="2214"/>
      <c r="X1" s="2214"/>
      <c r="Y1" s="2214"/>
      <c r="Z1" s="2214"/>
      <c r="AA1" s="2214"/>
      <c r="AB1" s="2214"/>
      <c r="AC1" s="1434"/>
      <c r="AD1" s="2214"/>
      <c r="AE1" s="2214"/>
      <c r="AF1" s="2214"/>
      <c r="AG1" s="2214"/>
    </row>
    <row r="2" spans="1:33" ht="25.35" customHeight="1" x14ac:dyDescent="0.3">
      <c r="A2" s="1443" t="s">
        <v>46</v>
      </c>
      <c r="B2" s="2215"/>
      <c r="C2" s="2215"/>
      <c r="D2" s="2215"/>
      <c r="E2" s="2215"/>
      <c r="F2" s="2215"/>
      <c r="G2" s="2215"/>
      <c r="H2" s="2215"/>
      <c r="I2" s="2215"/>
      <c r="J2" s="2215"/>
      <c r="K2" s="2215"/>
      <c r="L2" s="2215"/>
      <c r="M2" s="2215"/>
      <c r="N2" s="2215"/>
      <c r="O2" s="1443"/>
      <c r="P2" s="2215"/>
      <c r="Q2" s="2215"/>
      <c r="R2" s="2215"/>
      <c r="S2" s="2215"/>
      <c r="T2" s="2215"/>
      <c r="U2" s="2215"/>
      <c r="V2" s="2215"/>
      <c r="W2" s="2215"/>
      <c r="X2" s="2215"/>
      <c r="Y2" s="2215"/>
      <c r="Z2" s="2215"/>
      <c r="AA2" s="2215"/>
      <c r="AB2" s="2215"/>
      <c r="AC2" s="1443"/>
      <c r="AD2" s="2215"/>
      <c r="AE2" s="2215"/>
      <c r="AF2" s="2215"/>
      <c r="AG2" s="2215"/>
    </row>
    <row r="3" spans="1:33"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row>
    <row r="4" spans="1:33" ht="22.35" customHeight="1" x14ac:dyDescent="0.3">
      <c r="A4" s="2211" t="s">
        <v>1675</v>
      </c>
      <c r="B4" s="2211"/>
      <c r="C4" s="2212" t="s">
        <v>1676</v>
      </c>
      <c r="D4" s="2212"/>
      <c r="E4" s="1415" t="s">
        <v>100</v>
      </c>
      <c r="F4" s="1415"/>
      <c r="G4" s="2213" t="s">
        <v>102</v>
      </c>
      <c r="H4" s="2213"/>
      <c r="I4" s="2213"/>
      <c r="J4" s="2211" t="s">
        <v>54</v>
      </c>
      <c r="K4" s="2210"/>
      <c r="L4" s="2210"/>
      <c r="M4" s="2211" t="s">
        <v>55</v>
      </c>
      <c r="N4" s="2210"/>
      <c r="O4" s="47"/>
      <c r="P4" s="47"/>
      <c r="Q4" s="47"/>
      <c r="R4" s="47"/>
      <c r="S4" s="47"/>
      <c r="T4" s="47"/>
      <c r="U4" s="47"/>
      <c r="V4" s="47"/>
      <c r="W4" s="47"/>
      <c r="X4" s="47"/>
      <c r="Y4" s="47"/>
      <c r="Z4" s="47"/>
      <c r="AA4" s="47"/>
      <c r="AB4" s="47"/>
      <c r="AC4" s="47"/>
      <c r="AD4" s="47"/>
      <c r="AE4" s="47"/>
      <c r="AF4" s="47"/>
      <c r="AG4" s="47"/>
    </row>
    <row r="5" spans="1:33" ht="45" customHeight="1" x14ac:dyDescent="0.3">
      <c r="A5" s="2204">
        <v>0</v>
      </c>
      <c r="B5" s="2204"/>
      <c r="C5" s="2205">
        <f>SUM(G17:G68)</f>
        <v>0</v>
      </c>
      <c r="D5" s="2205"/>
      <c r="E5" s="1416">
        <f>SUM(I17:I68)</f>
        <v>0</v>
      </c>
      <c r="F5" s="1416"/>
      <c r="G5" s="2206">
        <f>SUMIF(L17:L68,"Real",AD17:AD68)</f>
        <v>0</v>
      </c>
      <c r="H5" s="2206"/>
      <c r="I5" s="2206"/>
      <c r="J5" s="2218" t="str">
        <f>IF(A5=0,"0",G5/A5)</f>
        <v>0</v>
      </c>
      <c r="K5" s="2219"/>
      <c r="L5" s="2219"/>
      <c r="M5" s="1439">
        <f ca="1">SUM(H9:H11)</f>
        <v>0</v>
      </c>
      <c r="N5" s="1440"/>
      <c r="O5" s="47"/>
      <c r="P5" s="47"/>
      <c r="Q5" s="47"/>
      <c r="R5" s="47"/>
      <c r="S5" s="47"/>
      <c r="T5" s="47"/>
      <c r="U5" s="47"/>
      <c r="V5" s="47"/>
      <c r="W5" s="47"/>
      <c r="X5" s="47"/>
      <c r="Y5" s="47"/>
      <c r="Z5" s="47"/>
      <c r="AA5" s="47"/>
      <c r="AB5" s="47"/>
      <c r="AC5" s="47"/>
      <c r="AD5" s="47"/>
      <c r="AE5" s="47"/>
      <c r="AF5" s="47"/>
      <c r="AG5" s="47"/>
    </row>
    <row r="6" spans="1:33" ht="8.1" customHeight="1" x14ac:dyDescent="0.3">
      <c r="A6" s="20"/>
      <c r="B6" s="20"/>
      <c r="C6" s="20"/>
      <c r="D6" s="20"/>
      <c r="E6" s="20"/>
      <c r="F6" s="20"/>
      <c r="G6" s="20"/>
      <c r="H6" s="20"/>
      <c r="I6" s="20"/>
      <c r="J6" s="20"/>
      <c r="K6" s="20"/>
      <c r="L6" s="20"/>
      <c r="M6" s="20"/>
      <c r="N6" s="20"/>
      <c r="O6" s="47"/>
      <c r="P6" s="47"/>
      <c r="Q6" s="47"/>
      <c r="R6" s="47"/>
      <c r="S6" s="47"/>
      <c r="T6" s="47"/>
      <c r="U6" s="47"/>
      <c r="V6" s="47"/>
      <c r="W6" s="47"/>
      <c r="X6" s="47"/>
      <c r="Y6" s="47"/>
      <c r="Z6" s="47"/>
      <c r="AA6" s="47"/>
      <c r="AB6" s="47"/>
      <c r="AC6" s="47"/>
      <c r="AD6" s="47"/>
      <c r="AE6" s="47"/>
      <c r="AF6" s="47"/>
      <c r="AG6" s="47"/>
    </row>
    <row r="7" spans="1:33" ht="22.35" customHeight="1" x14ac:dyDescent="0.3">
      <c r="A7" s="2202" t="s">
        <v>1677</v>
      </c>
      <c r="B7" s="2202"/>
      <c r="C7" s="2202"/>
      <c r="D7" s="2202"/>
      <c r="E7" s="2202"/>
      <c r="F7" s="29"/>
      <c r="G7" s="2202" t="s">
        <v>64</v>
      </c>
      <c r="H7" s="2202"/>
      <c r="I7" s="2202"/>
      <c r="J7" s="20"/>
      <c r="K7" s="20"/>
      <c r="L7" s="20"/>
      <c r="M7" s="20"/>
      <c r="N7" s="20"/>
      <c r="O7" s="47"/>
      <c r="P7" s="47"/>
      <c r="Q7" s="47"/>
      <c r="R7" s="47"/>
      <c r="S7" s="47"/>
      <c r="T7" s="47"/>
      <c r="U7" s="47"/>
      <c r="V7" s="47"/>
      <c r="W7" s="47"/>
      <c r="X7" s="47"/>
      <c r="Y7" s="47"/>
      <c r="Z7" s="47"/>
      <c r="AA7" s="47"/>
      <c r="AB7" s="47"/>
      <c r="AC7" s="47"/>
      <c r="AD7" s="47"/>
      <c r="AE7" s="47"/>
      <c r="AF7" s="47"/>
      <c r="AG7" s="47"/>
    </row>
    <row r="8" spans="1:33" ht="18" customHeight="1" x14ac:dyDescent="0.3">
      <c r="A8" s="15" t="s">
        <v>67</v>
      </c>
      <c r="B8" s="15" t="s">
        <v>68</v>
      </c>
      <c r="C8" s="15" t="s">
        <v>69</v>
      </c>
      <c r="D8" s="15" t="s">
        <v>1678</v>
      </c>
      <c r="E8" s="15" t="s">
        <v>1679</v>
      </c>
      <c r="F8" s="29"/>
      <c r="G8" s="15" t="s">
        <v>72</v>
      </c>
      <c r="H8" s="15" t="s">
        <v>68</v>
      </c>
      <c r="I8" s="15" t="s">
        <v>73</v>
      </c>
      <c r="J8" s="20"/>
      <c r="K8" s="20"/>
      <c r="L8" s="20"/>
      <c r="M8" s="20"/>
      <c r="N8" s="20"/>
      <c r="O8" s="47"/>
      <c r="P8" s="47"/>
      <c r="Q8" s="47"/>
      <c r="R8" s="47"/>
      <c r="S8" s="47"/>
      <c r="T8" s="47"/>
      <c r="U8" s="47"/>
      <c r="V8" s="47"/>
      <c r="W8" s="47"/>
      <c r="X8" s="47"/>
      <c r="Y8" s="47"/>
      <c r="Z8" s="47"/>
      <c r="AA8" s="47"/>
      <c r="AB8" s="47"/>
      <c r="AC8" s="47"/>
      <c r="AD8" s="47"/>
      <c r="AE8" s="47"/>
      <c r="AF8" s="47"/>
      <c r="AG8" s="47"/>
    </row>
    <row r="9" spans="1:33" ht="18" customHeight="1" x14ac:dyDescent="0.3">
      <c r="A9" s="16" t="s">
        <v>925</v>
      </c>
      <c r="B9" s="17">
        <f>COUNTIF($A$17:$A$68,A9)</f>
        <v>0</v>
      </c>
      <c r="C9" s="18">
        <f>SUMIF($A$17:$A$68,A9,$I$17:$I$68)</f>
        <v>0</v>
      </c>
      <c r="D9" s="191" t="str">
        <f>IF($C$13=0,"",C9/$C$13)</f>
        <v/>
      </c>
      <c r="E9" s="19" t="str">
        <f>D9</f>
        <v/>
      </c>
      <c r="F9" s="29"/>
      <c r="G9" s="21" t="s">
        <v>81</v>
      </c>
      <c r="H9" s="24">
        <f ca="1">COUNTIF($AF$17:$AF$68,G9)</f>
        <v>0</v>
      </c>
      <c r="I9" s="193">
        <f>SUMIF($J$17:$J$68,G9,$G$17:$G$68)</f>
        <v>0</v>
      </c>
      <c r="J9" s="20"/>
      <c r="K9" s="20"/>
      <c r="L9" s="20"/>
      <c r="M9" s="20"/>
      <c r="N9" s="20"/>
      <c r="O9" s="47"/>
      <c r="P9" s="47"/>
      <c r="Q9" s="47"/>
      <c r="R9" s="47"/>
      <c r="S9" s="47"/>
      <c r="T9" s="47"/>
      <c r="U9" s="47"/>
      <c r="V9" s="47"/>
      <c r="W9" s="47"/>
      <c r="X9" s="47"/>
      <c r="Y9" s="47"/>
      <c r="Z9" s="47"/>
      <c r="AA9" s="47"/>
      <c r="AB9" s="47"/>
      <c r="AC9" s="47"/>
      <c r="AD9" s="47"/>
      <c r="AE9" s="47"/>
      <c r="AF9" s="47"/>
      <c r="AG9" s="47"/>
    </row>
    <row r="10" spans="1:33" ht="15.6" customHeight="1" x14ac:dyDescent="0.3">
      <c r="A10" s="16" t="s">
        <v>89</v>
      </c>
      <c r="B10" s="17">
        <f>COUNTIF($A$17:$A$68,A10)</f>
        <v>0</v>
      </c>
      <c r="C10" s="18">
        <f>SUMIF($A$17:$A$68,A10,$I$17:$I$68)</f>
        <v>0</v>
      </c>
      <c r="D10" s="191" t="str">
        <f>IF($C$13=0,"",C10/$C$13)</f>
        <v/>
      </c>
      <c r="E10" s="19" t="str">
        <f>D10</f>
        <v/>
      </c>
      <c r="F10" s="29"/>
      <c r="G10" s="22" t="s">
        <v>83</v>
      </c>
      <c r="H10" s="25">
        <f ca="1">COUNTIF($AF$17:$AF$68,G10)</f>
        <v>0</v>
      </c>
      <c r="I10" s="194">
        <f>SUMIF($J$17:$J$68,G10,$G$17:$G$68)</f>
        <v>0</v>
      </c>
      <c r="J10" s="20"/>
      <c r="K10" s="20"/>
      <c r="L10" s="20"/>
      <c r="M10" s="20"/>
      <c r="N10" s="20"/>
      <c r="O10" s="47"/>
      <c r="P10" s="47"/>
      <c r="Q10" s="47"/>
      <c r="R10" s="47"/>
      <c r="S10" s="47"/>
      <c r="T10" s="47"/>
      <c r="U10" s="47"/>
      <c r="V10" s="47"/>
      <c r="W10" s="47"/>
      <c r="X10" s="47"/>
      <c r="Y10" s="47"/>
      <c r="Z10" s="47"/>
      <c r="AA10" s="47"/>
      <c r="AB10" s="47"/>
      <c r="AC10" s="47"/>
      <c r="AD10" s="47"/>
      <c r="AE10" s="47"/>
      <c r="AF10" s="47"/>
      <c r="AG10" s="47"/>
    </row>
    <row r="11" spans="1:33" ht="15.6" customHeight="1" x14ac:dyDescent="0.3">
      <c r="A11" s="16" t="s">
        <v>90</v>
      </c>
      <c r="B11" s="17">
        <f>COUNTIF($A$17:$A$68,A11)</f>
        <v>0</v>
      </c>
      <c r="C11" s="18">
        <f>SUMIF($A$17:$A$68,A11,$I$17:$I$68)</f>
        <v>0</v>
      </c>
      <c r="D11" s="191" t="str">
        <f>IF($C$13=0,"",C11/$C$13)</f>
        <v/>
      </c>
      <c r="E11" s="19" t="str">
        <f>D11</f>
        <v/>
      </c>
      <c r="F11" s="29"/>
      <c r="G11" s="23" t="s">
        <v>85</v>
      </c>
      <c r="H11" s="26">
        <f>COUNTIF($J$17:$J$68,G11)</f>
        <v>0</v>
      </c>
      <c r="I11" s="195">
        <f>SUMIF($J$17:$J$68,G11,$G$17:$G$68)</f>
        <v>0</v>
      </c>
      <c r="J11" s="20"/>
      <c r="K11" s="20"/>
      <c r="L11" s="20"/>
      <c r="M11" s="20"/>
      <c r="N11" s="20"/>
      <c r="O11" s="47"/>
      <c r="P11" s="47"/>
      <c r="Q11" s="47"/>
      <c r="R11" s="47"/>
      <c r="S11" s="47"/>
      <c r="T11" s="47"/>
      <c r="U11" s="47"/>
      <c r="V11" s="47"/>
      <c r="W11" s="47"/>
      <c r="X11" s="47"/>
      <c r="Y11" s="47"/>
      <c r="Z11" s="47"/>
      <c r="AA11" s="47"/>
      <c r="AB11" s="47"/>
      <c r="AC11" s="47"/>
      <c r="AD11" s="47"/>
      <c r="AE11" s="47"/>
      <c r="AF11" s="47"/>
      <c r="AG11" s="47"/>
    </row>
    <row r="12" spans="1:33" ht="15.6" customHeight="1" x14ac:dyDescent="0.3">
      <c r="A12" s="16" t="s">
        <v>91</v>
      </c>
      <c r="B12" s="17">
        <f>COUNTIF($A$17:$A$68,A12)</f>
        <v>0</v>
      </c>
      <c r="C12" s="18">
        <f>SUMIF($A$17:$A$68,A12,$I$17:$I$68)</f>
        <v>0</v>
      </c>
      <c r="D12" s="191" t="str">
        <f>IF($C$13=0,"",C12/$C$13)</f>
        <v/>
      </c>
      <c r="E12" s="19" t="str">
        <f>D12</f>
        <v/>
      </c>
      <c r="F12" s="29"/>
      <c r="G12" s="29"/>
      <c r="H12" s="29"/>
      <c r="I12" s="29"/>
      <c r="J12" s="20"/>
      <c r="K12" s="20"/>
      <c r="L12" s="20"/>
      <c r="M12" s="20"/>
      <c r="N12" s="20"/>
      <c r="O12" s="47"/>
      <c r="P12" s="47"/>
      <c r="Q12" s="47"/>
      <c r="R12" s="47"/>
      <c r="S12" s="47"/>
      <c r="T12" s="47"/>
      <c r="U12" s="47"/>
      <c r="V12" s="47"/>
      <c r="W12" s="47"/>
      <c r="X12" s="47"/>
      <c r="Y12" s="47"/>
      <c r="Z12" s="47"/>
      <c r="AA12" s="47"/>
      <c r="AB12" s="47"/>
      <c r="AC12" s="47"/>
      <c r="AD12" s="47"/>
      <c r="AE12" s="47"/>
      <c r="AF12" s="47"/>
      <c r="AG12" s="47"/>
    </row>
    <row r="13" spans="1:33" ht="18" x14ac:dyDescent="0.35">
      <c r="A13" s="173" t="s">
        <v>29</v>
      </c>
      <c r="B13" s="174">
        <f>SUM(B9:B12)</f>
        <v>0</v>
      </c>
      <c r="C13" s="30">
        <f>SUM(C9:C12)</f>
        <v>0</v>
      </c>
      <c r="D13" s="171" t="str">
        <f>IF(C13=0,"0%",AVERAGE(D9:D12))</f>
        <v>0%</v>
      </c>
      <c r="E13" s="20"/>
      <c r="F13" s="29"/>
      <c r="G13" s="20"/>
      <c r="H13" s="20"/>
      <c r="I13" s="20"/>
      <c r="J13" s="20"/>
      <c r="K13" s="176"/>
      <c r="L13" s="2203"/>
      <c r="M13" s="2203"/>
      <c r="N13" s="2203"/>
      <c r="O13" s="47"/>
      <c r="P13" s="47"/>
      <c r="Q13" s="47"/>
      <c r="R13" s="47"/>
      <c r="S13" s="47"/>
      <c r="T13" s="47"/>
      <c r="U13" s="47"/>
      <c r="V13" s="47"/>
      <c r="W13" s="47"/>
      <c r="X13" s="47"/>
      <c r="Y13" s="47"/>
      <c r="Z13" s="47"/>
      <c r="AA13" s="47"/>
      <c r="AB13" s="47"/>
      <c r="AC13" s="47"/>
      <c r="AD13" s="47"/>
      <c r="AE13" s="47"/>
      <c r="AF13" s="47"/>
      <c r="AG13" s="47"/>
    </row>
    <row r="14" spans="1:33" x14ac:dyDescent="0.3">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row>
    <row r="15" spans="1:33" ht="15.6" x14ac:dyDescent="0.3">
      <c r="A15" s="208" t="s">
        <v>269</v>
      </c>
      <c r="B15" s="208"/>
      <c r="C15" s="208"/>
      <c r="D15" s="208"/>
      <c r="E15" s="208"/>
      <c r="F15" s="208"/>
      <c r="G15" s="208"/>
      <c r="H15" s="208"/>
      <c r="I15" s="208"/>
      <c r="J15" s="82"/>
      <c r="K15" s="208"/>
      <c r="L15" s="82"/>
      <c r="M15" s="204" t="s">
        <v>270</v>
      </c>
      <c r="N15" s="204"/>
      <c r="O15" s="204"/>
      <c r="P15" s="204"/>
      <c r="Q15" s="204" t="s">
        <v>271</v>
      </c>
      <c r="R15" s="204"/>
      <c r="S15" s="204"/>
      <c r="T15" s="204"/>
      <c r="U15" s="204" t="s">
        <v>272</v>
      </c>
      <c r="V15" s="204"/>
      <c r="W15" s="204"/>
      <c r="X15" s="204"/>
      <c r="Y15" s="204" t="s">
        <v>273</v>
      </c>
      <c r="Z15" s="204"/>
      <c r="AA15" s="204"/>
      <c r="AB15" s="204"/>
      <c r="AC15" s="83"/>
      <c r="AD15" s="83"/>
      <c r="AE15" s="82"/>
      <c r="AF15" s="82"/>
      <c r="AG15" s="82"/>
    </row>
    <row r="16" spans="1:33" ht="36" x14ac:dyDescent="0.3">
      <c r="A16" s="84" t="s">
        <v>950</v>
      </c>
      <c r="B16" s="84" t="s">
        <v>276</v>
      </c>
      <c r="C16" s="84" t="s">
        <v>278</v>
      </c>
      <c r="D16" s="84" t="s">
        <v>279</v>
      </c>
      <c r="E16" s="84" t="s">
        <v>280</v>
      </c>
      <c r="F16" s="84" t="s">
        <v>281</v>
      </c>
      <c r="G16" s="84" t="s">
        <v>1681</v>
      </c>
      <c r="H16" s="7" t="s">
        <v>952</v>
      </c>
      <c r="I16" s="7" t="s">
        <v>287</v>
      </c>
      <c r="J16" s="84" t="s">
        <v>72</v>
      </c>
      <c r="K16" s="84" t="s">
        <v>1694</v>
      </c>
      <c r="L16" s="84"/>
      <c r="M16" s="85">
        <v>46023</v>
      </c>
      <c r="N16" s="85">
        <v>46054</v>
      </c>
      <c r="O16" s="85">
        <v>46082</v>
      </c>
      <c r="P16" s="86" t="s">
        <v>292</v>
      </c>
      <c r="Q16" s="85">
        <v>46113</v>
      </c>
      <c r="R16" s="85">
        <v>46143</v>
      </c>
      <c r="S16" s="85">
        <v>46174</v>
      </c>
      <c r="T16" s="86" t="s">
        <v>293</v>
      </c>
      <c r="U16" s="85">
        <v>46204</v>
      </c>
      <c r="V16" s="85">
        <v>46235</v>
      </c>
      <c r="W16" s="85">
        <v>46266</v>
      </c>
      <c r="X16" s="86" t="s">
        <v>294</v>
      </c>
      <c r="Y16" s="85">
        <v>46296</v>
      </c>
      <c r="Z16" s="85">
        <v>46327</v>
      </c>
      <c r="AA16" s="85">
        <v>46357</v>
      </c>
      <c r="AB16" s="84" t="s">
        <v>295</v>
      </c>
      <c r="AC16" s="84" t="s">
        <v>296</v>
      </c>
      <c r="AD16" s="84" t="s">
        <v>296</v>
      </c>
      <c r="AE16" s="84" t="s">
        <v>1683</v>
      </c>
      <c r="AF16" s="84" t="s">
        <v>291</v>
      </c>
      <c r="AG16" s="84" t="s">
        <v>297</v>
      </c>
    </row>
    <row r="17" spans="1:33" s="120" customFormat="1" ht="20.85" customHeight="1" x14ac:dyDescent="0.3">
      <c r="A17" s="1370"/>
      <c r="B17" s="1370"/>
      <c r="C17" s="1368"/>
      <c r="D17" s="1370"/>
      <c r="E17" s="1372"/>
      <c r="F17" s="1372"/>
      <c r="G17" s="1405"/>
      <c r="H17" s="2199"/>
      <c r="I17" s="2195"/>
      <c r="J17" s="1411"/>
      <c r="K17" s="2197"/>
      <c r="L17" s="115" t="s">
        <v>116</v>
      </c>
      <c r="M17" s="116"/>
      <c r="N17" s="116"/>
      <c r="O17" s="116"/>
      <c r="P17" s="117">
        <f t="shared" ref="P17:P48" si="0">SUM(M17:O17)</f>
        <v>0</v>
      </c>
      <c r="Q17" s="116"/>
      <c r="R17" s="116"/>
      <c r="S17" s="116"/>
      <c r="T17" s="117">
        <f t="shared" ref="T17:T48" si="1">SUM(Q17:S17)</f>
        <v>0</v>
      </c>
      <c r="U17" s="116"/>
      <c r="V17" s="116"/>
      <c r="W17" s="116"/>
      <c r="X17" s="117">
        <f t="shared" ref="X17:X48" si="2">SUM(U17:W17)</f>
        <v>0</v>
      </c>
      <c r="Y17" s="116"/>
      <c r="Z17" s="116"/>
      <c r="AA17" s="116"/>
      <c r="AB17" s="117">
        <f t="shared" ref="AB17:AB48" si="3">SUM(Y17:AA17)</f>
        <v>0</v>
      </c>
      <c r="AC17" s="116"/>
      <c r="AD17" s="118">
        <f t="shared" ref="AD17:AD48" si="4">SUM(Q17,U17,Y17,AC17)</f>
        <v>0</v>
      </c>
      <c r="AE17" s="118" t="str">
        <f t="shared" ref="AE17:AE48" si="5">IF(K17=0,"0",AD17/K17)</f>
        <v>0</v>
      </c>
      <c r="AF17" s="119" t="str">
        <f ca="1">IF(OR(F17="", G17=""), "", IF(TODAY()&lt;F17, 0, IF(TODAY()&gt;G17, 1, (TODAY()-F17+1)/(G17-F17+1))))</f>
        <v/>
      </c>
      <c r="AG17" s="98"/>
    </row>
    <row r="18" spans="1:33" s="120" customFormat="1" ht="20.85" customHeight="1" x14ac:dyDescent="0.3">
      <c r="A18" s="1371"/>
      <c r="B18" s="1371"/>
      <c r="C18" s="1369"/>
      <c r="D18" s="1371"/>
      <c r="E18" s="1373"/>
      <c r="F18" s="1373"/>
      <c r="G18" s="1406"/>
      <c r="H18" s="2200"/>
      <c r="I18" s="2196"/>
      <c r="J18" s="1412"/>
      <c r="K18" s="2198"/>
      <c r="L18" s="115" t="s">
        <v>117</v>
      </c>
      <c r="M18" s="116"/>
      <c r="N18" s="116"/>
      <c r="O18" s="116"/>
      <c r="P18" s="117">
        <f t="shared" si="0"/>
        <v>0</v>
      </c>
      <c r="Q18" s="116"/>
      <c r="R18" s="116"/>
      <c r="S18" s="116"/>
      <c r="T18" s="117">
        <f t="shared" si="1"/>
        <v>0</v>
      </c>
      <c r="U18" s="116"/>
      <c r="V18" s="116"/>
      <c r="W18" s="116"/>
      <c r="X18" s="117">
        <f t="shared" si="2"/>
        <v>0</v>
      </c>
      <c r="Y18" s="116"/>
      <c r="Z18" s="116"/>
      <c r="AA18" s="116"/>
      <c r="AB18" s="117">
        <f t="shared" si="3"/>
        <v>0</v>
      </c>
      <c r="AC18" s="116"/>
      <c r="AD18" s="118">
        <f t="shared" si="4"/>
        <v>0</v>
      </c>
      <c r="AE18" s="118" t="str">
        <f t="shared" si="5"/>
        <v>0</v>
      </c>
      <c r="AF18" s="119"/>
      <c r="AG18" s="98"/>
    </row>
    <row r="19" spans="1:33" s="120" customFormat="1" ht="20.85" customHeight="1" x14ac:dyDescent="0.3">
      <c r="A19" s="1742"/>
      <c r="B19" s="1451"/>
      <c r="C19" s="1449"/>
      <c r="D19" s="1451"/>
      <c r="E19" s="1785"/>
      <c r="F19" s="1785"/>
      <c r="G19" s="2185"/>
      <c r="H19" s="2187"/>
      <c r="I19" s="2189"/>
      <c r="J19" s="1825"/>
      <c r="K19" s="2191"/>
      <c r="L19" s="121" t="s">
        <v>116</v>
      </c>
      <c r="M19" s="122"/>
      <c r="N19" s="122"/>
      <c r="O19" s="122"/>
      <c r="P19" s="117">
        <f t="shared" si="0"/>
        <v>0</v>
      </c>
      <c r="Q19" s="122"/>
      <c r="R19" s="122"/>
      <c r="S19" s="122"/>
      <c r="T19" s="117">
        <f t="shared" si="1"/>
        <v>0</v>
      </c>
      <c r="U19" s="122"/>
      <c r="V19" s="122"/>
      <c r="W19" s="122"/>
      <c r="X19" s="117">
        <f t="shared" si="2"/>
        <v>0</v>
      </c>
      <c r="Y19" s="122"/>
      <c r="Z19" s="122"/>
      <c r="AA19" s="122"/>
      <c r="AB19" s="117">
        <f t="shared" si="3"/>
        <v>0</v>
      </c>
      <c r="AC19" s="122"/>
      <c r="AD19" s="123">
        <f t="shared" si="4"/>
        <v>0</v>
      </c>
      <c r="AE19" s="123" t="str">
        <f t="shared" si="5"/>
        <v>0</v>
      </c>
      <c r="AF19" s="124" t="str">
        <f ca="1">IF(OR(F19="", G19=""), "", IF(TODAY()&lt;F19, 0, IF(TODAY()&gt;G19, 1, (TODAY()-F19+1)/(G19-F19+1))))</f>
        <v/>
      </c>
      <c r="AG19" s="125"/>
    </row>
    <row r="20" spans="1:33" s="120" customFormat="1" ht="20.85" customHeight="1" x14ac:dyDescent="0.3">
      <c r="A20" s="1743"/>
      <c r="B20" s="1452"/>
      <c r="C20" s="1450"/>
      <c r="D20" s="1452"/>
      <c r="E20" s="1786"/>
      <c r="F20" s="1786"/>
      <c r="G20" s="2186"/>
      <c r="H20" s="2188"/>
      <c r="I20" s="2190"/>
      <c r="J20" s="1826"/>
      <c r="K20" s="2192"/>
      <c r="L20" s="121" t="s">
        <v>117</v>
      </c>
      <c r="M20" s="122"/>
      <c r="N20" s="122"/>
      <c r="O20" s="122"/>
      <c r="P20" s="117">
        <f t="shared" si="0"/>
        <v>0</v>
      </c>
      <c r="Q20" s="122"/>
      <c r="R20" s="122"/>
      <c r="S20" s="122"/>
      <c r="T20" s="117">
        <f t="shared" si="1"/>
        <v>0</v>
      </c>
      <c r="U20" s="122"/>
      <c r="V20" s="122"/>
      <c r="W20" s="122"/>
      <c r="X20" s="117">
        <f t="shared" si="2"/>
        <v>0</v>
      </c>
      <c r="Y20" s="122"/>
      <c r="Z20" s="122"/>
      <c r="AA20" s="122"/>
      <c r="AB20" s="117">
        <f t="shared" si="3"/>
        <v>0</v>
      </c>
      <c r="AC20" s="122"/>
      <c r="AD20" s="123">
        <f t="shared" si="4"/>
        <v>0</v>
      </c>
      <c r="AE20" s="123" t="str">
        <f t="shared" si="5"/>
        <v>0</v>
      </c>
      <c r="AF20" s="124"/>
      <c r="AG20" s="125"/>
    </row>
    <row r="21" spans="1:33" s="120" customFormat="1" ht="20.85" customHeight="1" x14ac:dyDescent="0.3">
      <c r="A21" s="1370"/>
      <c r="B21" s="1370"/>
      <c r="C21" s="1368"/>
      <c r="D21" s="1370"/>
      <c r="E21" s="1372"/>
      <c r="F21" s="1372"/>
      <c r="G21" s="1405"/>
      <c r="H21" s="2193"/>
      <c r="I21" s="2195"/>
      <c r="J21" s="1411"/>
      <c r="K21" s="2197"/>
      <c r="L21" s="115" t="s">
        <v>116</v>
      </c>
      <c r="M21" s="116"/>
      <c r="N21" s="116"/>
      <c r="O21" s="116"/>
      <c r="P21" s="117">
        <f t="shared" si="0"/>
        <v>0</v>
      </c>
      <c r="Q21" s="116"/>
      <c r="R21" s="116"/>
      <c r="S21" s="116"/>
      <c r="T21" s="117">
        <f t="shared" si="1"/>
        <v>0</v>
      </c>
      <c r="U21" s="116"/>
      <c r="V21" s="116"/>
      <c r="W21" s="116"/>
      <c r="X21" s="117">
        <f t="shared" si="2"/>
        <v>0</v>
      </c>
      <c r="Y21" s="116"/>
      <c r="Z21" s="116"/>
      <c r="AA21" s="116"/>
      <c r="AB21" s="117">
        <f t="shared" si="3"/>
        <v>0</v>
      </c>
      <c r="AC21" s="116"/>
      <c r="AD21" s="118">
        <f t="shared" si="4"/>
        <v>0</v>
      </c>
      <c r="AE21" s="118" t="str">
        <f t="shared" si="5"/>
        <v>0</v>
      </c>
      <c r="AF21" s="119" t="str">
        <f ca="1">IF(OR(F21="", G21=""), "", IF(TODAY()&lt;F21, 0, IF(TODAY()&gt;G21, 1, (TODAY()-F21+1)/(G21-F21+1))))</f>
        <v/>
      </c>
      <c r="AG21" s="98"/>
    </row>
    <row r="22" spans="1:33" s="120" customFormat="1" ht="20.85" customHeight="1" x14ac:dyDescent="0.3">
      <c r="A22" s="1371"/>
      <c r="B22" s="1371"/>
      <c r="C22" s="1369"/>
      <c r="D22" s="1371"/>
      <c r="E22" s="1373"/>
      <c r="F22" s="1373"/>
      <c r="G22" s="1406"/>
      <c r="H22" s="2194"/>
      <c r="I22" s="2196"/>
      <c r="J22" s="1412"/>
      <c r="K22" s="2198"/>
      <c r="L22" s="115" t="s">
        <v>117</v>
      </c>
      <c r="M22" s="116"/>
      <c r="N22" s="116"/>
      <c r="O22" s="116"/>
      <c r="P22" s="117">
        <f t="shared" si="0"/>
        <v>0</v>
      </c>
      <c r="Q22" s="116"/>
      <c r="R22" s="116"/>
      <c r="S22" s="116"/>
      <c r="T22" s="117">
        <f t="shared" si="1"/>
        <v>0</v>
      </c>
      <c r="U22" s="116"/>
      <c r="V22" s="116"/>
      <c r="W22" s="116"/>
      <c r="X22" s="117">
        <f t="shared" si="2"/>
        <v>0</v>
      </c>
      <c r="Y22" s="116"/>
      <c r="Z22" s="116"/>
      <c r="AA22" s="116"/>
      <c r="AB22" s="117">
        <f t="shared" si="3"/>
        <v>0</v>
      </c>
      <c r="AC22" s="116"/>
      <c r="AD22" s="118">
        <f t="shared" si="4"/>
        <v>0</v>
      </c>
      <c r="AE22" s="118" t="str">
        <f t="shared" si="5"/>
        <v>0</v>
      </c>
      <c r="AF22" s="119"/>
      <c r="AG22" s="98"/>
    </row>
    <row r="23" spans="1:33" s="120" customFormat="1" ht="20.85" customHeight="1" x14ac:dyDescent="0.3">
      <c r="A23" s="1742"/>
      <c r="B23" s="1451"/>
      <c r="C23" s="1449"/>
      <c r="D23" s="1451"/>
      <c r="E23" s="1785"/>
      <c r="F23" s="1785"/>
      <c r="G23" s="2185"/>
      <c r="H23" s="2187"/>
      <c r="I23" s="2189"/>
      <c r="J23" s="1825"/>
      <c r="K23" s="2191"/>
      <c r="L23" s="121" t="s">
        <v>116</v>
      </c>
      <c r="M23" s="122"/>
      <c r="N23" s="122"/>
      <c r="O23" s="122"/>
      <c r="P23" s="117">
        <f t="shared" si="0"/>
        <v>0</v>
      </c>
      <c r="Q23" s="122"/>
      <c r="R23" s="122"/>
      <c r="S23" s="122"/>
      <c r="T23" s="117">
        <f t="shared" si="1"/>
        <v>0</v>
      </c>
      <c r="U23" s="122"/>
      <c r="V23" s="122"/>
      <c r="W23" s="122"/>
      <c r="X23" s="117">
        <f t="shared" si="2"/>
        <v>0</v>
      </c>
      <c r="Y23" s="122"/>
      <c r="Z23" s="122"/>
      <c r="AA23" s="122"/>
      <c r="AB23" s="117">
        <f t="shared" si="3"/>
        <v>0</v>
      </c>
      <c r="AC23" s="122"/>
      <c r="AD23" s="123">
        <f t="shared" si="4"/>
        <v>0</v>
      </c>
      <c r="AE23" s="123" t="str">
        <f t="shared" si="5"/>
        <v>0</v>
      </c>
      <c r="AF23" s="124" t="str">
        <f ca="1">IF(OR(F23="", G23=""), "", IF(TODAY()&lt;F23, 0, IF(TODAY()&gt;G23, 1, (TODAY()-F23+1)/(G23-F23+1))))</f>
        <v/>
      </c>
      <c r="AG23" s="125"/>
    </row>
    <row r="24" spans="1:33" s="120" customFormat="1" ht="20.85" customHeight="1" x14ac:dyDescent="0.3">
      <c r="A24" s="1743"/>
      <c r="B24" s="1452"/>
      <c r="C24" s="1450"/>
      <c r="D24" s="1452"/>
      <c r="E24" s="1786"/>
      <c r="F24" s="1786"/>
      <c r="G24" s="2186"/>
      <c r="H24" s="2188"/>
      <c r="I24" s="2190"/>
      <c r="J24" s="1826"/>
      <c r="K24" s="2192"/>
      <c r="L24" s="121" t="s">
        <v>117</v>
      </c>
      <c r="M24" s="122"/>
      <c r="N24" s="122"/>
      <c r="O24" s="122"/>
      <c r="P24" s="117">
        <f t="shared" si="0"/>
        <v>0</v>
      </c>
      <c r="Q24" s="122"/>
      <c r="R24" s="122"/>
      <c r="S24" s="122"/>
      <c r="T24" s="117">
        <f t="shared" si="1"/>
        <v>0</v>
      </c>
      <c r="U24" s="122"/>
      <c r="V24" s="122"/>
      <c r="W24" s="122"/>
      <c r="X24" s="117">
        <f t="shared" si="2"/>
        <v>0</v>
      </c>
      <c r="Y24" s="122"/>
      <c r="Z24" s="122"/>
      <c r="AA24" s="122"/>
      <c r="AB24" s="117">
        <f t="shared" si="3"/>
        <v>0</v>
      </c>
      <c r="AC24" s="122"/>
      <c r="AD24" s="123">
        <f t="shared" si="4"/>
        <v>0</v>
      </c>
      <c r="AE24" s="123" t="str">
        <f t="shared" si="5"/>
        <v>0</v>
      </c>
      <c r="AF24" s="124"/>
      <c r="AG24" s="125"/>
    </row>
    <row r="25" spans="1:33" s="120" customFormat="1" ht="20.85" customHeight="1" x14ac:dyDescent="0.3">
      <c r="A25" s="1370"/>
      <c r="B25" s="1370"/>
      <c r="C25" s="1368"/>
      <c r="D25" s="1370"/>
      <c r="E25" s="1372"/>
      <c r="F25" s="1372"/>
      <c r="G25" s="1405"/>
      <c r="H25" s="2193"/>
      <c r="I25" s="2195"/>
      <c r="J25" s="1411"/>
      <c r="K25" s="2197"/>
      <c r="L25" s="115" t="s">
        <v>116</v>
      </c>
      <c r="M25" s="116"/>
      <c r="N25" s="116"/>
      <c r="O25" s="116"/>
      <c r="P25" s="117">
        <f t="shared" si="0"/>
        <v>0</v>
      </c>
      <c r="Q25" s="116"/>
      <c r="R25" s="116"/>
      <c r="S25" s="116"/>
      <c r="T25" s="117">
        <f t="shared" si="1"/>
        <v>0</v>
      </c>
      <c r="U25" s="116"/>
      <c r="V25" s="116"/>
      <c r="W25" s="116"/>
      <c r="X25" s="117">
        <f t="shared" si="2"/>
        <v>0</v>
      </c>
      <c r="Y25" s="116"/>
      <c r="Z25" s="116"/>
      <c r="AA25" s="116"/>
      <c r="AB25" s="117">
        <f t="shared" si="3"/>
        <v>0</v>
      </c>
      <c r="AC25" s="116"/>
      <c r="AD25" s="118">
        <f t="shared" si="4"/>
        <v>0</v>
      </c>
      <c r="AE25" s="118" t="str">
        <f t="shared" si="5"/>
        <v>0</v>
      </c>
      <c r="AF25" s="119" t="str">
        <f ca="1">IF(OR(F25="", G25=""), "", IF(TODAY()&lt;F25, 0, IF(TODAY()&gt;G25, 1, (TODAY()-F25+1)/(G25-F25+1))))</f>
        <v/>
      </c>
      <c r="AG25" s="98"/>
    </row>
    <row r="26" spans="1:33" s="120" customFormat="1" ht="20.85" customHeight="1" x14ac:dyDescent="0.3">
      <c r="A26" s="1371"/>
      <c r="B26" s="1371"/>
      <c r="C26" s="1369"/>
      <c r="D26" s="1371"/>
      <c r="E26" s="1373"/>
      <c r="F26" s="1373"/>
      <c r="G26" s="1406"/>
      <c r="H26" s="2194"/>
      <c r="I26" s="2196"/>
      <c r="J26" s="1412"/>
      <c r="K26" s="2198"/>
      <c r="L26" s="115" t="s">
        <v>117</v>
      </c>
      <c r="M26" s="116"/>
      <c r="N26" s="116"/>
      <c r="O26" s="116"/>
      <c r="P26" s="117">
        <f t="shared" si="0"/>
        <v>0</v>
      </c>
      <c r="Q26" s="116"/>
      <c r="R26" s="116"/>
      <c r="S26" s="116"/>
      <c r="T26" s="117">
        <f t="shared" si="1"/>
        <v>0</v>
      </c>
      <c r="U26" s="116"/>
      <c r="V26" s="116"/>
      <c r="W26" s="116"/>
      <c r="X26" s="117">
        <f t="shared" si="2"/>
        <v>0</v>
      </c>
      <c r="Y26" s="116"/>
      <c r="Z26" s="116"/>
      <c r="AA26" s="116"/>
      <c r="AB26" s="117">
        <f t="shared" si="3"/>
        <v>0</v>
      </c>
      <c r="AC26" s="116"/>
      <c r="AD26" s="118">
        <f t="shared" si="4"/>
        <v>0</v>
      </c>
      <c r="AE26" s="118" t="str">
        <f t="shared" si="5"/>
        <v>0</v>
      </c>
      <c r="AF26" s="119"/>
      <c r="AG26" s="98"/>
    </row>
    <row r="27" spans="1:33" s="120" customFormat="1" ht="20.85" customHeight="1" x14ac:dyDescent="0.3">
      <c r="A27" s="1742"/>
      <c r="B27" s="1451"/>
      <c r="C27" s="1449"/>
      <c r="D27" s="1451"/>
      <c r="E27" s="1785"/>
      <c r="F27" s="1785"/>
      <c r="G27" s="2185"/>
      <c r="H27" s="2187"/>
      <c r="I27" s="2189"/>
      <c r="J27" s="1825"/>
      <c r="K27" s="2191"/>
      <c r="L27" s="121" t="s">
        <v>116</v>
      </c>
      <c r="M27" s="122"/>
      <c r="N27" s="122"/>
      <c r="O27" s="122"/>
      <c r="P27" s="117">
        <f t="shared" si="0"/>
        <v>0</v>
      </c>
      <c r="Q27" s="122"/>
      <c r="R27" s="122"/>
      <c r="S27" s="122"/>
      <c r="T27" s="117">
        <f t="shared" si="1"/>
        <v>0</v>
      </c>
      <c r="U27" s="122"/>
      <c r="V27" s="122"/>
      <c r="W27" s="122"/>
      <c r="X27" s="117">
        <f t="shared" si="2"/>
        <v>0</v>
      </c>
      <c r="Y27" s="122"/>
      <c r="Z27" s="122"/>
      <c r="AA27" s="122"/>
      <c r="AB27" s="117">
        <f t="shared" si="3"/>
        <v>0</v>
      </c>
      <c r="AC27" s="122"/>
      <c r="AD27" s="123">
        <f t="shared" si="4"/>
        <v>0</v>
      </c>
      <c r="AE27" s="123" t="str">
        <f t="shared" si="5"/>
        <v>0</v>
      </c>
      <c r="AF27" s="124" t="str">
        <f ca="1">IF(OR(F27="", G27=""), "", IF(TODAY()&lt;F27, 0, IF(TODAY()&gt;G27, 1, (TODAY()-F27+1)/(G27-F27+1))))</f>
        <v/>
      </c>
      <c r="AG27" s="125"/>
    </row>
    <row r="28" spans="1:33" s="120" customFormat="1" ht="20.85" customHeight="1" x14ac:dyDescent="0.3">
      <c r="A28" s="1743"/>
      <c r="B28" s="1452"/>
      <c r="C28" s="1450"/>
      <c r="D28" s="1452"/>
      <c r="E28" s="1786"/>
      <c r="F28" s="1786"/>
      <c r="G28" s="2186"/>
      <c r="H28" s="2188"/>
      <c r="I28" s="2190"/>
      <c r="J28" s="1826"/>
      <c r="K28" s="2192"/>
      <c r="L28" s="121" t="s">
        <v>117</v>
      </c>
      <c r="M28" s="122"/>
      <c r="N28" s="122"/>
      <c r="O28" s="122"/>
      <c r="P28" s="117">
        <f t="shared" si="0"/>
        <v>0</v>
      </c>
      <c r="Q28" s="122"/>
      <c r="R28" s="122"/>
      <c r="S28" s="122"/>
      <c r="T28" s="117">
        <f t="shared" si="1"/>
        <v>0</v>
      </c>
      <c r="U28" s="122"/>
      <c r="V28" s="122"/>
      <c r="W28" s="122"/>
      <c r="X28" s="117">
        <f t="shared" si="2"/>
        <v>0</v>
      </c>
      <c r="Y28" s="122"/>
      <c r="Z28" s="122"/>
      <c r="AA28" s="122"/>
      <c r="AB28" s="117">
        <f t="shared" si="3"/>
        <v>0</v>
      </c>
      <c r="AC28" s="122"/>
      <c r="AD28" s="123">
        <f t="shared" si="4"/>
        <v>0</v>
      </c>
      <c r="AE28" s="123" t="str">
        <f t="shared" si="5"/>
        <v>0</v>
      </c>
      <c r="AF28" s="124"/>
      <c r="AG28" s="125"/>
    </row>
    <row r="29" spans="1:33" s="120" customFormat="1" ht="20.85" customHeight="1" x14ac:dyDescent="0.3">
      <c r="A29" s="1370"/>
      <c r="B29" s="1370"/>
      <c r="C29" s="1368"/>
      <c r="D29" s="1370"/>
      <c r="E29" s="1372"/>
      <c r="F29" s="1372"/>
      <c r="G29" s="1405"/>
      <c r="H29" s="2193"/>
      <c r="I29" s="2195"/>
      <c r="J29" s="1411"/>
      <c r="K29" s="2197"/>
      <c r="L29" s="115" t="s">
        <v>116</v>
      </c>
      <c r="M29" s="116"/>
      <c r="N29" s="116"/>
      <c r="O29" s="116"/>
      <c r="P29" s="117">
        <f t="shared" si="0"/>
        <v>0</v>
      </c>
      <c r="Q29" s="116"/>
      <c r="R29" s="116"/>
      <c r="S29" s="116"/>
      <c r="T29" s="117">
        <f t="shared" si="1"/>
        <v>0</v>
      </c>
      <c r="U29" s="116"/>
      <c r="V29" s="116"/>
      <c r="W29" s="116"/>
      <c r="X29" s="117">
        <f t="shared" si="2"/>
        <v>0</v>
      </c>
      <c r="Y29" s="116"/>
      <c r="Z29" s="116"/>
      <c r="AA29" s="116"/>
      <c r="AB29" s="117">
        <f t="shared" si="3"/>
        <v>0</v>
      </c>
      <c r="AC29" s="116"/>
      <c r="AD29" s="118">
        <f t="shared" si="4"/>
        <v>0</v>
      </c>
      <c r="AE29" s="118" t="str">
        <f t="shared" si="5"/>
        <v>0</v>
      </c>
      <c r="AF29" s="119" t="str">
        <f ca="1">IF(OR(F29="", G29=""), "", IF(TODAY()&lt;F29, 0, IF(TODAY()&gt;G29, 1, (TODAY()-F29+1)/(G29-F29+1))))</f>
        <v/>
      </c>
      <c r="AG29" s="98"/>
    </row>
    <row r="30" spans="1:33" s="120" customFormat="1" ht="20.85" customHeight="1" x14ac:dyDescent="0.3">
      <c r="A30" s="1371"/>
      <c r="B30" s="1371"/>
      <c r="C30" s="1369"/>
      <c r="D30" s="1371"/>
      <c r="E30" s="1373"/>
      <c r="F30" s="1373"/>
      <c r="G30" s="1406"/>
      <c r="H30" s="2194"/>
      <c r="I30" s="2196"/>
      <c r="J30" s="1412"/>
      <c r="K30" s="2198"/>
      <c r="L30" s="115" t="s">
        <v>117</v>
      </c>
      <c r="M30" s="116"/>
      <c r="N30" s="116"/>
      <c r="O30" s="116"/>
      <c r="P30" s="117">
        <f t="shared" si="0"/>
        <v>0</v>
      </c>
      <c r="Q30" s="116"/>
      <c r="R30" s="116"/>
      <c r="S30" s="116"/>
      <c r="T30" s="117">
        <f t="shared" si="1"/>
        <v>0</v>
      </c>
      <c r="U30" s="116"/>
      <c r="V30" s="116"/>
      <c r="W30" s="116"/>
      <c r="X30" s="117">
        <f t="shared" si="2"/>
        <v>0</v>
      </c>
      <c r="Y30" s="116"/>
      <c r="Z30" s="116"/>
      <c r="AA30" s="116"/>
      <c r="AB30" s="117">
        <f t="shared" si="3"/>
        <v>0</v>
      </c>
      <c r="AC30" s="116"/>
      <c r="AD30" s="118">
        <f t="shared" si="4"/>
        <v>0</v>
      </c>
      <c r="AE30" s="118" t="str">
        <f t="shared" si="5"/>
        <v>0</v>
      </c>
      <c r="AF30" s="119"/>
      <c r="AG30" s="98"/>
    </row>
    <row r="31" spans="1:33" s="120" customFormat="1" ht="20.85" customHeight="1" x14ac:dyDescent="0.3">
      <c r="A31" s="1742"/>
      <c r="B31" s="1451"/>
      <c r="C31" s="1449"/>
      <c r="D31" s="1451"/>
      <c r="E31" s="1785"/>
      <c r="F31" s="1785"/>
      <c r="G31" s="2185"/>
      <c r="H31" s="2187"/>
      <c r="I31" s="2189"/>
      <c r="J31" s="1825"/>
      <c r="K31" s="2191"/>
      <c r="L31" s="121" t="s">
        <v>116</v>
      </c>
      <c r="M31" s="122"/>
      <c r="N31" s="122"/>
      <c r="O31" s="122"/>
      <c r="P31" s="117">
        <f t="shared" si="0"/>
        <v>0</v>
      </c>
      <c r="Q31" s="122"/>
      <c r="R31" s="122"/>
      <c r="S31" s="122"/>
      <c r="T31" s="117">
        <f t="shared" si="1"/>
        <v>0</v>
      </c>
      <c r="U31" s="122"/>
      <c r="V31" s="122"/>
      <c r="W31" s="122"/>
      <c r="X31" s="117">
        <f t="shared" si="2"/>
        <v>0</v>
      </c>
      <c r="Y31" s="122"/>
      <c r="Z31" s="122"/>
      <c r="AA31" s="122"/>
      <c r="AB31" s="117">
        <f t="shared" si="3"/>
        <v>0</v>
      </c>
      <c r="AC31" s="122"/>
      <c r="AD31" s="123">
        <f t="shared" si="4"/>
        <v>0</v>
      </c>
      <c r="AE31" s="123" t="str">
        <f t="shared" si="5"/>
        <v>0</v>
      </c>
      <c r="AF31" s="124" t="str">
        <f ca="1">IF(OR(F31="", G31=""), "", IF(TODAY()&lt;F31, 0, IF(TODAY()&gt;G31, 1, (TODAY()-F31+1)/(G31-F31+1))))</f>
        <v/>
      </c>
      <c r="AG31" s="125"/>
    </row>
    <row r="32" spans="1:33" s="120" customFormat="1" ht="20.85" customHeight="1" x14ac:dyDescent="0.3">
      <c r="A32" s="1743"/>
      <c r="B32" s="1452"/>
      <c r="C32" s="1450"/>
      <c r="D32" s="1452"/>
      <c r="E32" s="1786"/>
      <c r="F32" s="1786"/>
      <c r="G32" s="2186"/>
      <c r="H32" s="2188"/>
      <c r="I32" s="2190"/>
      <c r="J32" s="1826"/>
      <c r="K32" s="2192"/>
      <c r="L32" s="121" t="s">
        <v>117</v>
      </c>
      <c r="M32" s="122"/>
      <c r="N32" s="122"/>
      <c r="O32" s="122"/>
      <c r="P32" s="117">
        <f t="shared" si="0"/>
        <v>0</v>
      </c>
      <c r="Q32" s="122"/>
      <c r="R32" s="122"/>
      <c r="S32" s="122"/>
      <c r="T32" s="117">
        <f t="shared" si="1"/>
        <v>0</v>
      </c>
      <c r="U32" s="122"/>
      <c r="V32" s="122"/>
      <c r="W32" s="122"/>
      <c r="X32" s="117">
        <f t="shared" si="2"/>
        <v>0</v>
      </c>
      <c r="Y32" s="122"/>
      <c r="Z32" s="122"/>
      <c r="AA32" s="122"/>
      <c r="AB32" s="117">
        <f t="shared" si="3"/>
        <v>0</v>
      </c>
      <c r="AC32" s="122"/>
      <c r="AD32" s="123">
        <f t="shared" si="4"/>
        <v>0</v>
      </c>
      <c r="AE32" s="123" t="str">
        <f t="shared" si="5"/>
        <v>0</v>
      </c>
      <c r="AF32" s="124"/>
      <c r="AG32" s="125"/>
    </row>
    <row r="33" spans="1:33" s="120" customFormat="1" ht="20.85" customHeight="1" x14ac:dyDescent="0.3">
      <c r="A33" s="1370"/>
      <c r="B33" s="1370"/>
      <c r="C33" s="1368"/>
      <c r="D33" s="1370"/>
      <c r="E33" s="1372"/>
      <c r="F33" s="1372"/>
      <c r="G33" s="1405"/>
      <c r="H33" s="2193"/>
      <c r="I33" s="2195"/>
      <c r="J33" s="1411"/>
      <c r="K33" s="2197"/>
      <c r="L33" s="115" t="s">
        <v>116</v>
      </c>
      <c r="M33" s="116"/>
      <c r="N33" s="116"/>
      <c r="O33" s="116"/>
      <c r="P33" s="117">
        <f t="shared" si="0"/>
        <v>0</v>
      </c>
      <c r="Q33" s="116"/>
      <c r="R33" s="116"/>
      <c r="S33" s="116"/>
      <c r="T33" s="117">
        <f t="shared" si="1"/>
        <v>0</v>
      </c>
      <c r="U33" s="116"/>
      <c r="V33" s="116"/>
      <c r="W33" s="116"/>
      <c r="X33" s="117">
        <f t="shared" si="2"/>
        <v>0</v>
      </c>
      <c r="Y33" s="116"/>
      <c r="Z33" s="116"/>
      <c r="AA33" s="116"/>
      <c r="AB33" s="117">
        <f t="shared" si="3"/>
        <v>0</v>
      </c>
      <c r="AC33" s="116"/>
      <c r="AD33" s="118">
        <f t="shared" si="4"/>
        <v>0</v>
      </c>
      <c r="AE33" s="118" t="str">
        <f t="shared" si="5"/>
        <v>0</v>
      </c>
      <c r="AF33" s="119" t="str">
        <f ca="1">IF(OR(F33="", G33=""), "", IF(TODAY()&lt;F33, 0, IF(TODAY()&gt;G33, 1, (TODAY()-F33+1)/(G33-F33+1))))</f>
        <v/>
      </c>
      <c r="AG33" s="98"/>
    </row>
    <row r="34" spans="1:33" s="120" customFormat="1" ht="20.85" customHeight="1" x14ac:dyDescent="0.3">
      <c r="A34" s="1371"/>
      <c r="B34" s="1371"/>
      <c r="C34" s="1369"/>
      <c r="D34" s="1371"/>
      <c r="E34" s="1373"/>
      <c r="F34" s="1373"/>
      <c r="G34" s="1406"/>
      <c r="H34" s="2194"/>
      <c r="I34" s="2196"/>
      <c r="J34" s="1412"/>
      <c r="K34" s="2198"/>
      <c r="L34" s="115" t="s">
        <v>117</v>
      </c>
      <c r="M34" s="116"/>
      <c r="N34" s="116"/>
      <c r="O34" s="116"/>
      <c r="P34" s="117">
        <f t="shared" si="0"/>
        <v>0</v>
      </c>
      <c r="Q34" s="116"/>
      <c r="R34" s="116"/>
      <c r="S34" s="116"/>
      <c r="T34" s="117">
        <f t="shared" si="1"/>
        <v>0</v>
      </c>
      <c r="U34" s="116"/>
      <c r="V34" s="116"/>
      <c r="W34" s="116"/>
      <c r="X34" s="117">
        <f t="shared" si="2"/>
        <v>0</v>
      </c>
      <c r="Y34" s="116"/>
      <c r="Z34" s="116"/>
      <c r="AA34" s="116"/>
      <c r="AB34" s="117">
        <f t="shared" si="3"/>
        <v>0</v>
      </c>
      <c r="AC34" s="116"/>
      <c r="AD34" s="118">
        <f t="shared" si="4"/>
        <v>0</v>
      </c>
      <c r="AE34" s="118" t="str">
        <f t="shared" si="5"/>
        <v>0</v>
      </c>
      <c r="AF34" s="119"/>
      <c r="AG34" s="98"/>
    </row>
    <row r="35" spans="1:33" s="120" customFormat="1" ht="20.85" customHeight="1" x14ac:dyDescent="0.3">
      <c r="A35" s="1742"/>
      <c r="B35" s="1451"/>
      <c r="C35" s="1449"/>
      <c r="D35" s="1451"/>
      <c r="E35" s="1785"/>
      <c r="F35" s="1785"/>
      <c r="G35" s="2185"/>
      <c r="H35" s="2187"/>
      <c r="I35" s="2189"/>
      <c r="J35" s="1825"/>
      <c r="K35" s="2191"/>
      <c r="L35" s="121" t="s">
        <v>116</v>
      </c>
      <c r="M35" s="122"/>
      <c r="N35" s="122"/>
      <c r="O35" s="122"/>
      <c r="P35" s="117">
        <f t="shared" si="0"/>
        <v>0</v>
      </c>
      <c r="Q35" s="122"/>
      <c r="R35" s="122"/>
      <c r="S35" s="122"/>
      <c r="T35" s="117">
        <f t="shared" si="1"/>
        <v>0</v>
      </c>
      <c r="U35" s="122"/>
      <c r="V35" s="122"/>
      <c r="W35" s="122"/>
      <c r="X35" s="117">
        <f t="shared" si="2"/>
        <v>0</v>
      </c>
      <c r="Y35" s="122"/>
      <c r="Z35" s="122"/>
      <c r="AA35" s="122"/>
      <c r="AB35" s="117">
        <f t="shared" si="3"/>
        <v>0</v>
      </c>
      <c r="AC35" s="122"/>
      <c r="AD35" s="123">
        <f t="shared" si="4"/>
        <v>0</v>
      </c>
      <c r="AE35" s="123" t="str">
        <f t="shared" si="5"/>
        <v>0</v>
      </c>
      <c r="AF35" s="124" t="str">
        <f ca="1">IF(OR(F35="", G35=""), "", IF(TODAY()&lt;F35, 0, IF(TODAY()&gt;G35, 1, (TODAY()-F35+1)/(G35-F35+1))))</f>
        <v/>
      </c>
      <c r="AG35" s="125"/>
    </row>
    <row r="36" spans="1:33" s="120" customFormat="1" ht="20.85" customHeight="1" x14ac:dyDescent="0.3">
      <c r="A36" s="1743"/>
      <c r="B36" s="1452"/>
      <c r="C36" s="1450"/>
      <c r="D36" s="1452"/>
      <c r="E36" s="1786"/>
      <c r="F36" s="1786"/>
      <c r="G36" s="2186"/>
      <c r="H36" s="2188"/>
      <c r="I36" s="2190"/>
      <c r="J36" s="1826"/>
      <c r="K36" s="2192"/>
      <c r="L36" s="121" t="s">
        <v>117</v>
      </c>
      <c r="M36" s="122"/>
      <c r="N36" s="122"/>
      <c r="O36" s="122"/>
      <c r="P36" s="117">
        <f t="shared" si="0"/>
        <v>0</v>
      </c>
      <c r="Q36" s="122"/>
      <c r="R36" s="122"/>
      <c r="S36" s="122"/>
      <c r="T36" s="117">
        <f t="shared" si="1"/>
        <v>0</v>
      </c>
      <c r="U36" s="122"/>
      <c r="V36" s="122"/>
      <c r="W36" s="122"/>
      <c r="X36" s="117">
        <f t="shared" si="2"/>
        <v>0</v>
      </c>
      <c r="Y36" s="122"/>
      <c r="Z36" s="122"/>
      <c r="AA36" s="122"/>
      <c r="AB36" s="117">
        <f t="shared" si="3"/>
        <v>0</v>
      </c>
      <c r="AC36" s="122"/>
      <c r="AD36" s="123">
        <f t="shared" si="4"/>
        <v>0</v>
      </c>
      <c r="AE36" s="123" t="str">
        <f t="shared" si="5"/>
        <v>0</v>
      </c>
      <c r="AF36" s="124"/>
      <c r="AG36" s="125"/>
    </row>
    <row r="37" spans="1:33" s="120" customFormat="1" ht="20.85" customHeight="1" x14ac:dyDescent="0.3">
      <c r="A37" s="1370"/>
      <c r="B37" s="1370"/>
      <c r="C37" s="1368"/>
      <c r="D37" s="1370"/>
      <c r="E37" s="1372"/>
      <c r="F37" s="1372"/>
      <c r="G37" s="1405"/>
      <c r="H37" s="2193"/>
      <c r="I37" s="2195"/>
      <c r="J37" s="1411"/>
      <c r="K37" s="2197"/>
      <c r="L37" s="115" t="s">
        <v>116</v>
      </c>
      <c r="M37" s="116"/>
      <c r="N37" s="116"/>
      <c r="O37" s="116"/>
      <c r="P37" s="117">
        <f t="shared" si="0"/>
        <v>0</v>
      </c>
      <c r="Q37" s="116"/>
      <c r="R37" s="116"/>
      <c r="S37" s="116"/>
      <c r="T37" s="117">
        <f t="shared" si="1"/>
        <v>0</v>
      </c>
      <c r="U37" s="116"/>
      <c r="V37" s="116"/>
      <c r="W37" s="116"/>
      <c r="X37" s="117">
        <f t="shared" si="2"/>
        <v>0</v>
      </c>
      <c r="Y37" s="116"/>
      <c r="Z37" s="116"/>
      <c r="AA37" s="116"/>
      <c r="AB37" s="117">
        <f t="shared" si="3"/>
        <v>0</v>
      </c>
      <c r="AC37" s="116"/>
      <c r="AD37" s="118">
        <f t="shared" si="4"/>
        <v>0</v>
      </c>
      <c r="AE37" s="118" t="str">
        <f t="shared" si="5"/>
        <v>0</v>
      </c>
      <c r="AF37" s="119" t="str">
        <f ca="1">IF(OR(F37="", G37=""), "", IF(TODAY()&lt;F37, 0, IF(TODAY()&gt;G37, 1, (TODAY()-F37+1)/(G37-F37+1))))</f>
        <v/>
      </c>
      <c r="AG37" s="98"/>
    </row>
    <row r="38" spans="1:33" s="120" customFormat="1" ht="20.85" customHeight="1" x14ac:dyDescent="0.3">
      <c r="A38" s="1371"/>
      <c r="B38" s="1371"/>
      <c r="C38" s="1369"/>
      <c r="D38" s="1371"/>
      <c r="E38" s="1373"/>
      <c r="F38" s="1373"/>
      <c r="G38" s="1406"/>
      <c r="H38" s="2194"/>
      <c r="I38" s="2196"/>
      <c r="J38" s="1412"/>
      <c r="K38" s="2198"/>
      <c r="L38" s="115" t="s">
        <v>117</v>
      </c>
      <c r="M38" s="116"/>
      <c r="N38" s="116"/>
      <c r="O38" s="116"/>
      <c r="P38" s="117">
        <f t="shared" si="0"/>
        <v>0</v>
      </c>
      <c r="Q38" s="116"/>
      <c r="R38" s="116"/>
      <c r="S38" s="116"/>
      <c r="T38" s="117">
        <f t="shared" si="1"/>
        <v>0</v>
      </c>
      <c r="U38" s="116"/>
      <c r="V38" s="116"/>
      <c r="W38" s="116"/>
      <c r="X38" s="117">
        <f t="shared" si="2"/>
        <v>0</v>
      </c>
      <c r="Y38" s="116"/>
      <c r="Z38" s="116"/>
      <c r="AA38" s="116"/>
      <c r="AB38" s="117">
        <f t="shared" si="3"/>
        <v>0</v>
      </c>
      <c r="AC38" s="116"/>
      <c r="AD38" s="118">
        <f t="shared" si="4"/>
        <v>0</v>
      </c>
      <c r="AE38" s="118" t="str">
        <f t="shared" si="5"/>
        <v>0</v>
      </c>
      <c r="AF38" s="119"/>
      <c r="AG38" s="98"/>
    </row>
    <row r="39" spans="1:33" s="120" customFormat="1" ht="20.85" customHeight="1" x14ac:dyDescent="0.3">
      <c r="A39" s="1742"/>
      <c r="B39" s="1451"/>
      <c r="C39" s="1449"/>
      <c r="D39" s="1451"/>
      <c r="E39" s="1785"/>
      <c r="F39" s="1785"/>
      <c r="G39" s="2185"/>
      <c r="H39" s="2187"/>
      <c r="I39" s="2189"/>
      <c r="J39" s="1825"/>
      <c r="K39" s="2191"/>
      <c r="L39" s="121" t="s">
        <v>116</v>
      </c>
      <c r="M39" s="122"/>
      <c r="N39" s="122"/>
      <c r="O39" s="122"/>
      <c r="P39" s="117">
        <f t="shared" si="0"/>
        <v>0</v>
      </c>
      <c r="Q39" s="122"/>
      <c r="R39" s="122"/>
      <c r="S39" s="122"/>
      <c r="T39" s="117">
        <f t="shared" si="1"/>
        <v>0</v>
      </c>
      <c r="U39" s="122"/>
      <c r="V39" s="122"/>
      <c r="W39" s="122"/>
      <c r="X39" s="117">
        <f t="shared" si="2"/>
        <v>0</v>
      </c>
      <c r="Y39" s="122"/>
      <c r="Z39" s="122"/>
      <c r="AA39" s="122"/>
      <c r="AB39" s="117">
        <f t="shared" si="3"/>
        <v>0</v>
      </c>
      <c r="AC39" s="122"/>
      <c r="AD39" s="123">
        <f t="shared" si="4"/>
        <v>0</v>
      </c>
      <c r="AE39" s="123" t="str">
        <f t="shared" si="5"/>
        <v>0</v>
      </c>
      <c r="AF39" s="124" t="str">
        <f ca="1">IF(OR(F39="", G39=""), "", IF(TODAY()&lt;F39, 0, IF(TODAY()&gt;G39, 1, (TODAY()-F39+1)/(G39-F39+1))))</f>
        <v/>
      </c>
      <c r="AG39" s="125"/>
    </row>
    <row r="40" spans="1:33" s="120" customFormat="1" ht="20.85" customHeight="1" x14ac:dyDescent="0.3">
      <c r="A40" s="1743"/>
      <c r="B40" s="1452"/>
      <c r="C40" s="1450"/>
      <c r="D40" s="1452"/>
      <c r="E40" s="1786"/>
      <c r="F40" s="1786"/>
      <c r="G40" s="2186"/>
      <c r="H40" s="2188"/>
      <c r="I40" s="2190"/>
      <c r="J40" s="1826"/>
      <c r="K40" s="2192"/>
      <c r="L40" s="121" t="s">
        <v>117</v>
      </c>
      <c r="M40" s="122"/>
      <c r="N40" s="122"/>
      <c r="O40" s="122"/>
      <c r="P40" s="117">
        <f t="shared" si="0"/>
        <v>0</v>
      </c>
      <c r="Q40" s="122"/>
      <c r="R40" s="122"/>
      <c r="S40" s="122"/>
      <c r="T40" s="117">
        <f t="shared" si="1"/>
        <v>0</v>
      </c>
      <c r="U40" s="122"/>
      <c r="V40" s="122"/>
      <c r="W40" s="122"/>
      <c r="X40" s="117">
        <f t="shared" si="2"/>
        <v>0</v>
      </c>
      <c r="Y40" s="122"/>
      <c r="Z40" s="122"/>
      <c r="AA40" s="122"/>
      <c r="AB40" s="117">
        <f t="shared" si="3"/>
        <v>0</v>
      </c>
      <c r="AC40" s="122"/>
      <c r="AD40" s="123">
        <f t="shared" si="4"/>
        <v>0</v>
      </c>
      <c r="AE40" s="123" t="str">
        <f t="shared" si="5"/>
        <v>0</v>
      </c>
      <c r="AF40" s="124"/>
      <c r="AG40" s="125"/>
    </row>
    <row r="41" spans="1:33" s="120" customFormat="1" ht="20.85" customHeight="1" x14ac:dyDescent="0.3">
      <c r="A41" s="1370"/>
      <c r="B41" s="1370"/>
      <c r="C41" s="1368"/>
      <c r="D41" s="1370"/>
      <c r="E41" s="1372"/>
      <c r="F41" s="1372"/>
      <c r="G41" s="1405"/>
      <c r="H41" s="2193"/>
      <c r="I41" s="2195"/>
      <c r="J41" s="1411"/>
      <c r="K41" s="2197"/>
      <c r="L41" s="115" t="s">
        <v>116</v>
      </c>
      <c r="M41" s="116"/>
      <c r="N41" s="116"/>
      <c r="O41" s="116"/>
      <c r="P41" s="117">
        <f t="shared" si="0"/>
        <v>0</v>
      </c>
      <c r="Q41" s="116"/>
      <c r="R41" s="116"/>
      <c r="S41" s="116"/>
      <c r="T41" s="117">
        <f t="shared" si="1"/>
        <v>0</v>
      </c>
      <c r="U41" s="116"/>
      <c r="V41" s="116"/>
      <c r="W41" s="116"/>
      <c r="X41" s="117">
        <f t="shared" si="2"/>
        <v>0</v>
      </c>
      <c r="Y41" s="116"/>
      <c r="Z41" s="116"/>
      <c r="AA41" s="116"/>
      <c r="AB41" s="117">
        <f t="shared" si="3"/>
        <v>0</v>
      </c>
      <c r="AC41" s="116"/>
      <c r="AD41" s="118">
        <f t="shared" si="4"/>
        <v>0</v>
      </c>
      <c r="AE41" s="118" t="str">
        <f t="shared" si="5"/>
        <v>0</v>
      </c>
      <c r="AF41" s="119" t="str">
        <f ca="1">IF(OR(F41="", G41=""), "", IF(TODAY()&lt;F41, 0, IF(TODAY()&gt;G41, 1, (TODAY()-F41+1)/(G41-F41+1))))</f>
        <v/>
      </c>
      <c r="AG41" s="98"/>
    </row>
    <row r="42" spans="1:33" s="120" customFormat="1" ht="20.85" customHeight="1" x14ac:dyDescent="0.3">
      <c r="A42" s="1371"/>
      <c r="B42" s="1371"/>
      <c r="C42" s="1369"/>
      <c r="D42" s="1371"/>
      <c r="E42" s="1373"/>
      <c r="F42" s="1373"/>
      <c r="G42" s="1406"/>
      <c r="H42" s="2194"/>
      <c r="I42" s="2196"/>
      <c r="J42" s="1412"/>
      <c r="K42" s="2198"/>
      <c r="L42" s="115" t="s">
        <v>117</v>
      </c>
      <c r="M42" s="116"/>
      <c r="N42" s="116"/>
      <c r="O42" s="116"/>
      <c r="P42" s="117">
        <f t="shared" si="0"/>
        <v>0</v>
      </c>
      <c r="Q42" s="116"/>
      <c r="R42" s="116"/>
      <c r="S42" s="116"/>
      <c r="T42" s="117">
        <f t="shared" si="1"/>
        <v>0</v>
      </c>
      <c r="U42" s="116"/>
      <c r="V42" s="116"/>
      <c r="W42" s="116"/>
      <c r="X42" s="117">
        <f t="shared" si="2"/>
        <v>0</v>
      </c>
      <c r="Y42" s="116"/>
      <c r="Z42" s="116"/>
      <c r="AA42" s="116"/>
      <c r="AB42" s="117">
        <f t="shared" si="3"/>
        <v>0</v>
      </c>
      <c r="AC42" s="116"/>
      <c r="AD42" s="118">
        <f t="shared" si="4"/>
        <v>0</v>
      </c>
      <c r="AE42" s="118" t="str">
        <f t="shared" si="5"/>
        <v>0</v>
      </c>
      <c r="AF42" s="119"/>
      <c r="AG42" s="98"/>
    </row>
    <row r="43" spans="1:33" s="120" customFormat="1" ht="20.85" customHeight="1" x14ac:dyDescent="0.3">
      <c r="A43" s="1742"/>
      <c r="B43" s="1451"/>
      <c r="C43" s="1449"/>
      <c r="D43" s="1451"/>
      <c r="E43" s="1785"/>
      <c r="F43" s="1785"/>
      <c r="G43" s="2185"/>
      <c r="H43" s="2187"/>
      <c r="I43" s="2189"/>
      <c r="J43" s="1825"/>
      <c r="K43" s="2191"/>
      <c r="L43" s="121" t="s">
        <v>116</v>
      </c>
      <c r="M43" s="122"/>
      <c r="N43" s="122"/>
      <c r="O43" s="122"/>
      <c r="P43" s="117">
        <f t="shared" si="0"/>
        <v>0</v>
      </c>
      <c r="Q43" s="122"/>
      <c r="R43" s="122"/>
      <c r="S43" s="122"/>
      <c r="T43" s="117">
        <f t="shared" si="1"/>
        <v>0</v>
      </c>
      <c r="U43" s="122"/>
      <c r="V43" s="122"/>
      <c r="W43" s="122"/>
      <c r="X43" s="117">
        <f t="shared" si="2"/>
        <v>0</v>
      </c>
      <c r="Y43" s="122"/>
      <c r="Z43" s="122"/>
      <c r="AA43" s="122"/>
      <c r="AB43" s="117">
        <f t="shared" si="3"/>
        <v>0</v>
      </c>
      <c r="AC43" s="122"/>
      <c r="AD43" s="123">
        <f t="shared" si="4"/>
        <v>0</v>
      </c>
      <c r="AE43" s="123" t="str">
        <f t="shared" si="5"/>
        <v>0</v>
      </c>
      <c r="AF43" s="124" t="str">
        <f ca="1">IF(OR(F43="", G43=""), "", IF(TODAY()&lt;F43, 0, IF(TODAY()&gt;G43, 1, (TODAY()-F43+1)/(G43-F43+1))))</f>
        <v/>
      </c>
      <c r="AG43" s="125"/>
    </row>
    <row r="44" spans="1:33" s="120" customFormat="1" ht="20.85" customHeight="1" x14ac:dyDescent="0.3">
      <c r="A44" s="1743"/>
      <c r="B44" s="1452"/>
      <c r="C44" s="1450"/>
      <c r="D44" s="1452"/>
      <c r="E44" s="1786"/>
      <c r="F44" s="1786"/>
      <c r="G44" s="2186"/>
      <c r="H44" s="2188"/>
      <c r="I44" s="2190"/>
      <c r="J44" s="1826"/>
      <c r="K44" s="2192"/>
      <c r="L44" s="121" t="s">
        <v>117</v>
      </c>
      <c r="M44" s="122"/>
      <c r="N44" s="122"/>
      <c r="O44" s="122"/>
      <c r="P44" s="117">
        <f t="shared" si="0"/>
        <v>0</v>
      </c>
      <c r="Q44" s="122"/>
      <c r="R44" s="122"/>
      <c r="S44" s="122"/>
      <c r="T44" s="117">
        <f t="shared" si="1"/>
        <v>0</v>
      </c>
      <c r="U44" s="122"/>
      <c r="V44" s="122"/>
      <c r="W44" s="122"/>
      <c r="X44" s="117">
        <f t="shared" si="2"/>
        <v>0</v>
      </c>
      <c r="Y44" s="122"/>
      <c r="Z44" s="122"/>
      <c r="AA44" s="122"/>
      <c r="AB44" s="117">
        <f t="shared" si="3"/>
        <v>0</v>
      </c>
      <c r="AC44" s="122"/>
      <c r="AD44" s="123">
        <f t="shared" si="4"/>
        <v>0</v>
      </c>
      <c r="AE44" s="123" t="str">
        <f t="shared" si="5"/>
        <v>0</v>
      </c>
      <c r="AF44" s="124"/>
      <c r="AG44" s="125"/>
    </row>
    <row r="45" spans="1:33" s="120" customFormat="1" ht="20.85" customHeight="1" x14ac:dyDescent="0.3">
      <c r="A45" s="1370"/>
      <c r="B45" s="1370"/>
      <c r="C45" s="1368"/>
      <c r="D45" s="1370"/>
      <c r="E45" s="1372"/>
      <c r="F45" s="1372"/>
      <c r="G45" s="1405"/>
      <c r="H45" s="2193"/>
      <c r="I45" s="2195"/>
      <c r="J45" s="1411"/>
      <c r="K45" s="2197"/>
      <c r="L45" s="115" t="s">
        <v>116</v>
      </c>
      <c r="M45" s="116"/>
      <c r="N45" s="116"/>
      <c r="O45" s="116"/>
      <c r="P45" s="117">
        <f t="shared" si="0"/>
        <v>0</v>
      </c>
      <c r="Q45" s="116"/>
      <c r="R45" s="116"/>
      <c r="S45" s="116"/>
      <c r="T45" s="117">
        <f t="shared" si="1"/>
        <v>0</v>
      </c>
      <c r="U45" s="116"/>
      <c r="V45" s="116"/>
      <c r="W45" s="116"/>
      <c r="X45" s="117">
        <f t="shared" si="2"/>
        <v>0</v>
      </c>
      <c r="Y45" s="116"/>
      <c r="Z45" s="116"/>
      <c r="AA45" s="116"/>
      <c r="AB45" s="117">
        <f t="shared" si="3"/>
        <v>0</v>
      </c>
      <c r="AC45" s="116"/>
      <c r="AD45" s="118">
        <f t="shared" si="4"/>
        <v>0</v>
      </c>
      <c r="AE45" s="118" t="str">
        <f t="shared" si="5"/>
        <v>0</v>
      </c>
      <c r="AF45" s="119" t="str">
        <f ca="1">IF(OR(F45="", G45=""), "", IF(TODAY()&lt;F45, 0, IF(TODAY()&gt;G45, 1, (TODAY()-F45+1)/(G45-F45+1))))</f>
        <v/>
      </c>
      <c r="AG45" s="98"/>
    </row>
    <row r="46" spans="1:33" s="120" customFormat="1" ht="20.85" customHeight="1" x14ac:dyDescent="0.3">
      <c r="A46" s="1371"/>
      <c r="B46" s="1371"/>
      <c r="C46" s="1369"/>
      <c r="D46" s="1371"/>
      <c r="E46" s="1373"/>
      <c r="F46" s="1373"/>
      <c r="G46" s="1406"/>
      <c r="H46" s="2194"/>
      <c r="I46" s="2196"/>
      <c r="J46" s="1412"/>
      <c r="K46" s="2198"/>
      <c r="L46" s="115" t="s">
        <v>117</v>
      </c>
      <c r="M46" s="116"/>
      <c r="N46" s="116"/>
      <c r="O46" s="116"/>
      <c r="P46" s="117">
        <f t="shared" si="0"/>
        <v>0</v>
      </c>
      <c r="Q46" s="116"/>
      <c r="R46" s="116"/>
      <c r="S46" s="116"/>
      <c r="T46" s="117">
        <f t="shared" si="1"/>
        <v>0</v>
      </c>
      <c r="U46" s="116"/>
      <c r="V46" s="116"/>
      <c r="W46" s="116"/>
      <c r="X46" s="117">
        <f t="shared" si="2"/>
        <v>0</v>
      </c>
      <c r="Y46" s="116"/>
      <c r="Z46" s="116"/>
      <c r="AA46" s="116"/>
      <c r="AB46" s="117">
        <f t="shared" si="3"/>
        <v>0</v>
      </c>
      <c r="AC46" s="116"/>
      <c r="AD46" s="118">
        <f t="shared" si="4"/>
        <v>0</v>
      </c>
      <c r="AE46" s="118" t="str">
        <f t="shared" si="5"/>
        <v>0</v>
      </c>
      <c r="AF46" s="119"/>
      <c r="AG46" s="98"/>
    </row>
    <row r="47" spans="1:33" s="120" customFormat="1" ht="20.85" customHeight="1" x14ac:dyDescent="0.3">
      <c r="A47" s="1742"/>
      <c r="B47" s="1451"/>
      <c r="C47" s="1449"/>
      <c r="D47" s="1451"/>
      <c r="E47" s="1785"/>
      <c r="F47" s="1785"/>
      <c r="G47" s="2185"/>
      <c r="H47" s="2187"/>
      <c r="I47" s="2189"/>
      <c r="J47" s="1825"/>
      <c r="K47" s="2191"/>
      <c r="L47" s="121" t="s">
        <v>116</v>
      </c>
      <c r="M47" s="122"/>
      <c r="N47" s="122"/>
      <c r="O47" s="122"/>
      <c r="P47" s="117">
        <f t="shared" si="0"/>
        <v>0</v>
      </c>
      <c r="Q47" s="122"/>
      <c r="R47" s="122"/>
      <c r="S47" s="122"/>
      <c r="T47" s="117">
        <f t="shared" si="1"/>
        <v>0</v>
      </c>
      <c r="U47" s="122"/>
      <c r="V47" s="122"/>
      <c r="W47" s="122"/>
      <c r="X47" s="117">
        <f t="shared" si="2"/>
        <v>0</v>
      </c>
      <c r="Y47" s="122"/>
      <c r="Z47" s="122"/>
      <c r="AA47" s="122"/>
      <c r="AB47" s="117">
        <f t="shared" si="3"/>
        <v>0</v>
      </c>
      <c r="AC47" s="122"/>
      <c r="AD47" s="123">
        <f t="shared" si="4"/>
        <v>0</v>
      </c>
      <c r="AE47" s="123" t="str">
        <f t="shared" si="5"/>
        <v>0</v>
      </c>
      <c r="AF47" s="124" t="str">
        <f ca="1">IF(OR(F47="", G47=""), "", IF(TODAY()&lt;F47, 0, IF(TODAY()&gt;G47, 1, (TODAY()-F47+1)/(G47-F47+1))))</f>
        <v/>
      </c>
      <c r="AG47" s="125"/>
    </row>
    <row r="48" spans="1:33" s="120" customFormat="1" ht="20.85" customHeight="1" x14ac:dyDescent="0.3">
      <c r="A48" s="1743"/>
      <c r="B48" s="1452"/>
      <c r="C48" s="1450"/>
      <c r="D48" s="1452"/>
      <c r="E48" s="1786"/>
      <c r="F48" s="1786"/>
      <c r="G48" s="2186"/>
      <c r="H48" s="2188"/>
      <c r="I48" s="2190"/>
      <c r="J48" s="1826"/>
      <c r="K48" s="2192"/>
      <c r="L48" s="121" t="s">
        <v>117</v>
      </c>
      <c r="M48" s="122"/>
      <c r="N48" s="122"/>
      <c r="O48" s="122"/>
      <c r="P48" s="117">
        <f t="shared" si="0"/>
        <v>0</v>
      </c>
      <c r="Q48" s="122"/>
      <c r="R48" s="122"/>
      <c r="S48" s="122"/>
      <c r="T48" s="117">
        <f t="shared" si="1"/>
        <v>0</v>
      </c>
      <c r="U48" s="122"/>
      <c r="V48" s="122"/>
      <c r="W48" s="122"/>
      <c r="X48" s="117">
        <f t="shared" si="2"/>
        <v>0</v>
      </c>
      <c r="Y48" s="122"/>
      <c r="Z48" s="122"/>
      <c r="AA48" s="122"/>
      <c r="AB48" s="117">
        <f t="shared" si="3"/>
        <v>0</v>
      </c>
      <c r="AC48" s="122"/>
      <c r="AD48" s="123">
        <f t="shared" si="4"/>
        <v>0</v>
      </c>
      <c r="AE48" s="123" t="str">
        <f t="shared" si="5"/>
        <v>0</v>
      </c>
      <c r="AF48" s="124"/>
      <c r="AG48" s="125"/>
    </row>
    <row r="49" spans="1:33" s="120" customFormat="1" ht="20.85" customHeight="1" x14ac:dyDescent="0.3">
      <c r="A49" s="1370"/>
      <c r="B49" s="1370"/>
      <c r="C49" s="1368"/>
      <c r="D49" s="1370"/>
      <c r="E49" s="1372"/>
      <c r="F49" s="1372"/>
      <c r="G49" s="1405"/>
      <c r="H49" s="2193"/>
      <c r="I49" s="2195"/>
      <c r="J49" s="1411"/>
      <c r="K49" s="2197"/>
      <c r="L49" s="115" t="s">
        <v>116</v>
      </c>
      <c r="M49" s="116"/>
      <c r="N49" s="116"/>
      <c r="O49" s="116"/>
      <c r="P49" s="117">
        <f t="shared" ref="P49:P68" si="6">SUM(M49:O49)</f>
        <v>0</v>
      </c>
      <c r="Q49" s="116"/>
      <c r="R49" s="116"/>
      <c r="S49" s="116"/>
      <c r="T49" s="117">
        <f t="shared" ref="T49:T68" si="7">SUM(Q49:S49)</f>
        <v>0</v>
      </c>
      <c r="U49" s="116"/>
      <c r="V49" s="116"/>
      <c r="W49" s="116"/>
      <c r="X49" s="117">
        <f t="shared" ref="X49:X68" si="8">SUM(U49:W49)</f>
        <v>0</v>
      </c>
      <c r="Y49" s="116"/>
      <c r="Z49" s="116"/>
      <c r="AA49" s="116"/>
      <c r="AB49" s="117">
        <f t="shared" ref="AB49:AB68" si="9">SUM(Y49:AA49)</f>
        <v>0</v>
      </c>
      <c r="AC49" s="116"/>
      <c r="AD49" s="118">
        <f t="shared" ref="AD49:AD68" si="10">SUM(Q49,U49,Y49,AC49)</f>
        <v>0</v>
      </c>
      <c r="AE49" s="118" t="str">
        <f t="shared" ref="AE49:AE68" si="11">IF(K49=0,"0",AD49/K49)</f>
        <v>0</v>
      </c>
      <c r="AF49" s="119" t="str">
        <f ca="1">IF(OR(F49="", G49=""), "", IF(TODAY()&lt;F49, 0, IF(TODAY()&gt;G49, 1, (TODAY()-F49+1)/(G49-F49+1))))</f>
        <v/>
      </c>
      <c r="AG49" s="98"/>
    </row>
    <row r="50" spans="1:33" s="120" customFormat="1" ht="20.85" customHeight="1" x14ac:dyDescent="0.3">
      <c r="A50" s="1371"/>
      <c r="B50" s="1371"/>
      <c r="C50" s="1369"/>
      <c r="D50" s="1371"/>
      <c r="E50" s="1373"/>
      <c r="F50" s="1373"/>
      <c r="G50" s="1406"/>
      <c r="H50" s="2194"/>
      <c r="I50" s="2196"/>
      <c r="J50" s="1412"/>
      <c r="K50" s="2198"/>
      <c r="L50" s="115" t="s">
        <v>117</v>
      </c>
      <c r="M50" s="116"/>
      <c r="N50" s="116"/>
      <c r="O50" s="116"/>
      <c r="P50" s="117">
        <f t="shared" si="6"/>
        <v>0</v>
      </c>
      <c r="Q50" s="116"/>
      <c r="R50" s="116"/>
      <c r="S50" s="116"/>
      <c r="T50" s="117">
        <f t="shared" si="7"/>
        <v>0</v>
      </c>
      <c r="U50" s="116"/>
      <c r="V50" s="116"/>
      <c r="W50" s="116"/>
      <c r="X50" s="117">
        <f t="shared" si="8"/>
        <v>0</v>
      </c>
      <c r="Y50" s="116"/>
      <c r="Z50" s="116"/>
      <c r="AA50" s="116"/>
      <c r="AB50" s="117">
        <f t="shared" si="9"/>
        <v>0</v>
      </c>
      <c r="AC50" s="116"/>
      <c r="AD50" s="118">
        <f t="shared" si="10"/>
        <v>0</v>
      </c>
      <c r="AE50" s="118" t="str">
        <f t="shared" si="11"/>
        <v>0</v>
      </c>
      <c r="AF50" s="119"/>
      <c r="AG50" s="98"/>
    </row>
    <row r="51" spans="1:33" s="120" customFormat="1" ht="20.85" customHeight="1" x14ac:dyDescent="0.3">
      <c r="A51" s="1742"/>
      <c r="B51" s="1451"/>
      <c r="C51" s="1449"/>
      <c r="D51" s="1451"/>
      <c r="E51" s="1785"/>
      <c r="F51" s="1785"/>
      <c r="G51" s="2185"/>
      <c r="H51" s="2187"/>
      <c r="I51" s="2189"/>
      <c r="J51" s="1825"/>
      <c r="K51" s="2191"/>
      <c r="L51" s="121" t="s">
        <v>116</v>
      </c>
      <c r="M51" s="122"/>
      <c r="N51" s="122"/>
      <c r="O51" s="122"/>
      <c r="P51" s="117">
        <f t="shared" si="6"/>
        <v>0</v>
      </c>
      <c r="Q51" s="122"/>
      <c r="R51" s="122"/>
      <c r="S51" s="122"/>
      <c r="T51" s="117">
        <f t="shared" si="7"/>
        <v>0</v>
      </c>
      <c r="U51" s="122"/>
      <c r="V51" s="122"/>
      <c r="W51" s="122"/>
      <c r="X51" s="117">
        <f t="shared" si="8"/>
        <v>0</v>
      </c>
      <c r="Y51" s="122"/>
      <c r="Z51" s="122"/>
      <c r="AA51" s="122"/>
      <c r="AB51" s="117">
        <f t="shared" si="9"/>
        <v>0</v>
      </c>
      <c r="AC51" s="122"/>
      <c r="AD51" s="123">
        <f t="shared" si="10"/>
        <v>0</v>
      </c>
      <c r="AE51" s="123" t="str">
        <f t="shared" si="11"/>
        <v>0</v>
      </c>
      <c r="AF51" s="124" t="str">
        <f ca="1">IF(OR(F51="", G51=""), "", IF(TODAY()&lt;F51, 0, IF(TODAY()&gt;G51, 1, (TODAY()-F51+1)/(G51-F51+1))))</f>
        <v/>
      </c>
      <c r="AG51" s="125"/>
    </row>
    <row r="52" spans="1:33" s="120" customFormat="1" ht="20.85" customHeight="1" x14ac:dyDescent="0.3">
      <c r="A52" s="1743"/>
      <c r="B52" s="1452"/>
      <c r="C52" s="1450"/>
      <c r="D52" s="1452"/>
      <c r="E52" s="1786"/>
      <c r="F52" s="1786"/>
      <c r="G52" s="2186"/>
      <c r="H52" s="2188"/>
      <c r="I52" s="2190"/>
      <c r="J52" s="1826"/>
      <c r="K52" s="2192"/>
      <c r="L52" s="121" t="s">
        <v>117</v>
      </c>
      <c r="M52" s="122"/>
      <c r="N52" s="122"/>
      <c r="O52" s="122"/>
      <c r="P52" s="117">
        <f t="shared" si="6"/>
        <v>0</v>
      </c>
      <c r="Q52" s="122"/>
      <c r="R52" s="122"/>
      <c r="S52" s="122"/>
      <c r="T52" s="117">
        <f t="shared" si="7"/>
        <v>0</v>
      </c>
      <c r="U52" s="122"/>
      <c r="V52" s="122"/>
      <c r="W52" s="122"/>
      <c r="X52" s="117">
        <f t="shared" si="8"/>
        <v>0</v>
      </c>
      <c r="Y52" s="122"/>
      <c r="Z52" s="122"/>
      <c r="AA52" s="122"/>
      <c r="AB52" s="117">
        <f t="shared" si="9"/>
        <v>0</v>
      </c>
      <c r="AC52" s="122"/>
      <c r="AD52" s="123">
        <f t="shared" si="10"/>
        <v>0</v>
      </c>
      <c r="AE52" s="123" t="str">
        <f t="shared" si="11"/>
        <v>0</v>
      </c>
      <c r="AF52" s="124"/>
      <c r="AG52" s="125"/>
    </row>
    <row r="53" spans="1:33" s="120" customFormat="1" ht="20.85" customHeight="1" x14ac:dyDescent="0.3">
      <c r="A53" s="1370"/>
      <c r="B53" s="1370"/>
      <c r="C53" s="1368"/>
      <c r="D53" s="1370"/>
      <c r="E53" s="1372"/>
      <c r="F53" s="1372"/>
      <c r="G53" s="1405"/>
      <c r="H53" s="2193"/>
      <c r="I53" s="2195"/>
      <c r="J53" s="1411"/>
      <c r="K53" s="2197"/>
      <c r="L53" s="115" t="s">
        <v>116</v>
      </c>
      <c r="M53" s="116"/>
      <c r="N53" s="116"/>
      <c r="O53" s="116"/>
      <c r="P53" s="117">
        <f t="shared" si="6"/>
        <v>0</v>
      </c>
      <c r="Q53" s="116"/>
      <c r="R53" s="116"/>
      <c r="S53" s="116"/>
      <c r="T53" s="117">
        <f t="shared" si="7"/>
        <v>0</v>
      </c>
      <c r="U53" s="116"/>
      <c r="V53" s="116"/>
      <c r="W53" s="116"/>
      <c r="X53" s="117">
        <f t="shared" si="8"/>
        <v>0</v>
      </c>
      <c r="Y53" s="116"/>
      <c r="Z53" s="116"/>
      <c r="AA53" s="116"/>
      <c r="AB53" s="117">
        <f t="shared" si="9"/>
        <v>0</v>
      </c>
      <c r="AC53" s="116"/>
      <c r="AD53" s="118">
        <f t="shared" si="10"/>
        <v>0</v>
      </c>
      <c r="AE53" s="118" t="str">
        <f t="shared" si="11"/>
        <v>0</v>
      </c>
      <c r="AF53" s="119" t="str">
        <f ca="1">IF(OR(F53="", G53=""), "", IF(TODAY()&lt;F53, 0, IF(TODAY()&gt;G53, 1, (TODAY()-F53+1)/(G53-F53+1))))</f>
        <v/>
      </c>
      <c r="AG53" s="98"/>
    </row>
    <row r="54" spans="1:33" s="120" customFormat="1" ht="20.85" customHeight="1" x14ac:dyDescent="0.3">
      <c r="A54" s="1371"/>
      <c r="B54" s="1371"/>
      <c r="C54" s="1369"/>
      <c r="D54" s="1371"/>
      <c r="E54" s="1373"/>
      <c r="F54" s="1373"/>
      <c r="G54" s="1406"/>
      <c r="H54" s="2194"/>
      <c r="I54" s="2196"/>
      <c r="J54" s="1412"/>
      <c r="K54" s="2198"/>
      <c r="L54" s="115" t="s">
        <v>117</v>
      </c>
      <c r="M54" s="116"/>
      <c r="N54" s="116"/>
      <c r="O54" s="116"/>
      <c r="P54" s="117">
        <f t="shared" si="6"/>
        <v>0</v>
      </c>
      <c r="Q54" s="116"/>
      <c r="R54" s="116"/>
      <c r="S54" s="116"/>
      <c r="T54" s="117">
        <f t="shared" si="7"/>
        <v>0</v>
      </c>
      <c r="U54" s="116"/>
      <c r="V54" s="116"/>
      <c r="W54" s="116"/>
      <c r="X54" s="117">
        <f t="shared" si="8"/>
        <v>0</v>
      </c>
      <c r="Y54" s="116"/>
      <c r="Z54" s="116"/>
      <c r="AA54" s="116"/>
      <c r="AB54" s="117">
        <f t="shared" si="9"/>
        <v>0</v>
      </c>
      <c r="AC54" s="116"/>
      <c r="AD54" s="118">
        <f t="shared" si="10"/>
        <v>0</v>
      </c>
      <c r="AE54" s="118" t="str">
        <f t="shared" si="11"/>
        <v>0</v>
      </c>
      <c r="AF54" s="119"/>
      <c r="AG54" s="98"/>
    </row>
    <row r="55" spans="1:33" s="120" customFormat="1" ht="20.85" customHeight="1" x14ac:dyDescent="0.3">
      <c r="A55" s="1742"/>
      <c r="B55" s="1451"/>
      <c r="C55" s="1449"/>
      <c r="D55" s="1451"/>
      <c r="E55" s="1785"/>
      <c r="F55" s="1785"/>
      <c r="G55" s="2185"/>
      <c r="H55" s="2187"/>
      <c r="I55" s="2189"/>
      <c r="J55" s="1825"/>
      <c r="K55" s="2191"/>
      <c r="L55" s="121" t="s">
        <v>116</v>
      </c>
      <c r="M55" s="122"/>
      <c r="N55" s="122"/>
      <c r="O55" s="122"/>
      <c r="P55" s="117">
        <f t="shared" si="6"/>
        <v>0</v>
      </c>
      <c r="Q55" s="122"/>
      <c r="R55" s="122"/>
      <c r="S55" s="122"/>
      <c r="T55" s="117">
        <f t="shared" si="7"/>
        <v>0</v>
      </c>
      <c r="U55" s="122"/>
      <c r="V55" s="122"/>
      <c r="W55" s="122"/>
      <c r="X55" s="117">
        <f t="shared" si="8"/>
        <v>0</v>
      </c>
      <c r="Y55" s="122"/>
      <c r="Z55" s="122"/>
      <c r="AA55" s="122"/>
      <c r="AB55" s="117">
        <f t="shared" si="9"/>
        <v>0</v>
      </c>
      <c r="AC55" s="122"/>
      <c r="AD55" s="123">
        <f t="shared" si="10"/>
        <v>0</v>
      </c>
      <c r="AE55" s="123" t="str">
        <f t="shared" si="11"/>
        <v>0</v>
      </c>
      <c r="AF55" s="124" t="str">
        <f ca="1">IF(OR(F55="", G55=""), "", IF(TODAY()&lt;F55, 0, IF(TODAY()&gt;G55, 1, (TODAY()-F55+1)/(G55-F55+1))))</f>
        <v/>
      </c>
      <c r="AG55" s="125"/>
    </row>
    <row r="56" spans="1:33" s="120" customFormat="1" ht="20.85" customHeight="1" x14ac:dyDescent="0.3">
      <c r="A56" s="1743"/>
      <c r="B56" s="1452"/>
      <c r="C56" s="1450"/>
      <c r="D56" s="1452"/>
      <c r="E56" s="1786"/>
      <c r="F56" s="1786"/>
      <c r="G56" s="2186"/>
      <c r="H56" s="2188"/>
      <c r="I56" s="2190"/>
      <c r="J56" s="1826"/>
      <c r="K56" s="2192"/>
      <c r="L56" s="121" t="s">
        <v>117</v>
      </c>
      <c r="M56" s="122"/>
      <c r="N56" s="122"/>
      <c r="O56" s="122"/>
      <c r="P56" s="117">
        <f t="shared" si="6"/>
        <v>0</v>
      </c>
      <c r="Q56" s="122"/>
      <c r="R56" s="122"/>
      <c r="S56" s="122"/>
      <c r="T56" s="117">
        <f t="shared" si="7"/>
        <v>0</v>
      </c>
      <c r="U56" s="122"/>
      <c r="V56" s="122"/>
      <c r="W56" s="122"/>
      <c r="X56" s="117">
        <f t="shared" si="8"/>
        <v>0</v>
      </c>
      <c r="Y56" s="122"/>
      <c r="Z56" s="122"/>
      <c r="AA56" s="122"/>
      <c r="AB56" s="117">
        <f t="shared" si="9"/>
        <v>0</v>
      </c>
      <c r="AC56" s="122"/>
      <c r="AD56" s="123">
        <f t="shared" si="10"/>
        <v>0</v>
      </c>
      <c r="AE56" s="123" t="str">
        <f t="shared" si="11"/>
        <v>0</v>
      </c>
      <c r="AF56" s="124"/>
      <c r="AG56" s="125"/>
    </row>
    <row r="57" spans="1:33" s="120" customFormat="1" ht="20.85" customHeight="1" x14ac:dyDescent="0.3">
      <c r="A57" s="1370"/>
      <c r="B57" s="1370"/>
      <c r="C57" s="1368"/>
      <c r="D57" s="1370"/>
      <c r="E57" s="1372"/>
      <c r="F57" s="1372"/>
      <c r="G57" s="1405"/>
      <c r="H57" s="2193"/>
      <c r="I57" s="2195"/>
      <c r="J57" s="1411"/>
      <c r="K57" s="2197"/>
      <c r="L57" s="115" t="s">
        <v>116</v>
      </c>
      <c r="M57" s="116"/>
      <c r="N57" s="116"/>
      <c r="O57" s="116"/>
      <c r="P57" s="117">
        <f t="shared" si="6"/>
        <v>0</v>
      </c>
      <c r="Q57" s="116"/>
      <c r="R57" s="116"/>
      <c r="S57" s="116"/>
      <c r="T57" s="117">
        <f t="shared" si="7"/>
        <v>0</v>
      </c>
      <c r="U57" s="116"/>
      <c r="V57" s="116"/>
      <c r="W57" s="116"/>
      <c r="X57" s="117">
        <f t="shared" si="8"/>
        <v>0</v>
      </c>
      <c r="Y57" s="116"/>
      <c r="Z57" s="116"/>
      <c r="AA57" s="116"/>
      <c r="AB57" s="117">
        <f t="shared" si="9"/>
        <v>0</v>
      </c>
      <c r="AC57" s="116"/>
      <c r="AD57" s="118">
        <f t="shared" si="10"/>
        <v>0</v>
      </c>
      <c r="AE57" s="118" t="str">
        <f t="shared" si="11"/>
        <v>0</v>
      </c>
      <c r="AF57" s="119" t="str">
        <f ca="1">IF(OR(F57="", G57=""), "", IF(TODAY()&lt;F57, 0, IF(TODAY()&gt;G57, 1, (TODAY()-F57+1)/(G57-F57+1))))</f>
        <v/>
      </c>
      <c r="AG57" s="98"/>
    </row>
    <row r="58" spans="1:33" s="120" customFormat="1" ht="20.85" customHeight="1" x14ac:dyDescent="0.3">
      <c r="A58" s="1371"/>
      <c r="B58" s="1371"/>
      <c r="C58" s="1369"/>
      <c r="D58" s="1371"/>
      <c r="E58" s="1373"/>
      <c r="F58" s="1373"/>
      <c r="G58" s="1406"/>
      <c r="H58" s="2194"/>
      <c r="I58" s="2196"/>
      <c r="J58" s="1412"/>
      <c r="K58" s="2198"/>
      <c r="L58" s="115" t="s">
        <v>117</v>
      </c>
      <c r="M58" s="116"/>
      <c r="N58" s="116"/>
      <c r="O58" s="116"/>
      <c r="P58" s="117">
        <f t="shared" si="6"/>
        <v>0</v>
      </c>
      <c r="Q58" s="116"/>
      <c r="R58" s="116"/>
      <c r="S58" s="116"/>
      <c r="T58" s="117">
        <f t="shared" si="7"/>
        <v>0</v>
      </c>
      <c r="U58" s="116"/>
      <c r="V58" s="116"/>
      <c r="W58" s="116"/>
      <c r="X58" s="117">
        <f t="shared" si="8"/>
        <v>0</v>
      </c>
      <c r="Y58" s="116"/>
      <c r="Z58" s="116"/>
      <c r="AA58" s="116"/>
      <c r="AB58" s="117">
        <f t="shared" si="9"/>
        <v>0</v>
      </c>
      <c r="AC58" s="116"/>
      <c r="AD58" s="118">
        <f t="shared" si="10"/>
        <v>0</v>
      </c>
      <c r="AE58" s="118" t="str">
        <f t="shared" si="11"/>
        <v>0</v>
      </c>
      <c r="AF58" s="119"/>
      <c r="AG58" s="98"/>
    </row>
    <row r="59" spans="1:33" s="120" customFormat="1" ht="20.85" customHeight="1" x14ac:dyDescent="0.3">
      <c r="A59" s="1742"/>
      <c r="B59" s="1451"/>
      <c r="C59" s="1449"/>
      <c r="D59" s="1451"/>
      <c r="E59" s="1785"/>
      <c r="F59" s="1785"/>
      <c r="G59" s="2185"/>
      <c r="H59" s="2187"/>
      <c r="I59" s="2189"/>
      <c r="J59" s="1825"/>
      <c r="K59" s="2191"/>
      <c r="L59" s="121" t="s">
        <v>116</v>
      </c>
      <c r="M59" s="122"/>
      <c r="N59" s="122"/>
      <c r="O59" s="122"/>
      <c r="P59" s="117">
        <f t="shared" si="6"/>
        <v>0</v>
      </c>
      <c r="Q59" s="122"/>
      <c r="R59" s="122"/>
      <c r="S59" s="122"/>
      <c r="T59" s="117">
        <f t="shared" si="7"/>
        <v>0</v>
      </c>
      <c r="U59" s="122"/>
      <c r="V59" s="122"/>
      <c r="W59" s="122"/>
      <c r="X59" s="117">
        <f t="shared" si="8"/>
        <v>0</v>
      </c>
      <c r="Y59" s="122"/>
      <c r="Z59" s="122"/>
      <c r="AA59" s="122"/>
      <c r="AB59" s="117">
        <f t="shared" si="9"/>
        <v>0</v>
      </c>
      <c r="AC59" s="122"/>
      <c r="AD59" s="123">
        <f t="shared" si="10"/>
        <v>0</v>
      </c>
      <c r="AE59" s="123" t="str">
        <f t="shared" si="11"/>
        <v>0</v>
      </c>
      <c r="AF59" s="124" t="str">
        <f ca="1">IF(OR(F59="", G59=""), "", IF(TODAY()&lt;F59, 0, IF(TODAY()&gt;G59, 1, (TODAY()-F59+1)/(G59-F59+1))))</f>
        <v/>
      </c>
      <c r="AG59" s="125"/>
    </row>
    <row r="60" spans="1:33" s="120" customFormat="1" ht="20.85" customHeight="1" x14ac:dyDescent="0.3">
      <c r="A60" s="1743"/>
      <c r="B60" s="1452"/>
      <c r="C60" s="1450"/>
      <c r="D60" s="1452"/>
      <c r="E60" s="1786"/>
      <c r="F60" s="1786"/>
      <c r="G60" s="2186"/>
      <c r="H60" s="2188"/>
      <c r="I60" s="2190"/>
      <c r="J60" s="1826"/>
      <c r="K60" s="2192"/>
      <c r="L60" s="121" t="s">
        <v>117</v>
      </c>
      <c r="M60" s="122"/>
      <c r="N60" s="122"/>
      <c r="O60" s="122"/>
      <c r="P60" s="117">
        <f t="shared" si="6"/>
        <v>0</v>
      </c>
      <c r="Q60" s="122"/>
      <c r="R60" s="122"/>
      <c r="S60" s="122"/>
      <c r="T60" s="117">
        <f t="shared" si="7"/>
        <v>0</v>
      </c>
      <c r="U60" s="122"/>
      <c r="V60" s="122"/>
      <c r="W60" s="122"/>
      <c r="X60" s="117">
        <f t="shared" si="8"/>
        <v>0</v>
      </c>
      <c r="Y60" s="122"/>
      <c r="Z60" s="122"/>
      <c r="AA60" s="122"/>
      <c r="AB60" s="117">
        <f t="shared" si="9"/>
        <v>0</v>
      </c>
      <c r="AC60" s="122"/>
      <c r="AD60" s="123">
        <f t="shared" si="10"/>
        <v>0</v>
      </c>
      <c r="AE60" s="123" t="str">
        <f t="shared" si="11"/>
        <v>0</v>
      </c>
      <c r="AF60" s="124"/>
      <c r="AG60" s="125"/>
    </row>
    <row r="61" spans="1:33" s="120" customFormat="1" ht="20.85" customHeight="1" x14ac:dyDescent="0.3">
      <c r="A61" s="1370"/>
      <c r="B61" s="1370"/>
      <c r="C61" s="1368"/>
      <c r="D61" s="1370"/>
      <c r="E61" s="1372"/>
      <c r="F61" s="1372"/>
      <c r="G61" s="1405"/>
      <c r="H61" s="2193"/>
      <c r="I61" s="2195"/>
      <c r="J61" s="1411"/>
      <c r="K61" s="2197"/>
      <c r="L61" s="115" t="s">
        <v>116</v>
      </c>
      <c r="M61" s="116"/>
      <c r="N61" s="116"/>
      <c r="O61" s="116"/>
      <c r="P61" s="117">
        <f t="shared" si="6"/>
        <v>0</v>
      </c>
      <c r="Q61" s="116"/>
      <c r="R61" s="116"/>
      <c r="S61" s="116"/>
      <c r="T61" s="117">
        <f t="shared" si="7"/>
        <v>0</v>
      </c>
      <c r="U61" s="116"/>
      <c r="V61" s="116"/>
      <c r="W61" s="116"/>
      <c r="X61" s="117">
        <f t="shared" si="8"/>
        <v>0</v>
      </c>
      <c r="Y61" s="116"/>
      <c r="Z61" s="116"/>
      <c r="AA61" s="116"/>
      <c r="AB61" s="117">
        <f t="shared" si="9"/>
        <v>0</v>
      </c>
      <c r="AC61" s="116"/>
      <c r="AD61" s="118">
        <f t="shared" si="10"/>
        <v>0</v>
      </c>
      <c r="AE61" s="118" t="str">
        <f t="shared" si="11"/>
        <v>0</v>
      </c>
      <c r="AF61" s="119" t="str">
        <f ca="1">IF(OR(F61="", G61=""), "", IF(TODAY()&lt;F61, 0, IF(TODAY()&gt;G61, 1, (TODAY()-F61+1)/(G61-F61+1))))</f>
        <v/>
      </c>
      <c r="AG61" s="98"/>
    </row>
    <row r="62" spans="1:33" s="120" customFormat="1" ht="20.85" customHeight="1" x14ac:dyDescent="0.3">
      <c r="A62" s="1371"/>
      <c r="B62" s="1371"/>
      <c r="C62" s="1369"/>
      <c r="D62" s="1371"/>
      <c r="E62" s="1373"/>
      <c r="F62" s="1373"/>
      <c r="G62" s="1406"/>
      <c r="H62" s="2194"/>
      <c r="I62" s="2196"/>
      <c r="J62" s="1412"/>
      <c r="K62" s="2198"/>
      <c r="L62" s="115" t="s">
        <v>117</v>
      </c>
      <c r="M62" s="116"/>
      <c r="N62" s="116"/>
      <c r="O62" s="116"/>
      <c r="P62" s="117">
        <f t="shared" si="6"/>
        <v>0</v>
      </c>
      <c r="Q62" s="116"/>
      <c r="R62" s="116"/>
      <c r="S62" s="116"/>
      <c r="T62" s="117">
        <f t="shared" si="7"/>
        <v>0</v>
      </c>
      <c r="U62" s="116"/>
      <c r="V62" s="116"/>
      <c r="W62" s="116"/>
      <c r="X62" s="117">
        <f t="shared" si="8"/>
        <v>0</v>
      </c>
      <c r="Y62" s="116"/>
      <c r="Z62" s="116"/>
      <c r="AA62" s="116"/>
      <c r="AB62" s="117">
        <f t="shared" si="9"/>
        <v>0</v>
      </c>
      <c r="AC62" s="116"/>
      <c r="AD62" s="118">
        <f t="shared" si="10"/>
        <v>0</v>
      </c>
      <c r="AE62" s="118" t="str">
        <f t="shared" si="11"/>
        <v>0</v>
      </c>
      <c r="AF62" s="119"/>
      <c r="AG62" s="98"/>
    </row>
    <row r="63" spans="1:33" s="120" customFormat="1" ht="20.85" customHeight="1" x14ac:dyDescent="0.3">
      <c r="A63" s="1742"/>
      <c r="B63" s="1451"/>
      <c r="C63" s="1449"/>
      <c r="D63" s="1451"/>
      <c r="E63" s="1785"/>
      <c r="F63" s="1785"/>
      <c r="G63" s="2185"/>
      <c r="H63" s="2187"/>
      <c r="I63" s="2189"/>
      <c r="J63" s="1825"/>
      <c r="K63" s="2191"/>
      <c r="L63" s="121" t="s">
        <v>116</v>
      </c>
      <c r="M63" s="122"/>
      <c r="N63" s="122"/>
      <c r="O63" s="122"/>
      <c r="P63" s="117">
        <f t="shared" si="6"/>
        <v>0</v>
      </c>
      <c r="Q63" s="122"/>
      <c r="R63" s="122"/>
      <c r="S63" s="122"/>
      <c r="T63" s="117">
        <f t="shared" si="7"/>
        <v>0</v>
      </c>
      <c r="U63" s="122"/>
      <c r="V63" s="122"/>
      <c r="W63" s="122"/>
      <c r="X63" s="117">
        <f t="shared" si="8"/>
        <v>0</v>
      </c>
      <c r="Y63" s="122"/>
      <c r="Z63" s="122"/>
      <c r="AA63" s="122"/>
      <c r="AB63" s="117">
        <f t="shared" si="9"/>
        <v>0</v>
      </c>
      <c r="AC63" s="122"/>
      <c r="AD63" s="123">
        <f t="shared" si="10"/>
        <v>0</v>
      </c>
      <c r="AE63" s="123" t="str">
        <f t="shared" si="11"/>
        <v>0</v>
      </c>
      <c r="AF63" s="124" t="str">
        <f ca="1">IF(OR(F63="", G63=""), "", IF(TODAY()&lt;F63, 0, IF(TODAY()&gt;G63, 1, (TODAY()-F63+1)/(G63-F63+1))))</f>
        <v/>
      </c>
      <c r="AG63" s="125"/>
    </row>
    <row r="64" spans="1:33" s="120" customFormat="1" ht="20.85" customHeight="1" x14ac:dyDescent="0.3">
      <c r="A64" s="1743"/>
      <c r="B64" s="1452"/>
      <c r="C64" s="1450"/>
      <c r="D64" s="1452"/>
      <c r="E64" s="1786"/>
      <c r="F64" s="1786"/>
      <c r="G64" s="2186"/>
      <c r="H64" s="2188"/>
      <c r="I64" s="2190"/>
      <c r="J64" s="1826"/>
      <c r="K64" s="2192"/>
      <c r="L64" s="121" t="s">
        <v>117</v>
      </c>
      <c r="M64" s="122"/>
      <c r="N64" s="122"/>
      <c r="O64" s="122"/>
      <c r="P64" s="117">
        <f t="shared" si="6"/>
        <v>0</v>
      </c>
      <c r="Q64" s="122"/>
      <c r="R64" s="122"/>
      <c r="S64" s="122"/>
      <c r="T64" s="117">
        <f t="shared" si="7"/>
        <v>0</v>
      </c>
      <c r="U64" s="122"/>
      <c r="V64" s="122"/>
      <c r="W64" s="122"/>
      <c r="X64" s="117">
        <f t="shared" si="8"/>
        <v>0</v>
      </c>
      <c r="Y64" s="122"/>
      <c r="Z64" s="122"/>
      <c r="AA64" s="122"/>
      <c r="AB64" s="117">
        <f t="shared" si="9"/>
        <v>0</v>
      </c>
      <c r="AC64" s="122"/>
      <c r="AD64" s="123">
        <f t="shared" si="10"/>
        <v>0</v>
      </c>
      <c r="AE64" s="123" t="str">
        <f t="shared" si="11"/>
        <v>0</v>
      </c>
      <c r="AF64" s="124"/>
      <c r="AG64" s="125"/>
    </row>
    <row r="65" spans="1:33" s="120" customFormat="1" ht="20.85" customHeight="1" x14ac:dyDescent="0.3">
      <c r="A65" s="1370"/>
      <c r="B65" s="1370"/>
      <c r="C65" s="1368"/>
      <c r="D65" s="1370"/>
      <c r="E65" s="1372"/>
      <c r="F65" s="1372"/>
      <c r="G65" s="1405"/>
      <c r="H65" s="2193"/>
      <c r="I65" s="2195"/>
      <c r="J65" s="1411"/>
      <c r="K65" s="2197"/>
      <c r="L65" s="115" t="s">
        <v>116</v>
      </c>
      <c r="M65" s="116"/>
      <c r="N65" s="116"/>
      <c r="O65" s="116"/>
      <c r="P65" s="117">
        <f t="shared" si="6"/>
        <v>0</v>
      </c>
      <c r="Q65" s="116"/>
      <c r="R65" s="116"/>
      <c r="S65" s="116"/>
      <c r="T65" s="117">
        <f t="shared" si="7"/>
        <v>0</v>
      </c>
      <c r="U65" s="116"/>
      <c r="V65" s="116"/>
      <c r="W65" s="116"/>
      <c r="X65" s="117">
        <f t="shared" si="8"/>
        <v>0</v>
      </c>
      <c r="Y65" s="116"/>
      <c r="Z65" s="116"/>
      <c r="AA65" s="116"/>
      <c r="AB65" s="117">
        <f t="shared" si="9"/>
        <v>0</v>
      </c>
      <c r="AC65" s="116"/>
      <c r="AD65" s="118">
        <f t="shared" si="10"/>
        <v>0</v>
      </c>
      <c r="AE65" s="118" t="str">
        <f t="shared" si="11"/>
        <v>0</v>
      </c>
      <c r="AF65" s="119" t="str">
        <f ca="1">IF(OR(F65="", G65=""), "", IF(TODAY()&lt;F65, 0, IF(TODAY()&gt;G65, 1, (TODAY()-F65+1)/(G65-F65+1))))</f>
        <v/>
      </c>
      <c r="AG65" s="98"/>
    </row>
    <row r="66" spans="1:33" s="120" customFormat="1" ht="20.85" customHeight="1" x14ac:dyDescent="0.3">
      <c r="A66" s="1371"/>
      <c r="B66" s="1371"/>
      <c r="C66" s="1369"/>
      <c r="D66" s="1371"/>
      <c r="E66" s="1373"/>
      <c r="F66" s="1373"/>
      <c r="G66" s="1406"/>
      <c r="H66" s="2194"/>
      <c r="I66" s="2196"/>
      <c r="J66" s="1412"/>
      <c r="K66" s="2198"/>
      <c r="L66" s="115" t="s">
        <v>117</v>
      </c>
      <c r="M66" s="116"/>
      <c r="N66" s="116"/>
      <c r="O66" s="116"/>
      <c r="P66" s="117">
        <f t="shared" si="6"/>
        <v>0</v>
      </c>
      <c r="Q66" s="116"/>
      <c r="R66" s="116"/>
      <c r="S66" s="116"/>
      <c r="T66" s="117">
        <f t="shared" si="7"/>
        <v>0</v>
      </c>
      <c r="U66" s="116"/>
      <c r="V66" s="116"/>
      <c r="W66" s="116"/>
      <c r="X66" s="117">
        <f t="shared" si="8"/>
        <v>0</v>
      </c>
      <c r="Y66" s="116"/>
      <c r="Z66" s="116"/>
      <c r="AA66" s="116"/>
      <c r="AB66" s="117">
        <f t="shared" si="9"/>
        <v>0</v>
      </c>
      <c r="AC66" s="116"/>
      <c r="AD66" s="118">
        <f t="shared" si="10"/>
        <v>0</v>
      </c>
      <c r="AE66" s="118" t="str">
        <f t="shared" si="11"/>
        <v>0</v>
      </c>
      <c r="AF66" s="119"/>
      <c r="AG66" s="98"/>
    </row>
    <row r="67" spans="1:33" s="120" customFormat="1" ht="20.85" customHeight="1" x14ac:dyDescent="0.3">
      <c r="A67" s="1742"/>
      <c r="B67" s="1451"/>
      <c r="C67" s="1449"/>
      <c r="D67" s="1451"/>
      <c r="E67" s="1785"/>
      <c r="F67" s="1785"/>
      <c r="G67" s="2185"/>
      <c r="H67" s="2187"/>
      <c r="I67" s="2189"/>
      <c r="J67" s="1825"/>
      <c r="K67" s="2191"/>
      <c r="L67" s="121" t="s">
        <v>116</v>
      </c>
      <c r="M67" s="122"/>
      <c r="N67" s="122"/>
      <c r="O67" s="122"/>
      <c r="P67" s="117">
        <f t="shared" si="6"/>
        <v>0</v>
      </c>
      <c r="Q67" s="122"/>
      <c r="R67" s="122"/>
      <c r="S67" s="122"/>
      <c r="T67" s="117">
        <f t="shared" si="7"/>
        <v>0</v>
      </c>
      <c r="U67" s="122"/>
      <c r="V67" s="122"/>
      <c r="W67" s="122"/>
      <c r="X67" s="117">
        <f t="shared" si="8"/>
        <v>0</v>
      </c>
      <c r="Y67" s="122"/>
      <c r="Z67" s="122"/>
      <c r="AA67" s="122"/>
      <c r="AB67" s="117">
        <f t="shared" si="9"/>
        <v>0</v>
      </c>
      <c r="AC67" s="122"/>
      <c r="AD67" s="123">
        <f t="shared" si="10"/>
        <v>0</v>
      </c>
      <c r="AE67" s="123" t="str">
        <f t="shared" si="11"/>
        <v>0</v>
      </c>
      <c r="AF67" s="124" t="str">
        <f ca="1">IF(OR(F67="", G67=""), "", IF(TODAY()&lt;F67, 0, IF(TODAY()&gt;G67, 1, (TODAY()-F67+1)/(G67-F67+1))))</f>
        <v/>
      </c>
      <c r="AG67" s="125"/>
    </row>
    <row r="68" spans="1:33" s="120" customFormat="1" ht="20.85" customHeight="1" x14ac:dyDescent="0.3">
      <c r="A68" s="1743"/>
      <c r="B68" s="1452"/>
      <c r="C68" s="1450"/>
      <c r="D68" s="1452"/>
      <c r="E68" s="1786"/>
      <c r="F68" s="1786"/>
      <c r="G68" s="2186"/>
      <c r="H68" s="2188"/>
      <c r="I68" s="2190"/>
      <c r="J68" s="1826"/>
      <c r="K68" s="2192"/>
      <c r="L68" s="121" t="s">
        <v>117</v>
      </c>
      <c r="M68" s="122"/>
      <c r="N68" s="122"/>
      <c r="O68" s="122"/>
      <c r="P68" s="117">
        <f t="shared" si="6"/>
        <v>0</v>
      </c>
      <c r="Q68" s="122"/>
      <c r="R68" s="122"/>
      <c r="S68" s="122"/>
      <c r="T68" s="117">
        <f t="shared" si="7"/>
        <v>0</v>
      </c>
      <c r="U68" s="122"/>
      <c r="V68" s="122"/>
      <c r="W68" s="122"/>
      <c r="X68" s="117">
        <f t="shared" si="8"/>
        <v>0</v>
      </c>
      <c r="Y68" s="122"/>
      <c r="Z68" s="122"/>
      <c r="AA68" s="122"/>
      <c r="AB68" s="117">
        <f t="shared" si="9"/>
        <v>0</v>
      </c>
      <c r="AC68" s="122"/>
      <c r="AD68" s="123">
        <f t="shared" si="10"/>
        <v>0</v>
      </c>
      <c r="AE68" s="123" t="str">
        <f t="shared" si="11"/>
        <v>0</v>
      </c>
      <c r="AF68" s="124"/>
      <c r="AG68" s="125"/>
    </row>
    <row r="69" spans="1:33" s="120" customFormat="1" ht="20.85" customHeight="1" x14ac:dyDescent="0.3"/>
    <row r="70" spans="1:33" x14ac:dyDescent="0.3">
      <c r="K70" s="151"/>
      <c r="L70" s="151">
        <v>46023</v>
      </c>
      <c r="M70" s="151">
        <v>46054</v>
      </c>
      <c r="N70" s="151">
        <v>46082</v>
      </c>
      <c r="O70" s="151">
        <v>46113</v>
      </c>
      <c r="P70" s="151">
        <v>46143</v>
      </c>
      <c r="Q70" s="151">
        <v>46174</v>
      </c>
      <c r="R70" s="151">
        <v>46204</v>
      </c>
      <c r="S70" s="151">
        <v>46235</v>
      </c>
      <c r="T70" s="151">
        <v>46266</v>
      </c>
      <c r="U70" s="151">
        <v>46296</v>
      </c>
      <c r="V70" s="151">
        <v>46327</v>
      </c>
      <c r="W70" s="151">
        <v>46357</v>
      </c>
      <c r="X70" s="151" t="s">
        <v>115</v>
      </c>
    </row>
    <row r="71" spans="1:33" x14ac:dyDescent="0.3">
      <c r="K71" s="151" t="s">
        <v>116</v>
      </c>
      <c r="L71" s="152" cm="1">
        <f t="array" ref="L71">SUMPRODUCT(
($L$17:$L$68="Previsto")*
INDEX($M$17:$AB$68,0,MATCH(L$70,$M$16:$AB$16,0))
)</f>
        <v>0</v>
      </c>
      <c r="M71" s="152" cm="1">
        <f t="array" ref="M71">SUMPRODUCT(
($L$17:$L$68="Previsto")*
INDEX($M$17:$AB$68,0,MATCH(M$70,$M$16:$AB$16,0))
)</f>
        <v>0</v>
      </c>
      <c r="N71" s="152" cm="1">
        <f t="array" ref="N71">SUMPRODUCT(
($L$17:$L$68="Previsto")*
INDEX($M$17:$AB$68,0,MATCH(N$70,$M$16:$AB$16,0))
)</f>
        <v>0</v>
      </c>
      <c r="O71" s="152" cm="1">
        <f t="array" ref="O71">SUMPRODUCT(
($L$17:$L$68="Previsto")*
INDEX($M$17:$AB$68,0,MATCH(O$70,$M$16:$AB$16,0))
)</f>
        <v>0</v>
      </c>
      <c r="P71" s="152" cm="1">
        <f t="array" ref="P71">SUMPRODUCT(
($L$17:$L$68="Previsto")*
INDEX($M$17:$AB$68,0,MATCH(P$70,$M$16:$AB$16,0))
)</f>
        <v>0</v>
      </c>
      <c r="Q71" s="152" cm="1">
        <f t="array" ref="Q71">SUMPRODUCT(
($L$17:$L$68="Previsto")*
INDEX($M$17:$AB$68,0,MATCH(Q$70,$M$16:$AB$16,0))
)</f>
        <v>0</v>
      </c>
      <c r="R71" s="152" cm="1">
        <f t="array" ref="R71">SUMPRODUCT(
($L$17:$L$68="Previsto")*
INDEX($M$17:$AB$68,0,MATCH(R$70,$M$16:$AB$16,0))
)</f>
        <v>0</v>
      </c>
      <c r="S71" s="152" cm="1">
        <f t="array" ref="S71">SUMPRODUCT(
($L$17:$L$68="Previsto")*
INDEX($M$17:$AB$68,0,MATCH(S$70,$M$16:$AB$16,0))
)</f>
        <v>0</v>
      </c>
      <c r="T71" s="152" cm="1">
        <f t="array" ref="T71">SUMPRODUCT(
($L$17:$L$68="Previsto")*
INDEX($M$17:$AB$68,0,MATCH(T$70,$M$16:$AB$16,0))
)</f>
        <v>0</v>
      </c>
      <c r="U71" s="152" cm="1">
        <f t="array" ref="U71">SUMPRODUCT(
($L$17:$L$68="Previsto")*
INDEX($M$17:$AB$68,0,MATCH(U$70,$M$16:$AB$16,0))
)</f>
        <v>0</v>
      </c>
      <c r="V71" s="152" cm="1">
        <f t="array" ref="V71">SUMPRODUCT(
($L$17:$L$68="Previsto")*
INDEX($M$17:$AB$68,0,MATCH(V$70,$M$16:$AB$16,0))
)</f>
        <v>0</v>
      </c>
      <c r="W71" s="152" cm="1">
        <f t="array" ref="W71">SUMPRODUCT(
($L$17:$L$68="Previsto")*
INDEX($M$17:$AB$68,0,MATCH(W$70,$M$16:$AB$16,0))
)</f>
        <v>0</v>
      </c>
      <c r="X71" s="152">
        <f>SUM(L71:W71)</f>
        <v>0</v>
      </c>
    </row>
    <row r="72" spans="1:33" x14ac:dyDescent="0.3">
      <c r="K72" s="153" t="s">
        <v>117</v>
      </c>
      <c r="L72" s="154" cm="1">
        <f t="array" ref="L72">SUMPRODUCT(
($L$17:$L$68="Real")*
INDEX($M$17:$AB$68,0,MATCH(L$70,$M$16:$AB$16,0))
)</f>
        <v>0</v>
      </c>
      <c r="M72" s="154" cm="1">
        <f t="array" ref="M72">SUMPRODUCT(
($L$17:$L$68="Real")*
INDEX($M$17:$AB$68,0,MATCH(M$70,$M$16:$AB$16,0))
)</f>
        <v>0</v>
      </c>
      <c r="N72" s="154" cm="1">
        <f t="array" ref="N72">SUMPRODUCT(
($L$17:$L$68="Real")*
INDEX($M$17:$AB$68,0,MATCH(N$70,$M$16:$AB$16,0))
)</f>
        <v>0</v>
      </c>
      <c r="O72" s="154" cm="1">
        <f t="array" ref="O72">SUMPRODUCT(
($L$17:$L$68="Real")*
INDEX($M$17:$AB$68,0,MATCH(O$70,$M$16:$AB$16,0))
)</f>
        <v>0</v>
      </c>
      <c r="P72" s="154" cm="1">
        <f t="array" ref="P72">SUMPRODUCT(
($L$17:$L$68="Real")*
INDEX($M$17:$AB$68,0,MATCH(P$70,$M$16:$AB$16,0))
)</f>
        <v>0</v>
      </c>
      <c r="Q72" s="154" cm="1">
        <f t="array" ref="Q72">SUMPRODUCT(
($L$17:$L$68="Real")*
INDEX($M$17:$AB$68,0,MATCH(Q$70,$M$16:$AB$16,0))
)</f>
        <v>0</v>
      </c>
      <c r="R72" s="154" cm="1">
        <f t="array" ref="R72">SUMPRODUCT(
($L$17:$L$68="Real")*
INDEX($M$17:$AB$68,0,MATCH(R$70,$M$16:$AB$16,0))
)</f>
        <v>0</v>
      </c>
      <c r="S72" s="154" cm="1">
        <f t="array" ref="S72">SUMPRODUCT(
($L$17:$L$68="Real")*
INDEX($M$17:$AB$68,0,MATCH(S$70,$M$16:$AB$16,0))
)</f>
        <v>0</v>
      </c>
      <c r="T72" s="154" cm="1">
        <f t="array" ref="T72">SUMPRODUCT(
($L$17:$L$68="Real")*
INDEX($M$17:$AB$68,0,MATCH(T$70,$M$16:$AB$16,0))
)</f>
        <v>0</v>
      </c>
      <c r="U72" s="154" cm="1">
        <f t="array" ref="U72">SUMPRODUCT(
($L$17:$L$68="Real")*
INDEX($M$17:$AB$68,0,MATCH(U$70,$M$16:$AB$16,0))
)</f>
        <v>0</v>
      </c>
      <c r="V72" s="154" cm="1">
        <f t="array" ref="V72">SUMPRODUCT(
($L$17:$L$68="Real")*
INDEX($M$17:$AB$68,0,MATCH(V$70,$M$16:$AB$16,0))
)</f>
        <v>0</v>
      </c>
      <c r="W72" s="154" cm="1">
        <f t="array" ref="W72">SUMPRODUCT(
($L$17:$L$68="Real")*
INDEX($M$17:$AB$68,0,MATCH(W$70,$M$16:$AB$16,0))
)</f>
        <v>0</v>
      </c>
      <c r="X72" s="154">
        <f>SUM(L72:W72)</f>
        <v>0</v>
      </c>
    </row>
    <row r="73" spans="1:33" x14ac:dyDescent="0.3">
      <c r="K73" s="160" t="s">
        <v>118</v>
      </c>
      <c r="L73" s="160" cm="1">
        <f t="array" ref="L73">SUMPRODUCT(
($E$17:$E$68&lt;&gt;"")*
($E$17:$E$68&lt;=L$70)*
(($F$17:$F$68="")+($F$17:$F$68&gt;=L$70))
)</f>
        <v>0</v>
      </c>
      <c r="M73" s="160" cm="1">
        <f t="array" ref="M73">SUMPRODUCT(
($E$17:$E$68&lt;&gt;"")*
($E$17:$E$68&lt;=M$70)*
(($F$17:$F$68="")+($F$17:$F$68&gt;=M$70))
)</f>
        <v>0</v>
      </c>
      <c r="N73" s="160" cm="1">
        <f t="array" ref="N73">SUMPRODUCT(
($E$17:$E$68&lt;&gt;"")*
($E$17:$E$68&lt;=N$70)*
(($F$17:$F$68="")+($F$17:$F$68&gt;=N$70))
)</f>
        <v>0</v>
      </c>
      <c r="O73" s="160" cm="1">
        <f t="array" ref="O73">SUMPRODUCT(
($E$17:$E$68&lt;&gt;"")*
($E$17:$E$68&lt;=O$70)*
(($F$17:$F$68="")+($F$17:$F$68&gt;=O$70))
)</f>
        <v>0</v>
      </c>
      <c r="P73" s="160" cm="1">
        <f t="array" ref="P73">SUMPRODUCT(
($E$17:$E$68&lt;&gt;"")*
($E$17:$E$68&lt;=P$70)*
(($F$17:$F$68="")+($F$17:$F$68&gt;=P$70))
)</f>
        <v>0</v>
      </c>
      <c r="Q73" s="160" cm="1">
        <f t="array" ref="Q73">SUMPRODUCT(
($E$17:$E$68&lt;&gt;"")*
($E$17:$E$68&lt;=Q$70)*
(($F$17:$F$68="")+($F$17:$F$68&gt;=Q$70))
)</f>
        <v>0</v>
      </c>
      <c r="R73" s="160" cm="1">
        <f t="array" ref="R73">SUMPRODUCT(
($E$17:$E$68&lt;&gt;"")*
($E$17:$E$68&lt;=R$70)*
(($F$17:$F$68="")+($F$17:$F$68&gt;=R$70))
)</f>
        <v>0</v>
      </c>
      <c r="S73" s="160" cm="1">
        <f t="array" ref="S73">SUMPRODUCT(
($E$17:$E$68&lt;&gt;"")*
($E$17:$E$68&lt;=S$70)*
(($F$17:$F$68="")+($F$17:$F$68&gt;=S$70))
)</f>
        <v>0</v>
      </c>
      <c r="T73" s="160" cm="1">
        <f t="array" ref="T73">SUMPRODUCT(
($E$17:$E$68&lt;&gt;"")*
($E$17:$E$68&lt;=T$70)*
(($F$17:$F$68="")+($F$17:$F$68&gt;=T$70))
)</f>
        <v>0</v>
      </c>
      <c r="U73" s="160" cm="1">
        <f t="array" ref="U73">SUMPRODUCT(
($E$17:$E$68&lt;&gt;"")*
($E$17:$E$68&lt;=U$70)*
(($F$17:$F$68="")+($F$17:$F$68&gt;=U$70))
)</f>
        <v>0</v>
      </c>
      <c r="V73" s="160" cm="1">
        <f t="array" ref="V73">SUMPRODUCT(
($E$17:$E$68&lt;&gt;"")*
($E$17:$E$68&lt;=V$70)*
(($F$17:$F$68="")+($F$17:$F$68&gt;=V$70))
)</f>
        <v>0</v>
      </c>
      <c r="W73" s="160" cm="1">
        <f t="array" ref="W73">SUMPRODUCT(
($E$17:$E$68&lt;&gt;"")*
($E$17:$E$68&lt;=W$70)*
(($F$17:$F$68="")+($F$17:$F$68&gt;=W$70))
)</f>
        <v>0</v>
      </c>
    </row>
  </sheetData>
  <sheetProtection algorithmName="SHA-512" hashValue="YgX9ncuBP60SEcHmIje3Fytv+Irh4pB+2WXUb9JC8zk+BJ8aB4kyncp8yjULxEG6Y+C4LCoA/jbgqHMllj+4qw==" saltValue="1UBucL63XgC7fvJftjkGHQ==" spinCount="100000" sheet="1" objects="1" scenarios="1"/>
  <mergeCells count="307">
    <mergeCell ref="J19:J20"/>
    <mergeCell ref="J21:J22"/>
    <mergeCell ref="J23:J24"/>
    <mergeCell ref="J25:J26"/>
    <mergeCell ref="J27:J28"/>
    <mergeCell ref="J29:J30"/>
    <mergeCell ref="J31:J32"/>
    <mergeCell ref="J33:J34"/>
    <mergeCell ref="J35:J36"/>
    <mergeCell ref="G67:G68"/>
    <mergeCell ref="H67:H68"/>
    <mergeCell ref="I67:I68"/>
    <mergeCell ref="K67:K68"/>
    <mergeCell ref="A67:A68"/>
    <mergeCell ref="B67:B68"/>
    <mergeCell ref="C67:C68"/>
    <mergeCell ref="D67:D68"/>
    <mergeCell ref="E67:E68"/>
    <mergeCell ref="F67:F68"/>
    <mergeCell ref="J67:J68"/>
    <mergeCell ref="F65:F66"/>
    <mergeCell ref="G65:G66"/>
    <mergeCell ref="H65:H66"/>
    <mergeCell ref="I65:I66"/>
    <mergeCell ref="K65:K66"/>
    <mergeCell ref="G63:G64"/>
    <mergeCell ref="H63:H64"/>
    <mergeCell ref="I63:I64"/>
    <mergeCell ref="K63:K64"/>
    <mergeCell ref="F63:F64"/>
    <mergeCell ref="J63:J64"/>
    <mergeCell ref="J65:J66"/>
    <mergeCell ref="A65:A66"/>
    <mergeCell ref="B65:B66"/>
    <mergeCell ref="C65:C66"/>
    <mergeCell ref="D65:D66"/>
    <mergeCell ref="E65:E66"/>
    <mergeCell ref="A63:A64"/>
    <mergeCell ref="B63:B64"/>
    <mergeCell ref="C63:C64"/>
    <mergeCell ref="D63:D64"/>
    <mergeCell ref="E63:E64"/>
    <mergeCell ref="F61:F62"/>
    <mergeCell ref="G61:G62"/>
    <mergeCell ref="H61:H62"/>
    <mergeCell ref="I61:I62"/>
    <mergeCell ref="K61:K62"/>
    <mergeCell ref="G59:G60"/>
    <mergeCell ref="H59:H60"/>
    <mergeCell ref="I59:I60"/>
    <mergeCell ref="K59:K60"/>
    <mergeCell ref="F59:F60"/>
    <mergeCell ref="J59:J60"/>
    <mergeCell ref="J61:J62"/>
    <mergeCell ref="A61:A62"/>
    <mergeCell ref="B61:B62"/>
    <mergeCell ref="C61:C62"/>
    <mergeCell ref="D61:D62"/>
    <mergeCell ref="E61:E62"/>
    <mergeCell ref="A59:A60"/>
    <mergeCell ref="B59:B60"/>
    <mergeCell ref="C59:C60"/>
    <mergeCell ref="D59:D60"/>
    <mergeCell ref="E59:E60"/>
    <mergeCell ref="F57:F58"/>
    <mergeCell ref="G57:G58"/>
    <mergeCell ref="H57:H58"/>
    <mergeCell ref="I57:I58"/>
    <mergeCell ref="K57:K58"/>
    <mergeCell ref="G55:G56"/>
    <mergeCell ref="H55:H56"/>
    <mergeCell ref="I55:I56"/>
    <mergeCell ref="K55:K56"/>
    <mergeCell ref="F55:F56"/>
    <mergeCell ref="J55:J56"/>
    <mergeCell ref="J57:J58"/>
    <mergeCell ref="A57:A58"/>
    <mergeCell ref="B57:B58"/>
    <mergeCell ref="C57:C58"/>
    <mergeCell ref="D57:D58"/>
    <mergeCell ref="E57:E58"/>
    <mergeCell ref="A55:A56"/>
    <mergeCell ref="B55:B56"/>
    <mergeCell ref="C55:C56"/>
    <mergeCell ref="D55:D56"/>
    <mergeCell ref="E55:E56"/>
    <mergeCell ref="F53:F54"/>
    <mergeCell ref="G53:G54"/>
    <mergeCell ref="H53:H54"/>
    <mergeCell ref="I53:I54"/>
    <mergeCell ref="K53:K54"/>
    <mergeCell ref="G51:G52"/>
    <mergeCell ref="H51:H52"/>
    <mergeCell ref="I51:I52"/>
    <mergeCell ref="K51:K52"/>
    <mergeCell ref="F51:F52"/>
    <mergeCell ref="J51:J52"/>
    <mergeCell ref="J53:J54"/>
    <mergeCell ref="A53:A54"/>
    <mergeCell ref="B53:B54"/>
    <mergeCell ref="C53:C54"/>
    <mergeCell ref="D53:D54"/>
    <mergeCell ref="E53:E54"/>
    <mergeCell ref="A51:A52"/>
    <mergeCell ref="B51:B52"/>
    <mergeCell ref="C51:C52"/>
    <mergeCell ref="D51:D52"/>
    <mergeCell ref="E51:E52"/>
    <mergeCell ref="F49:F50"/>
    <mergeCell ref="G49:G50"/>
    <mergeCell ref="H49:H50"/>
    <mergeCell ref="I49:I50"/>
    <mergeCell ref="K49:K50"/>
    <mergeCell ref="G47:G48"/>
    <mergeCell ref="H47:H48"/>
    <mergeCell ref="I47:I48"/>
    <mergeCell ref="K47:K48"/>
    <mergeCell ref="F47:F48"/>
    <mergeCell ref="J47:J48"/>
    <mergeCell ref="J49:J50"/>
    <mergeCell ref="A49:A50"/>
    <mergeCell ref="B49:B50"/>
    <mergeCell ref="C49:C50"/>
    <mergeCell ref="D49:D50"/>
    <mergeCell ref="E49:E50"/>
    <mergeCell ref="A47:A48"/>
    <mergeCell ref="B47:B48"/>
    <mergeCell ref="C47:C48"/>
    <mergeCell ref="D47:D48"/>
    <mergeCell ref="E47:E48"/>
    <mergeCell ref="F45:F46"/>
    <mergeCell ref="G45:G46"/>
    <mergeCell ref="H45:H46"/>
    <mergeCell ref="I45:I46"/>
    <mergeCell ref="K45:K46"/>
    <mergeCell ref="G43:G44"/>
    <mergeCell ref="H43:H44"/>
    <mergeCell ref="I43:I44"/>
    <mergeCell ref="K43:K44"/>
    <mergeCell ref="F43:F44"/>
    <mergeCell ref="J43:J44"/>
    <mergeCell ref="J45:J46"/>
    <mergeCell ref="A45:A46"/>
    <mergeCell ref="B45:B46"/>
    <mergeCell ref="C45:C46"/>
    <mergeCell ref="D45:D46"/>
    <mergeCell ref="E45:E46"/>
    <mergeCell ref="A43:A44"/>
    <mergeCell ref="B43:B44"/>
    <mergeCell ref="C43:C44"/>
    <mergeCell ref="D43:D44"/>
    <mergeCell ref="E43:E44"/>
    <mergeCell ref="F41:F42"/>
    <mergeCell ref="G41:G42"/>
    <mergeCell ref="H41:H42"/>
    <mergeCell ref="I41:I42"/>
    <mergeCell ref="K41:K42"/>
    <mergeCell ref="G39:G40"/>
    <mergeCell ref="H39:H40"/>
    <mergeCell ref="I39:I40"/>
    <mergeCell ref="K39:K40"/>
    <mergeCell ref="F39:F40"/>
    <mergeCell ref="J39:J40"/>
    <mergeCell ref="J41:J42"/>
    <mergeCell ref="A41:A42"/>
    <mergeCell ref="B41:B42"/>
    <mergeCell ref="C41:C42"/>
    <mergeCell ref="D41:D42"/>
    <mergeCell ref="E41:E42"/>
    <mergeCell ref="A39:A40"/>
    <mergeCell ref="B39:B40"/>
    <mergeCell ref="C39:C40"/>
    <mergeCell ref="D39:D40"/>
    <mergeCell ref="E39:E40"/>
    <mergeCell ref="F37:F38"/>
    <mergeCell ref="G37:G38"/>
    <mergeCell ref="H37:H38"/>
    <mergeCell ref="I37:I38"/>
    <mergeCell ref="K37:K38"/>
    <mergeCell ref="G35:G36"/>
    <mergeCell ref="H35:H36"/>
    <mergeCell ref="I35:I36"/>
    <mergeCell ref="K35:K36"/>
    <mergeCell ref="F35:F36"/>
    <mergeCell ref="J37:J38"/>
    <mergeCell ref="A37:A38"/>
    <mergeCell ref="B37:B38"/>
    <mergeCell ref="C37:C38"/>
    <mergeCell ref="D37:D38"/>
    <mergeCell ref="E37:E38"/>
    <mergeCell ref="A35:A36"/>
    <mergeCell ref="B35:B36"/>
    <mergeCell ref="C35:C36"/>
    <mergeCell ref="D35:D36"/>
    <mergeCell ref="E35:E36"/>
    <mergeCell ref="F33:F34"/>
    <mergeCell ref="G33:G34"/>
    <mergeCell ref="H33:H34"/>
    <mergeCell ref="I33:I34"/>
    <mergeCell ref="K33:K34"/>
    <mergeCell ref="G31:G32"/>
    <mergeCell ref="H31:H32"/>
    <mergeCell ref="I31:I32"/>
    <mergeCell ref="K31:K32"/>
    <mergeCell ref="F31:F32"/>
    <mergeCell ref="A33:A34"/>
    <mergeCell ref="B33:B34"/>
    <mergeCell ref="C33:C34"/>
    <mergeCell ref="D33:D34"/>
    <mergeCell ref="E33:E34"/>
    <mergeCell ref="A31:A32"/>
    <mergeCell ref="B31:B32"/>
    <mergeCell ref="C31:C32"/>
    <mergeCell ref="D31:D32"/>
    <mergeCell ref="E31:E32"/>
    <mergeCell ref="F29:F30"/>
    <mergeCell ref="G29:G30"/>
    <mergeCell ref="H29:H30"/>
    <mergeCell ref="I29:I30"/>
    <mergeCell ref="K29:K30"/>
    <mergeCell ref="G27:G28"/>
    <mergeCell ref="H27:H28"/>
    <mergeCell ref="I27:I28"/>
    <mergeCell ref="K27:K28"/>
    <mergeCell ref="F27:F28"/>
    <mergeCell ref="A29:A30"/>
    <mergeCell ref="B29:B30"/>
    <mergeCell ref="C29:C30"/>
    <mergeCell ref="D29:D30"/>
    <mergeCell ref="E29:E30"/>
    <mergeCell ref="A27:A28"/>
    <mergeCell ref="B27:B28"/>
    <mergeCell ref="C27:C28"/>
    <mergeCell ref="D27:D28"/>
    <mergeCell ref="E27:E28"/>
    <mergeCell ref="K19:K20"/>
    <mergeCell ref="A25:A26"/>
    <mergeCell ref="B25:B26"/>
    <mergeCell ref="C25:C26"/>
    <mergeCell ref="D25:D26"/>
    <mergeCell ref="E25:E26"/>
    <mergeCell ref="A23:A24"/>
    <mergeCell ref="B23:B24"/>
    <mergeCell ref="C23:C24"/>
    <mergeCell ref="D23:D24"/>
    <mergeCell ref="E23:E24"/>
    <mergeCell ref="F25:F26"/>
    <mergeCell ref="G25:G26"/>
    <mergeCell ref="H25:H26"/>
    <mergeCell ref="I25:I26"/>
    <mergeCell ref="K25:K26"/>
    <mergeCell ref="G23:G24"/>
    <mergeCell ref="H23:H24"/>
    <mergeCell ref="I23:I24"/>
    <mergeCell ref="K23:K24"/>
    <mergeCell ref="F23:F24"/>
    <mergeCell ref="A21:A22"/>
    <mergeCell ref="B21:B22"/>
    <mergeCell ref="C21:C22"/>
    <mergeCell ref="D21:D22"/>
    <mergeCell ref="E21:E22"/>
    <mergeCell ref="H17:H18"/>
    <mergeCell ref="I17:I18"/>
    <mergeCell ref="K17:K18"/>
    <mergeCell ref="A19:A20"/>
    <mergeCell ref="B19:B20"/>
    <mergeCell ref="C19:C20"/>
    <mergeCell ref="D19:D20"/>
    <mergeCell ref="E19:E20"/>
    <mergeCell ref="F19:F20"/>
    <mergeCell ref="F21:F22"/>
    <mergeCell ref="G21:G22"/>
    <mergeCell ref="H21:H22"/>
    <mergeCell ref="I21:I22"/>
    <mergeCell ref="K21:K22"/>
    <mergeCell ref="G19:G20"/>
    <mergeCell ref="H19:H20"/>
    <mergeCell ref="I19:I20"/>
    <mergeCell ref="A17:A18"/>
    <mergeCell ref="B17:B18"/>
    <mergeCell ref="C17:C18"/>
    <mergeCell ref="D17:D18"/>
    <mergeCell ref="E17:E18"/>
    <mergeCell ref="F17:F18"/>
    <mergeCell ref="G17:G18"/>
    <mergeCell ref="J17:J18"/>
    <mergeCell ref="A7:E7"/>
    <mergeCell ref="G7:I7"/>
    <mergeCell ref="L13:N13"/>
    <mergeCell ref="A5:B5"/>
    <mergeCell ref="C5:D5"/>
    <mergeCell ref="E5:F5"/>
    <mergeCell ref="G5:I5"/>
    <mergeCell ref="J5:L5"/>
    <mergeCell ref="M5:N5"/>
    <mergeCell ref="A4:B4"/>
    <mergeCell ref="C4:D4"/>
    <mergeCell ref="E4:F4"/>
    <mergeCell ref="G4:I4"/>
    <mergeCell ref="J4:L4"/>
    <mergeCell ref="M4:N4"/>
    <mergeCell ref="A1:N1"/>
    <mergeCell ref="O1:AB1"/>
    <mergeCell ref="AC1:AG1"/>
    <mergeCell ref="A2:N2"/>
    <mergeCell ref="O2:AB2"/>
    <mergeCell ref="AC2:AG2"/>
  </mergeCells>
  <conditionalFormatting sqref="E9:E12">
    <cfRule type="dataBar" priority="1">
      <dataBar showValue="0">
        <cfvo type="num" val="0"/>
        <cfvo type="num" val="1"/>
        <color rgb="FF00B050"/>
      </dataBar>
      <extLst>
        <ext xmlns:x14="http://schemas.microsoft.com/office/spreadsheetml/2009/9/main" uri="{B025F937-C7B1-47D3-B67F-A62EFF666E3E}">
          <x14:id>{967CA376-6065-43FA-BB43-650478390E97}</x14:id>
        </ext>
      </extLst>
    </cfRule>
  </conditionalFormatting>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dataBar" id="{967CA376-6065-43FA-BB43-650478390E97}">
            <x14:dataBar minLength="0" maxLength="100" border="1" direction="leftToRight">
              <x14:cfvo type="num">
                <xm:f>0</xm:f>
              </x14:cfvo>
              <x14:cfvo type="num">
                <xm:f>1</xm:f>
              </x14:cfvo>
              <x14:borderColor rgb="FF000099"/>
              <x14:negativeFillColor rgb="FFFF0000"/>
              <x14:axisColor rgb="FF000000"/>
            </x14:dataBar>
          </x14:cfRule>
          <xm:sqref>E9:E12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44258C89-65B4-4155-9698-74B3F27AFE41}">
          <x14:formula1>
            <xm:f>Parâmetros!$A$28:$A$29</xm:f>
          </x14:formula1>
          <xm:sqref>H17:H68</xm:sqref>
        </x14:dataValidation>
        <x14:dataValidation type="list" allowBlank="1" showInputMessage="1" showErrorMessage="1" xr:uid="{216D59F1-DC0D-4421-89E4-C27404186B10}">
          <x14:formula1>
            <xm:f>Parâmetros!$A$31:$A$33</xm:f>
          </x14:formula1>
          <xm:sqref>J17 J19 J21 J25 J29 J33 J37 J41 J45 J49 J53 J57 J61 J65 J23 J27 J31 J35 J39 J43 J47 J51 J55 J59 J63 J67</xm:sqref>
        </x14:dataValidation>
        <x14:dataValidation type="list" allowBlank="1" showInputMessage="1" showErrorMessage="1" xr:uid="{99C195BA-43B0-49B4-A83D-44489DC5D00E}">
          <x14:formula1>
            <xm:f>Parâmetros!$A$24:$A$27</xm:f>
          </x14:formula1>
          <xm:sqref>A17:A68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99CA5-955A-4700-9FE5-A1DB6BF217AB}">
  <dimension ref="A1:N6"/>
  <sheetViews>
    <sheetView workbookViewId="0"/>
  </sheetViews>
  <sheetFormatPr defaultRowHeight="14.4" x14ac:dyDescent="0.3"/>
  <cols>
    <col min="1" max="1" width="9" bestFit="1" customWidth="1"/>
    <col min="2" max="2" width="27.5546875" bestFit="1" customWidth="1"/>
  </cols>
  <sheetData>
    <row r="1" spans="1:14" x14ac:dyDescent="0.3">
      <c r="A1" s="402" t="s">
        <v>21</v>
      </c>
      <c r="B1" s="402" t="s">
        <v>1696</v>
      </c>
    </row>
    <row r="2" spans="1:14" x14ac:dyDescent="0.3">
      <c r="A2" s="402" t="s">
        <v>22</v>
      </c>
      <c r="B2" s="402" t="s">
        <v>1697</v>
      </c>
    </row>
    <row r="3" spans="1:14" ht="28.8" x14ac:dyDescent="0.3">
      <c r="A3" s="402" t="s">
        <v>23</v>
      </c>
      <c r="B3" s="402" t="s">
        <v>1698</v>
      </c>
    </row>
    <row r="4" spans="1:14" x14ac:dyDescent="0.3">
      <c r="A4" s="402" t="s">
        <v>24</v>
      </c>
      <c r="B4" s="402" t="s">
        <v>1699</v>
      </c>
    </row>
    <row r="5" spans="1:14" x14ac:dyDescent="0.3">
      <c r="A5" s="402" t="s">
        <v>26</v>
      </c>
      <c r="B5" s="402" t="s">
        <v>1696</v>
      </c>
      <c r="N5" s="403" t="s">
        <v>1700</v>
      </c>
    </row>
    <row r="6" spans="1:14" x14ac:dyDescent="0.3">
      <c r="A6" s="402" t="s">
        <v>25</v>
      </c>
      <c r="B6" s="402" t="s">
        <v>1701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6BCE4-CF1E-4CEF-9EC4-A5969E7BC21C}">
  <dimension ref="A1:AY180"/>
  <sheetViews>
    <sheetView zoomScale="80" zoomScaleNormal="80" workbookViewId="0">
      <selection activeCell="E164" sqref="E164"/>
    </sheetView>
  </sheetViews>
  <sheetFormatPr defaultColWidth="8.5546875" defaultRowHeight="14.4" x14ac:dyDescent="0.3"/>
  <cols>
    <col min="1" max="1" width="33.44140625" style="62" customWidth="1"/>
    <col min="2" max="2" width="36.44140625" style="62" customWidth="1"/>
    <col min="3" max="3" width="19.5546875" style="62" customWidth="1"/>
    <col min="4" max="4" width="23.44140625" style="62" customWidth="1"/>
    <col min="5" max="5" width="17.5546875" style="62" customWidth="1"/>
    <col min="6" max="6" width="13.5546875" style="62" bestFit="1" customWidth="1"/>
    <col min="7" max="7" width="17.5546875" style="62" bestFit="1" customWidth="1"/>
    <col min="8" max="8" width="19.44140625" style="62" customWidth="1"/>
    <col min="9" max="9" width="25.44140625" style="62" bestFit="1" customWidth="1"/>
    <col min="10" max="10" width="26.5546875" style="62" bestFit="1" customWidth="1"/>
    <col min="11" max="11" width="24.44140625" style="62" bestFit="1" customWidth="1"/>
    <col min="12" max="12" width="19" style="62" customWidth="1"/>
    <col min="13" max="13" width="19.44140625" style="62" bestFit="1" customWidth="1"/>
    <col min="14" max="14" width="17.5546875" style="62" bestFit="1" customWidth="1"/>
    <col min="15" max="15" width="16" style="62" bestFit="1" customWidth="1"/>
    <col min="16" max="16" width="17.5546875" style="62" bestFit="1" customWidth="1"/>
    <col min="17" max="17" width="22.44140625" style="62" bestFit="1" customWidth="1"/>
    <col min="18" max="18" width="20.5546875" style="62" bestFit="1" customWidth="1"/>
    <col min="19" max="19" width="16" style="62" bestFit="1" customWidth="1"/>
    <col min="20" max="20" width="18.44140625" style="62" bestFit="1" customWidth="1"/>
    <col min="21" max="23" width="16" style="62" bestFit="1" customWidth="1"/>
    <col min="24" max="24" width="18.44140625" style="62" bestFit="1" customWidth="1"/>
    <col min="25" max="25" width="16" style="62" bestFit="1" customWidth="1"/>
    <col min="26" max="26" width="20.44140625" style="62" bestFit="1" customWidth="1"/>
    <col min="27" max="27" width="21.5546875" style="62" customWidth="1"/>
    <col min="28" max="28" width="25.5546875" style="62" customWidth="1"/>
    <col min="29" max="29" width="21.44140625" style="62" bestFit="1" customWidth="1"/>
    <col min="30" max="30" width="22.5546875" style="62" bestFit="1" customWidth="1"/>
    <col min="31" max="31" width="20.44140625" style="62" bestFit="1" customWidth="1"/>
    <col min="32" max="32" width="17.5546875" style="62" bestFit="1" customWidth="1"/>
    <col min="33" max="33" width="255.5546875" style="62" bestFit="1" customWidth="1"/>
    <col min="34" max="34" width="90.44140625" style="62" bestFit="1" customWidth="1"/>
    <col min="35" max="35" width="11.5546875" style="62" bestFit="1" customWidth="1"/>
    <col min="36" max="36" width="8.5546875" style="62"/>
    <col min="37" max="37" width="8.5546875" style="62" bestFit="1" customWidth="1"/>
    <col min="38" max="38" width="8.5546875" style="62"/>
    <col min="39" max="39" width="8.5546875" style="62" bestFit="1" customWidth="1"/>
    <col min="40" max="16384" width="8.5546875" style="62"/>
  </cols>
  <sheetData>
    <row r="1" spans="1:51" ht="50.1" customHeight="1" x14ac:dyDescent="0.3">
      <c r="A1" s="1434" t="s">
        <v>125</v>
      </c>
      <c r="B1" s="1434"/>
      <c r="C1" s="1434"/>
      <c r="D1" s="1434"/>
      <c r="E1" s="1434"/>
      <c r="F1" s="1434"/>
      <c r="G1" s="1434"/>
      <c r="H1" s="1434"/>
      <c r="I1" s="1434"/>
      <c r="J1" s="1434"/>
      <c r="K1" s="1434"/>
      <c r="L1" s="1434"/>
      <c r="M1" s="1434"/>
      <c r="N1" s="1434"/>
      <c r="O1" s="1434"/>
      <c r="P1" s="1434"/>
      <c r="Q1" s="1434"/>
      <c r="R1" s="1434"/>
      <c r="S1" s="1434"/>
      <c r="T1" s="1434"/>
      <c r="U1" s="1434"/>
      <c r="V1" s="1434"/>
      <c r="W1" s="1434"/>
      <c r="X1" s="1434"/>
      <c r="Y1" s="1434"/>
      <c r="Z1" s="1434"/>
      <c r="AA1" s="1434"/>
      <c r="AB1" s="1434"/>
      <c r="AC1" s="1434"/>
      <c r="AD1" s="1434"/>
      <c r="AE1" s="47"/>
      <c r="AF1" s="47"/>
    </row>
    <row r="2" spans="1:51" ht="25.35" customHeight="1" x14ac:dyDescent="0.3">
      <c r="A2" s="1443" t="s">
        <v>46</v>
      </c>
      <c r="B2" s="1443"/>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3"/>
      <c r="AD2" s="1443"/>
      <c r="AE2" s="47"/>
      <c r="AF2" s="47"/>
    </row>
    <row r="3" spans="1:51"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row>
    <row r="4" spans="1:51" ht="22.35" customHeight="1" x14ac:dyDescent="0.3">
      <c r="A4" s="2237" t="s">
        <v>94</v>
      </c>
      <c r="B4" s="2237"/>
      <c r="C4" s="2238" t="s">
        <v>1676</v>
      </c>
      <c r="D4" s="2238"/>
      <c r="E4" s="1589" t="s">
        <v>100</v>
      </c>
      <c r="F4" s="1589"/>
      <c r="G4" s="2239" t="s">
        <v>102</v>
      </c>
      <c r="H4" s="2239"/>
      <c r="I4" s="2239"/>
      <c r="J4" s="1797" t="s">
        <v>54</v>
      </c>
      <c r="K4" s="1798"/>
      <c r="L4" s="1797" t="s">
        <v>55</v>
      </c>
      <c r="M4" s="1798"/>
      <c r="N4" s="47"/>
      <c r="O4" s="2226" t="s">
        <v>129</v>
      </c>
      <c r="P4" s="2227"/>
      <c r="Q4" s="2227"/>
      <c r="R4" s="2227"/>
      <c r="S4" s="2227"/>
      <c r="T4" s="2227"/>
      <c r="U4" s="2227"/>
      <c r="V4" s="2227"/>
      <c r="W4" s="2227"/>
      <c r="X4" s="2227"/>
      <c r="Y4" s="2227"/>
      <c r="Z4" s="2227"/>
      <c r="AA4" s="2227"/>
      <c r="AB4" s="2227"/>
      <c r="AC4" s="2227"/>
      <c r="AD4" s="2228"/>
      <c r="AE4" s="47"/>
      <c r="AF4" s="47"/>
      <c r="AQ4" s="62" t="s">
        <v>130</v>
      </c>
      <c r="AR4" s="62" t="s">
        <v>131</v>
      </c>
      <c r="AV4" s="62">
        <v>2025</v>
      </c>
      <c r="AW4" s="62">
        <v>2026</v>
      </c>
    </row>
    <row r="5" spans="1:51" ht="45" customHeight="1" x14ac:dyDescent="0.3">
      <c r="A5" s="2229">
        <f>Parâmetros!E5</f>
        <v>6947000</v>
      </c>
      <c r="B5" s="2229"/>
      <c r="C5" s="2230">
        <f>C13</f>
        <v>1597337.77</v>
      </c>
      <c r="D5" s="2230"/>
      <c r="E5" s="2231">
        <f>SUM(K55:K114)</f>
        <v>325739.29000000004</v>
      </c>
      <c r="F5" s="2231"/>
      <c r="G5" s="2232">
        <f>SUMIF(Q55:Q114,"Real",AI55:AI114)</f>
        <v>51386.369999999995</v>
      </c>
      <c r="H5" s="2232"/>
      <c r="I5" s="2232"/>
      <c r="J5" s="2233">
        <f>G5/A5</f>
        <v>7.3969152152008055E-3</v>
      </c>
      <c r="K5" s="2234"/>
      <c r="L5" s="2235">
        <f>SUM(H9:H11)</f>
        <v>23</v>
      </c>
      <c r="M5" s="2236"/>
      <c r="N5" s="230"/>
      <c r="O5" s="359" t="s">
        <v>132</v>
      </c>
      <c r="P5" s="359" t="s">
        <v>77</v>
      </c>
      <c r="Q5" s="363" t="s">
        <v>133</v>
      </c>
      <c r="R5" s="363" t="s">
        <v>134</v>
      </c>
      <c r="S5" s="1801" t="s">
        <v>137</v>
      </c>
      <c r="T5" s="1802"/>
      <c r="U5" s="1802"/>
      <c r="V5" s="1802"/>
      <c r="W5" s="1803"/>
      <c r="X5" s="359" t="s">
        <v>138</v>
      </c>
      <c r="Y5" s="359" t="s">
        <v>139</v>
      </c>
      <c r="Z5" s="359" t="s">
        <v>140</v>
      </c>
      <c r="AA5" s="359" t="s">
        <v>141</v>
      </c>
      <c r="AB5" s="359" t="s">
        <v>142</v>
      </c>
      <c r="AC5" s="363" t="s">
        <v>143</v>
      </c>
      <c r="AD5" s="363" t="s">
        <v>135</v>
      </c>
      <c r="AE5" s="47"/>
      <c r="AF5" s="47"/>
      <c r="AG5" s="47"/>
      <c r="AH5" s="47"/>
      <c r="AS5" s="114">
        <v>0.32929999999999998</v>
      </c>
      <c r="AT5" s="188">
        <v>0.92279999999999995</v>
      </c>
      <c r="AW5" s="62" t="s">
        <v>144</v>
      </c>
      <c r="AX5" s="62">
        <v>0.92610000000000003</v>
      </c>
      <c r="AY5" s="62">
        <v>0.95</v>
      </c>
    </row>
    <row r="6" spans="1:51" ht="20.100000000000001" customHeight="1" x14ac:dyDescent="0.3">
      <c r="A6" s="47"/>
      <c r="B6" s="47"/>
      <c r="C6" s="47"/>
      <c r="D6" s="47"/>
      <c r="E6" s="47"/>
      <c r="F6" s="47"/>
      <c r="G6" s="47"/>
      <c r="H6" s="47"/>
      <c r="I6" s="47"/>
      <c r="J6" s="47"/>
      <c r="K6" s="47"/>
      <c r="L6" s="47"/>
      <c r="M6" s="47"/>
      <c r="N6" s="47"/>
      <c r="O6" s="349" cm="1">
        <f t="array" ref="O6:O25">_xlfn.SEQUENCE(20)</f>
        <v>1</v>
      </c>
      <c r="P6" s="371" t="str">
        <f t="shared" ref="P6:P25" si="0">_xlfn.XLOOKUP(S6,$B$55:$B$114,$A$55:$A$114)</f>
        <v>BSW</v>
      </c>
      <c r="Q6" s="350">
        <f>MAX(H55:H114)</f>
        <v>331600</v>
      </c>
      <c r="R6" s="436">
        <f t="shared" ref="R6:R25" si="1">_xlfn.XLOOKUP(Q6,$H$55:$H$114,$K$55:$K$114)</f>
        <v>160178.29</v>
      </c>
      <c r="S6" s="1458" t="str">
        <f t="shared" ref="S6:S24" si="2">IFERROR(HYPERLINK(INDEX($C$55:$C$114,MATCH(Q6,$H$55:$H$114,0)),INDEX($B$55:$B$114,MATCH(Q6,$H$55:$H$114,0))
   ),
   ""
)</f>
        <v>01 - Redução de peso bruto DA000489A</v>
      </c>
      <c r="T6" s="1458"/>
      <c r="U6" s="1458"/>
      <c r="V6" s="1458"/>
      <c r="W6" s="1458"/>
      <c r="X6" s="375">
        <f t="shared" ref="X6:X26" si="3">Q6/$C$5</f>
        <v>0.20759541671640305</v>
      </c>
      <c r="Y6" s="352">
        <f>X6</f>
        <v>0.20759541671640305</v>
      </c>
      <c r="Z6" s="353" cm="1">
        <f t="array" aca="1" ref="Z6" ca="1">IFERROR(INDEX($R$55:$R$114,MATCH(1,($AK$55:$AK$114=S6)*($Q$55:$Q$114="Previsto"), 0) ), "")</f>
        <v>1</v>
      </c>
      <c r="AA6" s="353" cm="1">
        <f t="array" ref="AA6">IFERROR( INDEX($R$55:$R$114,MATCH(1,($AK$55:$AK$114=S6)*($Q$55:$Q$114="Real"),0)),"")</f>
        <v>0.85</v>
      </c>
      <c r="AB6" s="373" t="str">
        <f ca="1">IF(OR(Z6="",AA6=""),"",IF(AA6=100%,"CONCLUÍDO",IF(AA6=0,IF(Z6=0,"PROJETO NÃO INICIADO","FALTA DE ACOMPANHAMENTO"),IF(AA6&gt;=Z6,"CONFORME PLANEJADO","ATRASO"))))</f>
        <v>ATRASO</v>
      </c>
      <c r="AC6" s="353" cm="1">
        <f t="array" ref="AC6:AC25">_xlfn.XLOOKUP($S$6:$S$25,$B$55:$B$114,$P$55:$P$114)</f>
        <v>1</v>
      </c>
      <c r="AD6" s="400" t="str">
        <f t="shared" ref="AD6:AD25" si="4">_xlfn.XLOOKUP(S6,$B$55:$B$114,$AL$55:$AL$114)</f>
        <v>março</v>
      </c>
      <c r="AE6" s="47"/>
      <c r="AF6" s="47"/>
      <c r="AG6" s="47"/>
      <c r="AH6" s="47"/>
      <c r="AS6" s="114">
        <v>0.41660000000000003</v>
      </c>
      <c r="AT6" s="188">
        <v>0.91520000000000001</v>
      </c>
      <c r="AW6" s="62" t="s">
        <v>146</v>
      </c>
      <c r="AX6" s="62">
        <v>0.50170000000000003</v>
      </c>
      <c r="AY6" s="62">
        <v>0.57999999999999996</v>
      </c>
    </row>
    <row r="7" spans="1:51" ht="20.100000000000001" customHeight="1" x14ac:dyDescent="0.3">
      <c r="A7" s="2240" t="s">
        <v>63</v>
      </c>
      <c r="B7" s="2240"/>
      <c r="C7" s="2240"/>
      <c r="D7" s="2240"/>
      <c r="E7" s="2240"/>
      <c r="F7" s="47"/>
      <c r="G7" s="2240" t="s">
        <v>64</v>
      </c>
      <c r="H7" s="2240"/>
      <c r="I7" s="2240"/>
      <c r="J7" s="47"/>
      <c r="K7" s="2241" t="s">
        <v>65</v>
      </c>
      <c r="L7" s="2242"/>
      <c r="M7" s="2243"/>
      <c r="N7" s="47"/>
      <c r="O7" s="354">
        <v>2</v>
      </c>
      <c r="P7" s="372" t="str">
        <f t="shared" si="0"/>
        <v>Redução de custo</v>
      </c>
      <c r="Q7" s="355">
        <f t="shared" ref="Q7:Q25" si="5">IFERROR(LARGE($H$55:$H$114,O7)," ")</f>
        <v>270000</v>
      </c>
      <c r="R7" s="437">
        <f t="shared" si="1"/>
        <v>0</v>
      </c>
      <c r="S7" s="1459" t="str">
        <f t="shared" si="2"/>
        <v>06 - Produtividade</v>
      </c>
      <c r="T7" s="1459"/>
      <c r="U7" s="1459"/>
      <c r="V7" s="1459"/>
      <c r="W7" s="1459"/>
      <c r="X7" s="376">
        <f t="shared" si="3"/>
        <v>0.16903125004049707</v>
      </c>
      <c r="Y7" s="357">
        <f>X7+Y6</f>
        <v>0.37662666675690015</v>
      </c>
      <c r="Z7" s="358" cm="1">
        <f t="array" aca="1" ref="Z7" ca="1">IFERROR(INDEX($R$55:$R$114,MATCH(1,($AK$55:$AK$114=S7)*($Q$55:$Q$114="Previsto"), 0) ), "")</f>
        <v>1</v>
      </c>
      <c r="AA7" s="358" cm="1">
        <f t="array" ref="AA7">IFERROR( INDEX($R$55:$R$114,MATCH(1,($AK$55:$AK$114=S7)*($Q$55:$Q$114="Real"),0)),"")</f>
        <v>0.1</v>
      </c>
      <c r="AB7" s="374" t="str">
        <f t="shared" ref="AB7:AB25" ca="1" si="6">IF(OR(Z7="",AA7=""),"",IF(AA7=100%,"CONCLUÍDO",IF(AA7=0,IF(Z7=0,"PROJETO NÃO INICIADO","FALTA DE ACOMPANHAMENTO"),IF(AA7&gt;=Z7,"CONFORME PLANEJADO","ATRASO"))))</f>
        <v>ATRASO</v>
      </c>
      <c r="AC7" s="358">
        <v>1</v>
      </c>
      <c r="AD7" s="401" t="str">
        <f t="shared" si="4"/>
        <v>abril</v>
      </c>
      <c r="AE7" s="47"/>
      <c r="AF7" s="47"/>
      <c r="AG7" s="47"/>
      <c r="AH7" s="47"/>
      <c r="AS7" s="114">
        <v>0.46660000000000001</v>
      </c>
      <c r="AT7" s="188">
        <v>0.92020000000000002</v>
      </c>
      <c r="AW7" s="62" t="s">
        <v>148</v>
      </c>
      <c r="AX7" s="62">
        <v>0.95499999999999996</v>
      </c>
      <c r="AY7" s="62">
        <v>0.96499999999999997</v>
      </c>
    </row>
    <row r="8" spans="1:51" ht="20.100000000000001" customHeight="1" x14ac:dyDescent="0.3">
      <c r="A8" s="49" t="s">
        <v>67</v>
      </c>
      <c r="B8" s="49" t="s">
        <v>68</v>
      </c>
      <c r="C8" s="49" t="s">
        <v>69</v>
      </c>
      <c r="D8" s="49" t="s">
        <v>1678</v>
      </c>
      <c r="E8" s="49" t="s">
        <v>1679</v>
      </c>
      <c r="F8" s="47"/>
      <c r="G8" s="49" t="s">
        <v>72</v>
      </c>
      <c r="H8" s="49" t="s">
        <v>68</v>
      </c>
      <c r="I8" s="49" t="s">
        <v>73</v>
      </c>
      <c r="J8" s="47"/>
      <c r="K8" s="1568" t="s">
        <v>74</v>
      </c>
      <c r="L8" s="1568" t="s">
        <v>75</v>
      </c>
      <c r="M8" s="1568" t="s">
        <v>76</v>
      </c>
      <c r="N8" s="47"/>
      <c r="O8" s="349">
        <v>3</v>
      </c>
      <c r="P8" s="371" t="str">
        <f t="shared" si="0"/>
        <v>Kaizen</v>
      </c>
      <c r="Q8" s="350">
        <f t="shared" si="5"/>
        <v>190000</v>
      </c>
      <c r="R8" s="436">
        <f t="shared" si="1"/>
        <v>0</v>
      </c>
      <c r="S8" s="1458" t="str">
        <f t="shared" si="2"/>
        <v>16 - Eficiência de MO na linha de Solda e Montagem</v>
      </c>
      <c r="T8" s="1458"/>
      <c r="U8" s="1458"/>
      <c r="V8" s="1458"/>
      <c r="W8" s="1458"/>
      <c r="X8" s="375">
        <f t="shared" si="3"/>
        <v>0.11894791669516461</v>
      </c>
      <c r="Y8" s="352">
        <f t="shared" ref="Y8:Y25" si="7">X8+Y7</f>
        <v>0.49557458345206473</v>
      </c>
      <c r="Z8" s="353" cm="1">
        <f t="array" aca="1" ref="Z8" ca="1">IFERROR(INDEX($R$55:$R$114,MATCH(1,($AK$55:$AK$114=S8)*($Q$55:$Q$114="Previsto"), 0) ), "")</f>
        <v>1</v>
      </c>
      <c r="AA8" s="353" cm="1">
        <f t="array" ref="AA8">IFERROR( INDEX($R$55:$R$114,MATCH(1,($AK$55:$AK$114=S8)*($Q$55:$Q$114="Real"),0)),"")</f>
        <v>0.6</v>
      </c>
      <c r="AB8" s="373" t="str">
        <f t="shared" ca="1" si="6"/>
        <v>ATRASO</v>
      </c>
      <c r="AC8" s="353">
        <v>1</v>
      </c>
      <c r="AD8" s="400" t="str">
        <f t="shared" si="4"/>
        <v>março</v>
      </c>
      <c r="AE8" s="47"/>
      <c r="AF8" s="47"/>
      <c r="AG8" s="47"/>
      <c r="AH8" s="47"/>
      <c r="AS8" s="114">
        <v>0.54359999999999997</v>
      </c>
      <c r="AT8" s="188">
        <v>0.92059999999999997</v>
      </c>
      <c r="AX8" s="190">
        <f>AX7*AX6*AX5</f>
        <v>0.44371627335000002</v>
      </c>
      <c r="AY8" s="190">
        <f>AY7*AY6*AY5</f>
        <v>0.53171499999999994</v>
      </c>
    </row>
    <row r="9" spans="1:51" ht="20.100000000000001" customHeight="1" x14ac:dyDescent="0.3">
      <c r="A9" s="48" t="s">
        <v>925</v>
      </c>
      <c r="B9" s="50">
        <f>COUNTIF($A$55:$A$114,A9)</f>
        <v>9</v>
      </c>
      <c r="C9" s="237">
        <f>SUMIF($A$55:$A$114,A9,$H$55:$H$114)</f>
        <v>468938.77</v>
      </c>
      <c r="D9" s="51">
        <f>IF($C$13=0,"",C9/$C$13)</f>
        <v>0.29357520920575242</v>
      </c>
      <c r="E9" s="52">
        <f>D9</f>
        <v>0.29357520920575242</v>
      </c>
      <c r="F9" s="47"/>
      <c r="G9" s="53" t="s">
        <v>81</v>
      </c>
      <c r="H9" s="54">
        <f>COUNTIF($O$55:$O$114,G9)</f>
        <v>7</v>
      </c>
      <c r="I9" s="238">
        <f>SUMIF($O$55:$O$114,G9,$H$55:$H$114)</f>
        <v>240906.77</v>
      </c>
      <c r="J9" s="47"/>
      <c r="K9" s="1569"/>
      <c r="L9" s="1569"/>
      <c r="M9" s="1569"/>
      <c r="N9" s="47"/>
      <c r="O9" s="354">
        <v>4</v>
      </c>
      <c r="P9" s="372" t="str">
        <f t="shared" si="0"/>
        <v>BSW</v>
      </c>
      <c r="Q9" s="355">
        <f t="shared" si="5"/>
        <v>158400</v>
      </c>
      <c r="R9" s="437">
        <f t="shared" si="1"/>
        <v>0</v>
      </c>
      <c r="S9" s="1459" t="str">
        <f t="shared" si="2"/>
        <v>23 - Redução do peso bruto VW000581Z / VW000582Z</v>
      </c>
      <c r="T9" s="1459"/>
      <c r="U9" s="1459"/>
      <c r="V9" s="1459"/>
      <c r="W9" s="1459"/>
      <c r="X9" s="376">
        <f t="shared" si="3"/>
        <v>9.9165000023758276E-2</v>
      </c>
      <c r="Y9" s="357">
        <f t="shared" si="7"/>
        <v>0.59473958347582301</v>
      </c>
      <c r="Z9" s="358" cm="1">
        <f t="array" ref="Z9">IFERROR(INDEX($R$55:$R$114,MATCH(1,($AK$55:$AK$114=S9)*($Q$55:$Q$114="Previsto"), 0) ), "")</f>
        <v>0.2</v>
      </c>
      <c r="AA9" s="358" cm="1">
        <f t="array" ref="AA9">IFERROR( INDEX($R$55:$R$114,MATCH(1,($AK$55:$AK$114=S9)*($Q$55:$Q$114="Real"),0)),"")</f>
        <v>0.2</v>
      </c>
      <c r="AB9" s="374" t="str">
        <f t="shared" si="6"/>
        <v>CONFORME PLANEJADO</v>
      </c>
      <c r="AC9" s="358">
        <v>0.8</v>
      </c>
      <c r="AD9" s="401" t="str">
        <f t="shared" si="4"/>
        <v>abril</v>
      </c>
      <c r="AF9" s="47"/>
      <c r="AG9" s="47"/>
      <c r="AH9" s="47"/>
      <c r="AS9" s="114">
        <v>0.51229999999999998</v>
      </c>
      <c r="AT9" s="188">
        <v>0.92300000000000004</v>
      </c>
    </row>
    <row r="10" spans="1:51" ht="20.100000000000001" customHeight="1" x14ac:dyDescent="0.3">
      <c r="A10" s="48" t="s">
        <v>89</v>
      </c>
      <c r="B10" s="50">
        <f>COUNTIF($A$55:$A$114,A10)</f>
        <v>7</v>
      </c>
      <c r="C10" s="237">
        <f>SUMIF($A$55:$A$114,A10,$H$55:$H$114)</f>
        <v>454881</v>
      </c>
      <c r="D10" s="51">
        <f>IF($C$13=0,"",C10/$C$13)</f>
        <v>0.28477445944322721</v>
      </c>
      <c r="E10" s="52">
        <f>D10</f>
        <v>0.28477445944322721</v>
      </c>
      <c r="F10" s="47"/>
      <c r="G10" s="55" t="s">
        <v>83</v>
      </c>
      <c r="H10" s="239">
        <f>COUNTIF($O$55:$O$114,G10)</f>
        <v>13</v>
      </c>
      <c r="I10" s="240">
        <f>SUMIF($O$55:$O$114,G10,$H$55:$H$114)</f>
        <v>1332431</v>
      </c>
      <c r="J10" s="47"/>
      <c r="K10" s="1642">
        <f>E164</f>
        <v>0.80851063829787229</v>
      </c>
      <c r="L10" s="1642">
        <f>F164</f>
        <v>0.57446808510638303</v>
      </c>
      <c r="M10" s="1642">
        <f>L140</f>
        <v>8.333333250000001E-2</v>
      </c>
      <c r="N10" s="47"/>
      <c r="O10" s="349">
        <v>5</v>
      </c>
      <c r="P10" s="371" t="str">
        <f t="shared" si="0"/>
        <v>Kaizen</v>
      </c>
      <c r="Q10" s="350">
        <f t="shared" si="5"/>
        <v>135186</v>
      </c>
      <c r="R10" s="436">
        <f t="shared" si="1"/>
        <v>0</v>
      </c>
      <c r="S10" s="1458" t="str">
        <f t="shared" si="2"/>
        <v xml:space="preserve">02 - Eficiência uso de eletricidade </v>
      </c>
      <c r="T10" s="1458"/>
      <c r="U10" s="1458"/>
      <c r="V10" s="1458"/>
      <c r="W10" s="1458"/>
      <c r="X10" s="375">
        <f t="shared" si="3"/>
        <v>8.4632068770276431E-2</v>
      </c>
      <c r="Y10" s="352">
        <f t="shared" si="7"/>
        <v>0.67937165224609941</v>
      </c>
      <c r="Z10" s="353" cm="1">
        <f t="array" aca="1" ref="Z10" ca="1">IFERROR(INDEX($R$55:$R$114,MATCH(1,($AK$55:$AK$114=S10)*($Q$55:$Q$114="Previsto"), 0) ), "")</f>
        <v>1</v>
      </c>
      <c r="AA10" s="353" cm="1">
        <f t="array" ref="AA10">IFERROR( INDEX($R$55:$R$114,MATCH(1,($AK$55:$AK$114=S10)*($Q$55:$Q$114="Real"),0)),"")</f>
        <v>0.9</v>
      </c>
      <c r="AB10" s="373" t="str">
        <f t="shared" ca="1" si="6"/>
        <v>ATRASO</v>
      </c>
      <c r="AC10" s="353">
        <v>1</v>
      </c>
      <c r="AD10" s="400" t="str">
        <f t="shared" si="4"/>
        <v>janeiro</v>
      </c>
      <c r="AE10" s="47"/>
      <c r="AF10" s="47"/>
      <c r="AG10" s="47"/>
      <c r="AH10" s="47"/>
      <c r="AS10" s="114">
        <v>0.52159999999999995</v>
      </c>
      <c r="AT10" s="188">
        <v>0.91649999999999998</v>
      </c>
    </row>
    <row r="11" spans="1:51" ht="20.100000000000001" customHeight="1" x14ac:dyDescent="0.3">
      <c r="A11" s="48" t="s">
        <v>90</v>
      </c>
      <c r="B11" s="50">
        <f>COUNTIF($A$55:$A$114,A11)</f>
        <v>0</v>
      </c>
      <c r="C11" s="237">
        <f>SUMIF($A$55:$A$114,A11,$H$55:$H$114)</f>
        <v>0</v>
      </c>
      <c r="D11" s="51">
        <f>IF($C$13=0,"",C11/$C$13)</f>
        <v>0</v>
      </c>
      <c r="E11" s="52">
        <f>D11</f>
        <v>0</v>
      </c>
      <c r="F11" s="47"/>
      <c r="G11" s="241" t="s">
        <v>85</v>
      </c>
      <c r="H11" s="242">
        <f>COUNTIF($O$55:$O$114,G11)</f>
        <v>3</v>
      </c>
      <c r="I11" s="243">
        <f>SUMIF($O$55:$O$114,G11,$H$55:$H$114)</f>
        <v>24000</v>
      </c>
      <c r="J11" s="47"/>
      <c r="K11" s="1644"/>
      <c r="L11" s="1644"/>
      <c r="M11" s="1644"/>
      <c r="N11" s="47"/>
      <c r="O11" s="354">
        <v>6</v>
      </c>
      <c r="P11" s="372" t="str">
        <f t="shared" si="0"/>
        <v>Redução de custo</v>
      </c>
      <c r="Q11" s="355">
        <f t="shared" si="5"/>
        <v>82000</v>
      </c>
      <c r="R11" s="437">
        <f t="shared" si="1"/>
        <v>0</v>
      </c>
      <c r="S11" s="1459" t="str">
        <f t="shared" si="2"/>
        <v>20 - Redução refugo em relação ao budget</v>
      </c>
      <c r="T11" s="1459"/>
      <c r="U11" s="1459"/>
      <c r="V11" s="1459"/>
      <c r="W11" s="1459"/>
      <c r="X11" s="376">
        <f t="shared" si="3"/>
        <v>5.1335416678965774E-2</v>
      </c>
      <c r="Y11" s="357">
        <f t="shared" si="7"/>
        <v>0.73070706892506521</v>
      </c>
      <c r="Z11" s="358" cm="1">
        <f t="array" aca="1" ref="Z11" ca="1">IFERROR(INDEX($R$55:$R$114,MATCH(1,($AK$55:$AK$114=S11)*($Q$55:$Q$114="Previsto"), 0) ), "")</f>
        <v>0.62326869806094187</v>
      </c>
      <c r="AA11" s="358" cm="1">
        <f t="array" ref="AA11">IFERROR( INDEX($R$55:$R$114,MATCH(1,($AK$55:$AK$114=S11)*($Q$55:$Q$114="Real"),0)),"")</f>
        <v>0.15</v>
      </c>
      <c r="AB11" s="374" t="str">
        <f t="shared" ca="1" si="6"/>
        <v>ATRASO</v>
      </c>
      <c r="AC11" s="358">
        <v>1</v>
      </c>
      <c r="AD11" s="401" t="str">
        <f t="shared" si="4"/>
        <v>janeiro</v>
      </c>
      <c r="AE11" s="47"/>
      <c r="AF11" s="47"/>
      <c r="AG11" s="47"/>
      <c r="AH11" s="47"/>
      <c r="AS11" s="114">
        <v>0.52170000000000005</v>
      </c>
      <c r="AT11" s="188">
        <v>0.92369999999999997</v>
      </c>
    </row>
    <row r="12" spans="1:51" ht="20.100000000000001" customHeight="1" x14ac:dyDescent="0.3">
      <c r="A12" s="48" t="s">
        <v>91</v>
      </c>
      <c r="B12" s="50">
        <f>COUNTIF($A$55:$A$114,A12)</f>
        <v>7</v>
      </c>
      <c r="C12" s="237">
        <f>SUMIF($A$55:$A$114,A12,$H$55:$H$114)</f>
        <v>673518</v>
      </c>
      <c r="D12" s="51">
        <f>IF($C$13=0,"",C12/$C$13)</f>
        <v>0.42165033135102037</v>
      </c>
      <c r="E12" s="52">
        <f>D12</f>
        <v>0.42165033135102037</v>
      </c>
      <c r="F12" s="47"/>
      <c r="G12" s="47"/>
      <c r="H12" s="47"/>
      <c r="I12" s="47"/>
      <c r="J12" s="47"/>
      <c r="K12" s="47"/>
      <c r="L12" s="47"/>
      <c r="M12" s="47"/>
      <c r="N12" s="47"/>
      <c r="O12" s="349">
        <v>7</v>
      </c>
      <c r="P12" s="371" t="str">
        <f t="shared" si="0"/>
        <v>Redução de custo</v>
      </c>
      <c r="Q12" s="350">
        <f t="shared" si="5"/>
        <v>62381</v>
      </c>
      <c r="R12" s="436">
        <f t="shared" si="1"/>
        <v>56610.76</v>
      </c>
      <c r="S12" s="1458" t="str">
        <f t="shared" si="2"/>
        <v>05 - Empilhadeira - Diadema</v>
      </c>
      <c r="T12" s="1458"/>
      <c r="U12" s="1458"/>
      <c r="V12" s="1458"/>
      <c r="W12" s="1458"/>
      <c r="X12" s="375">
        <f t="shared" si="3"/>
        <v>3.9053105217689808E-2</v>
      </c>
      <c r="Y12" s="352">
        <f t="shared" si="7"/>
        <v>0.76976017414275499</v>
      </c>
      <c r="Z12" s="353" cm="1">
        <f t="array" aca="1" ref="Z12" ca="1">IFERROR(INDEX($R$55:$R$114,MATCH(1,($AK$55:$AK$114=S12)*($Q$55:$Q$114="Previsto"), 0) ), "")</f>
        <v>1</v>
      </c>
      <c r="AA12" s="353" cm="1">
        <f t="array" ref="AA12">IFERROR( INDEX($R$55:$R$114,MATCH(1,($AK$55:$AK$114=S12)*($Q$55:$Q$114="Real"),0)),"")</f>
        <v>1</v>
      </c>
      <c r="AB12" s="373" t="str">
        <f t="shared" ca="1" si="6"/>
        <v>CONCLUÍDO</v>
      </c>
      <c r="AC12" s="353">
        <v>1</v>
      </c>
      <c r="AD12" s="400" t="str">
        <f t="shared" si="4"/>
        <v>fevereiro</v>
      </c>
      <c r="AE12" s="47"/>
      <c r="AF12" s="47"/>
      <c r="AG12" s="47"/>
      <c r="AH12" s="47"/>
      <c r="AS12" s="114">
        <v>0.5746</v>
      </c>
      <c r="AT12" s="188">
        <v>0.93600000000000005</v>
      </c>
    </row>
    <row r="13" spans="1:51" ht="20.100000000000001" customHeight="1" x14ac:dyDescent="0.35">
      <c r="A13" s="166" t="s">
        <v>29</v>
      </c>
      <c r="B13" s="167">
        <f>SUM(B9:B12)</f>
        <v>23</v>
      </c>
      <c r="C13" s="244">
        <f>SUM(C9:C12)</f>
        <v>1597337.77</v>
      </c>
      <c r="D13" s="171">
        <f>SUM(D9:D12)</f>
        <v>1</v>
      </c>
      <c r="E13" s="47"/>
      <c r="F13" s="47"/>
      <c r="G13" s="47"/>
      <c r="H13" s="47"/>
      <c r="I13" s="47"/>
      <c r="J13" s="47"/>
      <c r="K13" s="168"/>
      <c r="L13" s="371" t="s">
        <v>958</v>
      </c>
      <c r="M13" s="350">
        <f>SUMIF($L$55:$L$64,L13,$N$55:$N$64)</f>
        <v>24026.7435</v>
      </c>
      <c r="N13" s="446"/>
      <c r="O13" s="354">
        <v>8</v>
      </c>
      <c r="P13" s="372" t="str">
        <f t="shared" si="0"/>
        <v>BSW</v>
      </c>
      <c r="Q13" s="355">
        <f t="shared" si="5"/>
        <v>47355</v>
      </c>
      <c r="R13" s="437">
        <f t="shared" si="1"/>
        <v>37365.58</v>
      </c>
      <c r="S13" s="1459" t="str">
        <f t="shared" si="2"/>
        <v>21 - Kaizen_Redução de peso bruto MB003537LA_MB003538LA</v>
      </c>
      <c r="T13" s="1459"/>
      <c r="U13" s="1459"/>
      <c r="V13" s="1459"/>
      <c r="W13" s="1459"/>
      <c r="X13" s="376">
        <f t="shared" si="3"/>
        <v>2.9646203132102734E-2</v>
      </c>
      <c r="Y13" s="357">
        <f t="shared" si="7"/>
        <v>0.79940637727485775</v>
      </c>
      <c r="Z13" s="358" cm="1">
        <f t="array" aca="1" ref="Z13" ca="1">IFERROR(INDEX($R$55:$R$114,MATCH(1,($AK$55:$AK$114=S13)*($Q$55:$Q$114="Previsto"), 0) ), "")</f>
        <v>1</v>
      </c>
      <c r="AA13" s="358" cm="1">
        <f t="array" ref="AA13">IFERROR( INDEX($R$55:$R$114,MATCH(1,($AK$55:$AK$114=S13)*($Q$55:$Q$114="Real"),0)),"")</f>
        <v>0.9</v>
      </c>
      <c r="AB13" s="374" t="str">
        <f t="shared" ca="1" si="6"/>
        <v>ATRASO</v>
      </c>
      <c r="AC13" s="358">
        <v>1</v>
      </c>
      <c r="AD13" s="401" t="str">
        <f t="shared" si="4"/>
        <v>março</v>
      </c>
      <c r="AE13" s="47"/>
      <c r="AF13" s="47"/>
      <c r="AG13" s="47"/>
      <c r="AH13" s="47"/>
      <c r="AS13" s="114">
        <v>0.5423</v>
      </c>
      <c r="AT13" s="188">
        <v>0.93600000000000005</v>
      </c>
    </row>
    <row r="14" spans="1:51" ht="20.100000000000001" customHeight="1" x14ac:dyDescent="0.3">
      <c r="A14" s="47"/>
      <c r="B14" s="47"/>
      <c r="C14" s="47"/>
      <c r="D14" s="47"/>
      <c r="E14" s="47"/>
      <c r="F14" s="47"/>
      <c r="G14" s="47"/>
      <c r="H14" s="47"/>
      <c r="I14" s="47"/>
      <c r="J14" s="47"/>
      <c r="K14" s="47"/>
      <c r="L14" s="372" t="s">
        <v>26</v>
      </c>
      <c r="M14" s="355">
        <f t="shared" ref="M14:M17" si="8">SUMIF($L$55:$L$64,L14,$N$55:$N$64)</f>
        <v>0</v>
      </c>
      <c r="N14" s="47"/>
      <c r="O14" s="349">
        <v>9</v>
      </c>
      <c r="P14" s="371" t="str">
        <f t="shared" si="0"/>
        <v>Kaizen</v>
      </c>
      <c r="Q14" s="350">
        <f t="shared" si="5"/>
        <v>45000</v>
      </c>
      <c r="R14" s="436">
        <f t="shared" si="1"/>
        <v>0</v>
      </c>
      <c r="S14" s="1458" t="str">
        <f t="shared" si="2"/>
        <v>19 - Kaizen Facão. DA000481Z - PRODUTIVIDADE</v>
      </c>
      <c r="T14" s="1458"/>
      <c r="U14" s="1458"/>
      <c r="V14" s="1458"/>
      <c r="W14" s="1458"/>
      <c r="X14" s="375">
        <f t="shared" si="3"/>
        <v>2.817187500674951E-2</v>
      </c>
      <c r="Y14" s="352">
        <f t="shared" si="7"/>
        <v>0.82757825228160731</v>
      </c>
      <c r="Z14" s="353" cm="1">
        <f t="array" aca="1" ref="Z14" ca="1">IFERROR(INDEX($R$55:$R$114,MATCH(1,($AK$55:$AK$114=S14)*($Q$55:$Q$114="Previsto"), 0) ), "")</f>
        <v>1</v>
      </c>
      <c r="AA14" s="353" cm="1">
        <f t="array" ref="AA14">IFERROR( INDEX($R$55:$R$114,MATCH(1,($AK$55:$AK$114=S14)*($Q$55:$Q$114="Real"),0)),"")</f>
        <v>1</v>
      </c>
      <c r="AB14" s="373" t="str">
        <f t="shared" ca="1" si="6"/>
        <v>CONCLUÍDO</v>
      </c>
      <c r="AC14" s="353">
        <v>1</v>
      </c>
      <c r="AD14" s="400" t="str">
        <f t="shared" si="4"/>
        <v>março</v>
      </c>
      <c r="AE14" s="47"/>
      <c r="AF14" s="47"/>
      <c r="AG14" s="47"/>
      <c r="AH14" s="47"/>
      <c r="AS14" s="114">
        <v>0.54720000000000002</v>
      </c>
      <c r="AT14" s="188">
        <v>0.91149999999999998</v>
      </c>
    </row>
    <row r="15" spans="1:51" ht="20.100000000000001" customHeight="1" x14ac:dyDescent="0.3">
      <c r="A15" s="47"/>
      <c r="B15" s="47"/>
      <c r="C15" s="47"/>
      <c r="D15" s="47"/>
      <c r="E15" s="47"/>
      <c r="F15" s="47"/>
      <c r="G15" s="47"/>
      <c r="H15" s="47"/>
      <c r="I15" s="47"/>
      <c r="J15" s="47"/>
      <c r="K15" s="47"/>
      <c r="L15" s="371" t="s">
        <v>27</v>
      </c>
      <c r="M15" s="350">
        <f t="shared" si="8"/>
        <v>5661.0760000000009</v>
      </c>
      <c r="N15" s="47"/>
      <c r="O15" s="354">
        <v>10</v>
      </c>
      <c r="P15" s="372" t="str">
        <f t="shared" si="0"/>
        <v>BSW</v>
      </c>
      <c r="Q15" s="355">
        <f t="shared" si="5"/>
        <v>42900</v>
      </c>
      <c r="R15" s="437">
        <f t="shared" si="1"/>
        <v>33838.06</v>
      </c>
      <c r="S15" s="1459" t="str">
        <f t="shared" si="2"/>
        <v>17 -MB003537LB_MB003538LB</v>
      </c>
      <c r="T15" s="1459"/>
      <c r="U15" s="1459"/>
      <c r="V15" s="1459"/>
      <c r="W15" s="1459"/>
      <c r="X15" s="376">
        <f t="shared" si="3"/>
        <v>2.6857187506434534E-2</v>
      </c>
      <c r="Y15" s="357">
        <f t="shared" si="7"/>
        <v>0.85443543978804182</v>
      </c>
      <c r="Z15" s="358" cm="1">
        <f t="array" aca="1" ref="Z15" ca="1">IFERROR(INDEX($R$55:$R$114,MATCH(1,($AK$55:$AK$114=S15)*($Q$55:$Q$114="Previsto"), 0) ), "")</f>
        <v>1</v>
      </c>
      <c r="AA15" s="358" cm="1">
        <f t="array" ref="AA15">IFERROR( INDEX($R$55:$R$114,MATCH(1,($AK$55:$AK$114=S15)*($Q$55:$Q$114="Real"),0)),"")</f>
        <v>0.9</v>
      </c>
      <c r="AB15" s="374" t="str">
        <f t="shared" ca="1" si="6"/>
        <v>ATRASO</v>
      </c>
      <c r="AC15" s="358">
        <v>1</v>
      </c>
      <c r="AD15" s="401" t="str">
        <f t="shared" si="4"/>
        <v>março</v>
      </c>
      <c r="AE15" s="47"/>
      <c r="AF15" s="47"/>
      <c r="AG15" s="47"/>
      <c r="AH15" s="47"/>
      <c r="AS15" s="114">
        <v>0.54830000000000001</v>
      </c>
      <c r="AT15" s="188">
        <v>0.92290000000000005</v>
      </c>
    </row>
    <row r="16" spans="1:51" ht="20.100000000000001" customHeight="1" x14ac:dyDescent="0.3">
      <c r="A16" s="47"/>
      <c r="B16" s="47"/>
      <c r="C16" s="47"/>
      <c r="D16" s="47"/>
      <c r="E16" s="47"/>
      <c r="F16" s="47"/>
      <c r="G16" s="47"/>
      <c r="H16" s="47"/>
      <c r="I16" s="47"/>
      <c r="J16" s="47"/>
      <c r="K16" s="47"/>
      <c r="L16" s="372" t="s">
        <v>1702</v>
      </c>
      <c r="M16" s="355">
        <f t="shared" si="8"/>
        <v>0</v>
      </c>
      <c r="N16" s="47"/>
      <c r="O16" s="349">
        <v>11</v>
      </c>
      <c r="P16" s="371" t="str">
        <f t="shared" si="0"/>
        <v>Kaizen</v>
      </c>
      <c r="Q16" s="350">
        <f t="shared" si="5"/>
        <v>38583</v>
      </c>
      <c r="R16" s="436">
        <f t="shared" si="1"/>
        <v>37746.6</v>
      </c>
      <c r="S16" s="1458" t="str">
        <f t="shared" si="2"/>
        <v>12 - Aproveitamento de peças Obsoletas - A9583176540</v>
      </c>
      <c r="T16" s="1458"/>
      <c r="U16" s="1458"/>
      <c r="V16" s="1458"/>
      <c r="W16" s="1458"/>
      <c r="X16" s="375">
        <f t="shared" si="3"/>
        <v>2.415456563078703E-2</v>
      </c>
      <c r="Y16" s="352">
        <f t="shared" si="7"/>
        <v>0.87859000541882881</v>
      </c>
      <c r="Z16" s="353" cm="1">
        <f t="array" aca="1" ref="Z16" ca="1">IFERROR(INDEX($R$55:$R$114,MATCH(1,($AK$55:$AK$114=S16)*($Q$55:$Q$114="Previsto"), 0) ), "")</f>
        <v>1</v>
      </c>
      <c r="AA16" s="353" cm="1">
        <f t="array" ref="AA16">IFERROR( INDEX($R$55:$R$114,MATCH(1,($AK$55:$AK$114=S16)*($Q$55:$Q$114="Real"),0)),"")</f>
        <v>1</v>
      </c>
      <c r="AB16" s="373" t="str">
        <f t="shared" ca="1" si="6"/>
        <v>CONCLUÍDO</v>
      </c>
      <c r="AC16" s="353">
        <v>1</v>
      </c>
      <c r="AD16" s="400" t="str">
        <f t="shared" si="4"/>
        <v>janeiro</v>
      </c>
      <c r="AE16" s="47"/>
      <c r="AF16" s="47"/>
      <c r="AG16" s="47"/>
      <c r="AH16" s="47"/>
      <c r="AS16" s="114">
        <v>0.49580000000000002</v>
      </c>
      <c r="AT16" s="188">
        <v>0.96419999999999995</v>
      </c>
    </row>
    <row r="17" spans="1:47" ht="20.100000000000001" customHeight="1" x14ac:dyDescent="0.3">
      <c r="A17" s="47"/>
      <c r="B17" s="47"/>
      <c r="C17" s="47"/>
      <c r="D17" s="47"/>
      <c r="E17" s="47"/>
      <c r="F17" s="47"/>
      <c r="G17" s="47"/>
      <c r="H17" s="47"/>
      <c r="I17" s="47"/>
      <c r="J17" s="47"/>
      <c r="K17" s="47"/>
      <c r="L17" s="371" t="s">
        <v>1703</v>
      </c>
      <c r="M17" s="350">
        <f t="shared" si="8"/>
        <v>0</v>
      </c>
      <c r="N17" s="47"/>
      <c r="O17" s="354">
        <v>12</v>
      </c>
      <c r="P17" s="372" t="str">
        <f t="shared" si="0"/>
        <v>BSW</v>
      </c>
      <c r="Q17" s="355">
        <f t="shared" si="5"/>
        <v>36663</v>
      </c>
      <c r="R17" s="437">
        <f t="shared" si="1"/>
        <v>0</v>
      </c>
      <c r="S17" s="1459" t="str">
        <f t="shared" si="2"/>
        <v xml:space="preserve">14 - REDUÇÃO DE MP DA000518Z (Anchieta) Código DD - </v>
      </c>
      <c r="T17" s="1459"/>
      <c r="U17" s="1459"/>
      <c r="V17" s="1459"/>
      <c r="W17" s="1459"/>
      <c r="X17" s="376">
        <f t="shared" si="3"/>
        <v>2.2952565630499053E-2</v>
      </c>
      <c r="Y17" s="357">
        <f t="shared" si="7"/>
        <v>0.90154257104932789</v>
      </c>
      <c r="Z17" s="358" cm="1">
        <f t="array" aca="1" ref="Z17" ca="1">IFERROR(INDEX($R$55:$R$114,MATCH(1,($AK$55:$AK$114=S17)*($Q$55:$Q$114="Previsto"), 0) ), "")</f>
        <v>1</v>
      </c>
      <c r="AA17" s="358" cm="1">
        <f t="array" ref="AA17">IFERROR( INDEX($R$55:$R$114,MATCH(1,($AK$55:$AK$114=S17)*($Q$55:$Q$114="Real"),0)),"")</f>
        <v>1</v>
      </c>
      <c r="AB17" s="374" t="str">
        <f t="shared" ca="1" si="6"/>
        <v>CONCLUÍDO</v>
      </c>
      <c r="AC17" s="358">
        <v>1</v>
      </c>
      <c r="AD17" s="401" t="str">
        <f t="shared" si="4"/>
        <v>fevereiro</v>
      </c>
      <c r="AE17" s="47"/>
      <c r="AF17" s="47"/>
      <c r="AG17" s="47"/>
      <c r="AH17" s="47"/>
      <c r="AS17" s="187">
        <f>AVERAGE(AS5:AS16)</f>
        <v>0.50165833333333332</v>
      </c>
      <c r="AT17" s="187">
        <f>AVERAGE(AT5:AT16)</f>
        <v>0.92605000000000004</v>
      </c>
      <c r="AU17" s="189">
        <f>AT17*AS17</f>
        <v>0.46456069958333335</v>
      </c>
    </row>
    <row r="18" spans="1:47" ht="20.100000000000001" customHeight="1" x14ac:dyDescent="0.3">
      <c r="A18" s="47"/>
      <c r="B18" s="47"/>
      <c r="C18" s="47"/>
      <c r="D18" s="47"/>
      <c r="E18" s="47"/>
      <c r="F18" s="47"/>
      <c r="G18" s="47"/>
      <c r="H18" s="47"/>
      <c r="I18" s="47"/>
      <c r="J18" s="47"/>
      <c r="K18" s="47"/>
      <c r="L18" s="47"/>
      <c r="M18" s="47"/>
      <c r="N18" s="47"/>
      <c r="O18" s="349">
        <v>13</v>
      </c>
      <c r="P18" s="371" t="str">
        <f t="shared" si="0"/>
        <v>Kaizen</v>
      </c>
      <c r="Q18" s="350">
        <f t="shared" si="5"/>
        <v>35000</v>
      </c>
      <c r="R18" s="436">
        <f t="shared" si="1"/>
        <v>0</v>
      </c>
      <c r="S18" s="1458" t="str">
        <f t="shared" si="2"/>
        <v>04 - Otimização de processo - Pulmão</v>
      </c>
      <c r="T18" s="1458"/>
      <c r="U18" s="1458"/>
      <c r="V18" s="1458"/>
      <c r="W18" s="1458"/>
      <c r="X18" s="375">
        <f t="shared" si="3"/>
        <v>2.1911458338582952E-2</v>
      </c>
      <c r="Y18" s="352">
        <f t="shared" si="7"/>
        <v>0.92345402938791088</v>
      </c>
      <c r="Z18" s="353" cm="1">
        <f t="array" aca="1" ref="Z18" ca="1">IFERROR(INDEX($R$55:$R$114,MATCH(1,($AK$55:$AK$114=S18)*($Q$55:$Q$114="Previsto"), 0) ), "")</f>
        <v>1</v>
      </c>
      <c r="AA18" s="353" cm="1">
        <f t="array" ref="AA18">IFERROR( INDEX($R$55:$R$114,MATCH(1,($AK$55:$AK$114=S18)*($Q$55:$Q$114="Real"),0)),"")</f>
        <v>1</v>
      </c>
      <c r="AB18" s="373" t="str">
        <f t="shared" ca="1" si="6"/>
        <v>CONCLUÍDO</v>
      </c>
      <c r="AC18" s="353">
        <v>1</v>
      </c>
      <c r="AD18" s="400" t="str">
        <f t="shared" si="4"/>
        <v>março</v>
      </c>
      <c r="AE18" s="47"/>
      <c r="AF18" s="47"/>
      <c r="AG18" s="47"/>
      <c r="AH18" s="47"/>
    </row>
    <row r="19" spans="1:47" ht="20.100000000000001" customHeight="1" x14ac:dyDescent="0.3">
      <c r="A19" s="47"/>
      <c r="B19" s="47"/>
      <c r="C19" s="47"/>
      <c r="D19" s="47"/>
      <c r="E19" s="47"/>
      <c r="F19" s="47"/>
      <c r="G19" s="47"/>
      <c r="H19" s="47"/>
      <c r="I19" s="47"/>
      <c r="J19" s="47"/>
      <c r="K19" s="47"/>
      <c r="L19" s="47"/>
      <c r="M19" s="47"/>
      <c r="N19" s="47"/>
      <c r="O19" s="354">
        <v>14</v>
      </c>
      <c r="P19" s="372" t="str">
        <f t="shared" si="0"/>
        <v>BSW</v>
      </c>
      <c r="Q19" s="355">
        <f t="shared" si="5"/>
        <v>29600</v>
      </c>
      <c r="R19" s="437">
        <f t="shared" si="1"/>
        <v>0</v>
      </c>
      <c r="S19" s="1459" t="str">
        <f t="shared" si="2"/>
        <v>08 - Redução de peso bruto MB002446LA / MB003670LA / MB003671LA</v>
      </c>
      <c r="T19" s="1459"/>
      <c r="U19" s="1459"/>
      <c r="V19" s="1459"/>
      <c r="W19" s="1459"/>
      <c r="X19" s="376">
        <f t="shared" si="3"/>
        <v>1.8530833337773011E-2</v>
      </c>
      <c r="Y19" s="357">
        <f t="shared" si="7"/>
        <v>0.94198486272568394</v>
      </c>
      <c r="Z19" s="358" cm="1">
        <f t="array" aca="1" ref="Z19" ca="1">IFERROR(INDEX($R$55:$R$114,MATCH(1,($AK$55:$AK$114=S19)*($Q$55:$Q$114="Previsto"), 0) ), "")</f>
        <v>1</v>
      </c>
      <c r="AA19" s="358" cm="1">
        <f t="array" ref="AA19">IFERROR( INDEX($R$55:$R$114,MATCH(1,($AK$55:$AK$114=S19)*($Q$55:$Q$114="Real"),0)),"")</f>
        <v>0.4</v>
      </c>
      <c r="AB19" s="374" t="str">
        <f t="shared" ca="1" si="6"/>
        <v>ATRASO</v>
      </c>
      <c r="AC19" s="358">
        <v>0.5</v>
      </c>
      <c r="AD19" s="401" t="str">
        <f t="shared" si="4"/>
        <v>maio</v>
      </c>
      <c r="AE19" s="47"/>
      <c r="AF19" s="47"/>
      <c r="AG19" s="47"/>
      <c r="AH19" s="47"/>
    </row>
    <row r="20" spans="1:47" ht="20.100000000000001" customHeight="1" x14ac:dyDescent="0.3">
      <c r="A20" s="47"/>
      <c r="B20" s="47"/>
      <c r="C20" s="47"/>
      <c r="D20" s="47"/>
      <c r="E20" s="47"/>
      <c r="F20" s="47"/>
      <c r="G20" s="47"/>
      <c r="H20" s="47"/>
      <c r="I20" s="47"/>
      <c r="J20" s="47"/>
      <c r="K20" s="47"/>
      <c r="L20" s="47"/>
      <c r="M20" s="47"/>
      <c r="N20" s="47"/>
      <c r="O20" s="349">
        <v>15</v>
      </c>
      <c r="P20" s="371" t="str">
        <f t="shared" si="0"/>
        <v>BSW</v>
      </c>
      <c r="Q20" s="350">
        <f t="shared" si="5"/>
        <v>27000</v>
      </c>
      <c r="R20" s="436">
        <f t="shared" si="1"/>
        <v>0</v>
      </c>
      <c r="S20" s="1458" t="str">
        <f t="shared" si="2"/>
        <v>22 - Aproveitamento de Retalho do corte laser - MB002316LA_MB003533LA_MB003673LC</v>
      </c>
      <c r="T20" s="1458"/>
      <c r="U20" s="1458"/>
      <c r="V20" s="1458"/>
      <c r="W20" s="1458"/>
      <c r="X20" s="375">
        <f t="shared" si="3"/>
        <v>1.6903125004049706E-2</v>
      </c>
      <c r="Y20" s="352">
        <f t="shared" si="7"/>
        <v>0.9588879877297336</v>
      </c>
      <c r="Z20" s="353" cm="1">
        <f t="array" aca="1" ref="Z20" ca="1">IFERROR(INDEX($R$55:$R$114,MATCH(1,($AK$55:$AK$114=S20)*($Q$55:$Q$114="Previsto"), 0) ), "")</f>
        <v>1</v>
      </c>
      <c r="AA20" s="353" cm="1">
        <f t="array" ref="AA20">IFERROR( INDEX($R$55:$R$114,MATCH(1,($AK$55:$AK$114=S20)*($Q$55:$Q$114="Real"),0)),"")</f>
        <v>0.7</v>
      </c>
      <c r="AB20" s="373" t="str">
        <f t="shared" ca="1" si="6"/>
        <v>ATRASO</v>
      </c>
      <c r="AC20" s="353">
        <v>1</v>
      </c>
      <c r="AD20" s="400" t="str">
        <f t="shared" si="4"/>
        <v>abril</v>
      </c>
      <c r="AE20" s="47"/>
      <c r="AF20" s="47"/>
      <c r="AG20" s="47"/>
      <c r="AH20" s="47"/>
    </row>
    <row r="21" spans="1:47" ht="20.100000000000001" customHeight="1" x14ac:dyDescent="0.3">
      <c r="A21" s="47"/>
      <c r="B21" s="47"/>
      <c r="C21" s="47"/>
      <c r="D21" s="47"/>
      <c r="E21" s="47"/>
      <c r="F21" s="47"/>
      <c r="G21" s="47"/>
      <c r="H21" s="47"/>
      <c r="I21" s="47"/>
      <c r="J21" s="47"/>
      <c r="K21" s="47"/>
      <c r="L21" s="47"/>
      <c r="M21" s="47"/>
      <c r="N21" s="47"/>
      <c r="O21" s="354">
        <v>16</v>
      </c>
      <c r="P21" s="372" t="str">
        <f t="shared" si="0"/>
        <v>Redução de custo</v>
      </c>
      <c r="Q21" s="355">
        <f t="shared" si="5"/>
        <v>24000</v>
      </c>
      <c r="R21" s="437">
        <f t="shared" si="1"/>
        <v>0</v>
      </c>
      <c r="S21" s="1459" t="str">
        <f t="shared" si="2"/>
        <v>09 - Taxa de Esgoto</v>
      </c>
      <c r="T21" s="1459"/>
      <c r="U21" s="1459"/>
      <c r="V21" s="1459"/>
      <c r="W21" s="1459"/>
      <c r="X21" s="376">
        <f t="shared" si="3"/>
        <v>1.5025000003599739E-2</v>
      </c>
      <c r="Y21" s="357">
        <f t="shared" si="7"/>
        <v>0.97391298773333335</v>
      </c>
      <c r="Z21" s="358" cm="1">
        <f t="array" aca="1" ref="Z21" ca="1">IFERROR(INDEX($R$55:$R$114,MATCH(1,($AK$55:$AK$114=S21)*($Q$55:$Q$114="Previsto"), 0) ), "")</f>
        <v>1</v>
      </c>
      <c r="AA21" s="358" cm="1">
        <f t="array" ref="AA21">IFERROR( INDEX($R$55:$R$114,MATCH(1,($AK$55:$AK$114=S21)*($Q$55:$Q$114="Real"),0)),"")</f>
        <v>0</v>
      </c>
      <c r="AB21" s="374" t="str">
        <f t="shared" ca="1" si="6"/>
        <v>FALTA DE ACOMPANHAMENTO</v>
      </c>
      <c r="AC21" s="358">
        <v>1</v>
      </c>
      <c r="AD21" s="401" t="str">
        <f t="shared" si="4"/>
        <v>março</v>
      </c>
      <c r="AE21" s="47"/>
      <c r="AF21" s="47"/>
      <c r="AG21" s="47"/>
      <c r="AH21" s="47"/>
    </row>
    <row r="22" spans="1:47" ht="20.100000000000001" customHeight="1" x14ac:dyDescent="0.3">
      <c r="A22" s="47"/>
      <c r="B22" s="47"/>
      <c r="C22" s="47"/>
      <c r="D22" s="47"/>
      <c r="E22" s="47"/>
      <c r="F22" s="47"/>
      <c r="G22" s="47"/>
      <c r="H22" s="47"/>
      <c r="I22" s="47"/>
      <c r="J22" s="47"/>
      <c r="K22" s="47"/>
      <c r="L22" s="47"/>
      <c r="M22" s="47"/>
      <c r="N22" s="47"/>
      <c r="O22" s="349">
        <v>17</v>
      </c>
      <c r="P22" s="371" t="str">
        <f t="shared" si="0"/>
        <v>Kaizen</v>
      </c>
      <c r="Q22" s="350">
        <f t="shared" si="5"/>
        <v>20000</v>
      </c>
      <c r="R22" s="436">
        <f t="shared" si="1"/>
        <v>0</v>
      </c>
      <c r="S22" s="1458" t="str">
        <f t="shared" si="2"/>
        <v>03 - Otimização de processo - Cavalo Marinho</v>
      </c>
      <c r="T22" s="1458"/>
      <c r="U22" s="1458"/>
      <c r="V22" s="1458"/>
      <c r="W22" s="1458"/>
      <c r="X22" s="375">
        <f t="shared" si="3"/>
        <v>1.2520833336333116E-2</v>
      </c>
      <c r="Y22" s="352">
        <f t="shared" si="7"/>
        <v>0.98643382106966648</v>
      </c>
      <c r="Z22" s="353" cm="1">
        <f t="array" aca="1" ref="Z22" ca="1">IFERROR(INDEX($R$55:$R$114,MATCH(1,($AK$55:$AK$114=S22)*($Q$55:$Q$114="Previsto"), 0) ), "")</f>
        <v>1</v>
      </c>
      <c r="AA22" s="353" cm="1">
        <f t="array" ref="AA22">IFERROR( INDEX($R$55:$R$114,MATCH(1,($AK$55:$AK$114=S22)*($Q$55:$Q$114="Real"),0)),"")</f>
        <v>1</v>
      </c>
      <c r="AB22" s="373" t="str">
        <f t="shared" ca="1" si="6"/>
        <v>CONCLUÍDO</v>
      </c>
      <c r="AC22" s="353">
        <v>1</v>
      </c>
      <c r="AD22" s="400" t="str">
        <f t="shared" si="4"/>
        <v>março</v>
      </c>
      <c r="AE22" s="47"/>
      <c r="AF22" s="47"/>
      <c r="AG22" s="47"/>
      <c r="AH22" s="47"/>
    </row>
    <row r="23" spans="1:47" ht="20.100000000000001" customHeight="1" x14ac:dyDescent="0.3">
      <c r="A23" s="47"/>
      <c r="B23" s="47"/>
      <c r="C23" s="47"/>
      <c r="D23" s="47"/>
      <c r="E23" s="47"/>
      <c r="F23" s="47"/>
      <c r="G23" s="47"/>
      <c r="H23" s="47"/>
      <c r="I23" s="47"/>
      <c r="J23" s="47"/>
      <c r="K23" s="47"/>
      <c r="L23" s="47"/>
      <c r="M23" s="47"/>
      <c r="N23" s="47"/>
      <c r="O23" s="354">
        <v>18</v>
      </c>
      <c r="P23" s="372" t="str">
        <f t="shared" si="0"/>
        <v>Redução de custo</v>
      </c>
      <c r="Q23" s="355">
        <f t="shared" si="5"/>
        <v>16500</v>
      </c>
      <c r="R23" s="437">
        <f t="shared" si="1"/>
        <v>0</v>
      </c>
      <c r="S23" s="1459" t="str">
        <f t="shared" si="2"/>
        <v xml:space="preserve"> 07 - Consumo de água</v>
      </c>
      <c r="T23" s="1459"/>
      <c r="U23" s="1459"/>
      <c r="V23" s="1459"/>
      <c r="W23" s="1459"/>
      <c r="X23" s="376">
        <f t="shared" si="3"/>
        <v>1.0329687502474821E-2</v>
      </c>
      <c r="Y23" s="357">
        <f t="shared" si="7"/>
        <v>0.99676350857214135</v>
      </c>
      <c r="Z23" s="358" cm="1">
        <f t="array" aca="1" ref="Z23" ca="1">IFERROR(INDEX($R$55:$R$114,MATCH(1,($AK$55:$AK$114=S23)*($Q$55:$Q$114="Previsto"), 0) ), "")</f>
        <v>1</v>
      </c>
      <c r="AA23" s="358" cm="1">
        <f t="array" ref="AA23">IFERROR( INDEX($R$55:$R$114,MATCH(1,($AK$55:$AK$114=S23)*($Q$55:$Q$114="Real"),0)),"")</f>
        <v>0</v>
      </c>
      <c r="AB23" s="374" t="str">
        <f t="shared" ca="1" si="6"/>
        <v>FALTA DE ACOMPANHAMENTO</v>
      </c>
      <c r="AC23" s="358">
        <v>1</v>
      </c>
      <c r="AD23" s="401" t="str">
        <f t="shared" si="4"/>
        <v>fevereiro</v>
      </c>
      <c r="AE23" s="47"/>
      <c r="AF23" s="47"/>
      <c r="AG23" s="47"/>
      <c r="AH23" s="47"/>
    </row>
    <row r="24" spans="1:47" ht="20.100000000000001" customHeight="1" x14ac:dyDescent="0.3">
      <c r="A24" s="47"/>
      <c r="B24" s="47"/>
      <c r="C24" s="47"/>
      <c r="D24" s="47"/>
      <c r="E24" s="47"/>
      <c r="F24" s="47"/>
      <c r="G24" s="47"/>
      <c r="H24" s="47"/>
      <c r="I24" s="47"/>
      <c r="J24" s="47"/>
      <c r="K24" s="47"/>
      <c r="L24" s="47"/>
      <c r="M24" s="47"/>
      <c r="N24" s="47"/>
      <c r="O24" s="349">
        <v>19</v>
      </c>
      <c r="P24" s="371" t="str">
        <f t="shared" si="0"/>
        <v>Kaizen</v>
      </c>
      <c r="Q24" s="350">
        <f t="shared" si="5"/>
        <v>3279.77</v>
      </c>
      <c r="R24" s="436">
        <f t="shared" si="1"/>
        <v>0</v>
      </c>
      <c r="S24" s="1458" t="str">
        <f t="shared" si="2"/>
        <v>15 - Kaizem - Botões BI - MANUAL</v>
      </c>
      <c r="T24" s="1458"/>
      <c r="U24" s="1458"/>
      <c r="V24" s="1458"/>
      <c r="W24" s="1458"/>
      <c r="X24" s="375">
        <f t="shared" si="3"/>
        <v>2.0532726775752633E-3</v>
      </c>
      <c r="Y24" s="352">
        <f t="shared" si="7"/>
        <v>0.99881678124971662</v>
      </c>
      <c r="Z24" s="353" cm="1">
        <f t="array" aca="1" ref="Z24" ca="1">IFERROR(INDEX($R$55:$R$114,MATCH(1,($AK$55:$AK$114=S24)*($Q$55:$Q$114="Previsto"), 0) ), "")</f>
        <v>1</v>
      </c>
      <c r="AA24" s="353" cm="1">
        <f t="array" ref="AA24">IFERROR( INDEX($R$55:$R$114,MATCH(1,($AK$55:$AK$114=S24)*($Q$55:$Q$114="Real"),0)),"")</f>
        <v>1</v>
      </c>
      <c r="AB24" s="373" t="str">
        <f t="shared" ca="1" si="6"/>
        <v>CONCLUÍDO</v>
      </c>
      <c r="AC24" s="353">
        <v>1</v>
      </c>
      <c r="AD24" s="400" t="str">
        <f t="shared" si="4"/>
        <v>janeiro</v>
      </c>
      <c r="AE24" s="47"/>
      <c r="AF24" s="47"/>
      <c r="AG24" s="47"/>
      <c r="AH24" s="47"/>
    </row>
    <row r="25" spans="1:47" ht="20.100000000000001" customHeight="1" x14ac:dyDescent="0.3">
      <c r="A25" s="47"/>
      <c r="B25" s="47"/>
      <c r="C25" s="47"/>
      <c r="D25" s="47"/>
      <c r="E25" s="47"/>
      <c r="F25" s="47"/>
      <c r="G25" s="47"/>
      <c r="H25" s="47"/>
      <c r="I25" s="47"/>
      <c r="J25" s="47"/>
      <c r="K25" s="47"/>
      <c r="L25" s="47"/>
      <c r="M25" s="47"/>
      <c r="N25" s="47"/>
      <c r="O25" s="404">
        <v>20</v>
      </c>
      <c r="P25" s="405" t="str">
        <f t="shared" si="0"/>
        <v>Kaizen</v>
      </c>
      <c r="Q25" s="406">
        <f t="shared" si="5"/>
        <v>1890</v>
      </c>
      <c r="R25" s="437">
        <f t="shared" si="1"/>
        <v>0</v>
      </c>
      <c r="S25" s="1459" t="str">
        <f>IFERROR(
   HYPERLINK(
      INDEX(Testes!$C$55:$C$114,
             MATCH(Q25,Testes!$H$55:$H$114,0)
      ),
      INDEX(Testes!$B$55:$B$114,
             MATCH(Q25,Testes!$H$55:$H$114,0)
      )
   ),
   ""
)</f>
        <v>13 - Redução de Componente - 4065 de 6 para 4</v>
      </c>
      <c r="T25" s="1459"/>
      <c r="U25" s="1459"/>
      <c r="V25" s="1459"/>
      <c r="W25" s="1459"/>
      <c r="X25" s="376">
        <f t="shared" si="3"/>
        <v>1.1832187502834794E-3</v>
      </c>
      <c r="Y25" s="357">
        <f t="shared" si="7"/>
        <v>1</v>
      </c>
      <c r="Z25" s="358" cm="1">
        <f t="array" aca="1" ref="Z25" ca="1">IFERROR(INDEX($R$55:$R$114,MATCH(1,($AK$55:$AK$114=S25)*($Q$55:$Q$114="Previsto"), 0) ), "")</f>
        <v>1</v>
      </c>
      <c r="AA25" s="358" cm="1">
        <f t="array" ref="AA25">IFERROR( INDEX($R$55:$R$114,MATCH(1,($AK$55:$AK$114=S25)*($Q$55:$Q$114="Real"),0)),"")</f>
        <v>0.8</v>
      </c>
      <c r="AB25" s="374" t="str">
        <f t="shared" ca="1" si="6"/>
        <v>ATRASO</v>
      </c>
      <c r="AC25" s="358">
        <v>1</v>
      </c>
      <c r="AD25" s="401" t="str">
        <f t="shared" si="4"/>
        <v>abril</v>
      </c>
      <c r="AE25" s="47"/>
      <c r="AF25" s="47"/>
      <c r="AG25" s="47"/>
      <c r="AH25" s="47"/>
    </row>
    <row r="26" spans="1:47" ht="20.100000000000001" customHeight="1" x14ac:dyDescent="0.3">
      <c r="A26" s="47"/>
      <c r="B26" s="47"/>
      <c r="C26" s="47"/>
      <c r="D26" s="47"/>
      <c r="E26" s="47"/>
      <c r="F26" s="47"/>
      <c r="G26" s="47"/>
      <c r="H26" s="47"/>
      <c r="I26" s="47"/>
      <c r="J26" s="47"/>
      <c r="K26" s="47"/>
      <c r="L26" s="47"/>
      <c r="M26" s="47"/>
      <c r="N26" s="47"/>
      <c r="O26" s="1461" t="s">
        <v>149</v>
      </c>
      <c r="P26" s="1462"/>
      <c r="Q26" s="407">
        <f>SUM(Q6:Q25)</f>
        <v>1597337.77</v>
      </c>
      <c r="R26" s="407">
        <f>SUM(R6:R25)</f>
        <v>325739.28999999998</v>
      </c>
      <c r="S26" s="47"/>
      <c r="T26" s="47"/>
      <c r="U26" s="47"/>
      <c r="V26" s="47"/>
      <c r="W26" s="47"/>
      <c r="X26" s="47">
        <f t="shared" si="3"/>
        <v>1</v>
      </c>
      <c r="Y26" s="47"/>
      <c r="Z26" s="47"/>
      <c r="AA26" s="47"/>
      <c r="AB26" s="47"/>
      <c r="AC26" s="47"/>
      <c r="AD26" s="47"/>
      <c r="AE26" s="47"/>
      <c r="AF26" s="47"/>
    </row>
    <row r="27" spans="1:47" ht="15.6" x14ac:dyDescent="0.3">
      <c r="A27" s="63" t="s">
        <v>150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47"/>
      <c r="AF27" s="47"/>
    </row>
    <row r="28" spans="1:47" ht="27" customHeight="1" x14ac:dyDescent="0.3">
      <c r="A28" s="64" t="s">
        <v>151</v>
      </c>
      <c r="B28" s="65" t="s">
        <v>31</v>
      </c>
      <c r="C28" s="65" t="s">
        <v>152</v>
      </c>
      <c r="D28" s="65" t="s">
        <v>153</v>
      </c>
      <c r="E28" s="65" t="s">
        <v>154</v>
      </c>
      <c r="F28" s="65" t="s">
        <v>155</v>
      </c>
      <c r="G28" s="65" t="s">
        <v>156</v>
      </c>
      <c r="H28" s="65" t="s">
        <v>157</v>
      </c>
      <c r="I28" s="66" t="s">
        <v>158</v>
      </c>
      <c r="J28" s="65" t="s">
        <v>159</v>
      </c>
      <c r="K28" s="66" t="s">
        <v>160</v>
      </c>
      <c r="L28" s="65" t="s">
        <v>161</v>
      </c>
      <c r="M28" s="66" t="s">
        <v>162</v>
      </c>
      <c r="N28" s="65" t="s">
        <v>163</v>
      </c>
      <c r="O28" s="66" t="s">
        <v>164</v>
      </c>
      <c r="P28" s="65" t="s">
        <v>165</v>
      </c>
      <c r="Q28" s="66" t="s">
        <v>166</v>
      </c>
      <c r="R28" s="65" t="s">
        <v>167</v>
      </c>
      <c r="S28" s="66" t="s">
        <v>168</v>
      </c>
      <c r="T28" s="65" t="s">
        <v>169</v>
      </c>
      <c r="U28" s="66" t="s">
        <v>170</v>
      </c>
      <c r="V28" s="65" t="s">
        <v>171</v>
      </c>
      <c r="W28" s="66" t="s">
        <v>172</v>
      </c>
      <c r="X28" s="65" t="s">
        <v>173</v>
      </c>
      <c r="Y28" s="66" t="s">
        <v>174</v>
      </c>
      <c r="Z28" s="65" t="s">
        <v>175</v>
      </c>
      <c r="AA28" s="66" t="s">
        <v>176</v>
      </c>
      <c r="AB28" s="65" t="s">
        <v>177</v>
      </c>
      <c r="AC28" s="66" t="s">
        <v>178</v>
      </c>
      <c r="AD28" s="65" t="s">
        <v>179</v>
      </c>
      <c r="AE28" s="66" t="s">
        <v>180</v>
      </c>
      <c r="AF28" s="47"/>
    </row>
    <row r="29" spans="1:47" x14ac:dyDescent="0.3">
      <c r="A29" s="67" t="s">
        <v>181</v>
      </c>
      <c r="B29" s="68" t="s">
        <v>182</v>
      </c>
      <c r="C29" s="197" t="s">
        <v>183</v>
      </c>
      <c r="D29" s="69" t="s">
        <v>184</v>
      </c>
      <c r="E29" s="69" t="s">
        <v>928</v>
      </c>
      <c r="F29" s="304">
        <v>0.34599999999999997</v>
      </c>
      <c r="G29" s="304">
        <v>0.36099999999999999</v>
      </c>
      <c r="H29" s="408" t="s">
        <v>1704</v>
      </c>
      <c r="I29" s="259"/>
      <c r="J29" s="259"/>
      <c r="K29" s="259"/>
      <c r="L29" s="259"/>
      <c r="M29" s="259"/>
      <c r="N29" s="259"/>
      <c r="O29" s="259"/>
      <c r="P29" s="259"/>
      <c r="Q29" s="259"/>
      <c r="R29" s="259"/>
      <c r="S29" s="259"/>
      <c r="T29" s="259"/>
      <c r="U29" s="259"/>
      <c r="V29" s="259"/>
      <c r="W29" s="259"/>
      <c r="X29" s="259"/>
      <c r="Y29" s="305"/>
      <c r="Z29" s="305"/>
      <c r="AA29" s="305"/>
      <c r="AB29" s="305"/>
      <c r="AC29" s="305"/>
      <c r="AD29" s="305"/>
      <c r="AE29" s="305"/>
      <c r="AF29" s="297"/>
    </row>
    <row r="30" spans="1:47" x14ac:dyDescent="0.3">
      <c r="A30" s="67" t="s">
        <v>181</v>
      </c>
      <c r="B30" s="68" t="s">
        <v>187</v>
      </c>
      <c r="C30" s="197" t="s">
        <v>183</v>
      </c>
      <c r="D30" s="68" t="s">
        <v>192</v>
      </c>
      <c r="E30" s="68" t="s">
        <v>929</v>
      </c>
      <c r="F30" s="306">
        <v>3.0000000000000001E-3</v>
      </c>
      <c r="G30" s="306">
        <v>2E-3</v>
      </c>
      <c r="H30" s="409" t="s">
        <v>1704</v>
      </c>
      <c r="I30" s="307"/>
      <c r="J30" s="307"/>
      <c r="K30" s="307"/>
      <c r="L30" s="307"/>
      <c r="M30" s="307"/>
      <c r="N30" s="307"/>
      <c r="O30" s="307"/>
      <c r="P30" s="307"/>
      <c r="Q30" s="307"/>
      <c r="R30" s="307"/>
      <c r="S30" s="307"/>
      <c r="T30" s="307"/>
      <c r="U30" s="307"/>
      <c r="V30" s="307"/>
      <c r="W30" s="307"/>
      <c r="X30" s="307"/>
      <c r="Y30" s="307"/>
      <c r="Z30" s="307"/>
      <c r="AA30" s="307"/>
      <c r="AB30" s="307"/>
      <c r="AC30" s="307"/>
      <c r="AD30" s="307"/>
      <c r="AE30" s="307"/>
      <c r="AF30" s="297"/>
    </row>
    <row r="31" spans="1:47" x14ac:dyDescent="0.3">
      <c r="A31" s="67" t="s">
        <v>190</v>
      </c>
      <c r="B31" s="68" t="s">
        <v>191</v>
      </c>
      <c r="C31" s="197" t="s">
        <v>183</v>
      </c>
      <c r="D31" s="68" t="s">
        <v>192</v>
      </c>
      <c r="E31" s="68" t="s">
        <v>928</v>
      </c>
      <c r="F31" s="306">
        <v>0.501</v>
      </c>
      <c r="G31" s="306">
        <v>0.56000000000000005</v>
      </c>
      <c r="H31" s="306">
        <v>0.48430000000000001</v>
      </c>
      <c r="I31" s="307"/>
      <c r="J31" s="306">
        <f>J33*J34*J35</f>
        <v>0.475478805216</v>
      </c>
      <c r="K31" s="307"/>
      <c r="L31" s="307"/>
      <c r="M31" s="307"/>
      <c r="N31" s="307"/>
      <c r="O31" s="307"/>
      <c r="P31" s="307"/>
      <c r="Q31" s="307"/>
      <c r="R31" s="307"/>
      <c r="S31" s="307"/>
      <c r="T31" s="307"/>
      <c r="U31" s="307"/>
      <c r="V31" s="307"/>
      <c r="W31" s="307"/>
      <c r="X31" s="307"/>
      <c r="Y31" s="305"/>
      <c r="Z31" s="305"/>
      <c r="AA31" s="305"/>
      <c r="AB31" s="305"/>
      <c r="AC31" s="305"/>
      <c r="AD31" s="305"/>
      <c r="AE31" s="305"/>
      <c r="AF31" s="297"/>
    </row>
    <row r="32" spans="1:47" x14ac:dyDescent="0.3">
      <c r="A32" s="67" t="s">
        <v>190</v>
      </c>
      <c r="B32" s="68" t="s">
        <v>195</v>
      </c>
      <c r="C32" s="197" t="s">
        <v>183</v>
      </c>
      <c r="D32" s="68" t="s">
        <v>192</v>
      </c>
      <c r="E32" s="68" t="s">
        <v>928</v>
      </c>
      <c r="F32" s="306">
        <v>0.44400000000000001</v>
      </c>
      <c r="G32" s="306">
        <v>0.53169999999999995</v>
      </c>
      <c r="H32" s="409" t="s">
        <v>1704</v>
      </c>
      <c r="I32" s="307"/>
      <c r="J32" s="307"/>
      <c r="K32" s="307"/>
      <c r="L32" s="307"/>
      <c r="M32" s="307"/>
      <c r="N32" s="307"/>
      <c r="O32" s="307"/>
      <c r="P32" s="307"/>
      <c r="Q32" s="307"/>
      <c r="R32" s="307"/>
      <c r="S32" s="307"/>
      <c r="T32" s="307"/>
      <c r="U32" s="307"/>
      <c r="V32" s="307"/>
      <c r="W32" s="307"/>
      <c r="X32" s="307"/>
      <c r="Y32" s="307"/>
      <c r="Z32" s="307"/>
      <c r="AA32" s="307"/>
      <c r="AB32" s="307"/>
      <c r="AC32" s="307"/>
      <c r="AD32" s="307"/>
      <c r="AE32" s="307"/>
      <c r="AF32" s="297"/>
    </row>
    <row r="33" spans="1:32" x14ac:dyDescent="0.3">
      <c r="A33" s="67" t="s">
        <v>190</v>
      </c>
      <c r="B33" s="68" t="s">
        <v>197</v>
      </c>
      <c r="C33" s="197" t="s">
        <v>183</v>
      </c>
      <c r="D33" s="68" t="s">
        <v>192</v>
      </c>
      <c r="E33" s="68" t="s">
        <v>928</v>
      </c>
      <c r="F33" s="306">
        <v>0.92610000000000003</v>
      </c>
      <c r="G33" s="306">
        <v>0.95</v>
      </c>
      <c r="H33" s="306">
        <v>0.8992</v>
      </c>
      <c r="I33" s="307"/>
      <c r="J33" s="306">
        <v>0.89359999999999995</v>
      </c>
      <c r="K33" s="307"/>
      <c r="L33" s="307"/>
      <c r="M33" s="307"/>
      <c r="N33" s="307"/>
      <c r="O33" s="307"/>
      <c r="P33" s="307"/>
      <c r="Q33" s="307"/>
      <c r="R33" s="307"/>
      <c r="S33" s="307"/>
      <c r="T33" s="307"/>
      <c r="U33" s="307"/>
      <c r="V33" s="307"/>
      <c r="W33" s="307"/>
      <c r="X33" s="307"/>
      <c r="Y33" s="305"/>
      <c r="Z33" s="305"/>
      <c r="AA33" s="305"/>
      <c r="AB33" s="305"/>
      <c r="AC33" s="305"/>
      <c r="AD33" s="305"/>
      <c r="AE33" s="305"/>
      <c r="AF33" s="297"/>
    </row>
    <row r="34" spans="1:32" x14ac:dyDescent="0.3">
      <c r="A34" s="67" t="s">
        <v>190</v>
      </c>
      <c r="B34" s="68" t="s">
        <v>198</v>
      </c>
      <c r="C34" s="197" t="s">
        <v>183</v>
      </c>
      <c r="D34" s="68" t="s">
        <v>192</v>
      </c>
      <c r="E34" s="68" t="s">
        <v>928</v>
      </c>
      <c r="F34" s="306">
        <v>0.95499999999999996</v>
      </c>
      <c r="G34" s="306">
        <v>0.96499999999999997</v>
      </c>
      <c r="H34" s="306">
        <v>0.99950000000000006</v>
      </c>
      <c r="I34" s="307"/>
      <c r="J34" s="306">
        <v>0.99980000000000002</v>
      </c>
      <c r="K34" s="307"/>
      <c r="L34" s="307"/>
      <c r="M34" s="307"/>
      <c r="N34" s="307"/>
      <c r="O34" s="307"/>
      <c r="P34" s="307"/>
      <c r="Q34" s="307"/>
      <c r="R34" s="307"/>
      <c r="S34" s="307"/>
      <c r="T34" s="307"/>
      <c r="U34" s="307"/>
      <c r="V34" s="307"/>
      <c r="W34" s="307"/>
      <c r="X34" s="307"/>
      <c r="Y34" s="307"/>
      <c r="Z34" s="307"/>
      <c r="AA34" s="307"/>
      <c r="AB34" s="307"/>
      <c r="AC34" s="307"/>
      <c r="AD34" s="307"/>
      <c r="AE34" s="307"/>
      <c r="AF34" s="297"/>
    </row>
    <row r="35" spans="1:32" x14ac:dyDescent="0.3">
      <c r="A35" s="67" t="s">
        <v>190</v>
      </c>
      <c r="B35" s="68" t="s">
        <v>200</v>
      </c>
      <c r="C35" s="197" t="s">
        <v>183</v>
      </c>
      <c r="D35" s="68" t="s">
        <v>192</v>
      </c>
      <c r="E35" s="68" t="s">
        <v>928</v>
      </c>
      <c r="F35" s="306">
        <v>0.95899999999999996</v>
      </c>
      <c r="G35" s="308">
        <v>0.97</v>
      </c>
      <c r="H35" s="306">
        <v>0.53890000000000005</v>
      </c>
      <c r="I35" s="307"/>
      <c r="J35" s="306">
        <v>0.53220000000000001</v>
      </c>
      <c r="K35" s="307"/>
      <c r="L35" s="307"/>
      <c r="M35" s="307"/>
      <c r="N35" s="307"/>
      <c r="O35" s="307"/>
      <c r="P35" s="307"/>
      <c r="Q35" s="307"/>
      <c r="R35" s="307"/>
      <c r="S35" s="307"/>
      <c r="T35" s="307"/>
      <c r="U35" s="307"/>
      <c r="V35" s="307"/>
      <c r="W35" s="307"/>
      <c r="X35" s="307"/>
      <c r="Y35" s="305"/>
      <c r="Z35" s="305"/>
      <c r="AA35" s="305"/>
      <c r="AB35" s="305"/>
      <c r="AC35" s="305"/>
      <c r="AD35" s="305"/>
      <c r="AE35" s="305"/>
      <c r="AF35" s="297"/>
    </row>
    <row r="36" spans="1:32" x14ac:dyDescent="0.3">
      <c r="A36" s="67" t="s">
        <v>190</v>
      </c>
      <c r="B36" s="68" t="s">
        <v>201</v>
      </c>
      <c r="C36" s="197" t="s">
        <v>202</v>
      </c>
      <c r="D36" s="68" t="s">
        <v>184</v>
      </c>
      <c r="E36" s="68" t="s">
        <v>928</v>
      </c>
      <c r="F36" s="303" t="s">
        <v>203</v>
      </c>
      <c r="G36" s="303" t="s">
        <v>204</v>
      </c>
      <c r="H36" s="342">
        <v>0.625</v>
      </c>
      <c r="I36" s="307"/>
      <c r="J36" s="307"/>
      <c r="K36" s="307"/>
      <c r="L36" s="307"/>
      <c r="M36" s="307"/>
      <c r="N36" s="307"/>
      <c r="O36" s="307"/>
      <c r="P36" s="307"/>
      <c r="Q36" s="307"/>
      <c r="R36" s="307"/>
      <c r="S36" s="307"/>
      <c r="T36" s="307"/>
      <c r="U36" s="307"/>
      <c r="V36" s="307"/>
      <c r="W36" s="307"/>
      <c r="X36" s="307"/>
      <c r="Y36" s="307"/>
      <c r="Z36" s="307"/>
      <c r="AA36" s="307"/>
      <c r="AB36" s="307"/>
      <c r="AC36" s="307"/>
      <c r="AD36" s="307"/>
      <c r="AE36" s="307"/>
      <c r="AF36" s="297"/>
    </row>
    <row r="37" spans="1:32" x14ac:dyDescent="0.3">
      <c r="A37" s="67" t="s">
        <v>190</v>
      </c>
      <c r="B37" s="68" t="s">
        <v>206</v>
      </c>
      <c r="C37" s="197" t="s">
        <v>202</v>
      </c>
      <c r="D37" s="68" t="s">
        <v>184</v>
      </c>
      <c r="E37" s="68" t="s">
        <v>929</v>
      </c>
      <c r="F37" s="303" t="s">
        <v>207</v>
      </c>
      <c r="G37" s="303" t="s">
        <v>208</v>
      </c>
      <c r="H37" s="303" t="s">
        <v>209</v>
      </c>
      <c r="I37" s="307"/>
      <c r="J37" s="307"/>
      <c r="K37" s="307"/>
      <c r="L37" s="307"/>
      <c r="M37" s="307"/>
      <c r="N37" s="307"/>
      <c r="O37" s="307"/>
      <c r="P37" s="307"/>
      <c r="Q37" s="307"/>
      <c r="R37" s="307"/>
      <c r="S37" s="307"/>
      <c r="T37" s="307"/>
      <c r="U37" s="307"/>
      <c r="V37" s="307"/>
      <c r="W37" s="307"/>
      <c r="X37" s="307"/>
      <c r="Y37" s="305"/>
      <c r="Z37" s="305"/>
      <c r="AA37" s="305"/>
      <c r="AB37" s="305"/>
      <c r="AC37" s="305"/>
      <c r="AD37" s="305"/>
      <c r="AE37" s="305"/>
      <c r="AF37" s="297"/>
    </row>
    <row r="38" spans="1:32" x14ac:dyDescent="0.3">
      <c r="A38" s="67" t="s">
        <v>190</v>
      </c>
      <c r="B38" s="68" t="s">
        <v>211</v>
      </c>
      <c r="C38" s="197" t="s">
        <v>212</v>
      </c>
      <c r="D38" s="68" t="s">
        <v>192</v>
      </c>
      <c r="E38" s="68" t="s">
        <v>929</v>
      </c>
      <c r="F38" s="309">
        <v>91000</v>
      </c>
      <c r="G38" s="309">
        <v>73000</v>
      </c>
      <c r="H38" s="410" t="s">
        <v>1704</v>
      </c>
      <c r="I38" s="307"/>
      <c r="J38" s="307"/>
      <c r="K38" s="307"/>
      <c r="L38" s="307"/>
      <c r="M38" s="307"/>
      <c r="N38" s="307"/>
      <c r="O38" s="307"/>
      <c r="P38" s="307"/>
      <c r="Q38" s="307"/>
      <c r="R38" s="307"/>
      <c r="S38" s="307"/>
      <c r="T38" s="307"/>
      <c r="U38" s="307"/>
      <c r="V38" s="307"/>
      <c r="W38" s="307"/>
      <c r="X38" s="307"/>
      <c r="Y38" s="307"/>
      <c r="Z38" s="307"/>
      <c r="AA38" s="307"/>
      <c r="AB38" s="307"/>
      <c r="AC38" s="307"/>
      <c r="AD38" s="307"/>
      <c r="AE38" s="307"/>
      <c r="AF38" s="297"/>
    </row>
    <row r="39" spans="1:32" x14ac:dyDescent="0.3">
      <c r="A39" s="67" t="s">
        <v>190</v>
      </c>
      <c r="B39" s="68" t="s">
        <v>213</v>
      </c>
      <c r="C39" s="197" t="s">
        <v>212</v>
      </c>
      <c r="D39" s="68" t="s">
        <v>192</v>
      </c>
      <c r="E39" s="68" t="s">
        <v>929</v>
      </c>
      <c r="F39" s="307"/>
      <c r="G39" s="307"/>
      <c r="H39" s="309">
        <v>20603</v>
      </c>
      <c r="I39" s="307"/>
      <c r="J39" s="309">
        <v>20662</v>
      </c>
      <c r="K39" s="307"/>
      <c r="L39" s="307"/>
      <c r="M39" s="307"/>
      <c r="N39" s="307"/>
      <c r="O39" s="307"/>
      <c r="P39" s="307"/>
      <c r="Q39" s="307"/>
      <c r="R39" s="307"/>
      <c r="S39" s="307"/>
      <c r="T39" s="307"/>
      <c r="U39" s="307"/>
      <c r="V39" s="307"/>
      <c r="W39" s="307"/>
      <c r="X39" s="307"/>
      <c r="Y39" s="305"/>
      <c r="Z39" s="305"/>
      <c r="AA39" s="305"/>
      <c r="AB39" s="305"/>
      <c r="AC39" s="305"/>
      <c r="AD39" s="305"/>
      <c r="AE39" s="305"/>
      <c r="AF39" s="297"/>
    </row>
    <row r="40" spans="1:32" x14ac:dyDescent="0.3">
      <c r="A40" s="67" t="s">
        <v>217</v>
      </c>
      <c r="B40" s="68" t="s">
        <v>218</v>
      </c>
      <c r="C40" s="197" t="s">
        <v>219</v>
      </c>
      <c r="D40" s="68" t="s">
        <v>184</v>
      </c>
      <c r="E40" s="68" t="s">
        <v>929</v>
      </c>
      <c r="F40" s="307" t="s">
        <v>93</v>
      </c>
      <c r="G40" s="307">
        <v>900</v>
      </c>
      <c r="H40" s="441">
        <v>60593</v>
      </c>
      <c r="I40" s="307"/>
      <c r="J40" s="307"/>
      <c r="K40" s="307"/>
      <c r="L40" s="307"/>
      <c r="M40" s="307"/>
      <c r="N40" s="307"/>
      <c r="O40" s="307"/>
      <c r="P40" s="307"/>
      <c r="Q40" s="307"/>
      <c r="R40" s="307"/>
      <c r="S40" s="307"/>
      <c r="T40" s="307"/>
      <c r="U40" s="307"/>
      <c r="V40" s="307"/>
      <c r="W40" s="307"/>
      <c r="X40" s="307"/>
      <c r="Y40" s="307"/>
      <c r="Z40" s="307"/>
      <c r="AA40" s="307"/>
      <c r="AB40" s="307"/>
      <c r="AC40" s="307"/>
      <c r="AD40" s="307"/>
      <c r="AE40" s="307"/>
      <c r="AF40" s="297"/>
    </row>
    <row r="41" spans="1:32" x14ac:dyDescent="0.3">
      <c r="A41" s="67" t="s">
        <v>217</v>
      </c>
      <c r="B41" s="68" t="s">
        <v>221</v>
      </c>
      <c r="C41" s="197" t="s">
        <v>219</v>
      </c>
      <c r="D41" s="68" t="s">
        <v>184</v>
      </c>
      <c r="E41" s="68" t="s">
        <v>929</v>
      </c>
      <c r="F41" s="307">
        <v>3347</v>
      </c>
      <c r="G41" s="307">
        <v>3000</v>
      </c>
      <c r="H41" s="441">
        <v>1</v>
      </c>
      <c r="I41" s="307"/>
      <c r="J41" s="307"/>
      <c r="K41" s="307"/>
      <c r="L41" s="307"/>
      <c r="M41" s="307"/>
      <c r="N41" s="307"/>
      <c r="O41" s="307"/>
      <c r="P41" s="307"/>
      <c r="Q41" s="307"/>
      <c r="R41" s="307"/>
      <c r="S41" s="307"/>
      <c r="T41" s="307"/>
      <c r="U41" s="307"/>
      <c r="V41" s="307"/>
      <c r="W41" s="307"/>
      <c r="X41" s="307"/>
      <c r="Y41" s="305"/>
      <c r="Z41" s="305"/>
      <c r="AA41" s="305"/>
      <c r="AB41" s="305"/>
      <c r="AC41" s="305"/>
      <c r="AD41" s="305"/>
      <c r="AE41" s="305"/>
      <c r="AF41" s="297"/>
    </row>
    <row r="42" spans="1:32" x14ac:dyDescent="0.3">
      <c r="A42" s="67" t="s">
        <v>217</v>
      </c>
      <c r="B42" s="68" t="s">
        <v>228</v>
      </c>
      <c r="C42" s="197" t="s">
        <v>183</v>
      </c>
      <c r="D42" s="68" t="s">
        <v>184</v>
      </c>
      <c r="E42" s="68" t="s">
        <v>929</v>
      </c>
      <c r="F42" s="306">
        <v>2.5999999999999999E-2</v>
      </c>
      <c r="G42" s="306">
        <v>1.4200000000000001E-2</v>
      </c>
      <c r="H42" s="410" t="s">
        <v>1704</v>
      </c>
      <c r="I42" s="307"/>
      <c r="J42" s="307"/>
      <c r="K42" s="307"/>
      <c r="L42" s="307"/>
      <c r="M42" s="307"/>
      <c r="N42" s="307"/>
      <c r="O42" s="307"/>
      <c r="P42" s="307"/>
      <c r="Q42" s="307"/>
      <c r="R42" s="307"/>
      <c r="S42" s="307"/>
      <c r="T42" s="307"/>
      <c r="U42" s="307"/>
      <c r="V42" s="307"/>
      <c r="W42" s="307"/>
      <c r="X42" s="307"/>
      <c r="Y42" s="307"/>
      <c r="Z42" s="307"/>
      <c r="AA42" s="307"/>
      <c r="AB42" s="307"/>
      <c r="AC42" s="307"/>
      <c r="AD42" s="307"/>
      <c r="AE42" s="307"/>
      <c r="AF42" s="297"/>
    </row>
    <row r="43" spans="1:32" x14ac:dyDescent="0.3">
      <c r="A43" s="67" t="s">
        <v>217</v>
      </c>
      <c r="B43" s="68" t="s">
        <v>232</v>
      </c>
      <c r="C43" s="197" t="s">
        <v>233</v>
      </c>
      <c r="D43" s="68" t="s">
        <v>234</v>
      </c>
      <c r="E43" s="68" t="s">
        <v>929</v>
      </c>
      <c r="F43" s="307">
        <v>49</v>
      </c>
      <c r="G43" s="307">
        <v>45</v>
      </c>
      <c r="H43" s="307">
        <v>1</v>
      </c>
      <c r="I43" s="307"/>
      <c r="J43" s="307">
        <v>2</v>
      </c>
      <c r="K43" s="307"/>
      <c r="L43" s="307"/>
      <c r="M43" s="307"/>
      <c r="N43" s="307"/>
      <c r="O43" s="307"/>
      <c r="P43" s="307"/>
      <c r="Q43" s="307"/>
      <c r="R43" s="307"/>
      <c r="S43" s="307"/>
      <c r="T43" s="307"/>
      <c r="U43" s="307"/>
      <c r="V43" s="307"/>
      <c r="W43" s="307"/>
      <c r="X43" s="307"/>
      <c r="Y43" s="305"/>
      <c r="Z43" s="305"/>
      <c r="AA43" s="305"/>
      <c r="AB43" s="305"/>
      <c r="AC43" s="305"/>
      <c r="AD43" s="305"/>
      <c r="AE43" s="305"/>
      <c r="AF43" s="297"/>
    </row>
    <row r="44" spans="1:32" x14ac:dyDescent="0.3">
      <c r="A44" s="301" t="s">
        <v>236</v>
      </c>
      <c r="B44" s="302" t="s">
        <v>237</v>
      </c>
      <c r="C44" s="346" t="s">
        <v>238</v>
      </c>
      <c r="D44" s="302" t="s">
        <v>184</v>
      </c>
      <c r="E44" s="302" t="s">
        <v>929</v>
      </c>
      <c r="F44" s="307">
        <v>28</v>
      </c>
      <c r="G44" s="307">
        <v>26</v>
      </c>
      <c r="H44" s="307">
        <v>32</v>
      </c>
      <c r="I44" s="307"/>
      <c r="J44" s="307"/>
      <c r="K44" s="307"/>
      <c r="L44" s="307"/>
      <c r="M44" s="307"/>
      <c r="N44" s="307"/>
      <c r="O44" s="307"/>
      <c r="P44" s="307"/>
      <c r="Q44" s="307"/>
      <c r="R44" s="307"/>
      <c r="S44" s="307"/>
      <c r="T44" s="307"/>
      <c r="U44" s="307"/>
      <c r="V44" s="307"/>
      <c r="W44" s="307"/>
      <c r="X44" s="307"/>
      <c r="Y44" s="307"/>
      <c r="Z44" s="307"/>
      <c r="AA44" s="307"/>
      <c r="AB44" s="307"/>
      <c r="AC44" s="307"/>
      <c r="AD44" s="307"/>
      <c r="AE44" s="307"/>
      <c r="AF44" s="297"/>
    </row>
    <row r="45" spans="1:32" x14ac:dyDescent="0.3">
      <c r="A45" s="67" t="s">
        <v>240</v>
      </c>
      <c r="B45" s="68" t="s">
        <v>241</v>
      </c>
      <c r="C45" s="197" t="s">
        <v>183</v>
      </c>
      <c r="D45" s="68" t="s">
        <v>242</v>
      </c>
      <c r="E45" s="68" t="s">
        <v>928</v>
      </c>
      <c r="F45" s="308" t="s">
        <v>93</v>
      </c>
      <c r="G45" s="308">
        <v>1</v>
      </c>
      <c r="H45" s="308">
        <v>0</v>
      </c>
      <c r="I45" s="307"/>
      <c r="J45" s="308">
        <v>0.08</v>
      </c>
      <c r="K45" s="307"/>
      <c r="L45" s="307"/>
      <c r="M45" s="307"/>
      <c r="N45" s="307"/>
      <c r="O45" s="307"/>
      <c r="P45" s="307"/>
      <c r="Q45" s="307"/>
      <c r="R45" s="307"/>
      <c r="S45" s="307"/>
      <c r="T45" s="307"/>
      <c r="U45" s="307"/>
      <c r="V45" s="307"/>
      <c r="W45" s="307"/>
      <c r="X45" s="307"/>
      <c r="Y45" s="305"/>
      <c r="Z45" s="305"/>
      <c r="AA45" s="305"/>
      <c r="AB45" s="305"/>
      <c r="AC45" s="305"/>
      <c r="AD45" s="305"/>
      <c r="AE45" s="305"/>
      <c r="AF45" s="297"/>
    </row>
    <row r="46" spans="1:32" x14ac:dyDescent="0.3">
      <c r="A46" s="67" t="s">
        <v>245</v>
      </c>
      <c r="B46" s="68" t="s">
        <v>246</v>
      </c>
      <c r="C46" s="197" t="s">
        <v>183</v>
      </c>
      <c r="D46" s="68" t="s">
        <v>192</v>
      </c>
      <c r="E46" s="68" t="s">
        <v>928</v>
      </c>
      <c r="F46" s="308" t="s">
        <v>93</v>
      </c>
      <c r="G46" s="308">
        <v>1</v>
      </c>
      <c r="H46" s="308">
        <v>0.32</v>
      </c>
      <c r="I46" s="307"/>
      <c r="J46" s="308">
        <v>0.81</v>
      </c>
      <c r="K46" s="307"/>
      <c r="L46" s="307"/>
      <c r="M46" s="307"/>
      <c r="N46" s="307"/>
      <c r="O46" s="307"/>
      <c r="P46" s="307"/>
      <c r="Q46" s="307"/>
      <c r="R46" s="307"/>
      <c r="S46" s="307"/>
      <c r="T46" s="307"/>
      <c r="U46" s="307"/>
      <c r="V46" s="307"/>
      <c r="W46" s="307"/>
      <c r="X46" s="307"/>
      <c r="Y46" s="307"/>
      <c r="Z46" s="307"/>
      <c r="AA46" s="307"/>
      <c r="AB46" s="307"/>
      <c r="AC46" s="307"/>
      <c r="AD46" s="307"/>
      <c r="AE46" s="307"/>
      <c r="AF46" s="297"/>
    </row>
    <row r="47" spans="1:32" x14ac:dyDescent="0.3">
      <c r="A47" s="67" t="s">
        <v>190</v>
      </c>
      <c r="B47" s="68" t="s">
        <v>251</v>
      </c>
      <c r="C47" s="197" t="s">
        <v>202</v>
      </c>
      <c r="D47" s="68" t="s">
        <v>184</v>
      </c>
      <c r="E47" s="68" t="s">
        <v>928</v>
      </c>
      <c r="F47" s="303" t="s">
        <v>252</v>
      </c>
      <c r="G47" s="303" t="s">
        <v>253</v>
      </c>
      <c r="H47" s="303" t="s">
        <v>1705</v>
      </c>
      <c r="I47" s="307"/>
      <c r="J47" s="303"/>
      <c r="K47" s="307"/>
      <c r="L47" s="307"/>
      <c r="M47" s="307"/>
      <c r="N47" s="307"/>
      <c r="O47" s="307"/>
      <c r="P47" s="307"/>
      <c r="Q47" s="307"/>
      <c r="R47" s="307"/>
      <c r="S47" s="307"/>
      <c r="T47" s="307"/>
      <c r="U47" s="307"/>
      <c r="V47" s="307"/>
      <c r="W47" s="307"/>
      <c r="X47" s="307"/>
      <c r="Y47" s="305"/>
      <c r="Z47" s="305"/>
      <c r="AA47" s="305"/>
      <c r="AB47" s="305"/>
      <c r="AC47" s="305"/>
      <c r="AD47" s="305"/>
      <c r="AE47" s="305"/>
      <c r="AF47" s="297"/>
    </row>
    <row r="48" spans="1:32" x14ac:dyDescent="0.3">
      <c r="A48" s="67" t="s">
        <v>190</v>
      </c>
      <c r="B48" s="68" t="s">
        <v>260</v>
      </c>
      <c r="C48" s="197" t="s">
        <v>202</v>
      </c>
      <c r="D48" s="68" t="s">
        <v>184</v>
      </c>
      <c r="E48" s="68" t="s">
        <v>929</v>
      </c>
      <c r="F48" s="303" t="s">
        <v>261</v>
      </c>
      <c r="G48" s="303" t="s">
        <v>262</v>
      </c>
      <c r="H48" s="342">
        <v>8.819444444444445E-2</v>
      </c>
      <c r="I48" s="307"/>
      <c r="J48" s="342"/>
      <c r="K48" s="307"/>
      <c r="L48" s="307"/>
      <c r="M48" s="307"/>
      <c r="N48" s="307"/>
      <c r="O48" s="307"/>
      <c r="P48" s="307"/>
      <c r="Q48" s="307"/>
      <c r="R48" s="307"/>
      <c r="S48" s="307"/>
      <c r="T48" s="307"/>
      <c r="U48" s="307"/>
      <c r="V48" s="307"/>
      <c r="W48" s="307"/>
      <c r="X48" s="307"/>
      <c r="Y48" s="307"/>
      <c r="Z48" s="307"/>
      <c r="AA48" s="307"/>
      <c r="AB48" s="307"/>
      <c r="AC48" s="307"/>
      <c r="AD48" s="307"/>
      <c r="AE48" s="307"/>
      <c r="AF48" s="297"/>
    </row>
    <row r="49" spans="1:38" x14ac:dyDescent="0.3">
      <c r="A49" s="67"/>
      <c r="B49" s="68"/>
      <c r="C49" s="68"/>
      <c r="D49" s="68"/>
      <c r="E49" s="68"/>
      <c r="F49" s="307"/>
      <c r="G49" s="307"/>
      <c r="H49" s="307"/>
      <c r="I49" s="307"/>
      <c r="J49" s="307"/>
      <c r="K49" s="307"/>
      <c r="L49" s="307"/>
      <c r="M49" s="307"/>
      <c r="N49" s="307"/>
      <c r="O49" s="307"/>
      <c r="P49" s="307"/>
      <c r="Q49" s="307"/>
      <c r="R49" s="307"/>
      <c r="S49" s="307"/>
      <c r="T49" s="307"/>
      <c r="U49" s="307"/>
      <c r="V49" s="307"/>
      <c r="W49" s="307"/>
      <c r="X49" s="307"/>
      <c r="Y49" s="305"/>
      <c r="Z49" s="305"/>
      <c r="AA49" s="305"/>
      <c r="AB49" s="305"/>
      <c r="AC49" s="305"/>
      <c r="AD49" s="305"/>
      <c r="AE49" s="305"/>
      <c r="AF49" s="297"/>
    </row>
    <row r="50" spans="1:38" x14ac:dyDescent="0.3">
      <c r="A50" s="67"/>
      <c r="B50" s="68"/>
      <c r="C50" s="68"/>
      <c r="D50" s="68"/>
      <c r="E50" s="68"/>
      <c r="F50" s="307"/>
      <c r="G50" s="307"/>
      <c r="H50" s="307"/>
      <c r="I50" s="307"/>
      <c r="J50" s="307"/>
      <c r="K50" s="307"/>
      <c r="L50" s="307"/>
      <c r="M50" s="307"/>
      <c r="N50" s="307"/>
      <c r="O50" s="307"/>
      <c r="P50" s="307"/>
      <c r="Q50" s="307"/>
      <c r="R50" s="307"/>
      <c r="S50" s="307"/>
      <c r="T50" s="307"/>
      <c r="U50" s="307"/>
      <c r="V50" s="307"/>
      <c r="W50" s="307"/>
      <c r="X50" s="307"/>
      <c r="Y50" s="307"/>
      <c r="Z50" s="307"/>
      <c r="AA50" s="307"/>
      <c r="AB50" s="307"/>
      <c r="AC50" s="307"/>
      <c r="AD50" s="307"/>
      <c r="AE50" s="307"/>
      <c r="AF50" s="297"/>
    </row>
    <row r="51" spans="1:38" x14ac:dyDescent="0.3">
      <c r="A51" s="79"/>
      <c r="B51" s="80"/>
      <c r="C51" s="80"/>
      <c r="D51" s="80"/>
      <c r="E51" s="80"/>
      <c r="F51" s="258"/>
      <c r="G51" s="258"/>
      <c r="H51" s="258"/>
      <c r="I51" s="258"/>
      <c r="J51" s="258"/>
      <c r="K51" s="258"/>
      <c r="L51" s="258"/>
      <c r="M51" s="258"/>
      <c r="N51" s="258"/>
      <c r="O51" s="258"/>
      <c r="P51" s="258"/>
      <c r="Q51" s="258"/>
      <c r="R51" s="258"/>
      <c r="S51" s="258"/>
      <c r="T51" s="258"/>
      <c r="U51" s="258"/>
      <c r="V51" s="258"/>
      <c r="W51" s="258"/>
      <c r="X51" s="258"/>
      <c r="Y51" s="305"/>
      <c r="Z51" s="305"/>
      <c r="AA51" s="305"/>
      <c r="AB51" s="305"/>
      <c r="AC51" s="305"/>
      <c r="AD51" s="305"/>
      <c r="AE51" s="305"/>
      <c r="AF51" s="297"/>
    </row>
    <row r="52" spans="1:38" x14ac:dyDescent="0.3">
      <c r="A52" s="47"/>
      <c r="B52" s="47"/>
      <c r="C52" s="47"/>
      <c r="D52" s="47"/>
      <c r="E52" s="47"/>
      <c r="F52" s="47"/>
      <c r="G52" s="47"/>
      <c r="H52" s="47"/>
      <c r="I52" s="47"/>
      <c r="J52" s="47"/>
      <c r="K52" s="47"/>
      <c r="L52" s="47"/>
      <c r="M52" s="47"/>
      <c r="N52" s="47"/>
      <c r="O52" s="47"/>
      <c r="P52" s="47"/>
      <c r="Q52" s="47"/>
      <c r="R52" s="47"/>
      <c r="S52" s="47"/>
      <c r="T52" s="47"/>
      <c r="U52" s="47"/>
      <c r="V52" s="235"/>
      <c r="W52" s="47"/>
      <c r="X52" s="47"/>
      <c r="Y52" s="47"/>
      <c r="Z52" s="47"/>
      <c r="AA52" s="47"/>
      <c r="AB52" s="47"/>
      <c r="AC52" s="47"/>
      <c r="AD52" s="47"/>
      <c r="AE52" s="47"/>
      <c r="AF52" s="47"/>
    </row>
    <row r="53" spans="1:38" ht="15.6" x14ac:dyDescent="0.3">
      <c r="A53" s="208" t="s">
        <v>269</v>
      </c>
      <c r="B53" s="208"/>
      <c r="C53" s="208"/>
      <c r="D53" s="208"/>
      <c r="E53" s="208"/>
      <c r="F53" s="208"/>
      <c r="G53" s="208"/>
      <c r="H53" s="208"/>
      <c r="I53" s="208"/>
      <c r="J53" s="208"/>
      <c r="K53" s="208"/>
      <c r="L53" s="208"/>
      <c r="M53" s="208"/>
      <c r="N53" s="208"/>
      <c r="O53" s="208"/>
      <c r="P53" s="208"/>
      <c r="Q53" s="208"/>
      <c r="R53" s="82"/>
      <c r="S53" s="209"/>
      <c r="T53" s="208"/>
      <c r="U53" s="1858" t="s">
        <v>270</v>
      </c>
      <c r="V53" s="1858"/>
      <c r="W53" s="1858"/>
      <c r="X53" s="1784" t="s">
        <v>271</v>
      </c>
      <c r="Y53" s="1784"/>
      <c r="Z53" s="1784"/>
      <c r="AA53" s="1784"/>
      <c r="AB53" s="1784" t="s">
        <v>272</v>
      </c>
      <c r="AC53" s="1784"/>
      <c r="AD53" s="1784"/>
      <c r="AE53" s="1784"/>
      <c r="AF53" s="1784" t="s">
        <v>273</v>
      </c>
      <c r="AG53" s="1784"/>
      <c r="AH53" s="1784"/>
      <c r="AI53" s="1784"/>
      <c r="AJ53" s="83"/>
      <c r="AK53" s="208"/>
      <c r="AL53" s="208"/>
    </row>
    <row r="54" spans="1:38" ht="36" x14ac:dyDescent="0.3">
      <c r="A54" s="84" t="s">
        <v>274</v>
      </c>
      <c r="B54" s="84" t="s">
        <v>276</v>
      </c>
      <c r="C54" s="84" t="s">
        <v>277</v>
      </c>
      <c r="D54" s="84" t="s">
        <v>278</v>
      </c>
      <c r="E54" s="84" t="s">
        <v>279</v>
      </c>
      <c r="F54" s="84" t="s">
        <v>280</v>
      </c>
      <c r="G54" s="84" t="s">
        <v>281</v>
      </c>
      <c r="H54" s="84" t="s">
        <v>1681</v>
      </c>
      <c r="I54" s="438" t="s">
        <v>285</v>
      </c>
      <c r="J54" s="84" t="s">
        <v>286</v>
      </c>
      <c r="K54" s="84" t="s">
        <v>287</v>
      </c>
      <c r="L54" s="84" t="s">
        <v>244</v>
      </c>
      <c r="M54" s="84" t="s">
        <v>1706</v>
      </c>
      <c r="N54" s="84" t="s">
        <v>1707</v>
      </c>
      <c r="O54" s="84" t="s">
        <v>72</v>
      </c>
      <c r="P54" s="84" t="s">
        <v>143</v>
      </c>
      <c r="Q54" s="84" t="s">
        <v>290</v>
      </c>
      <c r="R54" s="84" t="s">
        <v>291</v>
      </c>
      <c r="S54" s="85">
        <v>46023</v>
      </c>
      <c r="T54" s="85">
        <v>46054</v>
      </c>
      <c r="U54" s="85">
        <v>46082</v>
      </c>
      <c r="V54" s="86" t="s">
        <v>292</v>
      </c>
      <c r="W54" s="85">
        <v>46113</v>
      </c>
      <c r="X54" s="85">
        <v>46143</v>
      </c>
      <c r="Y54" s="85">
        <v>46174</v>
      </c>
      <c r="Z54" s="86" t="s">
        <v>293</v>
      </c>
      <c r="AA54" s="85">
        <v>46204</v>
      </c>
      <c r="AB54" s="85">
        <v>46235</v>
      </c>
      <c r="AC54" s="85">
        <v>46266</v>
      </c>
      <c r="AD54" s="86" t="s">
        <v>294</v>
      </c>
      <c r="AE54" s="85">
        <v>46296</v>
      </c>
      <c r="AF54" s="85">
        <v>46327</v>
      </c>
      <c r="AG54" s="85">
        <v>46357</v>
      </c>
      <c r="AH54" s="84" t="s">
        <v>295</v>
      </c>
      <c r="AI54" s="84" t="s">
        <v>296</v>
      </c>
      <c r="AJ54" s="84" t="s">
        <v>297</v>
      </c>
      <c r="AK54" s="62" t="s">
        <v>300</v>
      </c>
      <c r="AL54" s="84" t="s">
        <v>1408</v>
      </c>
    </row>
    <row r="55" spans="1:38" ht="29.1" customHeight="1" x14ac:dyDescent="0.3">
      <c r="A55" s="1380" t="s">
        <v>91</v>
      </c>
      <c r="B55" s="1482" t="s">
        <v>304</v>
      </c>
      <c r="C55" s="1486" t="s">
        <v>1708</v>
      </c>
      <c r="D55" s="1368" t="s">
        <v>306</v>
      </c>
      <c r="E55" s="1370" t="s">
        <v>1709</v>
      </c>
      <c r="F55" s="1372">
        <v>46027</v>
      </c>
      <c r="G55" s="1372">
        <v>46087</v>
      </c>
      <c r="H55" s="1354">
        <f>33160*10</f>
        <v>331600</v>
      </c>
      <c r="I55" s="1354"/>
      <c r="J55" s="1350" t="s">
        <v>308</v>
      </c>
      <c r="K55" s="1764">
        <v>160178.29</v>
      </c>
      <c r="L55" s="1764" t="s">
        <v>958</v>
      </c>
      <c r="M55" s="1673">
        <v>0.15</v>
      </c>
      <c r="N55" s="1764">
        <f>K55*M55</f>
        <v>24026.7435</v>
      </c>
      <c r="O55" s="1327" t="s">
        <v>83</v>
      </c>
      <c r="P55" s="1327">
        <v>1</v>
      </c>
      <c r="Q55" s="87" t="s">
        <v>116</v>
      </c>
      <c r="R55" s="91">
        <f ca="1">IF(OR(F55="", G55=""), "", IF(TODAY()&lt;F55, 0, IF(TODAY()&gt;G55, 1, (TODAY()-F55+1)/(G55-F55+1))))</f>
        <v>1</v>
      </c>
      <c r="S55" s="88">
        <v>0</v>
      </c>
      <c r="T55" s="88">
        <v>0</v>
      </c>
      <c r="U55" s="88">
        <v>33166</v>
      </c>
      <c r="V55" s="89">
        <f>SUM(S55:U55)</f>
        <v>33166</v>
      </c>
      <c r="W55" s="88">
        <v>33166</v>
      </c>
      <c r="X55" s="88">
        <v>33166</v>
      </c>
      <c r="Y55" s="88">
        <v>33166</v>
      </c>
      <c r="Z55" s="89">
        <f t="shared" ref="Z55:Z80" si="9">SUM(W55:Y55)</f>
        <v>99498</v>
      </c>
      <c r="AA55" s="88">
        <v>33166</v>
      </c>
      <c r="AB55" s="88">
        <v>33166</v>
      </c>
      <c r="AC55" s="88">
        <v>33166</v>
      </c>
      <c r="AD55" s="89">
        <f t="shared" ref="AD55:AD114" si="10">SUM(AA55:AC55)</f>
        <v>99498</v>
      </c>
      <c r="AE55" s="88">
        <v>33166</v>
      </c>
      <c r="AF55" s="88">
        <v>33166</v>
      </c>
      <c r="AG55" s="88">
        <v>33166</v>
      </c>
      <c r="AH55" s="89">
        <f t="shared" ref="AH55:AH114" si="11">SUM(AE55:AG55)</f>
        <v>99498</v>
      </c>
      <c r="AI55" s="90">
        <f>SUM(V55,Z55,AD55,AH55)</f>
        <v>331660</v>
      </c>
      <c r="AJ55" s="98" t="s">
        <v>310</v>
      </c>
      <c r="AK55" s="62" t="str">
        <f>B55</f>
        <v>01 - Redução de peso bruto DA000489A</v>
      </c>
      <c r="AL55" s="2244" t="str">
        <f>IF(S55&gt;0,"janeiro",
IF(T55&gt;0,"fevereiro",
IF(U55&gt;0,"março",
IF(W55&gt;0,"abril",
IF(X55&gt;0,"maio",
IF(Y55&gt;0,"junho",
IF(AA55&gt;0,"julho",
IF(AB55&gt;0,"agosto",
IF(AC55&gt;0,"setembro",
IF(AE55&gt;0,"outubro",
IF(AF55&gt;0,"novembro",
IF(AG55&gt;0,"dezembro",
""))))))))))))</f>
        <v>março</v>
      </c>
    </row>
    <row r="56" spans="1:38" ht="29.1" customHeight="1" x14ac:dyDescent="0.3">
      <c r="A56" s="1381"/>
      <c r="B56" s="1483"/>
      <c r="C56" s="1487"/>
      <c r="D56" s="1369"/>
      <c r="E56" s="1371"/>
      <c r="F56" s="1373"/>
      <c r="G56" s="1373"/>
      <c r="H56" s="1355"/>
      <c r="I56" s="1355"/>
      <c r="J56" s="1460"/>
      <c r="K56" s="1355"/>
      <c r="L56" s="1765"/>
      <c r="M56" s="1674"/>
      <c r="N56" s="1765"/>
      <c r="O56" s="1328"/>
      <c r="P56" s="1328"/>
      <c r="Q56" s="87" t="s">
        <v>117</v>
      </c>
      <c r="R56" s="91">
        <v>0.85</v>
      </c>
      <c r="S56" s="287">
        <v>0</v>
      </c>
      <c r="T56" s="287"/>
      <c r="U56" s="287"/>
      <c r="V56" s="288">
        <f t="shared" ref="V56" si="12">SUM(S56:U56)</f>
        <v>0</v>
      </c>
      <c r="W56" s="287"/>
      <c r="X56" s="287"/>
      <c r="Y56" s="287"/>
      <c r="Z56" s="288">
        <f t="shared" si="9"/>
        <v>0</v>
      </c>
      <c r="AA56" s="287"/>
      <c r="AB56" s="287"/>
      <c r="AC56" s="287"/>
      <c r="AD56" s="288">
        <f t="shared" si="10"/>
        <v>0</v>
      </c>
      <c r="AE56" s="287"/>
      <c r="AF56" s="287"/>
      <c r="AG56" s="287"/>
      <c r="AH56" s="288">
        <f t="shared" si="11"/>
        <v>0</v>
      </c>
      <c r="AI56" s="289">
        <f t="shared" ref="AI56:AI114" si="13">SUM(V56,Z56,AD56,AH56)</f>
        <v>0</v>
      </c>
      <c r="AJ56" s="337" t="s">
        <v>312</v>
      </c>
      <c r="AK56" s="62" t="str">
        <f>B55</f>
        <v>01 - Redução de peso bruto DA000489A</v>
      </c>
      <c r="AL56" s="2245"/>
    </row>
    <row r="57" spans="1:38" ht="29.1" customHeight="1" x14ac:dyDescent="0.3">
      <c r="A57" s="1407" t="s">
        <v>925</v>
      </c>
      <c r="B57" s="1465" t="s">
        <v>1710</v>
      </c>
      <c r="C57" s="1356" t="s">
        <v>1711</v>
      </c>
      <c r="D57" s="1449" t="s">
        <v>1712</v>
      </c>
      <c r="E57" s="1451" t="s">
        <v>317</v>
      </c>
      <c r="F57" s="1366">
        <v>46032</v>
      </c>
      <c r="G57" s="1366">
        <v>46081</v>
      </c>
      <c r="H57" s="1488">
        <v>135186</v>
      </c>
      <c r="I57" s="1395"/>
      <c r="J57" s="1352"/>
      <c r="K57" s="1393"/>
      <c r="L57" s="1393"/>
      <c r="M57" s="1393"/>
      <c r="N57" s="1393"/>
      <c r="O57" s="1334" t="s">
        <v>83</v>
      </c>
      <c r="P57" s="1334">
        <v>1</v>
      </c>
      <c r="Q57" s="93" t="s">
        <v>116</v>
      </c>
      <c r="R57" s="96">
        <f ca="1">IF(OR(F57="", G57=""), "", IF(TODAY()&lt;F57, 0, IF(TODAY()&gt;G57, 1, (TODAY()-F57+1)/(G57-F57+1))))</f>
        <v>1</v>
      </c>
      <c r="S57" s="94">
        <v>10886</v>
      </c>
      <c r="T57" s="94">
        <v>11300</v>
      </c>
      <c r="U57" s="94">
        <v>11300</v>
      </c>
      <c r="V57" s="89">
        <f t="shared" ref="V57:V81" si="14">SUM(S57:U57)</f>
        <v>33486</v>
      </c>
      <c r="W57" s="94">
        <v>11300</v>
      </c>
      <c r="X57" s="94">
        <v>11300</v>
      </c>
      <c r="Y57" s="94">
        <v>11300</v>
      </c>
      <c r="Z57" s="89">
        <f t="shared" si="9"/>
        <v>33900</v>
      </c>
      <c r="AA57" s="94">
        <v>11300</v>
      </c>
      <c r="AB57" s="94">
        <v>11300</v>
      </c>
      <c r="AC57" s="94">
        <v>11300</v>
      </c>
      <c r="AD57" s="89">
        <f t="shared" si="10"/>
        <v>33900</v>
      </c>
      <c r="AE57" s="94">
        <v>11300</v>
      </c>
      <c r="AF57" s="94">
        <v>11300</v>
      </c>
      <c r="AG57" s="94">
        <v>11300</v>
      </c>
      <c r="AH57" s="89">
        <f t="shared" si="11"/>
        <v>33900</v>
      </c>
      <c r="AI57" s="95">
        <f t="shared" si="13"/>
        <v>135186</v>
      </c>
      <c r="AJ57" s="97" t="s">
        <v>318</v>
      </c>
      <c r="AK57" s="62" t="str">
        <f>B57</f>
        <v xml:space="preserve">02 - Eficiência uso de eletricidade </v>
      </c>
      <c r="AL57" s="2244" t="str">
        <f t="shared" ref="AL57" si="15">IF(S57&gt;0,"janeiro",
IF(T57&gt;0,"fevereiro",
IF(U57&gt;0,"março",
IF(W57&gt;0,"abril",
IF(X57&gt;0,"maio",
IF(Y57&gt;0,"junho",
IF(AA57&gt;0,"julho",
IF(AB57&gt;0,"agosto",
IF(AC57&gt;0,"setembro",
IF(AE57&gt;0,"outubro",
IF(AF57&gt;0,"novembro",
IF(AG57&gt;0,"dezembro",
""))))))))))))</f>
        <v>janeiro</v>
      </c>
    </row>
    <row r="58" spans="1:38" ht="29.1" customHeight="1" x14ac:dyDescent="0.3">
      <c r="A58" s="1408"/>
      <c r="B58" s="1466"/>
      <c r="C58" s="1455"/>
      <c r="D58" s="1450"/>
      <c r="E58" s="1452"/>
      <c r="F58" s="1367"/>
      <c r="G58" s="1367"/>
      <c r="H58" s="1367"/>
      <c r="I58" s="1396"/>
      <c r="J58" s="1353"/>
      <c r="K58" s="1394"/>
      <c r="L58" s="1394"/>
      <c r="M58" s="1394"/>
      <c r="N58" s="1394"/>
      <c r="O58" s="1330"/>
      <c r="P58" s="1330"/>
      <c r="Q58" s="93" t="s">
        <v>117</v>
      </c>
      <c r="R58" s="96">
        <v>0.9</v>
      </c>
      <c r="S58" s="290">
        <v>19000</v>
      </c>
      <c r="T58" s="290"/>
      <c r="U58" s="290"/>
      <c r="V58" s="288">
        <f t="shared" si="14"/>
        <v>19000</v>
      </c>
      <c r="W58" s="290"/>
      <c r="X58" s="290"/>
      <c r="Y58" s="290"/>
      <c r="Z58" s="288">
        <f t="shared" si="9"/>
        <v>0</v>
      </c>
      <c r="AA58" s="290"/>
      <c r="AB58" s="290"/>
      <c r="AC58" s="290"/>
      <c r="AD58" s="288">
        <f t="shared" si="10"/>
        <v>0</v>
      </c>
      <c r="AE58" s="290"/>
      <c r="AF58" s="290"/>
      <c r="AG58" s="290"/>
      <c r="AH58" s="288">
        <f t="shared" si="11"/>
        <v>0</v>
      </c>
      <c r="AI58" s="291">
        <f t="shared" si="13"/>
        <v>19000</v>
      </c>
      <c r="AJ58" s="97" t="s">
        <v>319</v>
      </c>
      <c r="AK58" s="62" t="str">
        <f>B57</f>
        <v xml:space="preserve">02 - Eficiência uso de eletricidade </v>
      </c>
      <c r="AL58" s="2245"/>
    </row>
    <row r="59" spans="1:38" ht="29.1" customHeight="1" x14ac:dyDescent="0.3">
      <c r="A59" s="1380" t="s">
        <v>925</v>
      </c>
      <c r="B59" s="1482" t="s">
        <v>320</v>
      </c>
      <c r="C59" s="1486" t="s">
        <v>1713</v>
      </c>
      <c r="D59" s="1368" t="s">
        <v>322</v>
      </c>
      <c r="E59" s="1370" t="s">
        <v>323</v>
      </c>
      <c r="F59" s="1372">
        <v>46023</v>
      </c>
      <c r="G59" s="1372">
        <v>46112</v>
      </c>
      <c r="H59" s="1354">
        <v>20000</v>
      </c>
      <c r="I59" s="1354"/>
      <c r="J59" s="2246"/>
      <c r="K59" s="1861"/>
      <c r="L59" s="1764"/>
      <c r="M59" s="1764"/>
      <c r="N59" s="1764"/>
      <c r="O59" s="1327" t="s">
        <v>81</v>
      </c>
      <c r="P59" s="1327">
        <v>1</v>
      </c>
      <c r="Q59" s="87" t="s">
        <v>116</v>
      </c>
      <c r="R59" s="91">
        <f ca="1">IF(OR(F59="", G59=""), "", IF(TODAY()&lt;F59, 0, IF(TODAY()&gt;G59, 1, (TODAY()-F59+1)/(G59-F59+1))))</f>
        <v>1</v>
      </c>
      <c r="S59" s="88">
        <v>0</v>
      </c>
      <c r="T59" s="88">
        <v>0</v>
      </c>
      <c r="U59" s="88">
        <v>2000</v>
      </c>
      <c r="V59" s="89">
        <f t="shared" si="14"/>
        <v>2000</v>
      </c>
      <c r="W59" s="88">
        <v>2000</v>
      </c>
      <c r="X59" s="88">
        <v>2000</v>
      </c>
      <c r="Y59" s="88">
        <v>2000</v>
      </c>
      <c r="Z59" s="89">
        <f t="shared" si="9"/>
        <v>6000</v>
      </c>
      <c r="AA59" s="88">
        <v>2000</v>
      </c>
      <c r="AB59" s="88">
        <v>2000</v>
      </c>
      <c r="AC59" s="88">
        <v>2000</v>
      </c>
      <c r="AD59" s="89">
        <f t="shared" si="10"/>
        <v>6000</v>
      </c>
      <c r="AE59" s="88">
        <v>2000</v>
      </c>
      <c r="AF59" s="88">
        <v>2000</v>
      </c>
      <c r="AG59" s="88">
        <v>2000</v>
      </c>
      <c r="AH59" s="89">
        <f t="shared" si="11"/>
        <v>6000</v>
      </c>
      <c r="AI59" s="90">
        <f t="shared" si="13"/>
        <v>20000</v>
      </c>
      <c r="AJ59" s="98" t="s">
        <v>324</v>
      </c>
      <c r="AK59" s="62" t="str">
        <f>B59</f>
        <v>03 - Otimização de processo - Cavalo Marinho</v>
      </c>
      <c r="AL59" s="2244" t="str">
        <f t="shared" ref="AL59" si="16">IF(S59&gt;0,"janeiro",
IF(T59&gt;0,"fevereiro",
IF(U59&gt;0,"março",
IF(W59&gt;0,"abril",
IF(X59&gt;0,"maio",
IF(Y59&gt;0,"junho",
IF(AA59&gt;0,"julho",
IF(AB59&gt;0,"agosto",
IF(AC59&gt;0,"setembro",
IF(AE59&gt;0,"outubro",
IF(AF59&gt;0,"novembro",
IF(AG59&gt;0,"dezembro",
""))))))))))))</f>
        <v>março</v>
      </c>
    </row>
    <row r="60" spans="1:38" ht="29.1" customHeight="1" x14ac:dyDescent="0.3">
      <c r="A60" s="1381"/>
      <c r="B60" s="1483"/>
      <c r="C60" s="1487"/>
      <c r="D60" s="1369"/>
      <c r="E60" s="1371"/>
      <c r="F60" s="1373"/>
      <c r="G60" s="1373"/>
      <c r="H60" s="1355"/>
      <c r="I60" s="1355"/>
      <c r="J60" s="1778"/>
      <c r="K60" s="1392"/>
      <c r="L60" s="1765"/>
      <c r="M60" s="1765"/>
      <c r="N60" s="1765"/>
      <c r="O60" s="1328"/>
      <c r="P60" s="1328"/>
      <c r="Q60" s="87" t="s">
        <v>117</v>
      </c>
      <c r="R60" s="91">
        <v>1</v>
      </c>
      <c r="S60" s="287">
        <v>0</v>
      </c>
      <c r="T60" s="287"/>
      <c r="U60" s="287"/>
      <c r="V60" s="288">
        <f t="shared" si="14"/>
        <v>0</v>
      </c>
      <c r="W60" s="287"/>
      <c r="X60" s="287"/>
      <c r="Y60" s="287"/>
      <c r="Z60" s="288">
        <f t="shared" si="9"/>
        <v>0</v>
      </c>
      <c r="AA60" s="287"/>
      <c r="AB60" s="287"/>
      <c r="AC60" s="287"/>
      <c r="AD60" s="288">
        <f t="shared" si="10"/>
        <v>0</v>
      </c>
      <c r="AE60" s="287"/>
      <c r="AF60" s="287"/>
      <c r="AG60" s="287"/>
      <c r="AH60" s="288">
        <f t="shared" si="11"/>
        <v>0</v>
      </c>
      <c r="AI60" s="289">
        <f t="shared" si="13"/>
        <v>0</v>
      </c>
      <c r="AJ60" s="92" t="s">
        <v>325</v>
      </c>
      <c r="AK60" s="62" t="str">
        <f>B59</f>
        <v>03 - Otimização de processo - Cavalo Marinho</v>
      </c>
      <c r="AL60" s="2245"/>
    </row>
    <row r="61" spans="1:38" ht="29.1" customHeight="1" x14ac:dyDescent="0.3">
      <c r="A61" s="1407" t="s">
        <v>925</v>
      </c>
      <c r="B61" s="1465" t="s">
        <v>326</v>
      </c>
      <c r="C61" s="1356" t="s">
        <v>327</v>
      </c>
      <c r="D61" s="1449" t="s">
        <v>328</v>
      </c>
      <c r="E61" s="1451" t="s">
        <v>329</v>
      </c>
      <c r="F61" s="1785">
        <v>46023</v>
      </c>
      <c r="G61" s="1785">
        <v>46054</v>
      </c>
      <c r="H61" s="1488">
        <v>35000</v>
      </c>
      <c r="I61" s="1395"/>
      <c r="J61" s="1352"/>
      <c r="K61" s="1393"/>
      <c r="L61" s="1393"/>
      <c r="M61" s="1393"/>
      <c r="N61" s="1393"/>
      <c r="O61" s="1334" t="s">
        <v>81</v>
      </c>
      <c r="P61" s="1334">
        <v>1</v>
      </c>
      <c r="Q61" s="93" t="s">
        <v>116</v>
      </c>
      <c r="R61" s="96">
        <f ca="1">IF(OR(F61="", G61=""), "", IF(TODAY()&lt;F61, 0, IF(TODAY()&gt;G61, 1, (TODAY()-F61+1)/(G61-F61+1))))</f>
        <v>1</v>
      </c>
      <c r="S61" s="94">
        <v>0</v>
      </c>
      <c r="T61" s="94">
        <v>0</v>
      </c>
      <c r="U61" s="94">
        <v>3500</v>
      </c>
      <c r="V61" s="89">
        <f t="shared" si="14"/>
        <v>3500</v>
      </c>
      <c r="W61" s="94">
        <v>3500</v>
      </c>
      <c r="X61" s="94">
        <v>3500</v>
      </c>
      <c r="Y61" s="94">
        <v>3500</v>
      </c>
      <c r="Z61" s="89">
        <f t="shared" si="9"/>
        <v>10500</v>
      </c>
      <c r="AA61" s="94">
        <v>3500</v>
      </c>
      <c r="AB61" s="94">
        <v>3500</v>
      </c>
      <c r="AC61" s="94">
        <v>3500</v>
      </c>
      <c r="AD61" s="89">
        <f t="shared" si="10"/>
        <v>10500</v>
      </c>
      <c r="AE61" s="94">
        <v>3500</v>
      </c>
      <c r="AF61" s="94">
        <v>3500</v>
      </c>
      <c r="AG61" s="94">
        <v>3500</v>
      </c>
      <c r="AH61" s="89">
        <f>SUM(AE61:AG61)</f>
        <v>10500</v>
      </c>
      <c r="AI61" s="95">
        <f t="shared" si="13"/>
        <v>35000</v>
      </c>
      <c r="AJ61" s="97" t="s">
        <v>330</v>
      </c>
      <c r="AK61" s="62" t="str">
        <f>B61</f>
        <v>04 - Otimização de processo - Pulmão</v>
      </c>
      <c r="AL61" s="2244" t="str">
        <f t="shared" ref="AL61" si="17">IF(S61&gt;0,"janeiro",
IF(T61&gt;0,"fevereiro",
IF(U61&gt;0,"março",
IF(W61&gt;0,"abril",
IF(X61&gt;0,"maio",
IF(Y61&gt;0,"junho",
IF(AA61&gt;0,"julho",
IF(AB61&gt;0,"agosto",
IF(AC61&gt;0,"setembro",
IF(AE61&gt;0,"outubro",
IF(AF61&gt;0,"novembro",
IF(AG61&gt;0,"dezembro",
""))))))))))))</f>
        <v>março</v>
      </c>
    </row>
    <row r="62" spans="1:38" ht="29.1" customHeight="1" x14ac:dyDescent="0.3">
      <c r="A62" s="1408"/>
      <c r="B62" s="1466"/>
      <c r="C62" s="1455"/>
      <c r="D62" s="1450"/>
      <c r="E62" s="1452"/>
      <c r="F62" s="1786"/>
      <c r="G62" s="1786"/>
      <c r="H62" s="1367"/>
      <c r="I62" s="1396"/>
      <c r="J62" s="1353"/>
      <c r="K62" s="1394"/>
      <c r="L62" s="1394"/>
      <c r="M62" s="1394"/>
      <c r="N62" s="1394"/>
      <c r="O62" s="1330"/>
      <c r="P62" s="1330"/>
      <c r="Q62" s="93" t="s">
        <v>117</v>
      </c>
      <c r="R62" s="96">
        <v>1</v>
      </c>
      <c r="S62" s="290">
        <v>0</v>
      </c>
      <c r="T62" s="290"/>
      <c r="U62" s="290"/>
      <c r="V62" s="288">
        <f t="shared" si="14"/>
        <v>0</v>
      </c>
      <c r="W62" s="290"/>
      <c r="X62" s="290"/>
      <c r="Y62" s="290"/>
      <c r="Z62" s="288">
        <f t="shared" si="9"/>
        <v>0</v>
      </c>
      <c r="AA62" s="290"/>
      <c r="AB62" s="290"/>
      <c r="AC62" s="290"/>
      <c r="AD62" s="288">
        <f t="shared" si="10"/>
        <v>0</v>
      </c>
      <c r="AE62" s="290"/>
      <c r="AF62" s="290"/>
      <c r="AG62" s="290"/>
      <c r="AH62" s="288">
        <f t="shared" si="11"/>
        <v>0</v>
      </c>
      <c r="AI62" s="291">
        <f t="shared" si="13"/>
        <v>0</v>
      </c>
      <c r="AJ62" s="97" t="s">
        <v>331</v>
      </c>
      <c r="AK62" s="62" t="str">
        <f>B61</f>
        <v>04 - Otimização de processo - Pulmão</v>
      </c>
      <c r="AL62" s="2245"/>
    </row>
    <row r="63" spans="1:38" ht="29.1" customHeight="1" x14ac:dyDescent="0.3">
      <c r="A63" s="1380" t="s">
        <v>953</v>
      </c>
      <c r="B63" s="1482" t="s">
        <v>332</v>
      </c>
      <c r="C63" s="1486" t="s">
        <v>1714</v>
      </c>
      <c r="D63" s="1368" t="s">
        <v>334</v>
      </c>
      <c r="E63" s="1370" t="s">
        <v>317</v>
      </c>
      <c r="F63" s="1372">
        <v>46027</v>
      </c>
      <c r="G63" s="1372">
        <v>46078</v>
      </c>
      <c r="H63" s="1354">
        <f>5671*11</f>
        <v>62381</v>
      </c>
      <c r="I63" s="1354"/>
      <c r="J63" s="1770" t="s">
        <v>308</v>
      </c>
      <c r="K63" s="1391">
        <v>56610.76</v>
      </c>
      <c r="L63" s="1764" t="s">
        <v>27</v>
      </c>
      <c r="M63" s="1673">
        <v>0.1</v>
      </c>
      <c r="N63" s="1764">
        <f>K63*M63</f>
        <v>5661.0760000000009</v>
      </c>
      <c r="O63" s="1354" t="s">
        <v>81</v>
      </c>
      <c r="P63" s="1327">
        <v>1</v>
      </c>
      <c r="Q63" s="87" t="s">
        <v>116</v>
      </c>
      <c r="R63" s="91">
        <f ca="1">IF(OR(F63="", G63=""), "", IF(TODAY()&lt;F63, 0, IF(TODAY()&gt;G63, 1, (TODAY()-F63+1)/(G63-F63+1))))</f>
        <v>1</v>
      </c>
      <c r="S63" s="88">
        <v>0</v>
      </c>
      <c r="T63" s="88">
        <v>5671</v>
      </c>
      <c r="U63" s="88">
        <v>5671</v>
      </c>
      <c r="V63" s="89">
        <f t="shared" si="14"/>
        <v>11342</v>
      </c>
      <c r="W63" s="88">
        <v>5671</v>
      </c>
      <c r="X63" s="88">
        <v>5671</v>
      </c>
      <c r="Y63" s="88">
        <v>5671</v>
      </c>
      <c r="Z63" s="89">
        <f t="shared" si="9"/>
        <v>17013</v>
      </c>
      <c r="AA63" s="88">
        <v>5671</v>
      </c>
      <c r="AB63" s="88">
        <v>5671</v>
      </c>
      <c r="AC63" s="88">
        <v>5671</v>
      </c>
      <c r="AD63" s="89">
        <f t="shared" si="10"/>
        <v>17013</v>
      </c>
      <c r="AE63" s="88">
        <v>5671</v>
      </c>
      <c r="AF63" s="88">
        <v>5671</v>
      </c>
      <c r="AG63" s="88">
        <v>5671</v>
      </c>
      <c r="AH63" s="89">
        <f t="shared" si="11"/>
        <v>17013</v>
      </c>
      <c r="AI63" s="90">
        <f t="shared" si="13"/>
        <v>62381</v>
      </c>
      <c r="AJ63" s="337" t="s">
        <v>335</v>
      </c>
      <c r="AK63" s="62" t="str">
        <f>B63</f>
        <v>05 - Empilhadeira - Diadema</v>
      </c>
      <c r="AL63" s="2244" t="str">
        <f t="shared" ref="AL63" si="18">IF(S63&gt;0,"janeiro",
IF(T63&gt;0,"fevereiro",
IF(U63&gt;0,"março",
IF(W63&gt;0,"abril",
IF(X63&gt;0,"maio",
IF(Y63&gt;0,"junho",
IF(AA63&gt;0,"julho",
IF(AB63&gt;0,"agosto",
IF(AC63&gt;0,"setembro",
IF(AE63&gt;0,"outubro",
IF(AF63&gt;0,"novembro",
IF(AG63&gt;0,"dezembro",
""))))))))))))</f>
        <v>fevereiro</v>
      </c>
    </row>
    <row r="64" spans="1:38" ht="29.1" customHeight="1" x14ac:dyDescent="0.3">
      <c r="A64" s="1381"/>
      <c r="B64" s="1483"/>
      <c r="C64" s="1487"/>
      <c r="D64" s="1369"/>
      <c r="E64" s="1371"/>
      <c r="F64" s="1373"/>
      <c r="G64" s="1373"/>
      <c r="H64" s="1355"/>
      <c r="I64" s="1355"/>
      <c r="J64" s="1771"/>
      <c r="K64" s="1877"/>
      <c r="L64" s="1765"/>
      <c r="M64" s="1674"/>
      <c r="N64" s="1765"/>
      <c r="O64" s="1355"/>
      <c r="P64" s="1328"/>
      <c r="Q64" s="87" t="s">
        <v>117</v>
      </c>
      <c r="R64" s="91">
        <v>1</v>
      </c>
      <c r="S64" s="287">
        <v>0</v>
      </c>
      <c r="T64" s="287"/>
      <c r="U64" s="287"/>
      <c r="V64" s="288">
        <f t="shared" si="14"/>
        <v>0</v>
      </c>
      <c r="W64" s="287"/>
      <c r="X64" s="287"/>
      <c r="Y64" s="287"/>
      <c r="Z64" s="288">
        <f t="shared" si="9"/>
        <v>0</v>
      </c>
      <c r="AA64" s="287"/>
      <c r="AB64" s="287"/>
      <c r="AC64" s="287"/>
      <c r="AD64" s="288">
        <f t="shared" si="10"/>
        <v>0</v>
      </c>
      <c r="AE64" s="287"/>
      <c r="AF64" s="287"/>
      <c r="AG64" s="287"/>
      <c r="AH64" s="288">
        <f t="shared" si="11"/>
        <v>0</v>
      </c>
      <c r="AI64" s="289">
        <f t="shared" si="13"/>
        <v>0</v>
      </c>
      <c r="AJ64" s="92" t="s">
        <v>1715</v>
      </c>
      <c r="AK64" s="62" t="str">
        <f>B63</f>
        <v>05 - Empilhadeira - Diadema</v>
      </c>
      <c r="AL64" s="2245"/>
    </row>
    <row r="65" spans="1:38" ht="29.1" customHeight="1" x14ac:dyDescent="0.3">
      <c r="A65" s="1407" t="s">
        <v>953</v>
      </c>
      <c r="B65" s="1465" t="s">
        <v>337</v>
      </c>
      <c r="C65" s="1356" t="s">
        <v>338</v>
      </c>
      <c r="D65" s="1449" t="s">
        <v>1716</v>
      </c>
      <c r="E65" s="1451" t="s">
        <v>317</v>
      </c>
      <c r="F65" s="1785">
        <v>46070</v>
      </c>
      <c r="G65" s="1785">
        <v>46112</v>
      </c>
      <c r="H65" s="1488">
        <v>270000</v>
      </c>
      <c r="I65" s="1395"/>
      <c r="J65" s="1352"/>
      <c r="K65" s="1393"/>
      <c r="L65" s="1393"/>
      <c r="M65" s="1393"/>
      <c r="N65" s="1393"/>
      <c r="O65" s="1334" t="s">
        <v>83</v>
      </c>
      <c r="P65" s="1334">
        <v>1</v>
      </c>
      <c r="Q65" s="93" t="s">
        <v>116</v>
      </c>
      <c r="R65" s="96">
        <f ca="1">IF(OR(F65="", G65=""), "", IF(TODAY()&lt;F65, 0, IF(TODAY()&gt;G65, 1, (TODAY()-F65+1)/(G65-F65+1))))</f>
        <v>1</v>
      </c>
      <c r="S65" s="94">
        <v>0</v>
      </c>
      <c r="T65" s="94">
        <v>0</v>
      </c>
      <c r="U65" s="94">
        <v>0</v>
      </c>
      <c r="V65" s="89">
        <f t="shared" si="14"/>
        <v>0</v>
      </c>
      <c r="W65" s="94">
        <v>30000</v>
      </c>
      <c r="X65" s="94">
        <v>30000</v>
      </c>
      <c r="Y65" s="94">
        <v>30000</v>
      </c>
      <c r="Z65" s="89">
        <f t="shared" si="9"/>
        <v>90000</v>
      </c>
      <c r="AA65" s="94">
        <v>30000</v>
      </c>
      <c r="AB65" s="94">
        <v>30000</v>
      </c>
      <c r="AC65" s="94">
        <v>30000</v>
      </c>
      <c r="AD65" s="89">
        <f t="shared" si="10"/>
        <v>90000</v>
      </c>
      <c r="AE65" s="94">
        <v>30000</v>
      </c>
      <c r="AF65" s="94">
        <v>30000</v>
      </c>
      <c r="AG65" s="94">
        <v>30000</v>
      </c>
      <c r="AH65" s="89">
        <f t="shared" si="11"/>
        <v>90000</v>
      </c>
      <c r="AI65" s="95">
        <f t="shared" si="13"/>
        <v>270000</v>
      </c>
      <c r="AJ65" s="97" t="s">
        <v>1717</v>
      </c>
      <c r="AK65" s="62" t="str">
        <f>B65</f>
        <v>06 - Produtividade</v>
      </c>
      <c r="AL65" s="2244" t="str">
        <f t="shared" ref="AL65" si="19">IF(S65&gt;0,"janeiro",
IF(T65&gt;0,"fevereiro",
IF(U65&gt;0,"março",
IF(W65&gt;0,"abril",
IF(X65&gt;0,"maio",
IF(Y65&gt;0,"junho",
IF(AA65&gt;0,"julho",
IF(AB65&gt;0,"agosto",
IF(AC65&gt;0,"setembro",
IF(AE65&gt;0,"outubro",
IF(AF65&gt;0,"novembro",
IF(AG65&gt;0,"dezembro",
""))))))))))))</f>
        <v>abril</v>
      </c>
    </row>
    <row r="66" spans="1:38" ht="29.1" customHeight="1" x14ac:dyDescent="0.3">
      <c r="A66" s="1408"/>
      <c r="B66" s="1466"/>
      <c r="C66" s="1455"/>
      <c r="D66" s="1450"/>
      <c r="E66" s="1452"/>
      <c r="F66" s="1786"/>
      <c r="G66" s="1786"/>
      <c r="H66" s="1367"/>
      <c r="I66" s="1396"/>
      <c r="J66" s="1353"/>
      <c r="K66" s="1394"/>
      <c r="L66" s="1394"/>
      <c r="M66" s="1394"/>
      <c r="N66" s="1394"/>
      <c r="O66" s="1330"/>
      <c r="P66" s="1330"/>
      <c r="Q66" s="93" t="s">
        <v>117</v>
      </c>
      <c r="R66" s="96">
        <v>0.1</v>
      </c>
      <c r="S66" s="290">
        <v>0</v>
      </c>
      <c r="T66" s="290">
        <v>0</v>
      </c>
      <c r="U66" s="290">
        <v>0</v>
      </c>
      <c r="V66" s="288">
        <f t="shared" si="14"/>
        <v>0</v>
      </c>
      <c r="W66" s="290"/>
      <c r="X66" s="290"/>
      <c r="Y66" s="290"/>
      <c r="Z66" s="288">
        <f t="shared" si="9"/>
        <v>0</v>
      </c>
      <c r="AA66" s="290"/>
      <c r="AB66" s="290"/>
      <c r="AC66" s="290"/>
      <c r="AD66" s="288">
        <f t="shared" si="10"/>
        <v>0</v>
      </c>
      <c r="AE66" s="290"/>
      <c r="AF66" s="290"/>
      <c r="AG66" s="290"/>
      <c r="AH66" s="288">
        <f t="shared" si="11"/>
        <v>0</v>
      </c>
      <c r="AI66" s="291">
        <f t="shared" si="13"/>
        <v>0</v>
      </c>
      <c r="AJ66" s="97"/>
      <c r="AK66" s="62" t="str">
        <f>B65</f>
        <v>06 - Produtividade</v>
      </c>
      <c r="AL66" s="2245"/>
    </row>
    <row r="67" spans="1:38" ht="29.1" customHeight="1" x14ac:dyDescent="0.3">
      <c r="A67" s="1380" t="s">
        <v>953</v>
      </c>
      <c r="B67" s="1482" t="s">
        <v>341</v>
      </c>
      <c r="C67" s="2247"/>
      <c r="D67" s="1368" t="s">
        <v>343</v>
      </c>
      <c r="E67" s="1370" t="s">
        <v>317</v>
      </c>
      <c r="F67" s="1372">
        <v>46023</v>
      </c>
      <c r="G67" s="1372">
        <v>46054</v>
      </c>
      <c r="H67" s="1354">
        <f>1500*11</f>
        <v>16500</v>
      </c>
      <c r="I67" s="1354"/>
      <c r="J67" s="2246"/>
      <c r="K67" s="1861"/>
      <c r="L67" s="1764"/>
      <c r="M67" s="1764"/>
      <c r="N67" s="1764"/>
      <c r="O67" s="1354" t="s">
        <v>83</v>
      </c>
      <c r="P67" s="1327">
        <v>1</v>
      </c>
      <c r="Q67" s="87" t="s">
        <v>116</v>
      </c>
      <c r="R67" s="91">
        <f ca="1">IF(OR(F67="", G67=""), "", IF(TODAY()&lt;F67, 0, IF(TODAY()&gt;G67, 1, (TODAY()-F67+1)/(G67-F67+1))))</f>
        <v>1</v>
      </c>
      <c r="S67" s="88">
        <v>0</v>
      </c>
      <c r="T67" s="88">
        <v>1500</v>
      </c>
      <c r="U67" s="88">
        <v>1500</v>
      </c>
      <c r="V67" s="89">
        <f t="shared" si="14"/>
        <v>3000</v>
      </c>
      <c r="W67" s="88">
        <v>1500</v>
      </c>
      <c r="X67" s="88">
        <v>1500</v>
      </c>
      <c r="Y67" s="88">
        <v>1500</v>
      </c>
      <c r="Z67" s="89">
        <f t="shared" si="9"/>
        <v>4500</v>
      </c>
      <c r="AA67" s="88">
        <v>1500</v>
      </c>
      <c r="AB67" s="88">
        <v>1500</v>
      </c>
      <c r="AC67" s="88">
        <v>1500</v>
      </c>
      <c r="AD67" s="89">
        <f t="shared" si="10"/>
        <v>4500</v>
      </c>
      <c r="AE67" s="88">
        <v>1500</v>
      </c>
      <c r="AF67" s="88">
        <v>1500</v>
      </c>
      <c r="AG67" s="88">
        <v>1500</v>
      </c>
      <c r="AH67" s="89">
        <f t="shared" si="11"/>
        <v>4500</v>
      </c>
      <c r="AI67" s="90">
        <f t="shared" si="13"/>
        <v>16500</v>
      </c>
      <c r="AJ67" s="92" t="s">
        <v>1718</v>
      </c>
      <c r="AK67" s="62" t="str">
        <f>B67</f>
        <v xml:space="preserve"> 07 - Consumo de água</v>
      </c>
      <c r="AL67" s="2244" t="str">
        <f t="shared" ref="AL67" si="20">IF(S67&gt;0,"janeiro",
IF(T67&gt;0,"fevereiro",
IF(U67&gt;0,"março",
IF(W67&gt;0,"abril",
IF(X67&gt;0,"maio",
IF(Y67&gt;0,"junho",
IF(AA67&gt;0,"julho",
IF(AB67&gt;0,"agosto",
IF(AC67&gt;0,"setembro",
IF(AE67&gt;0,"outubro",
IF(AF67&gt;0,"novembro",
IF(AG67&gt;0,"dezembro",
""))))))))))))</f>
        <v>fevereiro</v>
      </c>
    </row>
    <row r="68" spans="1:38" ht="29.1" customHeight="1" x14ac:dyDescent="0.3">
      <c r="A68" s="1381"/>
      <c r="B68" s="1483"/>
      <c r="C68" s="1487"/>
      <c r="D68" s="1369"/>
      <c r="E68" s="1371"/>
      <c r="F68" s="1373"/>
      <c r="G68" s="1373"/>
      <c r="H68" s="1355"/>
      <c r="I68" s="1355"/>
      <c r="J68" s="1778"/>
      <c r="K68" s="1392"/>
      <c r="L68" s="1765"/>
      <c r="M68" s="1765"/>
      <c r="N68" s="1765"/>
      <c r="O68" s="1355"/>
      <c r="P68" s="1328"/>
      <c r="Q68" s="87" t="s">
        <v>117</v>
      </c>
      <c r="R68" s="91"/>
      <c r="S68" s="287">
        <v>0</v>
      </c>
      <c r="T68" s="287"/>
      <c r="U68" s="287"/>
      <c r="V68" s="288">
        <f t="shared" si="14"/>
        <v>0</v>
      </c>
      <c r="W68" s="287"/>
      <c r="X68" s="287"/>
      <c r="Y68" s="287"/>
      <c r="Z68" s="288">
        <f t="shared" si="9"/>
        <v>0</v>
      </c>
      <c r="AA68" s="287"/>
      <c r="AB68" s="287"/>
      <c r="AC68" s="287"/>
      <c r="AD68" s="288">
        <f t="shared" si="10"/>
        <v>0</v>
      </c>
      <c r="AE68" s="287"/>
      <c r="AF68" s="287"/>
      <c r="AG68" s="287"/>
      <c r="AH68" s="288">
        <f t="shared" si="11"/>
        <v>0</v>
      </c>
      <c r="AI68" s="289">
        <f t="shared" si="13"/>
        <v>0</v>
      </c>
      <c r="AJ68" s="92"/>
      <c r="AK68" s="62" t="str">
        <f>B67</f>
        <v xml:space="preserve"> 07 - Consumo de água</v>
      </c>
      <c r="AL68" s="2245"/>
    </row>
    <row r="69" spans="1:38" ht="29.1" customHeight="1" x14ac:dyDescent="0.3">
      <c r="A69" s="1407" t="s">
        <v>91</v>
      </c>
      <c r="B69" s="1465" t="s">
        <v>345</v>
      </c>
      <c r="C69" s="1356" t="s">
        <v>1719</v>
      </c>
      <c r="D69" s="1449" t="s">
        <v>347</v>
      </c>
      <c r="E69" s="1451" t="s">
        <v>1709</v>
      </c>
      <c r="F69" s="1785">
        <v>46036</v>
      </c>
      <c r="G69" s="1785">
        <v>46142</v>
      </c>
      <c r="H69" s="1488">
        <v>29600</v>
      </c>
      <c r="I69" s="1395"/>
      <c r="J69" s="1352"/>
      <c r="K69" s="1393"/>
      <c r="L69" s="1393"/>
      <c r="M69" s="1393"/>
      <c r="N69" s="1393"/>
      <c r="O69" s="1334" t="s">
        <v>83</v>
      </c>
      <c r="P69" s="1334">
        <v>0.5</v>
      </c>
      <c r="Q69" s="93" t="s">
        <v>116</v>
      </c>
      <c r="R69" s="96">
        <f ca="1">IF(OR(F69="", G69=""), "", IF(TODAY()&lt;F69, 0, IF(TODAY()&gt;G69, 1, (TODAY()-F69+1)/(G69-F69+1))))</f>
        <v>1</v>
      </c>
      <c r="S69" s="94">
        <v>0</v>
      </c>
      <c r="T69" s="94">
        <v>0</v>
      </c>
      <c r="U69" s="94">
        <v>0</v>
      </c>
      <c r="V69" s="89">
        <f t="shared" si="14"/>
        <v>0</v>
      </c>
      <c r="W69" s="94">
        <v>0</v>
      </c>
      <c r="X69" s="94">
        <v>3700</v>
      </c>
      <c r="Y69" s="94">
        <v>3700</v>
      </c>
      <c r="Z69" s="89">
        <f t="shared" si="9"/>
        <v>7400</v>
      </c>
      <c r="AA69" s="94">
        <v>3700</v>
      </c>
      <c r="AB69" s="94">
        <v>3700</v>
      </c>
      <c r="AC69" s="94">
        <v>3700</v>
      </c>
      <c r="AD69" s="89">
        <f t="shared" si="10"/>
        <v>11100</v>
      </c>
      <c r="AE69" s="94">
        <v>3700</v>
      </c>
      <c r="AF69" s="94">
        <v>3700</v>
      </c>
      <c r="AG69" s="94">
        <v>3700</v>
      </c>
      <c r="AH69" s="89">
        <f t="shared" si="11"/>
        <v>11100</v>
      </c>
      <c r="AI69" s="95">
        <f t="shared" si="13"/>
        <v>29600</v>
      </c>
      <c r="AJ69" s="97" t="s">
        <v>348</v>
      </c>
      <c r="AK69" s="62" t="str">
        <f>B69</f>
        <v>08 - Redução de peso bruto MB002446LA / MB003670LA / MB003671LA</v>
      </c>
      <c r="AL69" s="2244" t="str">
        <f t="shared" ref="AL69" si="21">IF(S69&gt;0,"janeiro",
IF(T69&gt;0,"fevereiro",
IF(U69&gt;0,"março",
IF(W69&gt;0,"abril",
IF(X69&gt;0,"maio",
IF(Y69&gt;0,"junho",
IF(AA69&gt;0,"julho",
IF(AB69&gt;0,"agosto",
IF(AC69&gt;0,"setembro",
IF(AE69&gt;0,"outubro",
IF(AF69&gt;0,"novembro",
IF(AG69&gt;0,"dezembro",
""))))))))))))</f>
        <v>maio</v>
      </c>
    </row>
    <row r="70" spans="1:38" ht="29.1" customHeight="1" x14ac:dyDescent="0.3">
      <c r="A70" s="1408"/>
      <c r="B70" s="1466"/>
      <c r="C70" s="1455"/>
      <c r="D70" s="1450"/>
      <c r="E70" s="1452"/>
      <c r="F70" s="1786"/>
      <c r="G70" s="1786"/>
      <c r="H70" s="1367"/>
      <c r="I70" s="1396"/>
      <c r="J70" s="1353"/>
      <c r="K70" s="1394"/>
      <c r="L70" s="1394"/>
      <c r="M70" s="1394"/>
      <c r="N70" s="1394"/>
      <c r="O70" s="1330"/>
      <c r="P70" s="1330"/>
      <c r="Q70" s="93" t="s">
        <v>117</v>
      </c>
      <c r="R70" s="96">
        <v>0.4</v>
      </c>
      <c r="S70" s="290">
        <v>0</v>
      </c>
      <c r="T70" s="290"/>
      <c r="U70" s="290"/>
      <c r="V70" s="288">
        <f t="shared" si="14"/>
        <v>0</v>
      </c>
      <c r="W70" s="290"/>
      <c r="X70" s="290"/>
      <c r="Y70" s="290"/>
      <c r="Z70" s="288">
        <f t="shared" si="9"/>
        <v>0</v>
      </c>
      <c r="AA70" s="290"/>
      <c r="AB70" s="290"/>
      <c r="AC70" s="290"/>
      <c r="AD70" s="288">
        <f t="shared" si="10"/>
        <v>0</v>
      </c>
      <c r="AE70" s="290"/>
      <c r="AF70" s="290"/>
      <c r="AG70" s="290"/>
      <c r="AH70" s="288">
        <f t="shared" si="11"/>
        <v>0</v>
      </c>
      <c r="AI70" s="291">
        <f t="shared" si="13"/>
        <v>0</v>
      </c>
      <c r="AJ70" s="338" t="s">
        <v>1720</v>
      </c>
      <c r="AK70" s="62" t="str">
        <f>B69</f>
        <v>08 - Redução de peso bruto MB002446LA / MB003670LA / MB003671LA</v>
      </c>
      <c r="AL70" s="2245"/>
    </row>
    <row r="71" spans="1:38" ht="29.1" customHeight="1" x14ac:dyDescent="0.3">
      <c r="A71" s="1380" t="s">
        <v>953</v>
      </c>
      <c r="B71" s="1482" t="s">
        <v>350</v>
      </c>
      <c r="C71" s="2247"/>
      <c r="D71" s="1368" t="s">
        <v>352</v>
      </c>
      <c r="E71" s="1370" t="s">
        <v>317</v>
      </c>
      <c r="F71" s="1372">
        <v>46036</v>
      </c>
      <c r="G71" s="1372">
        <v>46112</v>
      </c>
      <c r="H71" s="1354">
        <f>2400*10</f>
        <v>24000</v>
      </c>
      <c r="I71" s="1354"/>
      <c r="J71" s="2246"/>
      <c r="K71" s="1861"/>
      <c r="L71" s="1764"/>
      <c r="M71" s="1764"/>
      <c r="N71" s="1764"/>
      <c r="O71" s="1354" t="s">
        <v>85</v>
      </c>
      <c r="P71" s="1327">
        <v>1</v>
      </c>
      <c r="Q71" s="87" t="s">
        <v>116</v>
      </c>
      <c r="R71" s="91">
        <f ca="1">IF(OR(F71="", G71=""), "", IF(TODAY()&lt;F71, 0, IF(TODAY()&gt;G71, 1, (TODAY()-F71+1)/(G71-F71+1))))</f>
        <v>1</v>
      </c>
      <c r="S71" s="88">
        <v>0</v>
      </c>
      <c r="T71" s="88">
        <v>0</v>
      </c>
      <c r="U71" s="88">
        <f>28800/12</f>
        <v>2400</v>
      </c>
      <c r="V71" s="89">
        <f t="shared" si="14"/>
        <v>2400</v>
      </c>
      <c r="W71" s="88">
        <v>2400</v>
      </c>
      <c r="X71" s="88">
        <v>2400</v>
      </c>
      <c r="Y71" s="88">
        <v>2400</v>
      </c>
      <c r="Z71" s="89">
        <f t="shared" si="9"/>
        <v>7200</v>
      </c>
      <c r="AA71" s="88">
        <v>2400</v>
      </c>
      <c r="AB71" s="88">
        <v>2400</v>
      </c>
      <c r="AC71" s="88">
        <v>2400</v>
      </c>
      <c r="AD71" s="89">
        <f t="shared" si="10"/>
        <v>7200</v>
      </c>
      <c r="AE71" s="88">
        <v>2400</v>
      </c>
      <c r="AF71" s="88">
        <v>2400</v>
      </c>
      <c r="AG71" s="88">
        <v>2400</v>
      </c>
      <c r="AH71" s="89">
        <f t="shared" si="11"/>
        <v>7200</v>
      </c>
      <c r="AI71" s="90">
        <f t="shared" si="13"/>
        <v>24000</v>
      </c>
      <c r="AJ71" s="92"/>
      <c r="AK71" s="62" t="str">
        <f>B71</f>
        <v>09 - Taxa de Esgoto</v>
      </c>
      <c r="AL71" s="2244" t="str">
        <f t="shared" ref="AL71" si="22">IF(S71&gt;0,"janeiro",
IF(T71&gt;0,"fevereiro",
IF(U71&gt;0,"março",
IF(W71&gt;0,"abril",
IF(X71&gt;0,"maio",
IF(Y71&gt;0,"junho",
IF(AA71&gt;0,"julho",
IF(AB71&gt;0,"agosto",
IF(AC71&gt;0,"setembro",
IF(AE71&gt;0,"outubro",
IF(AF71&gt;0,"novembro",
IF(AG71&gt;0,"dezembro",
""))))))))))))</f>
        <v>março</v>
      </c>
    </row>
    <row r="72" spans="1:38" ht="29.1" customHeight="1" x14ac:dyDescent="0.3">
      <c r="A72" s="1381"/>
      <c r="B72" s="1483"/>
      <c r="C72" s="1487"/>
      <c r="D72" s="1369"/>
      <c r="E72" s="1371"/>
      <c r="F72" s="1373"/>
      <c r="G72" s="1373"/>
      <c r="H72" s="1355"/>
      <c r="I72" s="1355"/>
      <c r="J72" s="1778"/>
      <c r="K72" s="1392"/>
      <c r="L72" s="1765"/>
      <c r="M72" s="1765"/>
      <c r="N72" s="1765"/>
      <c r="O72" s="1355"/>
      <c r="P72" s="1328"/>
      <c r="Q72" s="87" t="s">
        <v>117</v>
      </c>
      <c r="R72" s="91">
        <v>0</v>
      </c>
      <c r="S72" s="287">
        <v>0</v>
      </c>
      <c r="T72" s="287"/>
      <c r="U72" s="287"/>
      <c r="V72" s="288">
        <f t="shared" si="14"/>
        <v>0</v>
      </c>
      <c r="W72" s="287"/>
      <c r="X72" s="287"/>
      <c r="Y72" s="287"/>
      <c r="Z72" s="288">
        <f t="shared" si="9"/>
        <v>0</v>
      </c>
      <c r="AA72" s="287"/>
      <c r="AB72" s="287"/>
      <c r="AC72" s="287"/>
      <c r="AD72" s="288">
        <f t="shared" si="10"/>
        <v>0</v>
      </c>
      <c r="AE72" s="287"/>
      <c r="AF72" s="287"/>
      <c r="AG72" s="287"/>
      <c r="AH72" s="288">
        <f t="shared" si="11"/>
        <v>0</v>
      </c>
      <c r="AI72" s="289">
        <f t="shared" si="13"/>
        <v>0</v>
      </c>
      <c r="AJ72" s="92"/>
      <c r="AK72" s="62" t="str">
        <f>B71</f>
        <v>09 - Taxa de Esgoto</v>
      </c>
      <c r="AL72" s="2245"/>
    </row>
    <row r="73" spans="1:38" ht="29.1" customHeight="1" x14ac:dyDescent="0.3">
      <c r="A73" s="1407" t="s">
        <v>925</v>
      </c>
      <c r="B73" s="1465" t="s">
        <v>355</v>
      </c>
      <c r="C73" s="2248"/>
      <c r="D73" s="1449" t="s">
        <v>357</v>
      </c>
      <c r="E73" s="1451" t="s">
        <v>358</v>
      </c>
      <c r="F73" s="1785">
        <v>46023</v>
      </c>
      <c r="G73" s="1785">
        <v>46082</v>
      </c>
      <c r="H73" s="1488"/>
      <c r="I73" s="1395"/>
      <c r="J73" s="1352"/>
      <c r="K73" s="1393"/>
      <c r="L73" s="1393"/>
      <c r="M73" s="1393"/>
      <c r="N73" s="1393"/>
      <c r="O73" s="1334" t="s">
        <v>83</v>
      </c>
      <c r="P73" s="1334">
        <v>1</v>
      </c>
      <c r="Q73" s="93" t="s">
        <v>116</v>
      </c>
      <c r="R73" s="96">
        <f ca="1">IF(OR(F73="", G73=""), "", IF(TODAY()&lt;F73, 0, IF(TODAY()&gt;G73, 1, (TODAY()-F73+1)/(G73-F73+1))))</f>
        <v>1</v>
      </c>
      <c r="S73" s="94">
        <v>0</v>
      </c>
      <c r="T73" s="94">
        <v>0</v>
      </c>
      <c r="U73" s="94">
        <v>0</v>
      </c>
      <c r="V73" s="89">
        <f t="shared" si="14"/>
        <v>0</v>
      </c>
      <c r="W73" s="94">
        <v>0</v>
      </c>
      <c r="X73" s="94">
        <v>0</v>
      </c>
      <c r="Y73" s="94">
        <v>0</v>
      </c>
      <c r="Z73" s="89">
        <f t="shared" si="9"/>
        <v>0</v>
      </c>
      <c r="AA73" s="94">
        <v>0</v>
      </c>
      <c r="AB73" s="94">
        <v>0</v>
      </c>
      <c r="AC73" s="94">
        <v>0</v>
      </c>
      <c r="AD73" s="89">
        <f t="shared" si="10"/>
        <v>0</v>
      </c>
      <c r="AE73" s="94">
        <v>0</v>
      </c>
      <c r="AF73" s="94">
        <v>0</v>
      </c>
      <c r="AG73" s="94">
        <v>0</v>
      </c>
      <c r="AH73" s="89">
        <f t="shared" si="11"/>
        <v>0</v>
      </c>
      <c r="AI73" s="95">
        <f t="shared" si="13"/>
        <v>0</v>
      </c>
      <c r="AJ73" s="338" t="s">
        <v>360</v>
      </c>
      <c r="AK73" s="62" t="str">
        <f>B73</f>
        <v>10 - Padronização de arame de solda</v>
      </c>
      <c r="AL73" s="2244" t="str">
        <f t="shared" ref="AL73" si="23">IF(S73&gt;0,"janeiro",
IF(T73&gt;0,"fevereiro",
IF(U73&gt;0,"março",
IF(W73&gt;0,"abril",
IF(X73&gt;0,"maio",
IF(Y73&gt;0,"junho",
IF(AA73&gt;0,"julho",
IF(AB73&gt;0,"agosto",
IF(AC73&gt;0,"setembro",
IF(AE73&gt;0,"outubro",
IF(AF73&gt;0,"novembro",
IF(AG73&gt;0,"dezembro",
""))))))))))))</f>
        <v/>
      </c>
    </row>
    <row r="74" spans="1:38" ht="29.1" customHeight="1" x14ac:dyDescent="0.3">
      <c r="A74" s="1408"/>
      <c r="B74" s="1466"/>
      <c r="C74" s="1455"/>
      <c r="D74" s="1450"/>
      <c r="E74" s="1452"/>
      <c r="F74" s="1786"/>
      <c r="G74" s="1786"/>
      <c r="H74" s="1367"/>
      <c r="I74" s="1396"/>
      <c r="J74" s="1353"/>
      <c r="K74" s="1394"/>
      <c r="L74" s="1394"/>
      <c r="M74" s="1394"/>
      <c r="N74" s="1394"/>
      <c r="O74" s="1330"/>
      <c r="P74" s="1330"/>
      <c r="Q74" s="93" t="s">
        <v>117</v>
      </c>
      <c r="R74" s="96">
        <v>0.2</v>
      </c>
      <c r="S74" s="290">
        <v>0</v>
      </c>
      <c r="T74" s="290"/>
      <c r="U74" s="290"/>
      <c r="V74" s="288">
        <f t="shared" si="14"/>
        <v>0</v>
      </c>
      <c r="W74" s="290"/>
      <c r="X74" s="290"/>
      <c r="Y74" s="290"/>
      <c r="Z74" s="288">
        <f t="shared" si="9"/>
        <v>0</v>
      </c>
      <c r="AA74" s="290"/>
      <c r="AB74" s="290"/>
      <c r="AC74" s="290"/>
      <c r="AD74" s="288">
        <f t="shared" si="10"/>
        <v>0</v>
      </c>
      <c r="AE74" s="290"/>
      <c r="AF74" s="290"/>
      <c r="AG74" s="290"/>
      <c r="AH74" s="288">
        <f t="shared" si="11"/>
        <v>0</v>
      </c>
      <c r="AI74" s="291">
        <f t="shared" si="13"/>
        <v>0</v>
      </c>
      <c r="AJ74" s="97"/>
      <c r="AK74" s="62" t="str">
        <f>B73</f>
        <v>10 - Padronização de arame de solda</v>
      </c>
      <c r="AL74" s="2245"/>
    </row>
    <row r="75" spans="1:38" ht="29.1" customHeight="1" x14ac:dyDescent="0.3">
      <c r="A75" s="1380" t="s">
        <v>953</v>
      </c>
      <c r="B75" s="1482" t="s">
        <v>361</v>
      </c>
      <c r="C75" s="2247"/>
      <c r="D75" s="1368" t="s">
        <v>1721</v>
      </c>
      <c r="E75" s="1370" t="s">
        <v>317</v>
      </c>
      <c r="F75" s="1372">
        <v>46113</v>
      </c>
      <c r="G75" s="1372">
        <v>46174</v>
      </c>
      <c r="H75" s="1354"/>
      <c r="I75" s="1354"/>
      <c r="J75" s="2246"/>
      <c r="K75" s="1861"/>
      <c r="L75" s="1764"/>
      <c r="M75" s="1764"/>
      <c r="N75" s="1764"/>
      <c r="O75" s="1354" t="s">
        <v>85</v>
      </c>
      <c r="P75" s="1327">
        <v>1</v>
      </c>
      <c r="Q75" s="87" t="s">
        <v>116</v>
      </c>
      <c r="R75" s="91">
        <f ca="1">IF(OR(F75="", G75=""), "", IF(TODAY()&lt;F75, 0, IF(TODAY()&gt;G75, 1, (TODAY()-F75+1)/(G75-F75+1))))</f>
        <v>1</v>
      </c>
      <c r="S75" s="88">
        <v>0</v>
      </c>
      <c r="T75" s="88">
        <v>0</v>
      </c>
      <c r="U75" s="88">
        <v>0</v>
      </c>
      <c r="V75" s="89">
        <f t="shared" si="14"/>
        <v>0</v>
      </c>
      <c r="W75" s="88">
        <v>0</v>
      </c>
      <c r="X75" s="88">
        <v>0</v>
      </c>
      <c r="Y75" s="88">
        <v>0</v>
      </c>
      <c r="Z75" s="89">
        <f t="shared" si="9"/>
        <v>0</v>
      </c>
      <c r="AA75" s="88">
        <v>0</v>
      </c>
      <c r="AB75" s="88">
        <v>0</v>
      </c>
      <c r="AC75" s="88">
        <v>0</v>
      </c>
      <c r="AD75" s="89">
        <f t="shared" si="10"/>
        <v>0</v>
      </c>
      <c r="AE75" s="88">
        <v>0</v>
      </c>
      <c r="AF75" s="88">
        <v>0</v>
      </c>
      <c r="AG75" s="88">
        <v>0</v>
      </c>
      <c r="AH75" s="89">
        <f t="shared" si="11"/>
        <v>0</v>
      </c>
      <c r="AI75" s="90">
        <f t="shared" si="13"/>
        <v>0</v>
      </c>
      <c r="AJ75" s="92"/>
      <c r="AK75" s="62" t="str">
        <f>B75</f>
        <v>11 - Resourcing de DSL para DD</v>
      </c>
      <c r="AL75" s="2244" t="str">
        <f t="shared" ref="AL75" si="24">IF(S75&gt;0,"janeiro",
IF(T75&gt;0,"fevereiro",
IF(U75&gt;0,"março",
IF(W75&gt;0,"abril",
IF(X75&gt;0,"maio",
IF(Y75&gt;0,"junho",
IF(AA75&gt;0,"julho",
IF(AB75&gt;0,"agosto",
IF(AC75&gt;0,"setembro",
IF(AE75&gt;0,"outubro",
IF(AF75&gt;0,"novembro",
IF(AG75&gt;0,"dezembro",
""))))))))))))</f>
        <v/>
      </c>
    </row>
    <row r="76" spans="1:38" ht="29.1" customHeight="1" x14ac:dyDescent="0.3">
      <c r="A76" s="1381"/>
      <c r="B76" s="1483"/>
      <c r="C76" s="1487"/>
      <c r="D76" s="1369"/>
      <c r="E76" s="1371"/>
      <c r="F76" s="1373"/>
      <c r="G76" s="1373"/>
      <c r="H76" s="1355"/>
      <c r="I76" s="1355"/>
      <c r="J76" s="1778"/>
      <c r="K76" s="1392"/>
      <c r="L76" s="1765"/>
      <c r="M76" s="1765"/>
      <c r="N76" s="1765"/>
      <c r="O76" s="1355"/>
      <c r="P76" s="1328"/>
      <c r="Q76" s="87" t="s">
        <v>117</v>
      </c>
      <c r="R76" s="91">
        <v>0</v>
      </c>
      <c r="S76" s="287">
        <v>0</v>
      </c>
      <c r="T76" s="287"/>
      <c r="U76" s="287"/>
      <c r="V76" s="288">
        <f t="shared" si="14"/>
        <v>0</v>
      </c>
      <c r="W76" s="287"/>
      <c r="X76" s="287"/>
      <c r="Y76" s="287"/>
      <c r="Z76" s="288">
        <f t="shared" si="9"/>
        <v>0</v>
      </c>
      <c r="AA76" s="287"/>
      <c r="AB76" s="287"/>
      <c r="AC76" s="287"/>
      <c r="AD76" s="288">
        <f t="shared" si="10"/>
        <v>0</v>
      </c>
      <c r="AE76" s="287"/>
      <c r="AF76" s="287"/>
      <c r="AG76" s="287"/>
      <c r="AH76" s="288">
        <f t="shared" si="11"/>
        <v>0</v>
      </c>
      <c r="AI76" s="289">
        <f t="shared" si="13"/>
        <v>0</v>
      </c>
      <c r="AJ76" s="92"/>
      <c r="AK76" s="62" t="str">
        <f>B75</f>
        <v>11 - Resourcing de DSL para DD</v>
      </c>
      <c r="AL76" s="2245"/>
    </row>
    <row r="77" spans="1:38" ht="29.1" customHeight="1" x14ac:dyDescent="0.3">
      <c r="A77" s="1407" t="s">
        <v>925</v>
      </c>
      <c r="B77" s="1465" t="s">
        <v>364</v>
      </c>
      <c r="C77" s="1356" t="s">
        <v>365</v>
      </c>
      <c r="D77" s="1449" t="s">
        <v>366</v>
      </c>
      <c r="E77" s="1451" t="s">
        <v>323</v>
      </c>
      <c r="F77" s="1785">
        <v>46023</v>
      </c>
      <c r="G77" s="1785">
        <v>46053</v>
      </c>
      <c r="H77" s="1488">
        <v>38583</v>
      </c>
      <c r="I77" s="1395"/>
      <c r="J77" s="1720" t="s">
        <v>308</v>
      </c>
      <c r="K77" s="1547">
        <v>37746.6</v>
      </c>
      <c r="L77" s="1393"/>
      <c r="M77" s="1393"/>
      <c r="N77" s="1393"/>
      <c r="O77" s="1334" t="s">
        <v>81</v>
      </c>
      <c r="P77" s="1334">
        <v>1</v>
      </c>
      <c r="Q77" s="93" t="s">
        <v>116</v>
      </c>
      <c r="R77" s="96">
        <f ca="1">IF(OR(F77="", G77=""), "", IF(TODAY()&lt;F77, 0, IF(TODAY()&gt;G77, 1, (TODAY()-F77+1)/(G77-F77+1))))</f>
        <v>1</v>
      </c>
      <c r="S77" s="94">
        <v>38583</v>
      </c>
      <c r="T77" s="94">
        <v>0</v>
      </c>
      <c r="U77" s="94">
        <v>0</v>
      </c>
      <c r="V77" s="89">
        <f t="shared" si="14"/>
        <v>38583</v>
      </c>
      <c r="W77" s="94">
        <v>0</v>
      </c>
      <c r="X77" s="94">
        <v>0</v>
      </c>
      <c r="Y77" s="94">
        <v>0</v>
      </c>
      <c r="Z77" s="89">
        <f t="shared" si="9"/>
        <v>0</v>
      </c>
      <c r="AA77" s="94">
        <v>0</v>
      </c>
      <c r="AB77" s="94">
        <v>0</v>
      </c>
      <c r="AC77" s="94">
        <v>0</v>
      </c>
      <c r="AD77" s="89">
        <f t="shared" si="10"/>
        <v>0</v>
      </c>
      <c r="AE77" s="94">
        <v>0</v>
      </c>
      <c r="AF77" s="94">
        <v>0</v>
      </c>
      <c r="AG77" s="94">
        <v>0</v>
      </c>
      <c r="AH77" s="89">
        <f t="shared" si="11"/>
        <v>0</v>
      </c>
      <c r="AI77" s="95">
        <f t="shared" si="13"/>
        <v>38583</v>
      </c>
      <c r="AJ77" s="150" t="s">
        <v>367</v>
      </c>
      <c r="AK77" s="62" t="str">
        <f>B77</f>
        <v>12 - Aproveitamento de peças Obsoletas - A9583176540</v>
      </c>
      <c r="AL77" s="2244" t="str">
        <f t="shared" ref="AL77" si="25">IF(S77&gt;0,"janeiro",
IF(T77&gt;0,"fevereiro",
IF(U77&gt;0,"março",
IF(W77&gt;0,"abril",
IF(X77&gt;0,"maio",
IF(Y77&gt;0,"junho",
IF(AA77&gt;0,"julho",
IF(AB77&gt;0,"agosto",
IF(AC77&gt;0,"setembro",
IF(AE77&gt;0,"outubro",
IF(AF77&gt;0,"novembro",
IF(AG77&gt;0,"dezembro",
""))))))))))))</f>
        <v>janeiro</v>
      </c>
    </row>
    <row r="78" spans="1:38" ht="29.1" customHeight="1" x14ac:dyDescent="0.3">
      <c r="A78" s="1408"/>
      <c r="B78" s="1466"/>
      <c r="C78" s="1455"/>
      <c r="D78" s="1450"/>
      <c r="E78" s="1452"/>
      <c r="F78" s="1786"/>
      <c r="G78" s="1786"/>
      <c r="H78" s="1367"/>
      <c r="I78" s="1396"/>
      <c r="J78" s="1721"/>
      <c r="K78" s="1548"/>
      <c r="L78" s="1394"/>
      <c r="M78" s="1394"/>
      <c r="N78" s="1394"/>
      <c r="O78" s="1330"/>
      <c r="P78" s="1330"/>
      <c r="Q78" s="93" t="s">
        <v>117</v>
      </c>
      <c r="R78" s="96">
        <v>1</v>
      </c>
      <c r="S78" s="439">
        <f>K77</f>
        <v>37746.6</v>
      </c>
      <c r="T78" s="290"/>
      <c r="U78" s="290"/>
      <c r="V78" s="288">
        <f t="shared" si="14"/>
        <v>37746.6</v>
      </c>
      <c r="W78" s="290"/>
      <c r="X78" s="290"/>
      <c r="Y78" s="290"/>
      <c r="Z78" s="288">
        <f t="shared" si="9"/>
        <v>0</v>
      </c>
      <c r="AA78" s="290"/>
      <c r="AB78" s="290"/>
      <c r="AC78" s="290"/>
      <c r="AD78" s="288">
        <f t="shared" si="10"/>
        <v>0</v>
      </c>
      <c r="AE78" s="290"/>
      <c r="AF78" s="290"/>
      <c r="AG78" s="290"/>
      <c r="AH78" s="288">
        <f t="shared" si="11"/>
        <v>0</v>
      </c>
      <c r="AI78" s="291">
        <f t="shared" si="13"/>
        <v>37746.6</v>
      </c>
      <c r="AJ78" s="125" t="s">
        <v>368</v>
      </c>
      <c r="AK78" s="62" t="str">
        <f>B77</f>
        <v>12 - Aproveitamento de peças Obsoletas - A9583176540</v>
      </c>
      <c r="AL78" s="2245"/>
    </row>
    <row r="79" spans="1:38" ht="29.1" customHeight="1" x14ac:dyDescent="0.3">
      <c r="A79" s="1380" t="s">
        <v>925</v>
      </c>
      <c r="B79" s="1482" t="s">
        <v>369</v>
      </c>
      <c r="C79" s="2247" t="s">
        <v>370</v>
      </c>
      <c r="D79" s="1368" t="s">
        <v>371</v>
      </c>
      <c r="E79" s="1370" t="s">
        <v>323</v>
      </c>
      <c r="F79" s="1372">
        <v>46023</v>
      </c>
      <c r="G79" s="1372">
        <v>46112</v>
      </c>
      <c r="H79" s="1354">
        <v>1890</v>
      </c>
      <c r="I79" s="1354"/>
      <c r="J79" s="2246"/>
      <c r="K79" s="1861"/>
      <c r="L79" s="1764"/>
      <c r="M79" s="1764"/>
      <c r="N79" s="1764"/>
      <c r="O79" s="1354" t="s">
        <v>83</v>
      </c>
      <c r="P79" s="1327">
        <v>1</v>
      </c>
      <c r="Q79" s="87" t="s">
        <v>116</v>
      </c>
      <c r="R79" s="91">
        <f ca="1">IF(OR(F79="", G79=""), "", IF(TODAY()&lt;F79, 0, IF(TODAY()&gt;G79, 1, (TODAY()-F79+1)/(G79-F79+1))))</f>
        <v>1</v>
      </c>
      <c r="S79" s="88">
        <v>0</v>
      </c>
      <c r="T79" s="88">
        <v>0</v>
      </c>
      <c r="U79" s="88">
        <v>0</v>
      </c>
      <c r="V79" s="89">
        <f t="shared" si="14"/>
        <v>0</v>
      </c>
      <c r="W79" s="88">
        <v>210</v>
      </c>
      <c r="X79" s="88">
        <v>210</v>
      </c>
      <c r="Y79" s="88">
        <v>210</v>
      </c>
      <c r="Z79" s="89">
        <f t="shared" si="9"/>
        <v>630</v>
      </c>
      <c r="AA79" s="88">
        <v>210</v>
      </c>
      <c r="AB79" s="88">
        <v>210</v>
      </c>
      <c r="AC79" s="88">
        <v>210</v>
      </c>
      <c r="AD79" s="89">
        <f t="shared" si="10"/>
        <v>630</v>
      </c>
      <c r="AE79" s="88">
        <v>210</v>
      </c>
      <c r="AF79" s="88">
        <v>210</v>
      </c>
      <c r="AG79" s="88">
        <v>210</v>
      </c>
      <c r="AH79" s="89">
        <f t="shared" si="11"/>
        <v>630</v>
      </c>
      <c r="AI79" s="90">
        <f t="shared" si="13"/>
        <v>1890</v>
      </c>
      <c r="AJ79" s="92" t="s">
        <v>372</v>
      </c>
      <c r="AK79" s="62" t="str">
        <f>B79</f>
        <v>13 - Redução de Componente - 4065 de 6 para 4</v>
      </c>
      <c r="AL79" s="2244" t="str">
        <f t="shared" ref="AL79" si="26">IF(S79&gt;0,"janeiro",
IF(T79&gt;0,"fevereiro",
IF(U79&gt;0,"março",
IF(W79&gt;0,"abril",
IF(X79&gt;0,"maio",
IF(Y79&gt;0,"junho",
IF(AA79&gt;0,"julho",
IF(AB79&gt;0,"agosto",
IF(AC79&gt;0,"setembro",
IF(AE79&gt;0,"outubro",
IF(AF79&gt;0,"novembro",
IF(AG79&gt;0,"dezembro",
""))))))))))))</f>
        <v>abril</v>
      </c>
    </row>
    <row r="80" spans="1:38" ht="29.1" customHeight="1" x14ac:dyDescent="0.3">
      <c r="A80" s="1381"/>
      <c r="B80" s="1483"/>
      <c r="C80" s="1487"/>
      <c r="D80" s="1369"/>
      <c r="E80" s="1371"/>
      <c r="F80" s="1373"/>
      <c r="G80" s="1373"/>
      <c r="H80" s="1355"/>
      <c r="I80" s="1355"/>
      <c r="J80" s="1778"/>
      <c r="K80" s="1392"/>
      <c r="L80" s="1765"/>
      <c r="M80" s="1765"/>
      <c r="N80" s="1765"/>
      <c r="O80" s="1355"/>
      <c r="P80" s="1328"/>
      <c r="Q80" s="87" t="s">
        <v>117</v>
      </c>
      <c r="R80" s="91">
        <v>0.8</v>
      </c>
      <c r="S80" s="287">
        <v>0</v>
      </c>
      <c r="T80" s="287"/>
      <c r="U80" s="287"/>
      <c r="V80" s="288">
        <f t="shared" si="14"/>
        <v>0</v>
      </c>
      <c r="W80" s="287"/>
      <c r="X80" s="287"/>
      <c r="Y80" s="287"/>
      <c r="Z80" s="288">
        <f t="shared" si="9"/>
        <v>0</v>
      </c>
      <c r="AA80" s="287"/>
      <c r="AB80" s="287"/>
      <c r="AC80" s="287"/>
      <c r="AD80" s="288">
        <f t="shared" si="10"/>
        <v>0</v>
      </c>
      <c r="AE80" s="287"/>
      <c r="AF80" s="287"/>
      <c r="AG80" s="287"/>
      <c r="AH80" s="288">
        <f t="shared" si="11"/>
        <v>0</v>
      </c>
      <c r="AI80" s="289">
        <f t="shared" si="13"/>
        <v>0</v>
      </c>
      <c r="AJ80" s="92"/>
      <c r="AK80" s="62" t="str">
        <f>B79</f>
        <v>13 - Redução de Componente - 4065 de 6 para 4</v>
      </c>
      <c r="AL80" s="2245"/>
    </row>
    <row r="81" spans="1:38" ht="29.1" customHeight="1" x14ac:dyDescent="0.3">
      <c r="A81" s="1407" t="s">
        <v>91</v>
      </c>
      <c r="B81" s="1465" t="s">
        <v>1722</v>
      </c>
      <c r="C81" s="2248" t="s">
        <v>1723</v>
      </c>
      <c r="D81" s="1449" t="s">
        <v>1724</v>
      </c>
      <c r="E81" s="1451" t="s">
        <v>376</v>
      </c>
      <c r="F81" s="1785">
        <v>46023</v>
      </c>
      <c r="G81" s="1785">
        <v>46054</v>
      </c>
      <c r="H81" s="1488">
        <v>36663</v>
      </c>
      <c r="I81" s="1395"/>
      <c r="J81" s="1352"/>
      <c r="K81" s="1393"/>
      <c r="L81" s="1393"/>
      <c r="M81" s="1393"/>
      <c r="N81" s="1393"/>
      <c r="O81" s="1334" t="s">
        <v>81</v>
      </c>
      <c r="P81" s="1334">
        <v>1</v>
      </c>
      <c r="Q81" s="93" t="s">
        <v>116</v>
      </c>
      <c r="R81" s="96">
        <f ca="1">IF(OR(F81="", G81=""), "", IF(TODAY()&lt;F81, 0, IF(TODAY()&gt;G81, 1, (TODAY()-F81+1)/(G81-F81+1))))</f>
        <v>1</v>
      </c>
      <c r="S81" s="94">
        <v>0</v>
      </c>
      <c r="T81" s="94">
        <v>3333</v>
      </c>
      <c r="U81" s="94">
        <v>3333</v>
      </c>
      <c r="V81" s="89">
        <f t="shared" si="14"/>
        <v>6666</v>
      </c>
      <c r="W81" s="94">
        <v>3333</v>
      </c>
      <c r="X81" s="94">
        <v>3333</v>
      </c>
      <c r="Y81" s="94">
        <v>3333</v>
      </c>
      <c r="Z81" s="89">
        <f t="shared" ref="Z81:Z94" si="27">SUM(W81:Y81)</f>
        <v>9999</v>
      </c>
      <c r="AA81" s="94">
        <v>3333</v>
      </c>
      <c r="AB81" s="94">
        <v>3333</v>
      </c>
      <c r="AC81" s="94">
        <v>3333</v>
      </c>
      <c r="AD81" s="89">
        <f t="shared" si="10"/>
        <v>9999</v>
      </c>
      <c r="AE81" s="94">
        <v>3333</v>
      </c>
      <c r="AF81" s="94">
        <v>3333</v>
      </c>
      <c r="AG81" s="94">
        <v>3333</v>
      </c>
      <c r="AH81" s="89">
        <f t="shared" si="11"/>
        <v>9999</v>
      </c>
      <c r="AI81" s="95">
        <f t="shared" si="13"/>
        <v>36663</v>
      </c>
      <c r="AJ81" s="97" t="s">
        <v>377</v>
      </c>
      <c r="AK81" s="62" t="str">
        <f>B81</f>
        <v xml:space="preserve">14 - REDUÇÃO DE MP DA000518Z (Anchieta) Código DD - </v>
      </c>
      <c r="AL81" s="2244" t="str">
        <f t="shared" ref="AL81" si="28">IF(S81&gt;0,"janeiro",
IF(T81&gt;0,"fevereiro",
IF(U81&gt;0,"março",
IF(W81&gt;0,"abril",
IF(X81&gt;0,"maio",
IF(Y81&gt;0,"junho",
IF(AA81&gt;0,"julho",
IF(AB81&gt;0,"agosto",
IF(AC81&gt;0,"setembro",
IF(AE81&gt;0,"outubro",
IF(AF81&gt;0,"novembro",
IF(AG81&gt;0,"dezembro",
""))))))))))))</f>
        <v>fevereiro</v>
      </c>
    </row>
    <row r="82" spans="1:38" ht="29.1" customHeight="1" x14ac:dyDescent="0.3">
      <c r="A82" s="1408"/>
      <c r="B82" s="1466"/>
      <c r="C82" s="1455"/>
      <c r="D82" s="1450"/>
      <c r="E82" s="1452"/>
      <c r="F82" s="1786"/>
      <c r="G82" s="1786"/>
      <c r="H82" s="1367"/>
      <c r="I82" s="1396"/>
      <c r="J82" s="1353"/>
      <c r="K82" s="1394"/>
      <c r="L82" s="1394"/>
      <c r="M82" s="1394"/>
      <c r="N82" s="1394"/>
      <c r="O82" s="1330"/>
      <c r="P82" s="1330"/>
      <c r="Q82" s="93" t="s">
        <v>117</v>
      </c>
      <c r="R82" s="96">
        <v>1</v>
      </c>
      <c r="S82" s="290">
        <v>0</v>
      </c>
      <c r="T82" s="290"/>
      <c r="U82" s="290"/>
      <c r="V82" s="288">
        <f t="shared" ref="V82:V94" si="29">SUM(S82:U82)</f>
        <v>0</v>
      </c>
      <c r="W82" s="290"/>
      <c r="X82" s="290"/>
      <c r="Y82" s="290"/>
      <c r="Z82" s="288">
        <f t="shared" si="27"/>
        <v>0</v>
      </c>
      <c r="AA82" s="290"/>
      <c r="AB82" s="290"/>
      <c r="AC82" s="290"/>
      <c r="AD82" s="288">
        <f t="shared" si="10"/>
        <v>0</v>
      </c>
      <c r="AE82" s="290"/>
      <c r="AF82" s="290"/>
      <c r="AG82" s="290"/>
      <c r="AH82" s="288">
        <f t="shared" si="11"/>
        <v>0</v>
      </c>
      <c r="AI82" s="291">
        <f t="shared" si="13"/>
        <v>0</v>
      </c>
      <c r="AJ82" s="97" t="s">
        <v>378</v>
      </c>
      <c r="AK82" s="62" t="str">
        <f>B81</f>
        <v xml:space="preserve">14 - REDUÇÃO DE MP DA000518Z (Anchieta) Código DD - </v>
      </c>
      <c r="AL82" s="2245"/>
    </row>
    <row r="83" spans="1:38" ht="29.1" customHeight="1" x14ac:dyDescent="0.3">
      <c r="A83" s="1380" t="s">
        <v>925</v>
      </c>
      <c r="B83" s="1482" t="s">
        <v>379</v>
      </c>
      <c r="C83" s="2247" t="s">
        <v>1725</v>
      </c>
      <c r="D83" s="1368" t="s">
        <v>381</v>
      </c>
      <c r="E83" s="1370" t="s">
        <v>382</v>
      </c>
      <c r="F83" s="1372">
        <v>46023</v>
      </c>
      <c r="G83" s="1372">
        <v>46053</v>
      </c>
      <c r="H83" s="1354">
        <f>AI83</f>
        <v>3279.77</v>
      </c>
      <c r="I83" s="1354"/>
      <c r="J83" s="2246"/>
      <c r="K83" s="1861"/>
      <c r="L83" s="1764"/>
      <c r="M83" s="1764"/>
      <c r="N83" s="1764"/>
      <c r="O83" s="1354" t="s">
        <v>81</v>
      </c>
      <c r="P83" s="1327">
        <v>1</v>
      </c>
      <c r="Q83" s="87" t="s">
        <v>116</v>
      </c>
      <c r="R83" s="91">
        <f ca="1">IF(OR(F83="", G83=""), "", IF(TODAY()&lt;F83, 0, IF(TODAY()&gt;G83, 1, (TODAY()-F83+1)/(G83-F83+1))))</f>
        <v>1</v>
      </c>
      <c r="S83" s="88">
        <v>3279.77</v>
      </c>
      <c r="T83" s="88">
        <v>0</v>
      </c>
      <c r="U83" s="88">
        <v>0</v>
      </c>
      <c r="V83" s="89">
        <f t="shared" si="29"/>
        <v>3279.77</v>
      </c>
      <c r="W83" s="88">
        <v>0</v>
      </c>
      <c r="X83" s="88">
        <v>0</v>
      </c>
      <c r="Y83" s="88">
        <v>0</v>
      </c>
      <c r="Z83" s="89">
        <f t="shared" si="27"/>
        <v>0</v>
      </c>
      <c r="AA83" s="88">
        <v>0</v>
      </c>
      <c r="AB83" s="88">
        <v>0</v>
      </c>
      <c r="AC83" s="88">
        <v>0</v>
      </c>
      <c r="AD83" s="89">
        <f t="shared" si="10"/>
        <v>0</v>
      </c>
      <c r="AE83" s="88">
        <v>0</v>
      </c>
      <c r="AF83" s="88">
        <v>0</v>
      </c>
      <c r="AG83" s="88">
        <v>0</v>
      </c>
      <c r="AH83" s="89">
        <f t="shared" si="11"/>
        <v>0</v>
      </c>
      <c r="AI83" s="90">
        <f t="shared" si="13"/>
        <v>3279.77</v>
      </c>
      <c r="AJ83" s="92" t="s">
        <v>383</v>
      </c>
      <c r="AK83" s="62" t="str">
        <f>B83</f>
        <v>15 - Kaizem - Botões BI - MANUAL</v>
      </c>
      <c r="AL83" s="2244" t="str">
        <f t="shared" ref="AL83" si="30">IF(S83&gt;0,"janeiro",
IF(T83&gt;0,"fevereiro",
IF(U83&gt;0,"março",
IF(W83&gt;0,"abril",
IF(X83&gt;0,"maio",
IF(Y83&gt;0,"junho",
IF(AA83&gt;0,"julho",
IF(AB83&gt;0,"agosto",
IF(AC83&gt;0,"setembro",
IF(AE83&gt;0,"outubro",
IF(AF83&gt;0,"novembro",
IF(AG83&gt;0,"dezembro",
""))))))))))))</f>
        <v>janeiro</v>
      </c>
    </row>
    <row r="84" spans="1:38" ht="29.1" customHeight="1" x14ac:dyDescent="0.3">
      <c r="A84" s="1381"/>
      <c r="B84" s="1483"/>
      <c r="C84" s="1487"/>
      <c r="D84" s="1369"/>
      <c r="E84" s="1371"/>
      <c r="F84" s="1373"/>
      <c r="G84" s="1373"/>
      <c r="H84" s="1355"/>
      <c r="I84" s="1355"/>
      <c r="J84" s="1778"/>
      <c r="K84" s="1392"/>
      <c r="L84" s="1765"/>
      <c r="M84" s="1765"/>
      <c r="N84" s="1765"/>
      <c r="O84" s="1355"/>
      <c r="P84" s="1328"/>
      <c r="Q84" s="87" t="s">
        <v>117</v>
      </c>
      <c r="R84" s="91">
        <v>1</v>
      </c>
      <c r="S84" s="287">
        <v>3279.77</v>
      </c>
      <c r="T84" s="287"/>
      <c r="U84" s="287"/>
      <c r="V84" s="288">
        <f t="shared" si="29"/>
        <v>3279.77</v>
      </c>
      <c r="W84" s="287"/>
      <c r="X84" s="287"/>
      <c r="Y84" s="287"/>
      <c r="Z84" s="288">
        <f t="shared" si="27"/>
        <v>0</v>
      </c>
      <c r="AA84" s="287"/>
      <c r="AB84" s="287"/>
      <c r="AC84" s="287"/>
      <c r="AD84" s="288">
        <f t="shared" si="10"/>
        <v>0</v>
      </c>
      <c r="AE84" s="287"/>
      <c r="AF84" s="287"/>
      <c r="AG84" s="287"/>
      <c r="AH84" s="288">
        <f t="shared" si="11"/>
        <v>0</v>
      </c>
      <c r="AI84" s="289">
        <f t="shared" si="13"/>
        <v>3279.77</v>
      </c>
      <c r="AJ84" s="92" t="s">
        <v>384</v>
      </c>
      <c r="AK84" s="62" t="str">
        <f>B83</f>
        <v>15 - Kaizem - Botões BI - MANUAL</v>
      </c>
      <c r="AL84" s="2245"/>
    </row>
    <row r="85" spans="1:38" ht="29.1" customHeight="1" x14ac:dyDescent="0.3">
      <c r="A85" s="1407" t="s">
        <v>925</v>
      </c>
      <c r="B85" s="1465" t="s">
        <v>385</v>
      </c>
      <c r="C85" s="2248" t="s">
        <v>386</v>
      </c>
      <c r="D85" s="1449" t="s">
        <v>387</v>
      </c>
      <c r="E85" s="1451" t="s">
        <v>388</v>
      </c>
      <c r="F85" s="1785">
        <v>46027</v>
      </c>
      <c r="G85" s="1785">
        <v>46112</v>
      </c>
      <c r="H85" s="1488">
        <v>190000</v>
      </c>
      <c r="I85" s="1395"/>
      <c r="J85" s="1352"/>
      <c r="K85" s="1393"/>
      <c r="L85" s="1393"/>
      <c r="M85" s="1393"/>
      <c r="N85" s="1393"/>
      <c r="O85" s="1334" t="s">
        <v>83</v>
      </c>
      <c r="P85" s="1334">
        <v>1</v>
      </c>
      <c r="Q85" s="93" t="s">
        <v>116</v>
      </c>
      <c r="R85" s="96">
        <f ca="1">IF(OR(F85="", G85=""), "", IF(TODAY()&lt;F85, 0, IF(TODAY()&gt;G85, 1, (TODAY()-F85+1)/(G85-F85+1))))</f>
        <v>1</v>
      </c>
      <c r="S85" s="94">
        <v>0</v>
      </c>
      <c r="T85" s="94">
        <v>0</v>
      </c>
      <c r="U85" s="94">
        <v>10000</v>
      </c>
      <c r="V85" s="89">
        <f t="shared" si="29"/>
        <v>10000</v>
      </c>
      <c r="W85" s="94">
        <v>20000</v>
      </c>
      <c r="X85" s="94">
        <v>20000</v>
      </c>
      <c r="Y85" s="94">
        <v>20000</v>
      </c>
      <c r="Z85" s="89">
        <f t="shared" si="27"/>
        <v>60000</v>
      </c>
      <c r="AA85" s="94">
        <v>20000</v>
      </c>
      <c r="AB85" s="94">
        <v>20000</v>
      </c>
      <c r="AC85" s="94">
        <v>20000</v>
      </c>
      <c r="AD85" s="89">
        <f t="shared" si="10"/>
        <v>60000</v>
      </c>
      <c r="AE85" s="94">
        <v>20000</v>
      </c>
      <c r="AF85" s="94">
        <v>20000</v>
      </c>
      <c r="AG85" s="94">
        <v>20000</v>
      </c>
      <c r="AH85" s="89">
        <f t="shared" si="11"/>
        <v>60000</v>
      </c>
      <c r="AI85" s="95">
        <f t="shared" si="13"/>
        <v>190000</v>
      </c>
      <c r="AJ85" s="97" t="s">
        <v>389</v>
      </c>
      <c r="AK85" s="62" t="str">
        <f>B85</f>
        <v>16 - Eficiência de MO na linha de Solda e Montagem</v>
      </c>
      <c r="AL85" s="2244" t="str">
        <f t="shared" ref="AL85" si="31">IF(S85&gt;0,"janeiro",
IF(T85&gt;0,"fevereiro",
IF(U85&gt;0,"março",
IF(W85&gt;0,"abril",
IF(X85&gt;0,"maio",
IF(Y85&gt;0,"junho",
IF(AA85&gt;0,"julho",
IF(AB85&gt;0,"agosto",
IF(AC85&gt;0,"setembro",
IF(AE85&gt;0,"outubro",
IF(AF85&gt;0,"novembro",
IF(AG85&gt;0,"dezembro",
""))))))))))))</f>
        <v>março</v>
      </c>
    </row>
    <row r="86" spans="1:38" ht="29.1" customHeight="1" x14ac:dyDescent="0.3">
      <c r="A86" s="1408"/>
      <c r="B86" s="1466"/>
      <c r="C86" s="1455"/>
      <c r="D86" s="1450"/>
      <c r="E86" s="1452"/>
      <c r="F86" s="1786"/>
      <c r="G86" s="1786"/>
      <c r="H86" s="1367"/>
      <c r="I86" s="1396"/>
      <c r="J86" s="1353"/>
      <c r="K86" s="1394"/>
      <c r="L86" s="1394"/>
      <c r="M86" s="1394"/>
      <c r="N86" s="1394"/>
      <c r="O86" s="1330"/>
      <c r="P86" s="1330"/>
      <c r="Q86" s="93" t="s">
        <v>117</v>
      </c>
      <c r="R86" s="96">
        <v>0.6</v>
      </c>
      <c r="S86" s="290">
        <v>0</v>
      </c>
      <c r="T86" s="290"/>
      <c r="U86" s="290"/>
      <c r="V86" s="288">
        <f t="shared" si="29"/>
        <v>0</v>
      </c>
      <c r="W86" s="290"/>
      <c r="X86" s="290"/>
      <c r="Y86" s="290"/>
      <c r="Z86" s="288">
        <f t="shared" si="27"/>
        <v>0</v>
      </c>
      <c r="AA86" s="290"/>
      <c r="AB86" s="290"/>
      <c r="AC86" s="290"/>
      <c r="AD86" s="288">
        <f t="shared" si="10"/>
        <v>0</v>
      </c>
      <c r="AE86" s="290"/>
      <c r="AF86" s="290"/>
      <c r="AG86" s="290"/>
      <c r="AH86" s="288">
        <f t="shared" si="11"/>
        <v>0</v>
      </c>
      <c r="AI86" s="291">
        <f t="shared" si="13"/>
        <v>0</v>
      </c>
      <c r="AJ86" s="97" t="s">
        <v>390</v>
      </c>
      <c r="AK86" s="62" t="str">
        <f>B85</f>
        <v>16 - Eficiência de MO na linha de Solda e Montagem</v>
      </c>
      <c r="AL86" s="2245"/>
    </row>
    <row r="87" spans="1:38" ht="29.1" customHeight="1" x14ac:dyDescent="0.3">
      <c r="A87" s="1380" t="s">
        <v>91</v>
      </c>
      <c r="B87" s="1482" t="s">
        <v>1726</v>
      </c>
      <c r="C87" s="2247" t="s">
        <v>1727</v>
      </c>
      <c r="D87" s="1368" t="s">
        <v>393</v>
      </c>
      <c r="E87" s="1370" t="s">
        <v>307</v>
      </c>
      <c r="F87" s="1372">
        <v>46054</v>
      </c>
      <c r="G87" s="1372">
        <v>46112</v>
      </c>
      <c r="H87" s="1354">
        <f>4290*10</f>
        <v>42900</v>
      </c>
      <c r="I87" s="1354"/>
      <c r="J87" s="1770" t="s">
        <v>308</v>
      </c>
      <c r="K87" s="1391">
        <v>33838.06</v>
      </c>
      <c r="L87" s="1764"/>
      <c r="M87" s="1764"/>
      <c r="N87" s="1764"/>
      <c r="O87" s="1354" t="s">
        <v>83</v>
      </c>
      <c r="P87" s="1327">
        <v>1</v>
      </c>
      <c r="Q87" s="87" t="s">
        <v>116</v>
      </c>
      <c r="R87" s="91">
        <f ca="1">IF(OR(F87="", G87=""), "", IF(TODAY()&lt;F87, 0, IF(TODAY()&gt;G87, 1, (TODAY()-F87+1)/(G87-F87+1))))</f>
        <v>1</v>
      </c>
      <c r="S87" s="88">
        <v>0</v>
      </c>
      <c r="T87" s="88">
        <v>0</v>
      </c>
      <c r="U87" s="88">
        <v>4290</v>
      </c>
      <c r="V87" s="89">
        <f t="shared" si="29"/>
        <v>4290</v>
      </c>
      <c r="W87" s="88">
        <v>4290</v>
      </c>
      <c r="X87" s="88">
        <v>4290</v>
      </c>
      <c r="Y87" s="88">
        <v>4290</v>
      </c>
      <c r="Z87" s="89">
        <f t="shared" si="27"/>
        <v>12870</v>
      </c>
      <c r="AA87" s="88">
        <v>4290</v>
      </c>
      <c r="AB87" s="88">
        <v>4290</v>
      </c>
      <c r="AC87" s="88">
        <v>4290</v>
      </c>
      <c r="AD87" s="89">
        <f t="shared" si="10"/>
        <v>12870</v>
      </c>
      <c r="AE87" s="88">
        <v>4290</v>
      </c>
      <c r="AF87" s="88">
        <v>4290</v>
      </c>
      <c r="AG87" s="88">
        <v>4290</v>
      </c>
      <c r="AH87" s="89">
        <f t="shared" si="11"/>
        <v>12870</v>
      </c>
      <c r="AI87" s="90">
        <f t="shared" si="13"/>
        <v>42900</v>
      </c>
      <c r="AJ87" s="92" t="s">
        <v>394</v>
      </c>
      <c r="AK87" s="62" t="str">
        <f>B87</f>
        <v>17 -MB003537LB_MB003538LB</v>
      </c>
      <c r="AL87" s="2244" t="str">
        <f t="shared" ref="AL87" si="32">IF(S87&gt;0,"janeiro",
IF(T87&gt;0,"fevereiro",
IF(U87&gt;0,"março",
IF(W87&gt;0,"abril",
IF(X87&gt;0,"maio",
IF(Y87&gt;0,"junho",
IF(AA87&gt;0,"julho",
IF(AB87&gt;0,"agosto",
IF(AC87&gt;0,"setembro",
IF(AE87&gt;0,"outubro",
IF(AF87&gt;0,"novembro",
IF(AG87&gt;0,"dezembro",
""))))))))))))</f>
        <v>março</v>
      </c>
    </row>
    <row r="88" spans="1:38" ht="29.1" customHeight="1" x14ac:dyDescent="0.3">
      <c r="A88" s="1381"/>
      <c r="B88" s="1483"/>
      <c r="C88" s="1487"/>
      <c r="D88" s="1369"/>
      <c r="E88" s="1371"/>
      <c r="F88" s="1373"/>
      <c r="G88" s="1373"/>
      <c r="H88" s="1355"/>
      <c r="I88" s="1355"/>
      <c r="J88" s="1771"/>
      <c r="K88" s="1877"/>
      <c r="L88" s="1765"/>
      <c r="M88" s="1765"/>
      <c r="N88" s="1765"/>
      <c r="O88" s="1355"/>
      <c r="P88" s="1328"/>
      <c r="Q88" s="87" t="s">
        <v>117</v>
      </c>
      <c r="R88" s="91">
        <v>0.9</v>
      </c>
      <c r="S88" s="287">
        <v>0</v>
      </c>
      <c r="T88" s="287"/>
      <c r="U88" s="287"/>
      <c r="V88" s="288">
        <f t="shared" si="29"/>
        <v>0</v>
      </c>
      <c r="W88" s="287"/>
      <c r="X88" s="287"/>
      <c r="Y88" s="287"/>
      <c r="Z88" s="288">
        <f t="shared" si="27"/>
        <v>0</v>
      </c>
      <c r="AA88" s="287"/>
      <c r="AB88" s="287"/>
      <c r="AC88" s="287"/>
      <c r="AD88" s="288">
        <f t="shared" si="10"/>
        <v>0</v>
      </c>
      <c r="AE88" s="287"/>
      <c r="AF88" s="287"/>
      <c r="AG88" s="287"/>
      <c r="AH88" s="288">
        <f t="shared" si="11"/>
        <v>0</v>
      </c>
      <c r="AI88" s="289">
        <f t="shared" si="13"/>
        <v>0</v>
      </c>
      <c r="AJ88" s="92" t="s">
        <v>395</v>
      </c>
      <c r="AK88" s="62" t="str">
        <f>B87</f>
        <v>17 -MB003537LB_MB003538LB</v>
      </c>
      <c r="AL88" s="2245"/>
    </row>
    <row r="89" spans="1:38" ht="29.1" customHeight="1" x14ac:dyDescent="0.3">
      <c r="A89" s="1407" t="s">
        <v>953</v>
      </c>
      <c r="B89" s="1465" t="s">
        <v>1728</v>
      </c>
      <c r="C89" s="2248"/>
      <c r="D89" s="1449" t="s">
        <v>398</v>
      </c>
      <c r="E89" s="1451" t="s">
        <v>399</v>
      </c>
      <c r="F89" s="1785">
        <v>46058</v>
      </c>
      <c r="G89" s="1785">
        <v>46147</v>
      </c>
      <c r="H89" s="1488"/>
      <c r="I89" s="1395"/>
      <c r="J89" s="1352"/>
      <c r="K89" s="1393"/>
      <c r="L89" s="1393"/>
      <c r="M89" s="1393"/>
      <c r="N89" s="1393"/>
      <c r="O89" s="1334" t="s">
        <v>85</v>
      </c>
      <c r="P89" s="1334"/>
      <c r="Q89" s="93" t="s">
        <v>116</v>
      </c>
      <c r="R89" s="96">
        <f ca="1">IF(OR(F89="", G89=""), "", IF(TODAY()&lt;F89, 0, IF(TODAY()&gt;G89, 1, (TODAY()-F89+1)/(G89-F89+1))))</f>
        <v>1</v>
      </c>
      <c r="S89" s="94">
        <v>0</v>
      </c>
      <c r="T89" s="94">
        <v>0</v>
      </c>
      <c r="U89" s="94">
        <v>0</v>
      </c>
      <c r="V89" s="89">
        <f t="shared" si="29"/>
        <v>0</v>
      </c>
      <c r="W89" s="94">
        <v>0</v>
      </c>
      <c r="X89" s="94">
        <v>0</v>
      </c>
      <c r="Y89" s="94">
        <v>0</v>
      </c>
      <c r="Z89" s="89">
        <f t="shared" si="27"/>
        <v>0</v>
      </c>
      <c r="AA89" s="94">
        <v>0</v>
      </c>
      <c r="AB89" s="94">
        <v>0</v>
      </c>
      <c r="AC89" s="94">
        <v>0</v>
      </c>
      <c r="AD89" s="89">
        <f t="shared" si="10"/>
        <v>0</v>
      </c>
      <c r="AE89" s="94">
        <v>0</v>
      </c>
      <c r="AF89" s="94">
        <v>0</v>
      </c>
      <c r="AG89" s="94">
        <v>0</v>
      </c>
      <c r="AH89" s="89">
        <f t="shared" si="11"/>
        <v>0</v>
      </c>
      <c r="AI89" s="95">
        <f t="shared" si="13"/>
        <v>0</v>
      </c>
      <c r="AJ89" s="97"/>
      <c r="AK89" s="62" t="str">
        <f>B89</f>
        <v>18 - Venda de Embalagens</v>
      </c>
      <c r="AL89" s="2244" t="str">
        <f t="shared" ref="AL89" si="33">IF(S89&gt;0,"janeiro",
IF(T89&gt;0,"fevereiro",
IF(U89&gt;0,"março",
IF(W89&gt;0,"abril",
IF(X89&gt;0,"maio",
IF(Y89&gt;0,"junho",
IF(AA89&gt;0,"julho",
IF(AB89&gt;0,"agosto",
IF(AC89&gt;0,"setembro",
IF(AE89&gt;0,"outubro",
IF(AF89&gt;0,"novembro",
IF(AG89&gt;0,"dezembro",
""))))))))))))</f>
        <v/>
      </c>
    </row>
    <row r="90" spans="1:38" ht="29.1" customHeight="1" x14ac:dyDescent="0.3">
      <c r="A90" s="1408"/>
      <c r="B90" s="1466"/>
      <c r="C90" s="1455"/>
      <c r="D90" s="1450"/>
      <c r="E90" s="1452"/>
      <c r="F90" s="1786"/>
      <c r="G90" s="1786"/>
      <c r="H90" s="1367"/>
      <c r="I90" s="1396"/>
      <c r="J90" s="1353"/>
      <c r="K90" s="1394"/>
      <c r="L90" s="1394"/>
      <c r="M90" s="1394"/>
      <c r="N90" s="1394"/>
      <c r="O90" s="1330"/>
      <c r="P90" s="1330"/>
      <c r="Q90" s="93" t="s">
        <v>117</v>
      </c>
      <c r="R90" s="96">
        <v>0</v>
      </c>
      <c r="S90" s="290">
        <v>0</v>
      </c>
      <c r="T90" s="290"/>
      <c r="U90" s="290"/>
      <c r="V90" s="288">
        <f t="shared" si="29"/>
        <v>0</v>
      </c>
      <c r="W90" s="290"/>
      <c r="X90" s="290"/>
      <c r="Y90" s="290"/>
      <c r="Z90" s="288">
        <f t="shared" si="27"/>
        <v>0</v>
      </c>
      <c r="AA90" s="290"/>
      <c r="AB90" s="290"/>
      <c r="AC90" s="290"/>
      <c r="AD90" s="288">
        <f t="shared" si="10"/>
        <v>0</v>
      </c>
      <c r="AE90" s="290"/>
      <c r="AF90" s="290"/>
      <c r="AG90" s="290"/>
      <c r="AH90" s="288">
        <f t="shared" si="11"/>
        <v>0</v>
      </c>
      <c r="AI90" s="291">
        <f t="shared" si="13"/>
        <v>0</v>
      </c>
      <c r="AJ90" s="97"/>
      <c r="AK90" s="62" t="str">
        <f>B89</f>
        <v>18 - Venda de Embalagens</v>
      </c>
      <c r="AL90" s="2245"/>
    </row>
    <row r="91" spans="1:38" ht="29.1" customHeight="1" x14ac:dyDescent="0.3">
      <c r="A91" s="1380" t="s">
        <v>925</v>
      </c>
      <c r="B91" s="1482" t="s">
        <v>401</v>
      </c>
      <c r="C91" s="2247" t="s">
        <v>402</v>
      </c>
      <c r="D91" s="1368" t="s">
        <v>403</v>
      </c>
      <c r="E91" s="1370" t="s">
        <v>404</v>
      </c>
      <c r="F91" s="1372">
        <v>46027</v>
      </c>
      <c r="G91" s="1372">
        <v>46081</v>
      </c>
      <c r="H91" s="1354">
        <v>45000</v>
      </c>
      <c r="I91" s="1354"/>
      <c r="J91" s="2246"/>
      <c r="K91" s="1861"/>
      <c r="L91" s="1764"/>
      <c r="M91" s="1764"/>
      <c r="N91" s="1764"/>
      <c r="O91" s="1354" t="s">
        <v>81</v>
      </c>
      <c r="P91" s="1327">
        <v>1</v>
      </c>
      <c r="Q91" s="87" t="s">
        <v>116</v>
      </c>
      <c r="R91" s="91">
        <f ca="1">IF(OR(F91="", G91=""), "", IF(TODAY()&lt;F91, 0, IF(TODAY()&gt;G91, 1, (TODAY()-F91+1)/(G91-F91+1))))</f>
        <v>1</v>
      </c>
      <c r="S91" s="88">
        <v>0</v>
      </c>
      <c r="T91" s="88">
        <v>0</v>
      </c>
      <c r="U91" s="88">
        <v>4500</v>
      </c>
      <c r="V91" s="89">
        <f t="shared" si="29"/>
        <v>4500</v>
      </c>
      <c r="W91" s="88">
        <v>4500</v>
      </c>
      <c r="X91" s="88">
        <v>4500</v>
      </c>
      <c r="Y91" s="88">
        <v>4500</v>
      </c>
      <c r="Z91" s="89">
        <f t="shared" si="27"/>
        <v>13500</v>
      </c>
      <c r="AA91" s="88">
        <v>4500</v>
      </c>
      <c r="AB91" s="88">
        <v>4500</v>
      </c>
      <c r="AC91" s="88">
        <v>4500</v>
      </c>
      <c r="AD91" s="89">
        <f t="shared" si="10"/>
        <v>13500</v>
      </c>
      <c r="AE91" s="88">
        <v>4500</v>
      </c>
      <c r="AF91" s="88">
        <v>4500</v>
      </c>
      <c r="AG91" s="88">
        <v>4500</v>
      </c>
      <c r="AH91" s="89">
        <f t="shared" si="11"/>
        <v>13500</v>
      </c>
      <c r="AI91" s="90">
        <f t="shared" si="13"/>
        <v>45000</v>
      </c>
      <c r="AJ91" s="92" t="s">
        <v>405</v>
      </c>
      <c r="AK91" s="62" t="str">
        <f>B91</f>
        <v>19 - Kaizen Facão. DA000481Z - PRODUTIVIDADE</v>
      </c>
      <c r="AL91" s="2244" t="str">
        <f t="shared" ref="AL91" si="34">IF(S91&gt;0,"janeiro",
IF(T91&gt;0,"fevereiro",
IF(U91&gt;0,"março",
IF(W91&gt;0,"abril",
IF(X91&gt;0,"maio",
IF(Y91&gt;0,"junho",
IF(AA91&gt;0,"julho",
IF(AB91&gt;0,"agosto",
IF(AC91&gt;0,"setembro",
IF(AE91&gt;0,"outubro",
IF(AF91&gt;0,"novembro",
IF(AG91&gt;0,"dezembro",
""))))))))))))</f>
        <v>março</v>
      </c>
    </row>
    <row r="92" spans="1:38" ht="29.1" customHeight="1" x14ac:dyDescent="0.3">
      <c r="A92" s="1381"/>
      <c r="B92" s="1483"/>
      <c r="C92" s="1487"/>
      <c r="D92" s="1369"/>
      <c r="E92" s="1371"/>
      <c r="F92" s="1373"/>
      <c r="G92" s="1373"/>
      <c r="H92" s="1355"/>
      <c r="I92" s="1355"/>
      <c r="J92" s="1778"/>
      <c r="K92" s="1392"/>
      <c r="L92" s="1765"/>
      <c r="M92" s="1765"/>
      <c r="N92" s="1765"/>
      <c r="O92" s="1355"/>
      <c r="P92" s="1328"/>
      <c r="Q92" s="87" t="s">
        <v>117</v>
      </c>
      <c r="R92" s="91">
        <v>1</v>
      </c>
      <c r="S92" s="287">
        <v>0</v>
      </c>
      <c r="T92" s="287"/>
      <c r="U92" s="287"/>
      <c r="V92" s="288">
        <f t="shared" si="29"/>
        <v>0</v>
      </c>
      <c r="W92" s="287"/>
      <c r="X92" s="287"/>
      <c r="Y92" s="287"/>
      <c r="Z92" s="288">
        <f t="shared" si="27"/>
        <v>0</v>
      </c>
      <c r="AA92" s="287"/>
      <c r="AB92" s="287"/>
      <c r="AC92" s="287"/>
      <c r="AD92" s="288">
        <f t="shared" si="10"/>
        <v>0</v>
      </c>
      <c r="AE92" s="287"/>
      <c r="AF92" s="287"/>
      <c r="AG92" s="287"/>
      <c r="AH92" s="288">
        <f t="shared" si="11"/>
        <v>0</v>
      </c>
      <c r="AI92" s="289">
        <f t="shared" si="13"/>
        <v>0</v>
      </c>
      <c r="AJ92" s="92" t="s">
        <v>406</v>
      </c>
      <c r="AK92" s="62" t="str">
        <f>B91</f>
        <v>19 - Kaizen Facão. DA000481Z - PRODUTIVIDADE</v>
      </c>
      <c r="AL92" s="2245"/>
    </row>
    <row r="93" spans="1:38" ht="29.1" customHeight="1" x14ac:dyDescent="0.3">
      <c r="A93" s="1407" t="s">
        <v>953</v>
      </c>
      <c r="B93" s="1465" t="s">
        <v>407</v>
      </c>
      <c r="C93" s="2248" t="s">
        <v>1729</v>
      </c>
      <c r="D93" s="1449" t="s">
        <v>409</v>
      </c>
      <c r="E93" s="1451" t="s">
        <v>410</v>
      </c>
      <c r="F93" s="1785">
        <v>46027</v>
      </c>
      <c r="G93" s="1785">
        <v>46387</v>
      </c>
      <c r="H93" s="1488">
        <v>82000</v>
      </c>
      <c r="I93" s="1395"/>
      <c r="J93" s="1352"/>
      <c r="K93" s="1393"/>
      <c r="L93" s="1393"/>
      <c r="M93" s="1393"/>
      <c r="N93" s="1393"/>
      <c r="O93" s="1334" t="s">
        <v>83</v>
      </c>
      <c r="P93" s="1334">
        <v>1</v>
      </c>
      <c r="Q93" s="93" t="s">
        <v>116</v>
      </c>
      <c r="R93" s="96">
        <f ca="1">IF(OR(F93="", G93=""), "", IF(TODAY()&lt;F93, 0, IF(TODAY()&gt;G93, 1, (TODAY()-F93+1)/(G93-F93+1))))</f>
        <v>0.62326869806094187</v>
      </c>
      <c r="S93" s="94">
        <v>6833</v>
      </c>
      <c r="T93" s="94">
        <v>6833</v>
      </c>
      <c r="U93" s="94">
        <v>6833</v>
      </c>
      <c r="V93" s="89">
        <f t="shared" si="29"/>
        <v>20499</v>
      </c>
      <c r="W93" s="94">
        <v>6833</v>
      </c>
      <c r="X93" s="94">
        <v>6833</v>
      </c>
      <c r="Y93" s="94">
        <v>6833</v>
      </c>
      <c r="Z93" s="89">
        <f t="shared" si="27"/>
        <v>20499</v>
      </c>
      <c r="AA93" s="94">
        <v>6833</v>
      </c>
      <c r="AB93" s="94">
        <v>6833</v>
      </c>
      <c r="AC93" s="94">
        <v>6833</v>
      </c>
      <c r="AD93" s="89">
        <f t="shared" si="10"/>
        <v>20499</v>
      </c>
      <c r="AE93" s="94">
        <v>6833</v>
      </c>
      <c r="AF93" s="94">
        <v>6833</v>
      </c>
      <c r="AG93" s="94">
        <v>6833</v>
      </c>
      <c r="AH93" s="89">
        <f t="shared" si="11"/>
        <v>20499</v>
      </c>
      <c r="AI93" s="95">
        <f t="shared" si="13"/>
        <v>81996</v>
      </c>
      <c r="AJ93" s="97" t="s">
        <v>1730</v>
      </c>
      <c r="AK93" s="62" t="str">
        <f>B93</f>
        <v>20 - Redução refugo em relação ao budget</v>
      </c>
      <c r="AL93" s="2244" t="str">
        <f t="shared" ref="AL93" si="35">IF(S93&gt;0,"janeiro",
IF(T93&gt;0,"fevereiro",
IF(U93&gt;0,"março",
IF(W93&gt;0,"abril",
IF(X93&gt;0,"maio",
IF(Y93&gt;0,"junho",
IF(AA93&gt;0,"julho",
IF(AB93&gt;0,"agosto",
IF(AC93&gt;0,"setembro",
IF(AE93&gt;0,"outubro",
IF(AF93&gt;0,"novembro",
IF(AG93&gt;0,"dezembro",
""))))))))))))</f>
        <v>janeiro</v>
      </c>
    </row>
    <row r="94" spans="1:38" ht="29.1" customHeight="1" x14ac:dyDescent="0.3">
      <c r="A94" s="1408"/>
      <c r="B94" s="1466"/>
      <c r="C94" s="1455"/>
      <c r="D94" s="1450"/>
      <c r="E94" s="1452"/>
      <c r="F94" s="1786"/>
      <c r="G94" s="1786"/>
      <c r="H94" s="1367"/>
      <c r="I94" s="1396"/>
      <c r="J94" s="1353"/>
      <c r="K94" s="1394"/>
      <c r="L94" s="1394"/>
      <c r="M94" s="1394"/>
      <c r="N94" s="1394"/>
      <c r="O94" s="1330"/>
      <c r="P94" s="1330"/>
      <c r="Q94" s="93" t="s">
        <v>117</v>
      </c>
      <c r="R94" s="96">
        <v>0.15</v>
      </c>
      <c r="S94" s="290">
        <f>20160-28800</f>
        <v>-8640</v>
      </c>
      <c r="T94" s="290"/>
      <c r="U94" s="290"/>
      <c r="V94" s="288">
        <f t="shared" si="29"/>
        <v>-8640</v>
      </c>
      <c r="W94" s="290"/>
      <c r="X94" s="290"/>
      <c r="Y94" s="290"/>
      <c r="Z94" s="288">
        <f t="shared" si="27"/>
        <v>0</v>
      </c>
      <c r="AA94" s="290"/>
      <c r="AB94" s="290"/>
      <c r="AC94" s="290"/>
      <c r="AD94" s="288">
        <f t="shared" si="10"/>
        <v>0</v>
      </c>
      <c r="AE94" s="290"/>
      <c r="AF94" s="290"/>
      <c r="AG94" s="290"/>
      <c r="AH94" s="288">
        <f t="shared" si="11"/>
        <v>0</v>
      </c>
      <c r="AI94" s="291">
        <f t="shared" si="13"/>
        <v>-8640</v>
      </c>
      <c r="AJ94" s="97" t="s">
        <v>412</v>
      </c>
      <c r="AK94" s="62" t="str">
        <f>B93</f>
        <v>20 - Redução refugo em relação ao budget</v>
      </c>
      <c r="AL94" s="2245"/>
    </row>
    <row r="95" spans="1:38" ht="29.1" customHeight="1" x14ac:dyDescent="0.3">
      <c r="A95" s="1380" t="s">
        <v>91</v>
      </c>
      <c r="B95" s="1482" t="s">
        <v>413</v>
      </c>
      <c r="C95" s="2247" t="s">
        <v>1731</v>
      </c>
      <c r="D95" s="1368" t="s">
        <v>415</v>
      </c>
      <c r="E95" s="1370" t="s">
        <v>307</v>
      </c>
      <c r="F95" s="1372">
        <v>46054</v>
      </c>
      <c r="G95" s="1372">
        <v>46112</v>
      </c>
      <c r="H95" s="1354">
        <f>4735.5*10</f>
        <v>47355</v>
      </c>
      <c r="I95" s="1354"/>
      <c r="J95" s="1770" t="s">
        <v>308</v>
      </c>
      <c r="K95" s="1391">
        <v>37365.58</v>
      </c>
      <c r="L95" s="1764"/>
      <c r="M95" s="1764"/>
      <c r="N95" s="1764"/>
      <c r="O95" s="1354" t="s">
        <v>83</v>
      </c>
      <c r="P95" s="1327">
        <v>1</v>
      </c>
      <c r="Q95" s="87" t="s">
        <v>116</v>
      </c>
      <c r="R95" s="91">
        <f ca="1">IF(OR(F95="", G95=""), "", IF(TODAY()&lt;F95, 0, IF(TODAY()&gt;G95, 1, (TODAY()-F95+1)/(G95-F95+1))))</f>
        <v>1</v>
      </c>
      <c r="S95" s="88">
        <v>0</v>
      </c>
      <c r="T95" s="88">
        <v>0</v>
      </c>
      <c r="U95" s="88">
        <v>4735.5</v>
      </c>
      <c r="V95" s="89">
        <f t="shared" ref="V95:V114" si="36">SUM(S95:U95)</f>
        <v>4735.5</v>
      </c>
      <c r="W95" s="88">
        <v>4735.5</v>
      </c>
      <c r="X95" s="88">
        <v>4735.5</v>
      </c>
      <c r="Y95" s="88">
        <v>4735.5</v>
      </c>
      <c r="Z95" s="89">
        <f t="shared" ref="Z95:Z114" si="37">SUM(W95:Y95)</f>
        <v>14206.5</v>
      </c>
      <c r="AA95" s="88">
        <v>4735.5</v>
      </c>
      <c r="AB95" s="88">
        <v>4735.5</v>
      </c>
      <c r="AC95" s="88">
        <v>4735.5</v>
      </c>
      <c r="AD95" s="89">
        <f t="shared" si="10"/>
        <v>14206.5</v>
      </c>
      <c r="AE95" s="88">
        <v>4735.5</v>
      </c>
      <c r="AF95" s="88">
        <v>4735.5</v>
      </c>
      <c r="AG95" s="88">
        <v>4735.5</v>
      </c>
      <c r="AH95" s="89">
        <f t="shared" si="11"/>
        <v>14206.5</v>
      </c>
      <c r="AI95" s="90">
        <f t="shared" si="13"/>
        <v>47355</v>
      </c>
      <c r="AJ95" s="92" t="s">
        <v>416</v>
      </c>
      <c r="AK95" s="62" t="str">
        <f>B95</f>
        <v>21 - Kaizen_Redução de peso bruto MB003537LA_MB003538LA</v>
      </c>
      <c r="AL95" s="2244" t="str">
        <f t="shared" ref="AL95" si="38">IF(S95&gt;0,"janeiro",
IF(T95&gt;0,"fevereiro",
IF(U95&gt;0,"março",
IF(W95&gt;0,"abril",
IF(X95&gt;0,"maio",
IF(Y95&gt;0,"junho",
IF(AA95&gt;0,"julho",
IF(AB95&gt;0,"agosto",
IF(AC95&gt;0,"setembro",
IF(AE95&gt;0,"outubro",
IF(AF95&gt;0,"novembro",
IF(AG95&gt;0,"dezembro",
""))))))))))))</f>
        <v>março</v>
      </c>
    </row>
    <row r="96" spans="1:38" ht="29.1" customHeight="1" x14ac:dyDescent="0.3">
      <c r="A96" s="1381"/>
      <c r="B96" s="1483"/>
      <c r="C96" s="1487"/>
      <c r="D96" s="1369"/>
      <c r="E96" s="1371"/>
      <c r="F96" s="1373"/>
      <c r="G96" s="1373"/>
      <c r="H96" s="1355"/>
      <c r="I96" s="1355"/>
      <c r="J96" s="1771"/>
      <c r="K96" s="1877"/>
      <c r="L96" s="1765"/>
      <c r="M96" s="1765"/>
      <c r="N96" s="1765"/>
      <c r="O96" s="1355"/>
      <c r="P96" s="1328"/>
      <c r="Q96" s="87" t="s">
        <v>117</v>
      </c>
      <c r="R96" s="91">
        <v>0.9</v>
      </c>
      <c r="S96" s="287">
        <v>0</v>
      </c>
      <c r="T96" s="287">
        <v>0</v>
      </c>
      <c r="U96" s="287"/>
      <c r="V96" s="288">
        <f t="shared" si="36"/>
        <v>0</v>
      </c>
      <c r="W96" s="287"/>
      <c r="X96" s="287"/>
      <c r="Y96" s="287"/>
      <c r="Z96" s="288">
        <f t="shared" si="37"/>
        <v>0</v>
      </c>
      <c r="AA96" s="287"/>
      <c r="AB96" s="287"/>
      <c r="AC96" s="287"/>
      <c r="AD96" s="288">
        <f t="shared" si="10"/>
        <v>0</v>
      </c>
      <c r="AE96" s="287"/>
      <c r="AF96" s="287"/>
      <c r="AG96" s="287"/>
      <c r="AH96" s="288">
        <f t="shared" si="11"/>
        <v>0</v>
      </c>
      <c r="AI96" s="289">
        <f t="shared" si="13"/>
        <v>0</v>
      </c>
      <c r="AJ96" s="92" t="s">
        <v>417</v>
      </c>
      <c r="AK96" s="62" t="str">
        <f>B95</f>
        <v>21 - Kaizen_Redução de peso bruto MB003537LA_MB003538LA</v>
      </c>
      <c r="AL96" s="2245"/>
    </row>
    <row r="97" spans="1:38" ht="29.1" customHeight="1" x14ac:dyDescent="0.3">
      <c r="A97" s="1407" t="s">
        <v>91</v>
      </c>
      <c r="B97" s="1465" t="s">
        <v>418</v>
      </c>
      <c r="C97" s="2248" t="s">
        <v>419</v>
      </c>
      <c r="D97" s="1449" t="s">
        <v>420</v>
      </c>
      <c r="E97" s="1451" t="s">
        <v>307</v>
      </c>
      <c r="F97" s="1785">
        <v>46054</v>
      </c>
      <c r="G97" s="1785">
        <v>46082</v>
      </c>
      <c r="H97" s="1488">
        <v>27000</v>
      </c>
      <c r="I97" s="1395"/>
      <c r="J97" s="1352"/>
      <c r="K97" s="1393"/>
      <c r="L97" s="1393"/>
      <c r="M97" s="1393"/>
      <c r="N97" s="1393"/>
      <c r="O97" s="1334" t="s">
        <v>83</v>
      </c>
      <c r="P97" s="1334">
        <v>1</v>
      </c>
      <c r="Q97" s="93" t="s">
        <v>116</v>
      </c>
      <c r="R97" s="96">
        <f ca="1">IF(OR(F97="", G97=""), "", IF(TODAY()&lt;F97, 0, IF(TODAY()&gt;G97, 1, (TODAY()-F97+1)/(G97-F97+1))))</f>
        <v>1</v>
      </c>
      <c r="S97" s="94">
        <v>0</v>
      </c>
      <c r="T97" s="94">
        <v>0</v>
      </c>
      <c r="U97" s="94">
        <v>0</v>
      </c>
      <c r="V97" s="89">
        <f t="shared" si="36"/>
        <v>0</v>
      </c>
      <c r="W97" s="94">
        <v>3000</v>
      </c>
      <c r="X97" s="94">
        <v>3000</v>
      </c>
      <c r="Y97" s="94">
        <v>3000</v>
      </c>
      <c r="Z97" s="89">
        <f t="shared" si="37"/>
        <v>9000</v>
      </c>
      <c r="AA97" s="94">
        <v>3000</v>
      </c>
      <c r="AB97" s="94">
        <v>3000</v>
      </c>
      <c r="AC97" s="94">
        <v>3000</v>
      </c>
      <c r="AD97" s="89">
        <f t="shared" si="10"/>
        <v>9000</v>
      </c>
      <c r="AE97" s="94">
        <v>3000</v>
      </c>
      <c r="AF97" s="94">
        <v>3000</v>
      </c>
      <c r="AG97" s="94">
        <v>3000</v>
      </c>
      <c r="AH97" s="89">
        <f t="shared" si="11"/>
        <v>9000</v>
      </c>
      <c r="AI97" s="95">
        <f t="shared" si="13"/>
        <v>27000</v>
      </c>
      <c r="AJ97" s="97" t="s">
        <v>1732</v>
      </c>
      <c r="AK97" s="62" t="str">
        <f>B97</f>
        <v>22 - Aproveitamento de Retalho do corte laser - MB002316LA_MB003533LA_MB003673LC</v>
      </c>
      <c r="AL97" s="2244" t="str">
        <f t="shared" ref="AL97" si="39">IF(S97&gt;0,"janeiro",
IF(T97&gt;0,"fevereiro",
IF(U97&gt;0,"março",
IF(W97&gt;0,"abril",
IF(X97&gt;0,"maio",
IF(Y97&gt;0,"junho",
IF(AA97&gt;0,"julho",
IF(AB97&gt;0,"agosto",
IF(AC97&gt;0,"setembro",
IF(AE97&gt;0,"outubro",
IF(AF97&gt;0,"novembro",
IF(AG97&gt;0,"dezembro",
""))))))))))))</f>
        <v>abril</v>
      </c>
    </row>
    <row r="98" spans="1:38" ht="29.1" customHeight="1" x14ac:dyDescent="0.3">
      <c r="A98" s="1408"/>
      <c r="B98" s="1466"/>
      <c r="C98" s="1455"/>
      <c r="D98" s="1450"/>
      <c r="E98" s="1452"/>
      <c r="F98" s="1786"/>
      <c r="G98" s="1786"/>
      <c r="H98" s="1367"/>
      <c r="I98" s="1396"/>
      <c r="J98" s="1353"/>
      <c r="K98" s="1394"/>
      <c r="L98" s="1394"/>
      <c r="M98" s="1394"/>
      <c r="N98" s="1394"/>
      <c r="O98" s="1330"/>
      <c r="P98" s="1330"/>
      <c r="Q98" s="93" t="s">
        <v>117</v>
      </c>
      <c r="R98" s="96">
        <v>0.7</v>
      </c>
      <c r="S98" s="290">
        <v>0</v>
      </c>
      <c r="T98" s="290"/>
      <c r="U98" s="290"/>
      <c r="V98" s="288">
        <f t="shared" si="36"/>
        <v>0</v>
      </c>
      <c r="W98" s="290"/>
      <c r="X98" s="290"/>
      <c r="Y98" s="290"/>
      <c r="Z98" s="288">
        <f t="shared" si="37"/>
        <v>0</v>
      </c>
      <c r="AA98" s="290"/>
      <c r="AB98" s="290"/>
      <c r="AC98" s="290"/>
      <c r="AD98" s="288">
        <f t="shared" si="10"/>
        <v>0</v>
      </c>
      <c r="AE98" s="290"/>
      <c r="AF98" s="290"/>
      <c r="AG98" s="290"/>
      <c r="AH98" s="288">
        <f t="shared" si="11"/>
        <v>0</v>
      </c>
      <c r="AI98" s="291">
        <f t="shared" si="13"/>
        <v>0</v>
      </c>
      <c r="AJ98" s="97"/>
      <c r="AK98" s="62" t="str">
        <f>B97</f>
        <v>22 - Aproveitamento de Retalho do corte laser - MB002316LA_MB003533LA_MB003673LC</v>
      </c>
      <c r="AL98" s="2245"/>
    </row>
    <row r="99" spans="1:38" ht="29.1" customHeight="1" x14ac:dyDescent="0.3">
      <c r="A99" s="1380" t="s">
        <v>91</v>
      </c>
      <c r="B99" s="1482" t="s">
        <v>422</v>
      </c>
      <c r="C99" s="2247" t="s">
        <v>1733</v>
      </c>
      <c r="D99" s="1368" t="s">
        <v>424</v>
      </c>
      <c r="E99" s="1370" t="s">
        <v>307</v>
      </c>
      <c r="F99" s="1372">
        <v>46069</v>
      </c>
      <c r="G99" s="1372">
        <v>46111</v>
      </c>
      <c r="H99" s="1354">
        <f>17600*9</f>
        <v>158400</v>
      </c>
      <c r="I99" s="1354"/>
      <c r="J99" s="2246"/>
      <c r="K99" s="1861"/>
      <c r="L99" s="1764"/>
      <c r="M99" s="1764"/>
      <c r="N99" s="1764"/>
      <c r="O99" s="1354" t="s">
        <v>83</v>
      </c>
      <c r="P99" s="1327">
        <v>0.8</v>
      </c>
      <c r="Q99" s="87" t="s">
        <v>116</v>
      </c>
      <c r="R99" s="91">
        <v>0.2</v>
      </c>
      <c r="S99" s="88">
        <v>0</v>
      </c>
      <c r="T99" s="88">
        <v>0</v>
      </c>
      <c r="U99" s="88">
        <v>0</v>
      </c>
      <c r="V99" s="89">
        <f t="shared" si="36"/>
        <v>0</v>
      </c>
      <c r="W99" s="88">
        <v>17600</v>
      </c>
      <c r="X99" s="88">
        <v>17600</v>
      </c>
      <c r="Y99" s="88">
        <v>17600</v>
      </c>
      <c r="Z99" s="89">
        <f t="shared" si="37"/>
        <v>52800</v>
      </c>
      <c r="AA99" s="88">
        <v>17600</v>
      </c>
      <c r="AB99" s="88">
        <v>17600</v>
      </c>
      <c r="AC99" s="88">
        <v>17600</v>
      </c>
      <c r="AD99" s="89">
        <f t="shared" si="10"/>
        <v>52800</v>
      </c>
      <c r="AE99" s="88">
        <v>17600</v>
      </c>
      <c r="AF99" s="88">
        <v>17600</v>
      </c>
      <c r="AG99" s="88">
        <v>17600</v>
      </c>
      <c r="AH99" s="89">
        <f t="shared" si="11"/>
        <v>52800</v>
      </c>
      <c r="AI99" s="90">
        <f t="shared" si="13"/>
        <v>158400</v>
      </c>
      <c r="AJ99" s="92" t="s">
        <v>1734</v>
      </c>
      <c r="AK99" s="62" t="str">
        <f>B99</f>
        <v>23 - Redução do peso bruto VW000581Z / VW000582Z</v>
      </c>
      <c r="AL99" s="2244" t="str">
        <f t="shared" ref="AL99" si="40">IF(S99&gt;0,"janeiro",
IF(T99&gt;0,"fevereiro",
IF(U99&gt;0,"março",
IF(W99&gt;0,"abril",
IF(X99&gt;0,"maio",
IF(Y99&gt;0,"junho",
IF(AA99&gt;0,"julho",
IF(AB99&gt;0,"agosto",
IF(AC99&gt;0,"setembro",
IF(AE99&gt;0,"outubro",
IF(AF99&gt;0,"novembro",
IF(AG99&gt;0,"dezembro",
""))))))))))))</f>
        <v>abril</v>
      </c>
    </row>
    <row r="100" spans="1:38" ht="29.1" customHeight="1" x14ac:dyDescent="0.3">
      <c r="A100" s="1381"/>
      <c r="B100" s="1483"/>
      <c r="C100" s="1487"/>
      <c r="D100" s="1369"/>
      <c r="E100" s="1371"/>
      <c r="F100" s="1373"/>
      <c r="G100" s="1373"/>
      <c r="H100" s="1355"/>
      <c r="I100" s="1355"/>
      <c r="J100" s="1778"/>
      <c r="K100" s="1392"/>
      <c r="L100" s="1765"/>
      <c r="M100" s="1765"/>
      <c r="N100" s="1765"/>
      <c r="O100" s="1355"/>
      <c r="P100" s="1328"/>
      <c r="Q100" s="87" t="s">
        <v>117</v>
      </c>
      <c r="R100" s="91">
        <v>0.2</v>
      </c>
      <c r="S100" s="287">
        <v>0</v>
      </c>
      <c r="T100" s="287"/>
      <c r="U100" s="287"/>
      <c r="V100" s="288">
        <f t="shared" si="36"/>
        <v>0</v>
      </c>
      <c r="W100" s="287"/>
      <c r="X100" s="287"/>
      <c r="Y100" s="287"/>
      <c r="Z100" s="288">
        <f t="shared" si="37"/>
        <v>0</v>
      </c>
      <c r="AA100" s="287"/>
      <c r="AB100" s="287"/>
      <c r="AC100" s="287"/>
      <c r="AD100" s="288">
        <f t="shared" si="10"/>
        <v>0</v>
      </c>
      <c r="AE100" s="287"/>
      <c r="AF100" s="287"/>
      <c r="AG100" s="287"/>
      <c r="AH100" s="288">
        <f t="shared" si="11"/>
        <v>0</v>
      </c>
      <c r="AI100" s="289">
        <f t="shared" si="13"/>
        <v>0</v>
      </c>
      <c r="AJ100" s="92"/>
      <c r="AK100" s="62" t="str">
        <f>B99</f>
        <v>23 - Redução do peso bruto VW000581Z / VW000582Z</v>
      </c>
      <c r="AL100" s="2245"/>
    </row>
    <row r="101" spans="1:38" ht="29.1" customHeight="1" x14ac:dyDescent="0.3">
      <c r="A101" s="1407"/>
      <c r="B101" s="1465"/>
      <c r="C101" s="2248"/>
      <c r="D101" s="1449"/>
      <c r="E101" s="1451"/>
      <c r="F101" s="1785"/>
      <c r="G101" s="1785"/>
      <c r="H101" s="1488"/>
      <c r="I101" s="1395"/>
      <c r="J101" s="1352"/>
      <c r="K101" s="1393"/>
      <c r="L101" s="1393"/>
      <c r="M101" s="1393"/>
      <c r="N101" s="1393"/>
      <c r="O101" s="1334"/>
      <c r="P101" s="1334"/>
      <c r="Q101" s="93" t="s">
        <v>116</v>
      </c>
      <c r="R101" s="96" t="str">
        <f ca="1">IF(OR(F101="", G101=""), "", IF(TODAY()&lt;F101, 0, IF(TODAY()&gt;G101, 1, (TODAY()-F101+1)/(G101-F101+1))))</f>
        <v/>
      </c>
      <c r="S101" s="94"/>
      <c r="T101" s="94"/>
      <c r="U101" s="94"/>
      <c r="V101" s="89">
        <f t="shared" si="36"/>
        <v>0</v>
      </c>
      <c r="W101" s="94"/>
      <c r="X101" s="94"/>
      <c r="Y101" s="94"/>
      <c r="Z101" s="89">
        <f t="shared" si="37"/>
        <v>0</v>
      </c>
      <c r="AA101" s="94"/>
      <c r="AB101" s="94"/>
      <c r="AC101" s="94"/>
      <c r="AD101" s="89">
        <f t="shared" si="10"/>
        <v>0</v>
      </c>
      <c r="AE101" s="94"/>
      <c r="AF101" s="94"/>
      <c r="AG101" s="94"/>
      <c r="AH101" s="89">
        <f t="shared" si="11"/>
        <v>0</v>
      </c>
      <c r="AI101" s="95">
        <f t="shared" si="13"/>
        <v>0</v>
      </c>
      <c r="AJ101" s="97"/>
      <c r="AK101" s="62">
        <f>B101</f>
        <v>0</v>
      </c>
      <c r="AL101" s="2244" t="str">
        <f t="shared" ref="AL101" si="41">IF(S101&gt;0,"janeiro",
IF(T101&gt;0,"fevereiro",
IF(U101&gt;0,"março",
IF(W101&gt;0,"abril",
IF(X101&gt;0,"maio",
IF(Y101&gt;0,"junho",
IF(AA101&gt;0,"julho",
IF(AB101&gt;0,"agosto",
IF(AC101&gt;0,"setembro",
IF(AE101&gt;0,"outubro",
IF(AF101&gt;0,"novembro",
IF(AG101&gt;0,"dezembro",
""))))))))))))</f>
        <v/>
      </c>
    </row>
    <row r="102" spans="1:38" ht="29.1" customHeight="1" x14ac:dyDescent="0.3">
      <c r="A102" s="1408"/>
      <c r="B102" s="1466"/>
      <c r="C102" s="1455"/>
      <c r="D102" s="1450"/>
      <c r="E102" s="1452"/>
      <c r="F102" s="1786"/>
      <c r="G102" s="1786"/>
      <c r="H102" s="1367"/>
      <c r="I102" s="1396"/>
      <c r="J102" s="1353"/>
      <c r="K102" s="1394"/>
      <c r="L102" s="1394"/>
      <c r="M102" s="1394"/>
      <c r="N102" s="1394"/>
      <c r="O102" s="1330"/>
      <c r="P102" s="1330"/>
      <c r="Q102" s="93" t="s">
        <v>117</v>
      </c>
      <c r="R102" s="96"/>
      <c r="S102" s="290"/>
      <c r="T102" s="290"/>
      <c r="U102" s="290"/>
      <c r="V102" s="288">
        <f t="shared" si="36"/>
        <v>0</v>
      </c>
      <c r="W102" s="290"/>
      <c r="X102" s="290"/>
      <c r="Y102" s="290"/>
      <c r="Z102" s="288">
        <f t="shared" si="37"/>
        <v>0</v>
      </c>
      <c r="AA102" s="290"/>
      <c r="AB102" s="290"/>
      <c r="AC102" s="290"/>
      <c r="AD102" s="288">
        <f t="shared" si="10"/>
        <v>0</v>
      </c>
      <c r="AE102" s="290"/>
      <c r="AF102" s="290"/>
      <c r="AG102" s="290"/>
      <c r="AH102" s="288">
        <f t="shared" si="11"/>
        <v>0</v>
      </c>
      <c r="AI102" s="291">
        <f t="shared" si="13"/>
        <v>0</v>
      </c>
      <c r="AJ102" s="97"/>
      <c r="AK102" s="62">
        <f>B101</f>
        <v>0</v>
      </c>
      <c r="AL102" s="2245"/>
    </row>
    <row r="103" spans="1:38" ht="29.1" customHeight="1" x14ac:dyDescent="0.3">
      <c r="A103" s="1380"/>
      <c r="B103" s="1482"/>
      <c r="C103" s="2247"/>
      <c r="D103" s="1368"/>
      <c r="E103" s="1370"/>
      <c r="F103" s="1372"/>
      <c r="G103" s="1372"/>
      <c r="H103" s="1354"/>
      <c r="I103" s="1354"/>
      <c r="J103" s="2246"/>
      <c r="K103" s="1861"/>
      <c r="L103" s="1764"/>
      <c r="M103" s="1764"/>
      <c r="N103" s="1764"/>
      <c r="O103" s="1354"/>
      <c r="P103" s="1327"/>
      <c r="Q103" s="87" t="s">
        <v>116</v>
      </c>
      <c r="R103" s="91" t="str">
        <f ca="1">IF(OR(F103="", G103=""), "", IF(TODAY()&lt;F103, 0, IF(TODAY()&gt;G103, 1, (TODAY()-F103+1)/(G103-F103+1))))</f>
        <v/>
      </c>
      <c r="S103" s="88"/>
      <c r="T103" s="88"/>
      <c r="U103" s="88"/>
      <c r="V103" s="89">
        <f t="shared" si="36"/>
        <v>0</v>
      </c>
      <c r="W103" s="88"/>
      <c r="X103" s="88"/>
      <c r="Y103" s="88"/>
      <c r="Z103" s="89">
        <f t="shared" si="37"/>
        <v>0</v>
      </c>
      <c r="AA103" s="88"/>
      <c r="AB103" s="88"/>
      <c r="AC103" s="88"/>
      <c r="AD103" s="89">
        <f t="shared" si="10"/>
        <v>0</v>
      </c>
      <c r="AE103" s="88"/>
      <c r="AF103" s="88"/>
      <c r="AG103" s="88"/>
      <c r="AH103" s="89">
        <f t="shared" si="11"/>
        <v>0</v>
      </c>
      <c r="AI103" s="90">
        <f t="shared" si="13"/>
        <v>0</v>
      </c>
      <c r="AJ103" s="92"/>
      <c r="AK103" s="62">
        <f>B103</f>
        <v>0</v>
      </c>
      <c r="AL103" s="2244" t="str">
        <f t="shared" ref="AL103" si="42">IF(S103&gt;0,"janeiro",
IF(T103&gt;0,"fevereiro",
IF(U103&gt;0,"março",
IF(W103&gt;0,"abril",
IF(X103&gt;0,"maio",
IF(Y103&gt;0,"junho",
IF(AA103&gt;0,"julho",
IF(AB103&gt;0,"agosto",
IF(AC103&gt;0,"setembro",
IF(AE103&gt;0,"outubro",
IF(AF103&gt;0,"novembro",
IF(AG103&gt;0,"dezembro",
""))))))))))))</f>
        <v/>
      </c>
    </row>
    <row r="104" spans="1:38" ht="29.1" customHeight="1" x14ac:dyDescent="0.3">
      <c r="A104" s="1381"/>
      <c r="B104" s="1483"/>
      <c r="C104" s="1487"/>
      <c r="D104" s="1369"/>
      <c r="E104" s="1371"/>
      <c r="F104" s="1373"/>
      <c r="G104" s="1373"/>
      <c r="H104" s="1355"/>
      <c r="I104" s="1355"/>
      <c r="J104" s="1778"/>
      <c r="K104" s="1392"/>
      <c r="L104" s="1765"/>
      <c r="M104" s="1765"/>
      <c r="N104" s="1765"/>
      <c r="O104" s="1355"/>
      <c r="P104" s="1328"/>
      <c r="Q104" s="87" t="s">
        <v>117</v>
      </c>
      <c r="R104" s="91"/>
      <c r="S104" s="287"/>
      <c r="T104" s="287"/>
      <c r="U104" s="287"/>
      <c r="V104" s="288">
        <f t="shared" si="36"/>
        <v>0</v>
      </c>
      <c r="W104" s="287"/>
      <c r="X104" s="287"/>
      <c r="Y104" s="287"/>
      <c r="Z104" s="288">
        <f t="shared" si="37"/>
        <v>0</v>
      </c>
      <c r="AA104" s="287"/>
      <c r="AB104" s="287"/>
      <c r="AC104" s="287"/>
      <c r="AD104" s="288">
        <f t="shared" si="10"/>
        <v>0</v>
      </c>
      <c r="AE104" s="287"/>
      <c r="AF104" s="287"/>
      <c r="AG104" s="287"/>
      <c r="AH104" s="288">
        <f t="shared" si="11"/>
        <v>0</v>
      </c>
      <c r="AI104" s="289">
        <f t="shared" si="13"/>
        <v>0</v>
      </c>
      <c r="AJ104" s="92"/>
      <c r="AK104" s="62">
        <f>B103</f>
        <v>0</v>
      </c>
      <c r="AL104" s="2245"/>
    </row>
    <row r="105" spans="1:38" ht="29.1" customHeight="1" x14ac:dyDescent="0.3">
      <c r="A105" s="1407"/>
      <c r="B105" s="1465"/>
      <c r="C105" s="2248"/>
      <c r="D105" s="1449"/>
      <c r="E105" s="1451"/>
      <c r="F105" s="1785"/>
      <c r="G105" s="1785"/>
      <c r="H105" s="1488"/>
      <c r="I105" s="1395"/>
      <c r="J105" s="1352"/>
      <c r="K105" s="1393"/>
      <c r="L105" s="1393"/>
      <c r="M105" s="1393"/>
      <c r="N105" s="1393"/>
      <c r="O105" s="1334"/>
      <c r="P105" s="1334"/>
      <c r="Q105" s="93" t="s">
        <v>116</v>
      </c>
      <c r="R105" s="96" t="str">
        <f ca="1">IF(OR(F105="", G105=""), "", IF(TODAY()&lt;F105, 0, IF(TODAY()&gt;G105, 1, (TODAY()-F105+1)/(G105-F105+1))))</f>
        <v/>
      </c>
      <c r="S105" s="94"/>
      <c r="T105" s="94"/>
      <c r="U105" s="94"/>
      <c r="V105" s="89">
        <f t="shared" si="36"/>
        <v>0</v>
      </c>
      <c r="W105" s="94"/>
      <c r="X105" s="94"/>
      <c r="Y105" s="94"/>
      <c r="Z105" s="89">
        <f t="shared" si="37"/>
        <v>0</v>
      </c>
      <c r="AA105" s="94"/>
      <c r="AB105" s="94"/>
      <c r="AC105" s="94"/>
      <c r="AD105" s="89">
        <f t="shared" si="10"/>
        <v>0</v>
      </c>
      <c r="AE105" s="94"/>
      <c r="AF105" s="94"/>
      <c r="AG105" s="94"/>
      <c r="AH105" s="89">
        <f t="shared" si="11"/>
        <v>0</v>
      </c>
      <c r="AI105" s="95">
        <f t="shared" si="13"/>
        <v>0</v>
      </c>
      <c r="AJ105" s="97"/>
      <c r="AK105" s="62">
        <f>B105</f>
        <v>0</v>
      </c>
      <c r="AL105" s="2244" t="str">
        <f t="shared" ref="AL105" si="43">IF(S105&gt;0,"janeiro",
IF(T105&gt;0,"fevereiro",
IF(U105&gt;0,"março",
IF(W105&gt;0,"abril",
IF(X105&gt;0,"maio",
IF(Y105&gt;0,"junho",
IF(AA105&gt;0,"julho",
IF(AB105&gt;0,"agosto",
IF(AC105&gt;0,"setembro",
IF(AE105&gt;0,"outubro",
IF(AF105&gt;0,"novembro",
IF(AG105&gt;0,"dezembro",
""))))))))))))</f>
        <v/>
      </c>
    </row>
    <row r="106" spans="1:38" ht="29.1" customHeight="1" x14ac:dyDescent="0.3">
      <c r="A106" s="1408"/>
      <c r="B106" s="1466"/>
      <c r="C106" s="1455"/>
      <c r="D106" s="1450"/>
      <c r="E106" s="1452"/>
      <c r="F106" s="1786"/>
      <c r="G106" s="1786"/>
      <c r="H106" s="1367"/>
      <c r="I106" s="1396"/>
      <c r="J106" s="1353"/>
      <c r="K106" s="1394"/>
      <c r="L106" s="1394"/>
      <c r="M106" s="1394"/>
      <c r="N106" s="1394"/>
      <c r="O106" s="1330"/>
      <c r="P106" s="1330"/>
      <c r="Q106" s="93" t="s">
        <v>117</v>
      </c>
      <c r="R106" s="96"/>
      <c r="S106" s="290"/>
      <c r="T106" s="290"/>
      <c r="U106" s="290"/>
      <c r="V106" s="288">
        <f t="shared" si="36"/>
        <v>0</v>
      </c>
      <c r="W106" s="290"/>
      <c r="X106" s="290"/>
      <c r="Y106" s="290"/>
      <c r="Z106" s="288">
        <f t="shared" si="37"/>
        <v>0</v>
      </c>
      <c r="AA106" s="290"/>
      <c r="AB106" s="290"/>
      <c r="AC106" s="290"/>
      <c r="AD106" s="288">
        <f t="shared" si="10"/>
        <v>0</v>
      </c>
      <c r="AE106" s="290"/>
      <c r="AF106" s="290"/>
      <c r="AG106" s="290"/>
      <c r="AH106" s="288">
        <f t="shared" si="11"/>
        <v>0</v>
      </c>
      <c r="AI106" s="291">
        <f t="shared" si="13"/>
        <v>0</v>
      </c>
      <c r="AJ106" s="97"/>
      <c r="AK106" s="62">
        <f>B105</f>
        <v>0</v>
      </c>
      <c r="AL106" s="2245"/>
    </row>
    <row r="107" spans="1:38" ht="29.1" customHeight="1" x14ac:dyDescent="0.3">
      <c r="A107" s="1380"/>
      <c r="B107" s="1482"/>
      <c r="C107" s="2247"/>
      <c r="D107" s="1368"/>
      <c r="E107" s="1370"/>
      <c r="F107" s="1372"/>
      <c r="G107" s="1372"/>
      <c r="H107" s="1354"/>
      <c r="I107" s="1354"/>
      <c r="J107" s="2246"/>
      <c r="K107" s="1861"/>
      <c r="L107" s="1764"/>
      <c r="M107" s="1764"/>
      <c r="N107" s="1764"/>
      <c r="O107" s="1354"/>
      <c r="P107" s="1327"/>
      <c r="Q107" s="87" t="s">
        <v>116</v>
      </c>
      <c r="R107" s="91" t="str">
        <f ca="1">IF(OR(F107="", G107=""), "", IF(TODAY()&lt;F107, 0, IF(TODAY()&gt;G107, 1, (TODAY()-F107+1)/(G107-F107+1))))</f>
        <v/>
      </c>
      <c r="S107" s="88"/>
      <c r="T107" s="88"/>
      <c r="U107" s="88"/>
      <c r="V107" s="89">
        <f t="shared" si="36"/>
        <v>0</v>
      </c>
      <c r="W107" s="88"/>
      <c r="X107" s="88"/>
      <c r="Y107" s="88"/>
      <c r="Z107" s="89">
        <f t="shared" si="37"/>
        <v>0</v>
      </c>
      <c r="AA107" s="88"/>
      <c r="AB107" s="88"/>
      <c r="AC107" s="88"/>
      <c r="AD107" s="89">
        <f t="shared" si="10"/>
        <v>0</v>
      </c>
      <c r="AE107" s="88"/>
      <c r="AF107" s="88"/>
      <c r="AG107" s="88"/>
      <c r="AH107" s="89">
        <f t="shared" si="11"/>
        <v>0</v>
      </c>
      <c r="AI107" s="90">
        <f t="shared" si="13"/>
        <v>0</v>
      </c>
      <c r="AJ107" s="92"/>
      <c r="AK107" s="62">
        <f>B107</f>
        <v>0</v>
      </c>
      <c r="AL107" s="2244" t="str">
        <f t="shared" ref="AL107" si="44">IF(S107&gt;0,"janeiro",
IF(T107&gt;0,"fevereiro",
IF(U107&gt;0,"março",
IF(W107&gt;0,"abril",
IF(X107&gt;0,"maio",
IF(Y107&gt;0,"junho",
IF(AA107&gt;0,"julho",
IF(AB107&gt;0,"agosto",
IF(AC107&gt;0,"setembro",
IF(AE107&gt;0,"outubro",
IF(AF107&gt;0,"novembro",
IF(AG107&gt;0,"dezembro",
""))))))))))))</f>
        <v/>
      </c>
    </row>
    <row r="108" spans="1:38" ht="29.1" customHeight="1" x14ac:dyDescent="0.3">
      <c r="A108" s="1381"/>
      <c r="B108" s="1483"/>
      <c r="C108" s="1487"/>
      <c r="D108" s="1369"/>
      <c r="E108" s="1371"/>
      <c r="F108" s="1373"/>
      <c r="G108" s="1373"/>
      <c r="H108" s="1355"/>
      <c r="I108" s="1355"/>
      <c r="J108" s="1778"/>
      <c r="K108" s="1392"/>
      <c r="L108" s="1765"/>
      <c r="M108" s="1765"/>
      <c r="N108" s="1765"/>
      <c r="O108" s="1355"/>
      <c r="P108" s="1328"/>
      <c r="Q108" s="87" t="s">
        <v>117</v>
      </c>
      <c r="R108" s="91"/>
      <c r="S108" s="287"/>
      <c r="T108" s="287"/>
      <c r="U108" s="287"/>
      <c r="V108" s="288">
        <f t="shared" si="36"/>
        <v>0</v>
      </c>
      <c r="W108" s="287"/>
      <c r="X108" s="287"/>
      <c r="Y108" s="287"/>
      <c r="Z108" s="288">
        <f t="shared" si="37"/>
        <v>0</v>
      </c>
      <c r="AA108" s="287"/>
      <c r="AB108" s="287"/>
      <c r="AC108" s="287"/>
      <c r="AD108" s="288">
        <f t="shared" si="10"/>
        <v>0</v>
      </c>
      <c r="AE108" s="287"/>
      <c r="AF108" s="287"/>
      <c r="AG108" s="287"/>
      <c r="AH108" s="288">
        <f t="shared" si="11"/>
        <v>0</v>
      </c>
      <c r="AI108" s="289">
        <f t="shared" si="13"/>
        <v>0</v>
      </c>
      <c r="AJ108" s="92"/>
      <c r="AK108" s="62">
        <f>B107</f>
        <v>0</v>
      </c>
      <c r="AL108" s="2245"/>
    </row>
    <row r="109" spans="1:38" ht="29.1" customHeight="1" x14ac:dyDescent="0.3">
      <c r="A109" s="1407"/>
      <c r="B109" s="1465"/>
      <c r="C109" s="2248"/>
      <c r="D109" s="1449"/>
      <c r="E109" s="1451"/>
      <c r="F109" s="1785"/>
      <c r="G109" s="1785"/>
      <c r="H109" s="1488"/>
      <c r="I109" s="1395"/>
      <c r="J109" s="1352"/>
      <c r="K109" s="1393"/>
      <c r="L109" s="1393"/>
      <c r="M109" s="1393"/>
      <c r="N109" s="1393"/>
      <c r="O109" s="1334"/>
      <c r="P109" s="1334"/>
      <c r="Q109" s="93" t="s">
        <v>116</v>
      </c>
      <c r="R109" s="96" t="str">
        <f ca="1">IF(OR(F109="", G109=""), "", IF(TODAY()&lt;F109, 0, IF(TODAY()&gt;G109, 1, (TODAY()-F109+1)/(G109-F109+1))))</f>
        <v/>
      </c>
      <c r="S109" s="94"/>
      <c r="T109" s="94"/>
      <c r="U109" s="94"/>
      <c r="V109" s="89">
        <f t="shared" si="36"/>
        <v>0</v>
      </c>
      <c r="W109" s="94"/>
      <c r="X109" s="94"/>
      <c r="Y109" s="94"/>
      <c r="Z109" s="89">
        <f t="shared" si="37"/>
        <v>0</v>
      </c>
      <c r="AA109" s="94"/>
      <c r="AB109" s="94"/>
      <c r="AC109" s="94"/>
      <c r="AD109" s="89">
        <f t="shared" si="10"/>
        <v>0</v>
      </c>
      <c r="AE109" s="94"/>
      <c r="AF109" s="94"/>
      <c r="AG109" s="94"/>
      <c r="AH109" s="89">
        <f t="shared" si="11"/>
        <v>0</v>
      </c>
      <c r="AI109" s="95">
        <f t="shared" si="13"/>
        <v>0</v>
      </c>
      <c r="AJ109" s="97"/>
      <c r="AK109" s="62">
        <f>B109</f>
        <v>0</v>
      </c>
      <c r="AL109" s="2244" t="str">
        <f t="shared" ref="AL109" si="45">IF(S109&gt;0,"janeiro",
IF(T109&gt;0,"fevereiro",
IF(U109&gt;0,"março",
IF(W109&gt;0,"abril",
IF(X109&gt;0,"maio",
IF(Y109&gt;0,"junho",
IF(AA109&gt;0,"julho",
IF(AB109&gt;0,"agosto",
IF(AC109&gt;0,"setembro",
IF(AE109&gt;0,"outubro",
IF(AF109&gt;0,"novembro",
IF(AG109&gt;0,"dezembro",
""))))))))))))</f>
        <v/>
      </c>
    </row>
    <row r="110" spans="1:38" ht="29.1" customHeight="1" x14ac:dyDescent="0.3">
      <c r="A110" s="1408"/>
      <c r="B110" s="1466"/>
      <c r="C110" s="1455"/>
      <c r="D110" s="1450"/>
      <c r="E110" s="1452"/>
      <c r="F110" s="1786"/>
      <c r="G110" s="1786"/>
      <c r="H110" s="1367"/>
      <c r="I110" s="1396"/>
      <c r="J110" s="1353"/>
      <c r="K110" s="1394"/>
      <c r="L110" s="1394"/>
      <c r="M110" s="1394"/>
      <c r="N110" s="1394"/>
      <c r="O110" s="1330"/>
      <c r="P110" s="1330"/>
      <c r="Q110" s="93" t="s">
        <v>117</v>
      </c>
      <c r="R110" s="96"/>
      <c r="S110" s="290"/>
      <c r="T110" s="290"/>
      <c r="U110" s="290"/>
      <c r="V110" s="288">
        <f t="shared" si="36"/>
        <v>0</v>
      </c>
      <c r="W110" s="290"/>
      <c r="X110" s="290"/>
      <c r="Y110" s="290"/>
      <c r="Z110" s="288">
        <f t="shared" si="37"/>
        <v>0</v>
      </c>
      <c r="AA110" s="290"/>
      <c r="AB110" s="290"/>
      <c r="AC110" s="290"/>
      <c r="AD110" s="288">
        <f t="shared" si="10"/>
        <v>0</v>
      </c>
      <c r="AE110" s="290"/>
      <c r="AF110" s="290"/>
      <c r="AG110" s="290"/>
      <c r="AH110" s="288">
        <f t="shared" si="11"/>
        <v>0</v>
      </c>
      <c r="AI110" s="291">
        <f t="shared" si="13"/>
        <v>0</v>
      </c>
      <c r="AJ110" s="97"/>
      <c r="AK110" s="62">
        <f>B109</f>
        <v>0</v>
      </c>
      <c r="AL110" s="2245"/>
    </row>
    <row r="111" spans="1:38" ht="29.1" customHeight="1" x14ac:dyDescent="0.3">
      <c r="A111" s="1380"/>
      <c r="B111" s="1482"/>
      <c r="C111" s="2247"/>
      <c r="D111" s="1368"/>
      <c r="E111" s="1370"/>
      <c r="F111" s="1372"/>
      <c r="G111" s="1372"/>
      <c r="H111" s="1354"/>
      <c r="I111" s="1354"/>
      <c r="J111" s="2246"/>
      <c r="K111" s="1861"/>
      <c r="L111" s="1764"/>
      <c r="M111" s="1764"/>
      <c r="N111" s="1764"/>
      <c r="O111" s="1354"/>
      <c r="P111" s="1327"/>
      <c r="Q111" s="87" t="s">
        <v>116</v>
      </c>
      <c r="R111" s="91" t="str">
        <f ca="1">IF(OR(F111="", G111=""), "", IF(TODAY()&lt;F111, 0, IF(TODAY()&gt;G111, 1, (TODAY()-F111+1)/(G111-F111+1))))</f>
        <v/>
      </c>
      <c r="S111" s="88"/>
      <c r="T111" s="88"/>
      <c r="U111" s="88"/>
      <c r="V111" s="89">
        <f t="shared" si="36"/>
        <v>0</v>
      </c>
      <c r="W111" s="88"/>
      <c r="X111" s="88"/>
      <c r="Y111" s="88"/>
      <c r="Z111" s="89">
        <f t="shared" si="37"/>
        <v>0</v>
      </c>
      <c r="AA111" s="88"/>
      <c r="AB111" s="88"/>
      <c r="AC111" s="88"/>
      <c r="AD111" s="89">
        <f t="shared" si="10"/>
        <v>0</v>
      </c>
      <c r="AE111" s="88"/>
      <c r="AF111" s="88"/>
      <c r="AG111" s="88"/>
      <c r="AH111" s="89">
        <f t="shared" si="11"/>
        <v>0</v>
      </c>
      <c r="AI111" s="90">
        <f t="shared" si="13"/>
        <v>0</v>
      </c>
      <c r="AJ111" s="92"/>
      <c r="AK111" s="62">
        <f>B111</f>
        <v>0</v>
      </c>
      <c r="AL111" s="2244" t="str">
        <f t="shared" ref="AL111" si="46">IF(S111&gt;0,"janeiro",
IF(T111&gt;0,"fevereiro",
IF(U111&gt;0,"março",
IF(W111&gt;0,"abril",
IF(X111&gt;0,"maio",
IF(Y111&gt;0,"junho",
IF(AA111&gt;0,"julho",
IF(AB111&gt;0,"agosto",
IF(AC111&gt;0,"setembro",
IF(AE111&gt;0,"outubro",
IF(AF111&gt;0,"novembro",
IF(AG111&gt;0,"dezembro",
""))))))))))))</f>
        <v/>
      </c>
    </row>
    <row r="112" spans="1:38" ht="29.1" customHeight="1" x14ac:dyDescent="0.3">
      <c r="A112" s="1381"/>
      <c r="B112" s="1483"/>
      <c r="C112" s="1487"/>
      <c r="D112" s="1369"/>
      <c r="E112" s="1371"/>
      <c r="F112" s="1373"/>
      <c r="G112" s="1373"/>
      <c r="H112" s="1355"/>
      <c r="I112" s="1355"/>
      <c r="J112" s="1778"/>
      <c r="K112" s="1392"/>
      <c r="L112" s="1765"/>
      <c r="M112" s="1765"/>
      <c r="N112" s="1765"/>
      <c r="O112" s="1355"/>
      <c r="P112" s="1328"/>
      <c r="Q112" s="87" t="s">
        <v>117</v>
      </c>
      <c r="R112" s="91"/>
      <c r="S112" s="287"/>
      <c r="T112" s="287"/>
      <c r="U112" s="287"/>
      <c r="V112" s="288">
        <f t="shared" si="36"/>
        <v>0</v>
      </c>
      <c r="W112" s="287"/>
      <c r="X112" s="287"/>
      <c r="Y112" s="287"/>
      <c r="Z112" s="288">
        <f t="shared" si="37"/>
        <v>0</v>
      </c>
      <c r="AA112" s="287"/>
      <c r="AB112" s="287"/>
      <c r="AC112" s="287"/>
      <c r="AD112" s="288">
        <f t="shared" si="10"/>
        <v>0</v>
      </c>
      <c r="AE112" s="287"/>
      <c r="AF112" s="287"/>
      <c r="AG112" s="287"/>
      <c r="AH112" s="288">
        <f t="shared" si="11"/>
        <v>0</v>
      </c>
      <c r="AI112" s="289">
        <f t="shared" si="13"/>
        <v>0</v>
      </c>
      <c r="AJ112" s="92"/>
      <c r="AK112" s="62">
        <f>B111</f>
        <v>0</v>
      </c>
      <c r="AL112" s="2245"/>
    </row>
    <row r="113" spans="1:38" ht="29.1" customHeight="1" x14ac:dyDescent="0.3">
      <c r="A113" s="1407"/>
      <c r="B113" s="1465"/>
      <c r="C113" s="2248"/>
      <c r="D113" s="1449"/>
      <c r="E113" s="1451"/>
      <c r="F113" s="1785"/>
      <c r="G113" s="1785"/>
      <c r="H113" s="1488"/>
      <c r="I113" s="1395"/>
      <c r="J113" s="1352"/>
      <c r="K113" s="1393"/>
      <c r="L113" s="1393"/>
      <c r="M113" s="1393"/>
      <c r="N113" s="1393"/>
      <c r="O113" s="1334"/>
      <c r="P113" s="1334"/>
      <c r="Q113" s="93" t="s">
        <v>116</v>
      </c>
      <c r="R113" s="96" t="str">
        <f ca="1">IF(OR(F113="", G113=""), "", IF(TODAY()&lt;F113, 0, IF(TODAY()&gt;G113, 1, (TODAY()-F113+1)/(G113-F113+1))))</f>
        <v/>
      </c>
      <c r="S113" s="94"/>
      <c r="T113" s="94"/>
      <c r="U113" s="94"/>
      <c r="V113" s="89">
        <f t="shared" si="36"/>
        <v>0</v>
      </c>
      <c r="W113" s="94"/>
      <c r="X113" s="94"/>
      <c r="Y113" s="94"/>
      <c r="Z113" s="89">
        <f t="shared" si="37"/>
        <v>0</v>
      </c>
      <c r="AA113" s="94"/>
      <c r="AB113" s="94"/>
      <c r="AC113" s="94"/>
      <c r="AD113" s="89">
        <f t="shared" si="10"/>
        <v>0</v>
      </c>
      <c r="AE113" s="94"/>
      <c r="AF113" s="94"/>
      <c r="AG113" s="94"/>
      <c r="AH113" s="89">
        <f t="shared" si="11"/>
        <v>0</v>
      </c>
      <c r="AI113" s="95">
        <f t="shared" si="13"/>
        <v>0</v>
      </c>
      <c r="AJ113" s="97"/>
      <c r="AK113" s="62">
        <f>B113</f>
        <v>0</v>
      </c>
      <c r="AL113" s="2244" t="str">
        <f t="shared" ref="AL113" si="47">IF(S113&gt;0,"janeiro",
IF(T113&gt;0,"fevereiro",
IF(U113&gt;0,"março",
IF(W113&gt;0,"abril",
IF(X113&gt;0,"maio",
IF(Y113&gt;0,"junho",
IF(AA113&gt;0,"julho",
IF(AB113&gt;0,"agosto",
IF(AC113&gt;0,"setembro",
IF(AE113&gt;0,"outubro",
IF(AF113&gt;0,"novembro",
IF(AG113&gt;0,"dezembro",
""))))))))))))</f>
        <v/>
      </c>
    </row>
    <row r="114" spans="1:38" ht="29.1" customHeight="1" x14ac:dyDescent="0.3">
      <c r="A114" s="1408"/>
      <c r="B114" s="1466"/>
      <c r="C114" s="1455"/>
      <c r="D114" s="1450"/>
      <c r="E114" s="1452"/>
      <c r="F114" s="1786"/>
      <c r="G114" s="1786"/>
      <c r="H114" s="1367"/>
      <c r="I114" s="1396"/>
      <c r="J114" s="1353"/>
      <c r="K114" s="1394"/>
      <c r="L114" s="1394"/>
      <c r="M114" s="1394"/>
      <c r="N114" s="1394"/>
      <c r="O114" s="1330"/>
      <c r="P114" s="1330"/>
      <c r="Q114" s="93" t="s">
        <v>117</v>
      </c>
      <c r="R114" s="96"/>
      <c r="S114" s="290"/>
      <c r="T114" s="290"/>
      <c r="U114" s="290"/>
      <c r="V114" s="288">
        <f t="shared" si="36"/>
        <v>0</v>
      </c>
      <c r="W114" s="290"/>
      <c r="X114" s="290"/>
      <c r="Y114" s="290"/>
      <c r="Z114" s="288">
        <f t="shared" si="37"/>
        <v>0</v>
      </c>
      <c r="AA114" s="290"/>
      <c r="AB114" s="290"/>
      <c r="AC114" s="290"/>
      <c r="AD114" s="288">
        <f t="shared" si="10"/>
        <v>0</v>
      </c>
      <c r="AE114" s="290"/>
      <c r="AF114" s="290"/>
      <c r="AG114" s="290"/>
      <c r="AH114" s="288">
        <f t="shared" si="11"/>
        <v>0</v>
      </c>
      <c r="AI114" s="291">
        <f t="shared" si="13"/>
        <v>0</v>
      </c>
      <c r="AJ114" s="97"/>
      <c r="AK114" s="62">
        <f>B113</f>
        <v>0</v>
      </c>
      <c r="AL114" s="2245"/>
    </row>
    <row r="115" spans="1:38" x14ac:dyDescent="0.3">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59"/>
      <c r="AF115" s="59"/>
    </row>
    <row r="116" spans="1:38" ht="15.6" x14ac:dyDescent="0.3">
      <c r="A116" s="2133" t="s">
        <v>572</v>
      </c>
      <c r="B116" s="2133"/>
      <c r="C116" s="2133"/>
      <c r="D116" s="99" t="s">
        <v>573</v>
      </c>
      <c r="E116" s="99" t="s">
        <v>78</v>
      </c>
      <c r="F116" s="99" t="s">
        <v>79</v>
      </c>
      <c r="G116" s="47"/>
      <c r="H116" s="1385" t="s">
        <v>1095</v>
      </c>
      <c r="I116" s="1385"/>
      <c r="J116" s="1385"/>
      <c r="K116" s="1385"/>
      <c r="L116" s="1385"/>
      <c r="M116" s="1385"/>
      <c r="N116" s="1385"/>
      <c r="O116" s="1384"/>
      <c r="P116" s="1384"/>
      <c r="Q116" s="47"/>
      <c r="R116" s="159"/>
      <c r="S116" s="151">
        <v>46023</v>
      </c>
      <c r="T116" s="151">
        <v>46054</v>
      </c>
      <c r="U116" s="151">
        <v>46082</v>
      </c>
      <c r="V116" s="151">
        <v>46113</v>
      </c>
      <c r="W116" s="151">
        <v>46143</v>
      </c>
      <c r="X116" s="151">
        <v>46174</v>
      </c>
      <c r="Y116" s="151">
        <v>46204</v>
      </c>
      <c r="Z116" s="151">
        <v>46235</v>
      </c>
      <c r="AA116" s="151">
        <v>46266</v>
      </c>
      <c r="AB116" s="151">
        <v>46296</v>
      </c>
      <c r="AC116" s="151">
        <v>46327</v>
      </c>
      <c r="AD116" s="151">
        <v>46357</v>
      </c>
      <c r="AE116" s="151" t="s">
        <v>115</v>
      </c>
      <c r="AF116" s="59"/>
    </row>
    <row r="117" spans="1:38" ht="15.6" x14ac:dyDescent="0.3">
      <c r="A117" s="112" t="s">
        <v>871</v>
      </c>
      <c r="B117" s="112" t="s">
        <v>1735</v>
      </c>
      <c r="C117" s="310"/>
      <c r="D117" s="320">
        <v>1</v>
      </c>
      <c r="E117" s="109" t="s">
        <v>308</v>
      </c>
      <c r="F117" s="320" t="str" cm="1">
        <f t="array" ref="F117:F163">_xlfn.XLOOKUP(B117:B163,'[30]Escopo A3'!$D$63:$D$109,'[30]Escopo A3'!$H$63:$H$109)</f>
        <v>OK</v>
      </c>
      <c r="G117" s="334">
        <v>1</v>
      </c>
      <c r="H117" s="102" t="s">
        <v>578</v>
      </c>
      <c r="I117" s="102" t="s">
        <v>579</v>
      </c>
      <c r="J117" s="102" t="s">
        <v>580</v>
      </c>
      <c r="K117" s="102" t="s">
        <v>581</v>
      </c>
      <c r="L117" s="104" t="s">
        <v>183</v>
      </c>
      <c r="M117" s="1346" t="s">
        <v>582</v>
      </c>
      <c r="N117" s="1346"/>
      <c r="O117" s="1346"/>
      <c r="P117" s="1346"/>
      <c r="Q117" s="47"/>
      <c r="R117" s="151" t="s">
        <v>116</v>
      </c>
      <c r="S117" s="152" cm="1">
        <f t="array" ref="S117">SUMPRODUCT(
($Q$55:$Q$114="Previsto")*
INDEX($S$55:$AH$114,0,MATCH(S$116,$S$54:$AH$54,0))
)</f>
        <v>59581.77</v>
      </c>
      <c r="T117" s="152" cm="1">
        <f t="array" ref="T117">SUMPRODUCT(
($Q$55:$Q$114="Previsto")*
INDEX($S$55:$AH$114,0,MATCH(T$116,$S$54:$AH$54,0))
)</f>
        <v>28637</v>
      </c>
      <c r="U117" s="152" cm="1">
        <f t="array" ref="U117">SUMPRODUCT(
($Q$55:$Q$114="Previsto")*
INDEX($S$55:$AH$114,0,MATCH(U$116,$S$54:$AH$54,0))
)</f>
        <v>93228.5</v>
      </c>
      <c r="V117" s="152" cm="1">
        <f t="array" ref="V117">SUMPRODUCT(
($Q$55:$Q$114="Previsto")*
INDEX($S$55:$AH$114,0,MATCH(V$116,$S$54:$AH$54,0))
)</f>
        <v>154038.5</v>
      </c>
      <c r="W117" s="152" cm="1">
        <f t="array" ref="W117">SUMPRODUCT(
($Q$55:$Q$114="Previsto")*
INDEX($S$55:$AH$114,0,MATCH(W$116,$S$54:$AH$54,0))
)</f>
        <v>157738.5</v>
      </c>
      <c r="X117" s="152" cm="1">
        <f t="array" ref="X117">SUMPRODUCT(
($Q$55:$Q$114="Previsto")*
INDEX($S$55:$AH$114,0,MATCH(X$116,$S$54:$AH$54,0))
)</f>
        <v>157738.5</v>
      </c>
      <c r="Y117" s="152" cm="1">
        <f t="array" ref="Y117">SUMPRODUCT(
($Q$55:$Q$114="Previsto")*
INDEX($S$55:$AH$114,0,MATCH(Y$116,$S$54:$AH$54,0))
)</f>
        <v>157738.5</v>
      </c>
      <c r="Z117" s="152" cm="1">
        <f t="array" ref="Z117">SUMPRODUCT(
($Q$55:$Q$114="Previsto")*
INDEX($S$55:$AH$114,0,MATCH(Z$116,$S$54:$AH$54,0))
)</f>
        <v>157738.5</v>
      </c>
      <c r="AA117" s="152" cm="1">
        <f t="array" ref="AA117">SUMPRODUCT(
($Q$55:$Q$114="Previsto")*
INDEX($S$55:$AH$114,0,MATCH(AA$116,$S$54:$AH$54,0))
)</f>
        <v>157738.5</v>
      </c>
      <c r="AB117" s="152" cm="1">
        <f t="array" ref="AB117">SUMPRODUCT(
($Q$55:$Q$114="Previsto")*
INDEX($S$55:$AH$114,0,MATCH(AB$116,$S$54:$AH$54,0))
)</f>
        <v>157738.5</v>
      </c>
      <c r="AC117" s="152" cm="1">
        <f t="array" ref="AC117">SUMPRODUCT(
($Q$55:$Q$114="Previsto")*
INDEX($S$55:$AH$114,0,MATCH(AC$116,$S$54:$AH$54,0))
)</f>
        <v>157738.5</v>
      </c>
      <c r="AD117" s="152" cm="1">
        <f t="array" ref="AD117">SUMPRODUCT(
($Q$55:$Q$114="Previsto")*
INDEX($S$55:$AH$114,0,MATCH(AD$116,$S$54:$AH$54,0))
)</f>
        <v>157738.5</v>
      </c>
      <c r="AE117" s="152">
        <f>SUM(S117:AD117)</f>
        <v>1597393.77</v>
      </c>
      <c r="AF117" s="59"/>
    </row>
    <row r="118" spans="1:38" x14ac:dyDescent="0.3">
      <c r="A118" s="321" t="s">
        <v>871</v>
      </c>
      <c r="B118" s="322" t="s">
        <v>1736</v>
      </c>
      <c r="C118" s="323"/>
      <c r="D118" s="324">
        <v>1</v>
      </c>
      <c r="E118" s="106" t="s">
        <v>308</v>
      </c>
      <c r="F118" s="324" t="str">
        <v>OK</v>
      </c>
      <c r="G118" s="334">
        <v>2</v>
      </c>
      <c r="H118" s="344" t="s">
        <v>587</v>
      </c>
      <c r="I118" s="106" t="s">
        <v>308</v>
      </c>
      <c r="J118" s="106" t="s">
        <v>363</v>
      </c>
      <c r="K118" s="106" t="s">
        <v>363</v>
      </c>
      <c r="L118" s="181">
        <f>(COUNTIF(I118:K118,"OK"))*33.333333/100</f>
        <v>0.33333333000000004</v>
      </c>
      <c r="M118" s="1563" t="s">
        <v>588</v>
      </c>
      <c r="N118" s="1564"/>
      <c r="O118" s="1564"/>
      <c r="P118" s="1565"/>
      <c r="Q118" s="47"/>
      <c r="R118" s="153" t="s">
        <v>117</v>
      </c>
      <c r="S118" s="154" cm="1">
        <f t="array" ref="S118">SUMPRODUCT(
($Q$55:$Q$114="Real")*
INDEX($S$55:$AH$114,0,MATCH(S$116,$S$54:$AH$54,0))
)</f>
        <v>51386.369999999995</v>
      </c>
      <c r="T118" s="154" cm="1">
        <f t="array" ref="T118">SUMPRODUCT(
($Q$55:$Q$114="Real")*
INDEX($S$55:$AH$114,0,MATCH(T$116,$S$54:$AH$54,0))
)</f>
        <v>0</v>
      </c>
      <c r="U118" s="154" cm="1">
        <f t="array" ref="U118">SUMPRODUCT(
($Q$55:$Q$114="Real")*
INDEX($S$55:$AH$114,0,MATCH(U$116,$S$54:$AH$54,0))
)</f>
        <v>0</v>
      </c>
      <c r="V118" s="154" cm="1">
        <f t="array" ref="V118">SUMPRODUCT(
($Q$55:$Q$114="Real")*
INDEX($S$55:$AH$114,0,MATCH(V$116,$S$54:$AH$54,0))
)</f>
        <v>0</v>
      </c>
      <c r="W118" s="154" cm="1">
        <f t="array" ref="W118">SUMPRODUCT(
($Q$55:$Q$114="Real")*
INDEX($S$55:$AH$114,0,MATCH(W$116,$S$54:$AH$54,0))
)</f>
        <v>0</v>
      </c>
      <c r="X118" s="154" cm="1">
        <f t="array" ref="X118">SUMPRODUCT(
($Q$55:$Q$114="Real")*
INDEX($S$55:$AH$114,0,MATCH(X$116,$S$54:$AH$54,0))
)</f>
        <v>0</v>
      </c>
      <c r="Y118" s="154" cm="1">
        <f t="array" ref="Y118">SUMPRODUCT(
($Q$55:$Q$114="Real")*
INDEX($S$55:$AH$114,0,MATCH(Y$116,$S$54:$AH$54,0))
)</f>
        <v>0</v>
      </c>
      <c r="Z118" s="154" cm="1">
        <f t="array" ref="Z118">SUMPRODUCT(
($Q$55:$Q$114="Real")*
INDEX($S$55:$AH$114,0,MATCH(Z$116,$S$54:$AH$54,0))
)</f>
        <v>0</v>
      </c>
      <c r="AA118" s="154" cm="1">
        <f t="array" ref="AA118">SUMPRODUCT(
($Q$55:$Q$114="Real")*
INDEX($S$55:$AH$114,0,MATCH(AA$116,$S$54:$AH$54,0))
)</f>
        <v>0</v>
      </c>
      <c r="AB118" s="154" cm="1">
        <f t="array" ref="AB118">SUMPRODUCT(
($Q$55:$Q$114="Real")*
INDEX($S$55:$AH$114,0,MATCH(AB$116,$S$54:$AH$54,0))
)</f>
        <v>0</v>
      </c>
      <c r="AC118" s="154" cm="1">
        <f t="array" ref="AC118">SUMPRODUCT(
($Q$55:$Q$114="Real")*
INDEX($S$55:$AH$114,0,MATCH(AC$116,$S$54:$AH$54,0))
)</f>
        <v>0</v>
      </c>
      <c r="AD118" s="154" cm="1">
        <f t="array" ref="AD118">SUMPRODUCT(
($Q$55:$Q$114="Real")*
INDEX($S$55:$AH$114,0,MATCH(AD$116,$S$54:$AH$54,0))
)</f>
        <v>0</v>
      </c>
      <c r="AE118" s="154">
        <f>SUM(S118:AD118)</f>
        <v>51386.369999999995</v>
      </c>
      <c r="AF118" s="59"/>
    </row>
    <row r="119" spans="1:38" x14ac:dyDescent="0.3">
      <c r="A119" s="112" t="s">
        <v>871</v>
      </c>
      <c r="B119" s="112" t="s">
        <v>1737</v>
      </c>
      <c r="C119" s="310"/>
      <c r="D119" s="320">
        <v>1</v>
      </c>
      <c r="E119" s="109" t="s">
        <v>308</v>
      </c>
      <c r="F119" s="320" t="str">
        <v>OK</v>
      </c>
      <c r="G119" s="334">
        <v>3</v>
      </c>
      <c r="H119" s="345" t="s">
        <v>592</v>
      </c>
      <c r="I119" s="109" t="s">
        <v>308</v>
      </c>
      <c r="J119" s="109" t="s">
        <v>363</v>
      </c>
      <c r="K119" s="109" t="s">
        <v>363</v>
      </c>
      <c r="L119" s="182">
        <f t="shared" ref="L119:L137" si="48">(COUNTIF(I119:K119,"OK"))*33.333333/100</f>
        <v>0.33333333000000004</v>
      </c>
      <c r="M119" s="2249" t="s">
        <v>593</v>
      </c>
      <c r="N119" s="2250"/>
      <c r="O119" s="2250"/>
      <c r="P119" s="2251"/>
      <c r="Q119" s="47"/>
      <c r="R119" s="160" t="s">
        <v>118</v>
      </c>
      <c r="S119" s="160" cm="1">
        <f t="array" ref="S119">SUMPRODUCT(
($F$55:$F$114&lt;&gt;"")*
($F$55:$F$114&lt;=S$116)*
(($G$55:$G$114="")+($G$55:$G$114&gt;=S$116))
)</f>
        <v>8</v>
      </c>
      <c r="T119" s="160" cm="1">
        <f t="array" ref="T119">SUMPRODUCT(
($F$55:$F$114&lt;&gt;"")*
($F$55:$F$114&lt;=T$116)*
(($G$55:$G$114="")+($G$55:$G$114&gt;=T$116))
)</f>
        <v>17</v>
      </c>
      <c r="U119" s="160" cm="1">
        <f t="array" ref="U119">SUMPRODUCT(
($F$55:$F$114&lt;&gt;"")*
($F$55:$F$114&lt;=U$116)*
(($G$55:$G$114="")+($G$55:$G$114&gt;=U$116))
)</f>
        <v>14</v>
      </c>
      <c r="V119" s="160" cm="1">
        <f t="array" ref="V119">SUMPRODUCT(
($F$55:$F$114&lt;&gt;"")*
($F$55:$F$114&lt;=V$116)*
(($G$55:$G$114="")+($G$55:$G$114&gt;=V$116))
)</f>
        <v>4</v>
      </c>
      <c r="W119" s="160" cm="1">
        <f t="array" ref="W119">SUMPRODUCT(
($F$55:$F$114&lt;&gt;"")*
($F$55:$F$114&lt;=W$116)*
(($G$55:$G$114="")+($G$55:$G$114&gt;=W$116))
)</f>
        <v>3</v>
      </c>
      <c r="X119" s="160" cm="1">
        <f t="array" ref="X119">SUMPRODUCT(
($F$55:$F$114&lt;&gt;"")*
($F$55:$F$114&lt;=X$116)*
(($G$55:$G$114="")+($G$55:$G$114&gt;=X$116))
)</f>
        <v>2</v>
      </c>
      <c r="Y119" s="160" cm="1">
        <f t="array" ref="Y119">SUMPRODUCT(
($F$55:$F$114&lt;&gt;"")*
($F$55:$F$114&lt;=Y$116)*
(($G$55:$G$114="")+($G$55:$G$114&gt;=Y$116))
)</f>
        <v>1</v>
      </c>
      <c r="Z119" s="160" cm="1">
        <f t="array" ref="Z119">SUMPRODUCT(
($F$55:$F$114&lt;&gt;"")*
($F$55:$F$114&lt;=Z$116)*
(($G$55:$G$114="")+($G$55:$G$114&gt;=Z$116))
)</f>
        <v>1</v>
      </c>
      <c r="AA119" s="160" cm="1">
        <f t="array" ref="AA119">SUMPRODUCT(
($F$55:$F$114&lt;&gt;"")*
($F$55:$F$114&lt;=AA$116)*
(($G$55:$G$114="")+($G$55:$G$114&gt;=AA$116))
)</f>
        <v>1</v>
      </c>
      <c r="AB119" s="160" cm="1">
        <f t="array" ref="AB119">SUMPRODUCT(
($F$55:$F$114&lt;&gt;"")*
($F$55:$F$114&lt;=AB$116)*
(($G$55:$G$114="")+($G$55:$G$114&gt;=AB$116))
)</f>
        <v>1</v>
      </c>
      <c r="AC119" s="160" cm="1">
        <f t="array" ref="AC119">SUMPRODUCT(
($F$55:$F$114&lt;&gt;"")*
($F$55:$F$114&lt;=AC$116)*
(($G$55:$G$114="")+($G$55:$G$114&gt;=AC$116))
)</f>
        <v>1</v>
      </c>
      <c r="AD119" s="160" cm="1">
        <f t="array" ref="AD119">SUMPRODUCT(
($F$55:$F$114&lt;&gt;"")*
($F$55:$F$114&lt;=AD$116)*
(($G$55:$G$114="")+($G$55:$G$114&gt;=AD$116))
)</f>
        <v>1</v>
      </c>
      <c r="AE119" s="160"/>
      <c r="AF119" s="59"/>
    </row>
    <row r="120" spans="1:38" x14ac:dyDescent="0.3">
      <c r="A120" s="321" t="s">
        <v>871</v>
      </c>
      <c r="B120" s="322" t="s">
        <v>1738</v>
      </c>
      <c r="C120" s="323"/>
      <c r="D120" s="324">
        <v>1</v>
      </c>
      <c r="E120" s="106" t="s">
        <v>308</v>
      </c>
      <c r="F120" s="324" t="str">
        <v>Não Ok</v>
      </c>
      <c r="G120" s="334">
        <v>4</v>
      </c>
      <c r="H120" s="105" t="s">
        <v>597</v>
      </c>
      <c r="I120" s="106" t="s">
        <v>363</v>
      </c>
      <c r="J120" s="106" t="s">
        <v>363</v>
      </c>
      <c r="K120" s="106" t="s">
        <v>363</v>
      </c>
      <c r="L120" s="181">
        <f t="shared" si="48"/>
        <v>0</v>
      </c>
      <c r="M120" s="1563" t="s">
        <v>598</v>
      </c>
      <c r="N120" s="1564"/>
      <c r="O120" s="1564"/>
      <c r="P120" s="1565"/>
      <c r="Q120" s="47"/>
      <c r="R120" s="47"/>
      <c r="S120" s="47"/>
      <c r="T120" s="47"/>
      <c r="U120" s="47"/>
      <c r="V120" s="47"/>
      <c r="W120" s="47"/>
      <c r="X120" s="47"/>
      <c r="Y120" s="47"/>
      <c r="Z120" s="47"/>
      <c r="AA120" s="47"/>
      <c r="AB120" s="47"/>
      <c r="AC120" s="47"/>
      <c r="AD120" s="47"/>
      <c r="AE120" s="47"/>
      <c r="AF120" s="59"/>
    </row>
    <row r="121" spans="1:38" ht="14.85" customHeight="1" x14ac:dyDescent="0.3">
      <c r="A121" s="112" t="s">
        <v>871</v>
      </c>
      <c r="B121" s="112" t="s">
        <v>1739</v>
      </c>
      <c r="C121" s="310"/>
      <c r="D121" s="320">
        <v>1</v>
      </c>
      <c r="E121" s="109" t="s">
        <v>363</v>
      </c>
      <c r="F121" s="320" t="str">
        <v>Não Ok</v>
      </c>
      <c r="G121" s="334">
        <v>5</v>
      </c>
      <c r="H121" s="108" t="s">
        <v>600</v>
      </c>
      <c r="I121" s="109" t="s">
        <v>363</v>
      </c>
      <c r="J121" s="109" t="s">
        <v>363</v>
      </c>
      <c r="K121" s="109" t="s">
        <v>363</v>
      </c>
      <c r="L121" s="182">
        <f t="shared" si="48"/>
        <v>0</v>
      </c>
      <c r="M121" s="2249" t="s">
        <v>601</v>
      </c>
      <c r="N121" s="2250"/>
      <c r="O121" s="2250"/>
      <c r="P121" s="2251"/>
      <c r="Q121" s="47"/>
      <c r="R121" s="47"/>
      <c r="S121" s="47"/>
      <c r="T121" s="47"/>
      <c r="U121" s="47"/>
      <c r="V121" s="47"/>
      <c r="W121" s="47"/>
      <c r="X121" s="47"/>
      <c r="Y121" s="47"/>
      <c r="Z121" s="47"/>
      <c r="AA121" s="47"/>
      <c r="AB121" s="47"/>
      <c r="AC121" s="47"/>
      <c r="AD121" s="47"/>
      <c r="AE121" s="47"/>
      <c r="AF121" s="59"/>
    </row>
    <row r="122" spans="1:38" ht="14.85" customHeight="1" x14ac:dyDescent="0.3">
      <c r="A122" s="321" t="s">
        <v>878</v>
      </c>
      <c r="B122" s="322" t="s">
        <v>1740</v>
      </c>
      <c r="C122" s="323"/>
      <c r="D122" s="324">
        <v>1</v>
      </c>
      <c r="E122" s="106" t="s">
        <v>363</v>
      </c>
      <c r="F122" s="324" t="str">
        <v>Não Ok</v>
      </c>
      <c r="G122" s="334">
        <v>6</v>
      </c>
      <c r="H122" s="105" t="s">
        <v>603</v>
      </c>
      <c r="I122" s="106" t="s">
        <v>363</v>
      </c>
      <c r="J122" s="106" t="s">
        <v>363</v>
      </c>
      <c r="K122" s="106" t="s">
        <v>363</v>
      </c>
      <c r="L122" s="181">
        <f t="shared" si="48"/>
        <v>0</v>
      </c>
      <c r="M122" s="1563" t="s">
        <v>604</v>
      </c>
      <c r="N122" s="1564"/>
      <c r="O122" s="1564"/>
      <c r="P122" s="1565"/>
      <c r="Q122" s="47"/>
      <c r="R122" s="47"/>
      <c r="S122" s="47"/>
      <c r="T122" s="47"/>
      <c r="U122" s="47"/>
      <c r="V122" s="47"/>
      <c r="W122" s="47"/>
      <c r="X122" s="47"/>
      <c r="Y122" s="47"/>
      <c r="Z122" s="47"/>
      <c r="AA122" s="47"/>
      <c r="AB122" s="47"/>
      <c r="AC122" s="47"/>
      <c r="AD122" s="47"/>
      <c r="AE122" s="47"/>
      <c r="AF122" s="59"/>
    </row>
    <row r="123" spans="1:38" x14ac:dyDescent="0.3">
      <c r="A123" s="112" t="s">
        <v>878</v>
      </c>
      <c r="B123" s="112" t="s">
        <v>1741</v>
      </c>
      <c r="C123" s="310"/>
      <c r="D123" s="320">
        <v>1</v>
      </c>
      <c r="E123" s="109" t="s">
        <v>308</v>
      </c>
      <c r="F123" s="320" t="str">
        <v>OK</v>
      </c>
      <c r="G123" s="334">
        <v>7</v>
      </c>
      <c r="H123" s="411" t="s">
        <v>605</v>
      </c>
      <c r="I123" s="431" t="s">
        <v>363</v>
      </c>
      <c r="J123" s="431" t="s">
        <v>363</v>
      </c>
      <c r="K123" s="431" t="s">
        <v>363</v>
      </c>
      <c r="L123" s="432">
        <f t="shared" si="48"/>
        <v>0</v>
      </c>
      <c r="M123" s="2255" t="s">
        <v>606</v>
      </c>
      <c r="N123" s="2256"/>
      <c r="O123" s="2256"/>
      <c r="P123" s="2257"/>
      <c r="Q123" s="435" t="s">
        <v>1742</v>
      </c>
      <c r="R123" s="47"/>
      <c r="S123" s="47"/>
      <c r="T123" s="47"/>
      <c r="U123" s="47"/>
      <c r="V123" s="47"/>
      <c r="W123" s="47"/>
      <c r="X123" s="47"/>
      <c r="Y123" s="47"/>
      <c r="Z123" s="47"/>
      <c r="AA123" s="47"/>
      <c r="AB123" s="47"/>
      <c r="AC123" s="47"/>
      <c r="AD123" s="47"/>
      <c r="AE123" s="47"/>
      <c r="AF123" s="59"/>
    </row>
    <row r="124" spans="1:38" x14ac:dyDescent="0.3">
      <c r="A124" s="321" t="s">
        <v>878</v>
      </c>
      <c r="B124" s="322" t="s">
        <v>1743</v>
      </c>
      <c r="C124" s="323"/>
      <c r="D124" s="324">
        <v>1</v>
      </c>
      <c r="E124" s="106" t="s">
        <v>308</v>
      </c>
      <c r="F124" s="324" t="str">
        <v>OK</v>
      </c>
      <c r="G124" s="334">
        <v>8</v>
      </c>
      <c r="H124" s="412" t="s">
        <v>608</v>
      </c>
      <c r="I124" s="433" t="s">
        <v>363</v>
      </c>
      <c r="J124" s="433" t="s">
        <v>363</v>
      </c>
      <c r="K124" s="433" t="s">
        <v>363</v>
      </c>
      <c r="L124" s="434">
        <f t="shared" si="48"/>
        <v>0</v>
      </c>
      <c r="M124" s="2252" t="s">
        <v>609</v>
      </c>
      <c r="N124" s="2253"/>
      <c r="O124" s="2253"/>
      <c r="P124" s="2254"/>
      <c r="Q124" s="435" t="s">
        <v>1742</v>
      </c>
      <c r="R124" s="47"/>
      <c r="S124" s="47"/>
      <c r="T124" s="47"/>
      <c r="U124" s="47"/>
      <c r="V124" s="47"/>
      <c r="W124" s="47"/>
      <c r="X124" s="47"/>
      <c r="Y124" s="47"/>
      <c r="Z124" s="47"/>
      <c r="AA124" s="47"/>
      <c r="AB124" s="47"/>
      <c r="AC124" s="47"/>
      <c r="AD124" s="47"/>
      <c r="AE124" s="47"/>
      <c r="AF124" s="59"/>
    </row>
    <row r="125" spans="1:38" x14ac:dyDescent="0.3">
      <c r="A125" s="112" t="s">
        <v>878</v>
      </c>
      <c r="B125" s="112" t="s">
        <v>1744</v>
      </c>
      <c r="C125" s="310"/>
      <c r="D125" s="320">
        <v>1</v>
      </c>
      <c r="E125" s="109" t="s">
        <v>308</v>
      </c>
      <c r="F125" s="320" t="str">
        <v>OK</v>
      </c>
      <c r="G125" s="334">
        <v>9</v>
      </c>
      <c r="H125" s="345" t="s">
        <v>611</v>
      </c>
      <c r="I125" s="445" t="s">
        <v>308</v>
      </c>
      <c r="J125" s="109" t="s">
        <v>363</v>
      </c>
      <c r="K125" s="109" t="s">
        <v>363</v>
      </c>
      <c r="L125" s="182">
        <f t="shared" si="48"/>
        <v>0.33333333000000004</v>
      </c>
      <c r="M125" s="2249" t="s">
        <v>612</v>
      </c>
      <c r="N125" s="2250"/>
      <c r="O125" s="2250"/>
      <c r="P125" s="2251"/>
      <c r="Q125" s="47"/>
      <c r="R125" s="47"/>
      <c r="S125" s="47"/>
      <c r="T125" s="47"/>
      <c r="U125" s="47"/>
      <c r="V125" s="47"/>
      <c r="W125" s="47"/>
      <c r="X125" s="47"/>
      <c r="Y125" s="47"/>
      <c r="Z125" s="47"/>
      <c r="AA125" s="47"/>
      <c r="AB125" s="47"/>
      <c r="AC125" s="47"/>
      <c r="AD125" s="47"/>
      <c r="AE125" s="47"/>
      <c r="AF125" s="59"/>
    </row>
    <row r="126" spans="1:38" ht="14.85" customHeight="1" x14ac:dyDescent="0.3">
      <c r="A126" s="321" t="s">
        <v>878</v>
      </c>
      <c r="B126" s="322" t="s">
        <v>1745</v>
      </c>
      <c r="C126" s="323"/>
      <c r="D126" s="324">
        <v>1</v>
      </c>
      <c r="E126" s="106" t="s">
        <v>363</v>
      </c>
      <c r="F126" s="324" t="str">
        <v>Não Ok</v>
      </c>
      <c r="G126" s="334">
        <v>10</v>
      </c>
      <c r="H126" s="344" t="s">
        <v>613</v>
      </c>
      <c r="I126" s="106" t="s">
        <v>308</v>
      </c>
      <c r="J126" s="106" t="s">
        <v>363</v>
      </c>
      <c r="K126" s="106" t="s">
        <v>363</v>
      </c>
      <c r="L126" s="181">
        <f t="shared" si="48"/>
        <v>0.33333333000000004</v>
      </c>
      <c r="M126" s="1563" t="s">
        <v>614</v>
      </c>
      <c r="N126" s="1564"/>
      <c r="O126" s="1564"/>
      <c r="P126" s="1565"/>
      <c r="Q126" s="47"/>
      <c r="R126" s="47"/>
      <c r="S126" s="47"/>
      <c r="T126" s="47"/>
      <c r="U126" s="47"/>
      <c r="V126" s="47"/>
      <c r="W126" s="47"/>
      <c r="X126" s="47"/>
      <c r="Y126" s="47"/>
      <c r="Z126" s="47"/>
      <c r="AA126" s="47"/>
      <c r="AB126" s="47"/>
      <c r="AC126" s="47"/>
      <c r="AD126" s="47"/>
      <c r="AE126" s="47"/>
      <c r="AF126" s="59"/>
    </row>
    <row r="127" spans="1:38" ht="14.85" customHeight="1" x14ac:dyDescent="0.3">
      <c r="A127" s="112" t="s">
        <v>884</v>
      </c>
      <c r="B127" s="112" t="s">
        <v>1746</v>
      </c>
      <c r="C127" s="310"/>
      <c r="D127" s="320">
        <v>1</v>
      </c>
      <c r="E127" s="109" t="s">
        <v>308</v>
      </c>
      <c r="F127" s="320" t="str">
        <v>OK</v>
      </c>
      <c r="G127" s="334">
        <v>11</v>
      </c>
      <c r="H127" s="345" t="s">
        <v>615</v>
      </c>
      <c r="I127" s="109" t="s">
        <v>308</v>
      </c>
      <c r="J127" s="109" t="s">
        <v>363</v>
      </c>
      <c r="K127" s="109" t="s">
        <v>363</v>
      </c>
      <c r="L127" s="182">
        <f t="shared" si="48"/>
        <v>0.33333333000000004</v>
      </c>
      <c r="M127" s="2249" t="s">
        <v>616</v>
      </c>
      <c r="N127" s="2250"/>
      <c r="O127" s="2250"/>
      <c r="P127" s="2251"/>
      <c r="Q127" s="47"/>
      <c r="R127" s="47"/>
      <c r="S127" s="47"/>
      <c r="T127" s="47"/>
      <c r="U127" s="47"/>
      <c r="V127" s="47"/>
      <c r="W127" s="47"/>
      <c r="X127" s="47"/>
      <c r="Y127" s="47"/>
      <c r="Z127" s="47"/>
      <c r="AA127" s="47"/>
      <c r="AB127" s="47"/>
      <c r="AC127" s="47"/>
      <c r="AD127" s="47"/>
      <c r="AE127" s="47"/>
      <c r="AF127" s="59"/>
    </row>
    <row r="128" spans="1:38" x14ac:dyDescent="0.3">
      <c r="A128" s="321" t="s">
        <v>884</v>
      </c>
      <c r="B128" s="322" t="s">
        <v>1747</v>
      </c>
      <c r="C128" s="323"/>
      <c r="D128" s="324">
        <v>1</v>
      </c>
      <c r="E128" s="106" t="s">
        <v>308</v>
      </c>
      <c r="F128" s="330" t="str">
        <v>Não Ok</v>
      </c>
      <c r="G128" s="334">
        <v>12</v>
      </c>
      <c r="H128" s="105" t="s">
        <v>617</v>
      </c>
      <c r="I128" s="106" t="s">
        <v>363</v>
      </c>
      <c r="J128" s="106" t="s">
        <v>363</v>
      </c>
      <c r="K128" s="106" t="s">
        <v>363</v>
      </c>
      <c r="L128" s="181">
        <f t="shared" si="48"/>
        <v>0</v>
      </c>
      <c r="M128" s="1563" t="s">
        <v>618</v>
      </c>
      <c r="N128" s="1564"/>
      <c r="O128" s="1564"/>
      <c r="P128" s="1565"/>
      <c r="Q128" s="47"/>
      <c r="R128" s="47"/>
      <c r="S128" s="47"/>
      <c r="T128" s="47"/>
      <c r="U128" s="47"/>
      <c r="V128" s="47"/>
      <c r="W128" s="47"/>
      <c r="X128" s="47"/>
      <c r="Y128" s="47"/>
      <c r="Z128" s="47"/>
      <c r="AA128" s="47"/>
      <c r="AB128" s="47"/>
      <c r="AC128" s="47"/>
      <c r="AD128" s="47"/>
      <c r="AE128" s="47"/>
      <c r="AF128" s="59"/>
    </row>
    <row r="129" spans="1:32" x14ac:dyDescent="0.3">
      <c r="A129" s="112" t="s">
        <v>884</v>
      </c>
      <c r="B129" s="112" t="s">
        <v>1748</v>
      </c>
      <c r="C129" s="310"/>
      <c r="D129" s="320">
        <v>1</v>
      </c>
      <c r="E129" s="109" t="s">
        <v>308</v>
      </c>
      <c r="F129" s="331" t="str">
        <v>Não Ok</v>
      </c>
      <c r="G129" s="334">
        <v>13</v>
      </c>
      <c r="H129" s="108" t="s">
        <v>619</v>
      </c>
      <c r="I129" s="109" t="s">
        <v>363</v>
      </c>
      <c r="J129" s="109" t="s">
        <v>363</v>
      </c>
      <c r="K129" s="109" t="s">
        <v>363</v>
      </c>
      <c r="L129" s="182">
        <f t="shared" si="48"/>
        <v>0</v>
      </c>
      <c r="M129" s="2249" t="s">
        <v>620</v>
      </c>
      <c r="N129" s="2250"/>
      <c r="O129" s="2250"/>
      <c r="P129" s="2251"/>
      <c r="Q129" s="47"/>
      <c r="R129" s="47"/>
      <c r="S129" s="47"/>
      <c r="T129" s="47"/>
      <c r="U129" s="47"/>
      <c r="V129" s="47"/>
      <c r="W129" s="47"/>
      <c r="X129" s="47"/>
      <c r="Y129" s="47"/>
      <c r="Z129" s="47"/>
      <c r="AA129" s="47"/>
      <c r="AB129" s="47"/>
      <c r="AC129" s="47"/>
      <c r="AD129" s="47"/>
      <c r="AE129" s="47"/>
      <c r="AF129" s="59"/>
    </row>
    <row r="130" spans="1:32" x14ac:dyDescent="0.3">
      <c r="A130" s="321" t="s">
        <v>884</v>
      </c>
      <c r="B130" s="322" t="s">
        <v>1749</v>
      </c>
      <c r="C130" s="323"/>
      <c r="D130" s="324">
        <v>1</v>
      </c>
      <c r="E130" s="106" t="s">
        <v>308</v>
      </c>
      <c r="F130" s="332" t="str">
        <v>OK</v>
      </c>
      <c r="G130" s="334">
        <v>14</v>
      </c>
      <c r="H130" s="105" t="s">
        <v>621</v>
      </c>
      <c r="I130" s="106" t="s">
        <v>363</v>
      </c>
      <c r="J130" s="106" t="s">
        <v>363</v>
      </c>
      <c r="K130" s="106" t="s">
        <v>363</v>
      </c>
      <c r="L130" s="181">
        <f t="shared" si="48"/>
        <v>0</v>
      </c>
      <c r="M130" s="1563" t="s">
        <v>622</v>
      </c>
      <c r="N130" s="1564"/>
      <c r="O130" s="1564"/>
      <c r="P130" s="1565"/>
      <c r="Q130" s="47"/>
      <c r="R130" s="47"/>
      <c r="S130" s="47"/>
      <c r="T130" s="47"/>
      <c r="U130" s="47"/>
      <c r="V130" s="47"/>
      <c r="W130" s="47"/>
      <c r="X130" s="47"/>
      <c r="Y130" s="47"/>
      <c r="Z130" s="47"/>
      <c r="AA130" s="47"/>
      <c r="AB130" s="47"/>
      <c r="AC130" s="47"/>
      <c r="AD130" s="47"/>
      <c r="AE130" s="47"/>
      <c r="AF130" s="59"/>
    </row>
    <row r="131" spans="1:32" x14ac:dyDescent="0.3">
      <c r="A131" s="112" t="s">
        <v>884</v>
      </c>
      <c r="B131" s="112" t="s">
        <v>1750</v>
      </c>
      <c r="C131" s="310"/>
      <c r="D131" s="320">
        <v>1</v>
      </c>
      <c r="E131" s="109" t="s">
        <v>308</v>
      </c>
      <c r="F131" s="320" t="str">
        <v>OK</v>
      </c>
      <c r="G131" s="334">
        <v>15</v>
      </c>
      <c r="H131" s="108" t="s">
        <v>623</v>
      </c>
      <c r="I131" s="109" t="s">
        <v>363</v>
      </c>
      <c r="J131" s="109" t="s">
        <v>363</v>
      </c>
      <c r="K131" s="109" t="s">
        <v>363</v>
      </c>
      <c r="L131" s="182">
        <f t="shared" si="48"/>
        <v>0</v>
      </c>
      <c r="M131" s="2249" t="s">
        <v>624</v>
      </c>
      <c r="N131" s="2250"/>
      <c r="O131" s="2250"/>
      <c r="P131" s="2251"/>
      <c r="Q131" s="47"/>
      <c r="R131" s="47"/>
      <c r="S131" s="47"/>
      <c r="T131" s="47"/>
      <c r="U131" s="47"/>
      <c r="V131" s="47"/>
      <c r="W131" s="47"/>
      <c r="X131" s="47"/>
      <c r="Y131" s="47"/>
      <c r="Z131" s="47"/>
      <c r="AA131" s="47"/>
      <c r="AB131" s="47"/>
      <c r="AC131" s="47"/>
      <c r="AD131" s="47"/>
      <c r="AE131" s="47"/>
      <c r="AF131" s="59"/>
    </row>
    <row r="132" spans="1:32" x14ac:dyDescent="0.3">
      <c r="A132" s="321" t="s">
        <v>884</v>
      </c>
      <c r="B132" s="322" t="s">
        <v>1751</v>
      </c>
      <c r="C132" s="323"/>
      <c r="D132" s="324">
        <v>1</v>
      </c>
      <c r="E132" s="106" t="s">
        <v>308</v>
      </c>
      <c r="F132" s="324" t="str">
        <v>OK</v>
      </c>
      <c r="G132" s="334">
        <v>16</v>
      </c>
      <c r="H132" s="105" t="s">
        <v>625</v>
      </c>
      <c r="I132" s="106" t="s">
        <v>363</v>
      </c>
      <c r="J132" s="106" t="s">
        <v>363</v>
      </c>
      <c r="K132" s="106" t="s">
        <v>363</v>
      </c>
      <c r="L132" s="181">
        <f t="shared" si="48"/>
        <v>0</v>
      </c>
      <c r="M132" s="1563" t="s">
        <v>626</v>
      </c>
      <c r="N132" s="1564"/>
      <c r="O132" s="1564"/>
      <c r="P132" s="1565"/>
      <c r="Q132" s="47"/>
      <c r="R132" s="47"/>
      <c r="S132" s="47"/>
      <c r="T132" s="47"/>
      <c r="U132" s="47"/>
      <c r="V132" s="47"/>
      <c r="W132" s="47"/>
      <c r="X132" s="47"/>
      <c r="Y132" s="47"/>
      <c r="Z132" s="47"/>
      <c r="AA132" s="47"/>
      <c r="AB132" s="47"/>
      <c r="AC132" s="47"/>
      <c r="AD132" s="47"/>
      <c r="AE132" s="47"/>
      <c r="AF132" s="59"/>
    </row>
    <row r="133" spans="1:32" x14ac:dyDescent="0.3">
      <c r="A133" s="112" t="s">
        <v>884</v>
      </c>
      <c r="B133" s="112" t="s">
        <v>1752</v>
      </c>
      <c r="C133" s="310"/>
      <c r="D133" s="320">
        <v>1</v>
      </c>
      <c r="E133" s="109" t="s">
        <v>308</v>
      </c>
      <c r="F133" s="320" t="str">
        <v>OK</v>
      </c>
      <c r="G133" s="334">
        <v>17</v>
      </c>
      <c r="H133" s="108" t="s">
        <v>627</v>
      </c>
      <c r="I133" s="109" t="s">
        <v>363</v>
      </c>
      <c r="J133" s="109" t="s">
        <v>363</v>
      </c>
      <c r="K133" s="109" t="s">
        <v>363</v>
      </c>
      <c r="L133" s="182">
        <f t="shared" si="48"/>
        <v>0</v>
      </c>
      <c r="M133" s="2249" t="s">
        <v>628</v>
      </c>
      <c r="N133" s="2250"/>
      <c r="O133" s="2250"/>
      <c r="P133" s="2251"/>
      <c r="Q133" s="47"/>
      <c r="R133" s="47"/>
      <c r="S133" s="47"/>
      <c r="T133" s="47"/>
      <c r="U133" s="47"/>
      <c r="V133" s="47"/>
      <c r="W133" s="47"/>
      <c r="X133" s="47"/>
      <c r="Y133" s="47"/>
      <c r="Z133" s="47"/>
      <c r="AA133" s="47"/>
      <c r="AB133" s="47"/>
      <c r="AC133" s="47"/>
      <c r="AD133" s="47"/>
      <c r="AE133" s="47"/>
      <c r="AF133" s="59"/>
    </row>
    <row r="134" spans="1:32" x14ac:dyDescent="0.3">
      <c r="A134" s="321" t="s">
        <v>892</v>
      </c>
      <c r="B134" s="322" t="s">
        <v>1753</v>
      </c>
      <c r="C134" s="323"/>
      <c r="D134" s="324">
        <v>1</v>
      </c>
      <c r="E134" s="106" t="s">
        <v>308</v>
      </c>
      <c r="F134" s="324" t="str">
        <v>OK</v>
      </c>
      <c r="G134" s="334">
        <v>18</v>
      </c>
      <c r="H134" s="105" t="s">
        <v>629</v>
      </c>
      <c r="I134" s="106" t="s">
        <v>363</v>
      </c>
      <c r="J134" s="106" t="s">
        <v>363</v>
      </c>
      <c r="K134" s="106" t="s">
        <v>363</v>
      </c>
      <c r="L134" s="181">
        <f t="shared" si="48"/>
        <v>0</v>
      </c>
      <c r="M134" s="1563" t="s">
        <v>630</v>
      </c>
      <c r="N134" s="1564"/>
      <c r="O134" s="1564"/>
      <c r="P134" s="1565"/>
      <c r="Q134" s="47"/>
      <c r="R134" s="47"/>
      <c r="S134" s="47"/>
      <c r="T134" s="47"/>
      <c r="U134" s="47"/>
      <c r="V134" s="47"/>
      <c r="W134" s="47"/>
      <c r="X134" s="47"/>
      <c r="Y134" s="47"/>
      <c r="Z134" s="47"/>
      <c r="AA134" s="47"/>
      <c r="AB134" s="47"/>
      <c r="AC134" s="47"/>
      <c r="AD134" s="47"/>
      <c r="AE134" s="47"/>
      <c r="AF134" s="59"/>
    </row>
    <row r="135" spans="1:32" x14ac:dyDescent="0.3">
      <c r="A135" s="112" t="s">
        <v>892</v>
      </c>
      <c r="B135" s="112" t="s">
        <v>1754</v>
      </c>
      <c r="C135" s="310"/>
      <c r="D135" s="320">
        <v>1</v>
      </c>
      <c r="E135" s="109" t="s">
        <v>308</v>
      </c>
      <c r="F135" s="320" t="str">
        <v>OK</v>
      </c>
      <c r="G135" s="334">
        <v>19</v>
      </c>
      <c r="H135" s="108" t="s">
        <v>631</v>
      </c>
      <c r="I135" s="109" t="s">
        <v>363</v>
      </c>
      <c r="J135" s="109" t="s">
        <v>363</v>
      </c>
      <c r="K135" s="109" t="s">
        <v>363</v>
      </c>
      <c r="L135" s="182">
        <f t="shared" si="48"/>
        <v>0</v>
      </c>
      <c r="M135" s="2249" t="s">
        <v>632</v>
      </c>
      <c r="N135" s="2250"/>
      <c r="O135" s="2250"/>
      <c r="P135" s="2251"/>
      <c r="Q135" s="47"/>
      <c r="R135" s="47"/>
      <c r="S135" s="47"/>
      <c r="T135" s="47"/>
      <c r="U135" s="47"/>
      <c r="V135" s="47"/>
      <c r="W135" s="47"/>
      <c r="X135" s="47"/>
      <c r="Y135" s="47"/>
      <c r="Z135" s="47"/>
      <c r="AA135" s="47"/>
      <c r="AB135" s="47"/>
      <c r="AC135" s="47"/>
      <c r="AD135" s="47"/>
      <c r="AE135" s="47"/>
      <c r="AF135" s="59"/>
    </row>
    <row r="136" spans="1:32" x14ac:dyDescent="0.3">
      <c r="A136" s="321" t="s">
        <v>892</v>
      </c>
      <c r="B136" s="322" t="s">
        <v>1755</v>
      </c>
      <c r="C136" s="323"/>
      <c r="D136" s="324">
        <v>1</v>
      </c>
      <c r="E136" s="106" t="s">
        <v>363</v>
      </c>
      <c r="F136" s="324" t="str">
        <v>Não Ok</v>
      </c>
      <c r="G136" s="334">
        <v>20</v>
      </c>
      <c r="H136" s="105" t="s">
        <v>634</v>
      </c>
      <c r="I136" s="106" t="s">
        <v>363</v>
      </c>
      <c r="J136" s="106" t="s">
        <v>363</v>
      </c>
      <c r="K136" s="106" t="s">
        <v>363</v>
      </c>
      <c r="L136" s="181">
        <f t="shared" si="48"/>
        <v>0</v>
      </c>
      <c r="M136" s="1563" t="s">
        <v>635</v>
      </c>
      <c r="N136" s="1564"/>
      <c r="O136" s="1564"/>
      <c r="P136" s="1565"/>
      <c r="Q136" s="47"/>
      <c r="R136" s="47"/>
      <c r="S136" s="47"/>
      <c r="T136" s="47"/>
      <c r="U136" s="47"/>
      <c r="V136" s="47"/>
      <c r="W136" s="47"/>
      <c r="X136" s="47"/>
      <c r="Y136" s="47"/>
      <c r="Z136" s="47"/>
      <c r="AA136" s="47"/>
      <c r="AB136" s="47"/>
      <c r="AC136" s="47"/>
      <c r="AD136" s="47"/>
      <c r="AE136" s="47"/>
      <c r="AF136" s="59"/>
    </row>
    <row r="137" spans="1:32" x14ac:dyDescent="0.3">
      <c r="A137" s="112" t="s">
        <v>892</v>
      </c>
      <c r="B137" s="112" t="s">
        <v>1756</v>
      </c>
      <c r="C137" s="310"/>
      <c r="D137" s="320">
        <v>1</v>
      </c>
      <c r="E137" s="109" t="s">
        <v>308</v>
      </c>
      <c r="F137" s="320" t="str">
        <v>OK</v>
      </c>
      <c r="G137" s="334">
        <v>21</v>
      </c>
      <c r="H137" s="108" t="s">
        <v>636</v>
      </c>
      <c r="I137" s="109" t="s">
        <v>363</v>
      </c>
      <c r="J137" s="109" t="s">
        <v>363</v>
      </c>
      <c r="K137" s="109" t="s">
        <v>363</v>
      </c>
      <c r="L137" s="182">
        <f t="shared" si="48"/>
        <v>0</v>
      </c>
      <c r="M137" s="2249" t="s">
        <v>637</v>
      </c>
      <c r="N137" s="2250"/>
      <c r="O137" s="2250"/>
      <c r="P137" s="2251"/>
      <c r="Q137" s="47"/>
      <c r="R137" s="47"/>
      <c r="S137" s="47"/>
      <c r="T137" s="47"/>
      <c r="U137" s="47"/>
      <c r="V137" s="47"/>
      <c r="W137" s="47"/>
      <c r="X137" s="47"/>
      <c r="Y137" s="47"/>
      <c r="Z137" s="47"/>
      <c r="AA137" s="47"/>
      <c r="AB137" s="47"/>
      <c r="AC137" s="47"/>
      <c r="AD137" s="47"/>
      <c r="AE137" s="47"/>
      <c r="AF137" s="59"/>
    </row>
    <row r="138" spans="1:32" x14ac:dyDescent="0.3">
      <c r="A138" s="321" t="s">
        <v>892</v>
      </c>
      <c r="B138" s="322" t="s">
        <v>1757</v>
      </c>
      <c r="C138" s="323"/>
      <c r="D138" s="324">
        <v>1</v>
      </c>
      <c r="E138" s="106" t="s">
        <v>308</v>
      </c>
      <c r="F138" s="332" t="str">
        <v>OK</v>
      </c>
      <c r="G138" s="334">
        <v>22</v>
      </c>
      <c r="H138" s="105"/>
      <c r="I138" s="106"/>
      <c r="J138" s="106"/>
      <c r="K138" s="106"/>
      <c r="L138" s="181"/>
      <c r="M138" s="1563" t="s">
        <v>128</v>
      </c>
      <c r="N138" s="1564"/>
      <c r="O138" s="1564"/>
      <c r="P138" s="1565"/>
      <c r="Q138" s="47"/>
      <c r="R138" s="47"/>
      <c r="S138" s="47"/>
      <c r="T138" s="47"/>
      <c r="U138" s="47"/>
      <c r="V138" s="47"/>
      <c r="W138" s="47"/>
      <c r="X138" s="47"/>
      <c r="Y138" s="47"/>
      <c r="Z138" s="47"/>
      <c r="AA138" s="47"/>
      <c r="AB138" s="47"/>
      <c r="AC138" s="47"/>
      <c r="AD138" s="47"/>
      <c r="AE138" s="47"/>
      <c r="AF138" s="59"/>
    </row>
    <row r="139" spans="1:32" x14ac:dyDescent="0.3">
      <c r="A139" s="112" t="s">
        <v>892</v>
      </c>
      <c r="B139" s="112" t="s">
        <v>1758</v>
      </c>
      <c r="C139" s="310"/>
      <c r="D139" s="320">
        <v>1</v>
      </c>
      <c r="E139" s="109" t="s">
        <v>308</v>
      </c>
      <c r="F139" s="320" t="str">
        <v>OK</v>
      </c>
      <c r="G139" s="334">
        <v>23</v>
      </c>
      <c r="H139" s="108"/>
      <c r="I139" s="109"/>
      <c r="J139" s="109"/>
      <c r="K139" s="109"/>
      <c r="L139" s="182"/>
      <c r="M139" s="2249" t="s">
        <v>128</v>
      </c>
      <c r="N139" s="2250"/>
      <c r="O139" s="2250"/>
      <c r="P139" s="2251"/>
      <c r="Q139" s="47"/>
      <c r="R139" s="47"/>
      <c r="S139" s="47"/>
      <c r="T139" s="47"/>
      <c r="U139" s="47"/>
      <c r="V139" s="47"/>
      <c r="W139" s="47"/>
      <c r="X139" s="47"/>
      <c r="Y139" s="47"/>
      <c r="Z139" s="47"/>
      <c r="AA139" s="47"/>
      <c r="AB139" s="47"/>
      <c r="AC139" s="47"/>
      <c r="AD139" s="47"/>
      <c r="AE139" s="47"/>
      <c r="AF139" s="59"/>
    </row>
    <row r="140" spans="1:32" ht="14.85" customHeight="1" x14ac:dyDescent="0.3">
      <c r="A140" s="321" t="s">
        <v>892</v>
      </c>
      <c r="B140" s="322" t="s">
        <v>1759</v>
      </c>
      <c r="C140" s="323"/>
      <c r="D140" s="324">
        <v>1</v>
      </c>
      <c r="E140" s="106" t="s">
        <v>308</v>
      </c>
      <c r="F140" s="324" t="str">
        <v>OK</v>
      </c>
      <c r="G140" s="334">
        <v>24</v>
      </c>
      <c r="H140" s="155">
        <f>COUNTA(H118:H139)</f>
        <v>20</v>
      </c>
      <c r="I140" s="155">
        <f>COUNTIF(I118:I139,"OK")</f>
        <v>5</v>
      </c>
      <c r="J140" s="155">
        <f t="shared" ref="J140:K140" si="49">COUNTIF(J118:J139,"OK")</f>
        <v>0</v>
      </c>
      <c r="K140" s="155">
        <f t="shared" si="49"/>
        <v>0</v>
      </c>
      <c r="L140" s="104">
        <f>AVERAGE(L118:L139)</f>
        <v>8.333333250000001E-2</v>
      </c>
      <c r="M140" s="102"/>
      <c r="N140" s="102"/>
      <c r="O140" s="180"/>
      <c r="P140" s="180"/>
      <c r="Q140" s="47"/>
      <c r="R140" s="47"/>
      <c r="S140" s="47"/>
      <c r="T140" s="47"/>
      <c r="U140" s="47"/>
      <c r="V140" s="47"/>
      <c r="W140" s="47"/>
      <c r="X140" s="47"/>
      <c r="Y140" s="47"/>
      <c r="Z140" s="47"/>
      <c r="AA140" s="47"/>
      <c r="AB140" s="47"/>
      <c r="AC140" s="47"/>
      <c r="AD140" s="47"/>
      <c r="AE140" s="47"/>
      <c r="AF140" s="59"/>
    </row>
    <row r="141" spans="1:32" ht="14.85" customHeight="1" x14ac:dyDescent="0.3">
      <c r="A141" s="112" t="s">
        <v>892</v>
      </c>
      <c r="B141" s="112" t="s">
        <v>1760</v>
      </c>
      <c r="C141" s="310"/>
      <c r="D141" s="320">
        <v>1</v>
      </c>
      <c r="E141" s="109" t="s">
        <v>308</v>
      </c>
      <c r="F141" s="320" t="str">
        <v>Não Ok</v>
      </c>
      <c r="G141" s="334">
        <v>25</v>
      </c>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59"/>
    </row>
    <row r="142" spans="1:32" x14ac:dyDescent="0.3">
      <c r="A142" s="321" t="s">
        <v>892</v>
      </c>
      <c r="B142" s="322" t="s">
        <v>1761</v>
      </c>
      <c r="C142" s="323"/>
      <c r="D142" s="324">
        <v>1</v>
      </c>
      <c r="E142" s="106" t="s">
        <v>363</v>
      </c>
      <c r="F142" s="324" t="str">
        <v>Não Ok</v>
      </c>
      <c r="G142" s="334">
        <v>26</v>
      </c>
      <c r="H142" s="59"/>
      <c r="I142" s="47"/>
      <c r="J142" s="59"/>
      <c r="K142" s="59"/>
      <c r="L142" s="59"/>
      <c r="M142" s="59"/>
      <c r="N142" s="59"/>
      <c r="O142" s="59"/>
      <c r="P142" s="47"/>
      <c r="Q142" s="47"/>
      <c r="R142" s="47"/>
      <c r="S142" s="47"/>
      <c r="T142" s="47"/>
      <c r="U142" s="47"/>
      <c r="V142" s="47"/>
      <c r="W142" s="47"/>
      <c r="X142" s="47"/>
      <c r="Y142" s="47"/>
      <c r="Z142" s="47"/>
      <c r="AA142" s="47"/>
      <c r="AB142" s="47"/>
      <c r="AC142" s="47"/>
      <c r="AD142" s="47"/>
      <c r="AE142" s="47"/>
      <c r="AF142" s="59"/>
    </row>
    <row r="143" spans="1:32" x14ac:dyDescent="0.3">
      <c r="A143" s="112" t="s">
        <v>892</v>
      </c>
      <c r="B143" s="112" t="s">
        <v>1762</v>
      </c>
      <c r="C143" s="310"/>
      <c r="D143" s="320">
        <v>1</v>
      </c>
      <c r="E143" s="109" t="s">
        <v>308</v>
      </c>
      <c r="F143" s="333" t="str">
        <v>OK</v>
      </c>
      <c r="G143" s="334">
        <v>27</v>
      </c>
      <c r="H143" s="59"/>
      <c r="I143" s="47"/>
      <c r="J143" s="59"/>
      <c r="K143" s="59"/>
      <c r="L143" s="59"/>
      <c r="M143" s="59"/>
      <c r="N143" s="59"/>
      <c r="O143" s="59"/>
      <c r="P143" s="47"/>
      <c r="Q143" s="47"/>
      <c r="R143" s="47"/>
      <c r="S143" s="47"/>
      <c r="T143" s="47"/>
      <c r="U143" s="47"/>
      <c r="V143" s="47"/>
      <c r="W143" s="47"/>
      <c r="X143" s="47"/>
      <c r="Y143" s="47"/>
      <c r="Z143" s="47"/>
      <c r="AA143" s="47"/>
      <c r="AB143" s="47"/>
      <c r="AC143" s="47"/>
      <c r="AD143" s="47"/>
      <c r="AE143" s="47"/>
      <c r="AF143" s="59"/>
    </row>
    <row r="144" spans="1:32" ht="14.85" customHeight="1" x14ac:dyDescent="0.3">
      <c r="A144" s="321" t="s">
        <v>892</v>
      </c>
      <c r="B144" s="322" t="s">
        <v>1763</v>
      </c>
      <c r="C144" s="323"/>
      <c r="D144" s="324">
        <v>1</v>
      </c>
      <c r="E144" s="106" t="s">
        <v>308</v>
      </c>
      <c r="F144" s="324" t="str">
        <v>OK</v>
      </c>
      <c r="G144" s="334">
        <v>28</v>
      </c>
      <c r="H144" s="59"/>
      <c r="I144" s="59"/>
      <c r="J144" s="59"/>
      <c r="K144" s="59"/>
      <c r="L144" s="59"/>
      <c r="M144" s="59"/>
      <c r="N144" s="59"/>
      <c r="O144" s="59"/>
      <c r="P144" s="47"/>
      <c r="Q144" s="47"/>
      <c r="R144" s="47"/>
      <c r="S144" s="47"/>
      <c r="T144" s="47"/>
      <c r="U144" s="47"/>
      <c r="V144" s="47"/>
      <c r="W144" s="47"/>
      <c r="X144" s="47"/>
      <c r="Y144" s="47"/>
      <c r="Z144" s="47"/>
      <c r="AA144" s="47"/>
      <c r="AB144" s="47"/>
      <c r="AC144" s="47"/>
      <c r="AD144" s="47"/>
      <c r="AE144" s="47"/>
      <c r="AF144" s="59"/>
    </row>
    <row r="145" spans="1:32" x14ac:dyDescent="0.3">
      <c r="A145" s="112" t="s">
        <v>892</v>
      </c>
      <c r="B145" s="112" t="s">
        <v>1764</v>
      </c>
      <c r="C145" s="310"/>
      <c r="D145" s="320">
        <v>1</v>
      </c>
      <c r="E145" s="109" t="s">
        <v>308</v>
      </c>
      <c r="F145" s="320" t="str">
        <v>OK</v>
      </c>
      <c r="G145" s="334">
        <v>29</v>
      </c>
      <c r="H145" s="59"/>
      <c r="I145" s="59"/>
      <c r="J145" s="59"/>
      <c r="K145" s="59"/>
      <c r="L145" s="59"/>
      <c r="M145" s="59"/>
      <c r="N145" s="59"/>
      <c r="O145" s="59"/>
      <c r="P145" s="47"/>
      <c r="Q145" s="47"/>
      <c r="R145" s="47"/>
      <c r="S145" s="47"/>
      <c r="T145" s="47"/>
      <c r="U145" s="47"/>
      <c r="V145" s="47"/>
      <c r="W145" s="47"/>
      <c r="X145" s="47"/>
      <c r="Y145" s="47"/>
      <c r="Z145" s="47"/>
      <c r="AA145" s="47"/>
      <c r="AB145" s="47"/>
      <c r="AC145" s="47"/>
      <c r="AD145" s="47"/>
      <c r="AE145" s="47"/>
      <c r="AF145" s="59"/>
    </row>
    <row r="146" spans="1:32" x14ac:dyDescent="0.3">
      <c r="A146" s="321" t="s">
        <v>892</v>
      </c>
      <c r="B146" s="322" t="s">
        <v>1765</v>
      </c>
      <c r="C146" s="323"/>
      <c r="D146" s="324">
        <v>1</v>
      </c>
      <c r="E146" s="106" t="s">
        <v>308</v>
      </c>
      <c r="F146" s="324" t="str">
        <v>OK</v>
      </c>
      <c r="G146" s="334">
        <v>30</v>
      </c>
      <c r="H146" s="59"/>
      <c r="I146" s="59"/>
      <c r="J146" s="59"/>
      <c r="K146" s="59"/>
      <c r="L146" s="59"/>
      <c r="M146" s="59"/>
      <c r="N146" s="59"/>
      <c r="O146" s="59"/>
      <c r="P146" s="47"/>
      <c r="Q146" s="47"/>
      <c r="R146" s="47"/>
      <c r="S146" s="47"/>
      <c r="T146" s="47"/>
      <c r="U146" s="47"/>
      <c r="V146" s="47"/>
      <c r="W146" s="47"/>
      <c r="X146" s="47"/>
      <c r="Y146" s="47"/>
      <c r="Z146" s="47"/>
      <c r="AA146" s="47"/>
      <c r="AB146" s="47"/>
      <c r="AC146" s="47"/>
      <c r="AD146" s="47"/>
      <c r="AE146" s="47"/>
      <c r="AF146" s="47"/>
    </row>
    <row r="147" spans="1:32" x14ac:dyDescent="0.3">
      <c r="A147" s="112" t="s">
        <v>892</v>
      </c>
      <c r="B147" s="112" t="s">
        <v>1766</v>
      </c>
      <c r="C147" s="310"/>
      <c r="D147" s="320">
        <v>1</v>
      </c>
      <c r="E147" s="109" t="s">
        <v>308</v>
      </c>
      <c r="F147" s="320" t="str">
        <v>Não Ok</v>
      </c>
      <c r="G147" s="334">
        <v>31</v>
      </c>
      <c r="H147" s="59"/>
      <c r="I147" s="59"/>
      <c r="J147" s="59"/>
      <c r="K147" s="59"/>
      <c r="L147" s="59"/>
      <c r="M147" s="59"/>
      <c r="N147" s="59"/>
      <c r="O147" s="59"/>
      <c r="P147" s="47"/>
      <c r="Q147" s="47"/>
      <c r="R147" s="47"/>
      <c r="S147" s="47"/>
      <c r="T147" s="47"/>
      <c r="U147" s="47"/>
      <c r="V147" s="47"/>
      <c r="W147" s="47"/>
      <c r="X147" s="47"/>
      <c r="Y147" s="47"/>
      <c r="Z147" s="47"/>
      <c r="AA147" s="47"/>
      <c r="AB147" s="47"/>
      <c r="AC147" s="47"/>
      <c r="AD147" s="47"/>
      <c r="AE147" s="47"/>
      <c r="AF147" s="47"/>
    </row>
    <row r="148" spans="1:32" x14ac:dyDescent="0.3">
      <c r="A148" s="321" t="s">
        <v>884</v>
      </c>
      <c r="B148" s="322" t="s">
        <v>1767</v>
      </c>
      <c r="C148" s="323"/>
      <c r="D148" s="324">
        <v>2</v>
      </c>
      <c r="E148" s="106" t="s">
        <v>308</v>
      </c>
      <c r="F148" s="324" t="str">
        <v>OK</v>
      </c>
      <c r="G148" s="334">
        <v>32</v>
      </c>
      <c r="H148" s="59"/>
      <c r="I148" s="59"/>
      <c r="J148" s="59"/>
      <c r="K148" s="59"/>
      <c r="L148" s="59"/>
      <c r="M148" s="59"/>
      <c r="N148" s="59"/>
      <c r="O148" s="59"/>
      <c r="P148" s="47"/>
      <c r="Q148" s="47"/>
      <c r="R148" s="47"/>
      <c r="S148" s="47"/>
      <c r="T148" s="47"/>
      <c r="U148" s="47"/>
      <c r="V148" s="47"/>
      <c r="W148" s="47"/>
      <c r="X148" s="47"/>
      <c r="Y148" s="47"/>
      <c r="Z148" s="47"/>
      <c r="AA148" s="47"/>
      <c r="AB148" s="47"/>
      <c r="AC148" s="47"/>
      <c r="AD148" s="47"/>
      <c r="AE148" s="47"/>
      <c r="AF148" s="47"/>
    </row>
    <row r="149" spans="1:32" x14ac:dyDescent="0.3">
      <c r="A149" s="112" t="s">
        <v>884</v>
      </c>
      <c r="B149" s="112" t="s">
        <v>1768</v>
      </c>
      <c r="C149" s="310"/>
      <c r="D149" s="320">
        <v>2</v>
      </c>
      <c r="E149" s="109" t="s">
        <v>308</v>
      </c>
      <c r="F149" s="331" t="str">
        <v>Não Ok</v>
      </c>
      <c r="G149" s="334">
        <v>33</v>
      </c>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row>
    <row r="150" spans="1:32" x14ac:dyDescent="0.3">
      <c r="A150" s="321" t="s">
        <v>884</v>
      </c>
      <c r="B150" s="322" t="s">
        <v>1769</v>
      </c>
      <c r="C150" s="323"/>
      <c r="D150" s="324">
        <v>2</v>
      </c>
      <c r="E150" s="106" t="s">
        <v>363</v>
      </c>
      <c r="F150" s="324" t="str">
        <v>Não Ok</v>
      </c>
      <c r="G150" s="334">
        <v>34</v>
      </c>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row>
    <row r="151" spans="1:32" x14ac:dyDescent="0.3">
      <c r="A151" s="112" t="s">
        <v>884</v>
      </c>
      <c r="B151" s="112" t="s">
        <v>1770</v>
      </c>
      <c r="C151" s="310"/>
      <c r="D151" s="320">
        <v>2</v>
      </c>
      <c r="E151" s="109" t="s">
        <v>308</v>
      </c>
      <c r="F151" s="331" t="str">
        <v>Não Ok</v>
      </c>
      <c r="G151" s="334">
        <v>35</v>
      </c>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row>
    <row r="152" spans="1:32" x14ac:dyDescent="0.3">
      <c r="A152" s="321" t="s">
        <v>884</v>
      </c>
      <c r="B152" s="322" t="s">
        <v>1771</v>
      </c>
      <c r="C152" s="323"/>
      <c r="D152" s="324">
        <v>2</v>
      </c>
      <c r="E152" s="106" t="s">
        <v>308</v>
      </c>
      <c r="F152" s="324" t="str">
        <v>OK</v>
      </c>
      <c r="G152" s="334">
        <v>36</v>
      </c>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row>
    <row r="153" spans="1:32" x14ac:dyDescent="0.3">
      <c r="A153" s="112" t="s">
        <v>892</v>
      </c>
      <c r="B153" s="112" t="s">
        <v>1772</v>
      </c>
      <c r="C153" s="310"/>
      <c r="D153" s="320">
        <v>2</v>
      </c>
      <c r="E153" s="109" t="s">
        <v>308</v>
      </c>
      <c r="F153" s="320" t="str">
        <v>Não Ok</v>
      </c>
      <c r="G153" s="334">
        <v>37</v>
      </c>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row>
    <row r="154" spans="1:32" x14ac:dyDescent="0.3">
      <c r="A154" s="321" t="s">
        <v>892</v>
      </c>
      <c r="B154" s="322" t="s">
        <v>1773</v>
      </c>
      <c r="C154" s="323"/>
      <c r="D154" s="324">
        <v>2</v>
      </c>
      <c r="E154" s="106" t="s">
        <v>308</v>
      </c>
      <c r="F154" s="324" t="str">
        <v>OK</v>
      </c>
      <c r="G154" s="334">
        <v>38</v>
      </c>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row>
    <row r="155" spans="1:32" x14ac:dyDescent="0.3">
      <c r="A155" s="112" t="s">
        <v>892</v>
      </c>
      <c r="B155" s="112" t="s">
        <v>1774</v>
      </c>
      <c r="C155" s="310"/>
      <c r="D155" s="320">
        <v>2</v>
      </c>
      <c r="E155" s="109" t="s">
        <v>308</v>
      </c>
      <c r="F155" s="320" t="str">
        <v>Não Ok</v>
      </c>
      <c r="G155" s="334">
        <v>39</v>
      </c>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row>
    <row r="156" spans="1:32" x14ac:dyDescent="0.3">
      <c r="A156" s="321" t="s">
        <v>892</v>
      </c>
      <c r="B156" s="322" t="s">
        <v>1775</v>
      </c>
      <c r="C156" s="323"/>
      <c r="D156" s="324">
        <v>2</v>
      </c>
      <c r="E156" s="106" t="s">
        <v>308</v>
      </c>
      <c r="F156" s="324" t="str">
        <v>Não Ok</v>
      </c>
      <c r="G156" s="334">
        <v>40</v>
      </c>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row>
    <row r="157" spans="1:32" x14ac:dyDescent="0.3">
      <c r="A157" s="112" t="s">
        <v>892</v>
      </c>
      <c r="B157" s="112" t="s">
        <v>1776</v>
      </c>
      <c r="C157" s="310"/>
      <c r="D157" s="320">
        <v>2</v>
      </c>
      <c r="E157" s="109" t="s">
        <v>363</v>
      </c>
      <c r="F157" s="320" t="str">
        <v>Não Ok</v>
      </c>
      <c r="G157" s="334">
        <v>41</v>
      </c>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row>
    <row r="158" spans="1:32" x14ac:dyDescent="0.3">
      <c r="A158" s="321" t="s">
        <v>892</v>
      </c>
      <c r="B158" s="322" t="s">
        <v>1777</v>
      </c>
      <c r="C158" s="323"/>
      <c r="D158" s="324">
        <v>2</v>
      </c>
      <c r="E158" s="106" t="s">
        <v>308</v>
      </c>
      <c r="F158" s="324" t="str">
        <v>Não Ok</v>
      </c>
      <c r="G158" s="334">
        <v>42</v>
      </c>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row>
    <row r="159" spans="1:32" x14ac:dyDescent="0.3">
      <c r="A159" s="112" t="s">
        <v>884</v>
      </c>
      <c r="B159" s="112" t="s">
        <v>1778</v>
      </c>
      <c r="C159" s="310"/>
      <c r="D159" s="320">
        <v>3</v>
      </c>
      <c r="E159" s="109" t="s">
        <v>363</v>
      </c>
      <c r="F159" s="320" t="str">
        <v>Não Ok</v>
      </c>
      <c r="G159" s="334">
        <v>43</v>
      </c>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row>
    <row r="160" spans="1:32" x14ac:dyDescent="0.3">
      <c r="A160" s="321" t="s">
        <v>884</v>
      </c>
      <c r="B160" s="322" t="s">
        <v>1779</v>
      </c>
      <c r="C160" s="323"/>
      <c r="D160" s="324">
        <v>3</v>
      </c>
      <c r="E160" s="106" t="s">
        <v>363</v>
      </c>
      <c r="F160" s="324" t="str">
        <v>Não Ok</v>
      </c>
      <c r="G160" s="334">
        <v>44</v>
      </c>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row>
    <row r="161" spans="1:32" x14ac:dyDescent="0.3">
      <c r="A161" s="112" t="s">
        <v>892</v>
      </c>
      <c r="B161" s="112" t="s">
        <v>1780</v>
      </c>
      <c r="C161" s="310"/>
      <c r="D161" s="320">
        <v>3</v>
      </c>
      <c r="E161" s="109" t="s">
        <v>308</v>
      </c>
      <c r="F161" s="320" t="str">
        <v>OK</v>
      </c>
      <c r="G161" s="334">
        <v>45</v>
      </c>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row>
    <row r="162" spans="1:32" x14ac:dyDescent="0.3">
      <c r="A162" s="112" t="s">
        <v>892</v>
      </c>
      <c r="B162" s="112" t="s">
        <v>1781</v>
      </c>
      <c r="C162" s="310"/>
      <c r="D162" s="320">
        <v>3</v>
      </c>
      <c r="E162" s="109" t="s">
        <v>308</v>
      </c>
      <c r="F162" s="320" t="str">
        <v>OK</v>
      </c>
      <c r="G162" s="334">
        <v>46</v>
      </c>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row>
    <row r="163" spans="1:32" x14ac:dyDescent="0.3">
      <c r="A163" s="321" t="s">
        <v>892</v>
      </c>
      <c r="B163" s="322" t="s">
        <v>1782</v>
      </c>
      <c r="C163" s="323"/>
      <c r="D163" s="324">
        <v>3</v>
      </c>
      <c r="E163" s="106" t="s">
        <v>308</v>
      </c>
      <c r="F163" s="324" t="str">
        <v>OK</v>
      </c>
      <c r="G163" s="334">
        <v>47</v>
      </c>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row>
    <row r="164" spans="1:32" ht="21" x14ac:dyDescent="0.3">
      <c r="A164" s="1386"/>
      <c r="B164" s="1386"/>
      <c r="C164" s="1386"/>
      <c r="D164" s="113"/>
      <c r="E164" s="113">
        <f>(COUNTIF(E117:E163,"OK")+COUNTIF(E117:E163,"N/A"))/47</f>
        <v>0.80851063829787229</v>
      </c>
      <c r="F164" s="113">
        <f>(COUNTIF(F117:F163,"OK"))/47</f>
        <v>0.57446808510638303</v>
      </c>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row>
    <row r="165" spans="1:32" x14ac:dyDescent="0.3">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row>
    <row r="166" spans="1:32" ht="15.6" x14ac:dyDescent="0.3">
      <c r="A166" s="233" t="s">
        <v>675</v>
      </c>
      <c r="B166" s="233"/>
      <c r="C166" s="233"/>
      <c r="D166" s="233"/>
      <c r="E166" s="234"/>
      <c r="F166" s="234"/>
      <c r="G166" s="234"/>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row>
    <row r="167" spans="1:32" x14ac:dyDescent="0.3">
      <c r="A167" s="103" t="s">
        <v>77</v>
      </c>
      <c r="B167" s="103" t="s">
        <v>78</v>
      </c>
      <c r="C167" s="103" t="s">
        <v>80</v>
      </c>
      <c r="D167" s="103" t="s">
        <v>79</v>
      </c>
      <c r="E167" s="103" t="s">
        <v>78</v>
      </c>
      <c r="F167" s="103" t="s">
        <v>79</v>
      </c>
      <c r="G167" s="103" t="s">
        <v>80</v>
      </c>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row>
    <row r="168" spans="1:32" x14ac:dyDescent="0.3">
      <c r="A168" s="329" t="s">
        <v>871</v>
      </c>
      <c r="B168" s="59">
        <f>COUNTIFS($E$117:$E$163,"OK",$A$117:$A$163,A168)</f>
        <v>4</v>
      </c>
      <c r="C168" s="59">
        <v>5</v>
      </c>
      <c r="D168" s="59">
        <f>COUNTIF(F117:F121,"OK")</f>
        <v>3</v>
      </c>
      <c r="E168" s="272">
        <f>IF(B168=0,"0",B168/C168)</f>
        <v>0.8</v>
      </c>
      <c r="F168" s="272">
        <f>IF(D168=0,"0",D168/C168)</f>
        <v>0.6</v>
      </c>
      <c r="G168" s="317">
        <v>1</v>
      </c>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row>
    <row r="169" spans="1:32" x14ac:dyDescent="0.3">
      <c r="A169" s="335" t="s">
        <v>878</v>
      </c>
      <c r="B169" s="311">
        <f>COUNTIFS($E$117:$E$163,"OK",$A$117:$A$163,A169)</f>
        <v>3</v>
      </c>
      <c r="C169" s="311">
        <v>5</v>
      </c>
      <c r="D169" s="311">
        <f>COUNTIF(F122:F126,"OK")</f>
        <v>3</v>
      </c>
      <c r="E169" s="273">
        <f>IF(B169=0,"0",B169/C169)</f>
        <v>0.6</v>
      </c>
      <c r="F169" s="273">
        <f>IF(D169=0,"0",D169/C169)</f>
        <v>0.6</v>
      </c>
      <c r="G169" s="318">
        <v>1</v>
      </c>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row>
    <row r="170" spans="1:32" x14ac:dyDescent="0.3">
      <c r="A170" s="329" t="s">
        <v>884</v>
      </c>
      <c r="B170" s="59">
        <f>COUNTIFS($E$117:$E$163,"OK",$A$117:$A$163,A170)</f>
        <v>11</v>
      </c>
      <c r="C170" s="59">
        <v>14</v>
      </c>
      <c r="D170" s="59">
        <f>COUNTIF(F127:F140,"OK")</f>
        <v>11</v>
      </c>
      <c r="E170" s="272">
        <f>IF(B170=0,"0",B170/C170)</f>
        <v>0.7857142857142857</v>
      </c>
      <c r="F170" s="272">
        <f>IF(D170=0,"0",D170/C170)</f>
        <v>0.7857142857142857</v>
      </c>
      <c r="G170" s="317">
        <v>1</v>
      </c>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row>
    <row r="171" spans="1:32" x14ac:dyDescent="0.3">
      <c r="A171" s="335" t="s">
        <v>892</v>
      </c>
      <c r="B171" s="311">
        <f>COUNTIFS($E$117:$E$163,"OK",$A$117:$A$163,A171)</f>
        <v>20</v>
      </c>
      <c r="C171" s="311">
        <v>23</v>
      </c>
      <c r="D171" s="311">
        <f>COUNTIF(F141:F163,"OK")</f>
        <v>10</v>
      </c>
      <c r="E171" s="273">
        <f>IF(B171=0,"0",B171/C171)</f>
        <v>0.86956521739130432</v>
      </c>
      <c r="F171" s="273">
        <f>IF(D171=0,"0",D171/C171)</f>
        <v>0.43478260869565216</v>
      </c>
      <c r="G171" s="318">
        <v>1</v>
      </c>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row>
    <row r="172" spans="1:32" x14ac:dyDescent="0.3">
      <c r="A172" s="329"/>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row>
    <row r="173" spans="1:32" x14ac:dyDescent="0.3">
      <c r="A173" s="312" t="s">
        <v>666</v>
      </c>
      <c r="B173" s="312" t="s">
        <v>667</v>
      </c>
      <c r="C173" s="312" t="s">
        <v>668</v>
      </c>
      <c r="D173" s="312" t="s">
        <v>669</v>
      </c>
      <c r="E173" s="312" t="s">
        <v>670</v>
      </c>
      <c r="F173" s="312" t="s">
        <v>671</v>
      </c>
      <c r="G173" s="312" t="s">
        <v>672</v>
      </c>
      <c r="H173" s="312" t="s">
        <v>673</v>
      </c>
      <c r="I173" s="312" t="s">
        <v>674</v>
      </c>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row>
    <row r="174" spans="1:32" x14ac:dyDescent="0.3">
      <c r="A174" s="297">
        <v>1</v>
      </c>
      <c r="B174" s="297">
        <f>COUNTIF($D$117:$D$163,A174)</f>
        <v>31</v>
      </c>
      <c r="C174" s="297">
        <f>COUNTIFS($D$117:$D$163,A174,E117:E163,"OK")</f>
        <v>26</v>
      </c>
      <c r="D174" s="300">
        <f>COUNTIFS($D$117:$D$163,A174,E117:E163,"Não OK")</f>
        <v>5</v>
      </c>
      <c r="E174" s="299">
        <f>COUNTIFS(E117:E163,"OK",D117:D163,A174)/B174</f>
        <v>0.83870967741935487</v>
      </c>
      <c r="F174" s="297">
        <f>COUNTIFS($F$117:$F$163,"OK",$D$117:$D$163,A174)</f>
        <v>21</v>
      </c>
      <c r="G174" s="297">
        <f>COUNTIFS($F$117:$F$163,"Não OK",$D$117:$D$163,A174)</f>
        <v>10</v>
      </c>
      <c r="H174" s="299">
        <f>COUNTIFS(F116:F162,"OK",D116:D162,A174)/B174</f>
        <v>0.67741935483870963</v>
      </c>
      <c r="I174" s="298">
        <f>[31]Unidade!$E$1</f>
        <v>46071</v>
      </c>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row>
    <row r="175" spans="1:32" x14ac:dyDescent="0.3">
      <c r="A175" s="313">
        <v>2</v>
      </c>
      <c r="B175" s="313">
        <f t="shared" ref="B175:B176" si="50">COUNTIF($D$117:$D$163,A175)</f>
        <v>11</v>
      </c>
      <c r="C175" s="313">
        <f t="shared" ref="C175:C176" si="51">COUNTIFS($D$117:$D$163,A175,E118:E164,"OK")</f>
        <v>8</v>
      </c>
      <c r="D175" s="313">
        <f t="shared" ref="D175:D176" si="52">COUNTIFS($D$117:$D$163,A175,E118:E164,"Não OK")</f>
        <v>3</v>
      </c>
      <c r="E175" s="314">
        <f>COUNTIFS(E118:E164,"OK",D118:D164,A175)/B175</f>
        <v>0.81818181818181823</v>
      </c>
      <c r="F175" s="313">
        <f t="shared" ref="F175:F176" si="53">COUNTIFS($F$117:$F$163,"OK",$D$117:$D$163,A175)</f>
        <v>3</v>
      </c>
      <c r="G175" s="313">
        <f>COUNTIFS($F$117:$F$163,"Não OK",$D$117:$D$163,A175)</f>
        <v>8</v>
      </c>
      <c r="H175" s="314">
        <f>COUNTIFS(F117:F163,"OK",D117:D163,A175)/B175</f>
        <v>0.27272727272727271</v>
      </c>
      <c r="I175" s="336">
        <f>[31]Unidade!$E$36</f>
        <v>46081</v>
      </c>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row>
    <row r="176" spans="1:32" x14ac:dyDescent="0.3">
      <c r="A176" s="297">
        <v>3</v>
      </c>
      <c r="B176" s="297">
        <f t="shared" si="50"/>
        <v>5</v>
      </c>
      <c r="C176" s="297">
        <f t="shared" si="51"/>
        <v>3</v>
      </c>
      <c r="D176" s="300">
        <f t="shared" si="52"/>
        <v>0</v>
      </c>
      <c r="E176" s="299">
        <f>COUNTIFS(E119:E165,"OK",D119:D165,A176)/B176</f>
        <v>0.6</v>
      </c>
      <c r="F176" s="297">
        <f t="shared" si="53"/>
        <v>3</v>
      </c>
      <c r="G176" s="297">
        <f>COUNTIFS($F$117:$F$163,"Não OK",$D$117:$D$163,A176)</f>
        <v>2</v>
      </c>
      <c r="H176" s="299">
        <f>COUNTIFS(F118:F164,"OK",D118:D164,A176)/B176</f>
        <v>0.6</v>
      </c>
      <c r="I176" s="298">
        <f>[31]Unidade!$E$51</f>
        <v>46095</v>
      </c>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row>
    <row r="177" spans="1:32" x14ac:dyDescent="0.3">
      <c r="A177" s="312" t="s">
        <v>149</v>
      </c>
      <c r="B177" s="312">
        <f>SUM(B174:B176)</f>
        <v>47</v>
      </c>
      <c r="C177" s="312"/>
      <c r="D177" s="312"/>
      <c r="E177" s="312"/>
      <c r="F177" s="312"/>
      <c r="G177" s="312"/>
      <c r="H177" s="312"/>
      <c r="I177" s="312"/>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row>
    <row r="178" spans="1:32" x14ac:dyDescent="0.3">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row>
    <row r="179" spans="1:32" x14ac:dyDescent="0.3">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row>
    <row r="180" spans="1:32" x14ac:dyDescent="0.3">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row>
  </sheetData>
  <sheetProtection formatCells="0" formatColumns="0" formatRows="0" insertHyperlinks="0"/>
  <autoFilter ref="A54:AE114" xr:uid="{00000000-0001-0000-0100-000000000000}"/>
  <mergeCells count="590">
    <mergeCell ref="N109:N110"/>
    <mergeCell ref="M111:M112"/>
    <mergeCell ref="N111:N112"/>
    <mergeCell ref="M113:M114"/>
    <mergeCell ref="N113:N114"/>
    <mergeCell ref="M103:M104"/>
    <mergeCell ref="N103:N104"/>
    <mergeCell ref="M105:M106"/>
    <mergeCell ref="N105:N106"/>
    <mergeCell ref="M107:M108"/>
    <mergeCell ref="N107:N108"/>
    <mergeCell ref="M81:M82"/>
    <mergeCell ref="N81:N82"/>
    <mergeCell ref="M83:M84"/>
    <mergeCell ref="N83:N84"/>
    <mergeCell ref="M99:M100"/>
    <mergeCell ref="N99:N100"/>
    <mergeCell ref="M101:M102"/>
    <mergeCell ref="N101:N102"/>
    <mergeCell ref="M91:M92"/>
    <mergeCell ref="N91:N92"/>
    <mergeCell ref="M93:M94"/>
    <mergeCell ref="N93:N94"/>
    <mergeCell ref="M95:M96"/>
    <mergeCell ref="N95:N96"/>
    <mergeCell ref="M97:M98"/>
    <mergeCell ref="N97:N98"/>
    <mergeCell ref="M75:M76"/>
    <mergeCell ref="N75:N76"/>
    <mergeCell ref="M77:M78"/>
    <mergeCell ref="N77:N78"/>
    <mergeCell ref="M67:M68"/>
    <mergeCell ref="N67:N68"/>
    <mergeCell ref="M69:M70"/>
    <mergeCell ref="N69:N70"/>
    <mergeCell ref="M71:M72"/>
    <mergeCell ref="N71:N72"/>
    <mergeCell ref="N61:N62"/>
    <mergeCell ref="M63:M64"/>
    <mergeCell ref="N63:N64"/>
    <mergeCell ref="M65:M66"/>
    <mergeCell ref="N65:N66"/>
    <mergeCell ref="M55:M56"/>
    <mergeCell ref="N55:N56"/>
    <mergeCell ref="M57:M58"/>
    <mergeCell ref="N57:N58"/>
    <mergeCell ref="M59:M60"/>
    <mergeCell ref="N59:N60"/>
    <mergeCell ref="L69:L70"/>
    <mergeCell ref="L71:L72"/>
    <mergeCell ref="L73:L74"/>
    <mergeCell ref="L75:L76"/>
    <mergeCell ref="L77:L78"/>
    <mergeCell ref="L103:L104"/>
    <mergeCell ref="L91:L92"/>
    <mergeCell ref="L93:L94"/>
    <mergeCell ref="L95:L96"/>
    <mergeCell ref="L97:L98"/>
    <mergeCell ref="L99:L100"/>
    <mergeCell ref="L101:L102"/>
    <mergeCell ref="L63:L64"/>
    <mergeCell ref="L65:L66"/>
    <mergeCell ref="M136:P136"/>
    <mergeCell ref="M137:P137"/>
    <mergeCell ref="M138:P138"/>
    <mergeCell ref="M118:P118"/>
    <mergeCell ref="M119:P119"/>
    <mergeCell ref="M120:P120"/>
    <mergeCell ref="M121:P121"/>
    <mergeCell ref="M122:P122"/>
    <mergeCell ref="M123:P123"/>
    <mergeCell ref="O111:O112"/>
    <mergeCell ref="P111:P112"/>
    <mergeCell ref="O105:O106"/>
    <mergeCell ref="P105:P106"/>
    <mergeCell ref="O99:O100"/>
    <mergeCell ref="P99:P100"/>
    <mergeCell ref="O93:O94"/>
    <mergeCell ref="P93:P94"/>
    <mergeCell ref="O87:O88"/>
    <mergeCell ref="L79:L80"/>
    <mergeCell ref="L81:L82"/>
    <mergeCell ref="L83:L84"/>
    <mergeCell ref="L85:L86"/>
    <mergeCell ref="M139:P139"/>
    <mergeCell ref="A164:C164"/>
    <mergeCell ref="M130:P130"/>
    <mergeCell ref="M131:P131"/>
    <mergeCell ref="M132:P132"/>
    <mergeCell ref="M133:P133"/>
    <mergeCell ref="M134:P134"/>
    <mergeCell ref="M135:P135"/>
    <mergeCell ref="M124:P124"/>
    <mergeCell ref="M125:P125"/>
    <mergeCell ref="M126:P126"/>
    <mergeCell ref="M127:P127"/>
    <mergeCell ref="M128:P128"/>
    <mergeCell ref="M129:P129"/>
    <mergeCell ref="A116:C116"/>
    <mergeCell ref="H116:L116"/>
    <mergeCell ref="M116:N116"/>
    <mergeCell ref="O116:P116"/>
    <mergeCell ref="M117:P117"/>
    <mergeCell ref="H113:H114"/>
    <mergeCell ref="I113:I114"/>
    <mergeCell ref="J113:J114"/>
    <mergeCell ref="K113:K114"/>
    <mergeCell ref="O113:O114"/>
    <mergeCell ref="P113:P114"/>
    <mergeCell ref="L113:L114"/>
    <mergeCell ref="A111:A112"/>
    <mergeCell ref="B111:B112"/>
    <mergeCell ref="C111:C112"/>
    <mergeCell ref="D111:D112"/>
    <mergeCell ref="E111:E112"/>
    <mergeCell ref="AL111:AL112"/>
    <mergeCell ref="A113:A114"/>
    <mergeCell ref="B113:B114"/>
    <mergeCell ref="C113:C114"/>
    <mergeCell ref="D113:D114"/>
    <mergeCell ref="E113:E114"/>
    <mergeCell ref="F113:F114"/>
    <mergeCell ref="G113:G114"/>
    <mergeCell ref="F111:F112"/>
    <mergeCell ref="G111:G112"/>
    <mergeCell ref="H111:H112"/>
    <mergeCell ref="I111:I112"/>
    <mergeCell ref="J111:J112"/>
    <mergeCell ref="K111:K112"/>
    <mergeCell ref="AL113:AL114"/>
    <mergeCell ref="L111:L112"/>
    <mergeCell ref="AL107:AL108"/>
    <mergeCell ref="A109:A110"/>
    <mergeCell ref="B109:B110"/>
    <mergeCell ref="C109:C110"/>
    <mergeCell ref="D109:D110"/>
    <mergeCell ref="E109:E110"/>
    <mergeCell ref="F109:F110"/>
    <mergeCell ref="G109:G110"/>
    <mergeCell ref="H109:H110"/>
    <mergeCell ref="I109:I110"/>
    <mergeCell ref="H107:H108"/>
    <mergeCell ref="I107:I108"/>
    <mergeCell ref="J107:J108"/>
    <mergeCell ref="K107:K108"/>
    <mergeCell ref="O107:O108"/>
    <mergeCell ref="P107:P108"/>
    <mergeCell ref="J109:J110"/>
    <mergeCell ref="K109:K110"/>
    <mergeCell ref="O109:O110"/>
    <mergeCell ref="P109:P110"/>
    <mergeCell ref="AL109:AL110"/>
    <mergeCell ref="L107:L108"/>
    <mergeCell ref="L109:L110"/>
    <mergeCell ref="M109:M110"/>
    <mergeCell ref="A107:A108"/>
    <mergeCell ref="B107:B108"/>
    <mergeCell ref="C107:C108"/>
    <mergeCell ref="D107:D108"/>
    <mergeCell ref="E107:E108"/>
    <mergeCell ref="F107:F108"/>
    <mergeCell ref="G107:G108"/>
    <mergeCell ref="F105:F106"/>
    <mergeCell ref="G105:G106"/>
    <mergeCell ref="O101:O102"/>
    <mergeCell ref="P101:P102"/>
    <mergeCell ref="J103:J104"/>
    <mergeCell ref="K103:K104"/>
    <mergeCell ref="O103:O104"/>
    <mergeCell ref="P103:P104"/>
    <mergeCell ref="AL103:AL104"/>
    <mergeCell ref="A105:A106"/>
    <mergeCell ref="B105:B106"/>
    <mergeCell ref="C105:C106"/>
    <mergeCell ref="D105:D106"/>
    <mergeCell ref="E105:E106"/>
    <mergeCell ref="AL105:AL106"/>
    <mergeCell ref="H105:H106"/>
    <mergeCell ref="I105:I106"/>
    <mergeCell ref="J105:J106"/>
    <mergeCell ref="K105:K106"/>
    <mergeCell ref="L105:L106"/>
    <mergeCell ref="A103:A104"/>
    <mergeCell ref="B103:B104"/>
    <mergeCell ref="C103:C104"/>
    <mergeCell ref="D103:D104"/>
    <mergeCell ref="E103:E104"/>
    <mergeCell ref="F103:F104"/>
    <mergeCell ref="G103:G104"/>
    <mergeCell ref="H103:H104"/>
    <mergeCell ref="I103:I104"/>
    <mergeCell ref="A99:A100"/>
    <mergeCell ref="B99:B100"/>
    <mergeCell ref="C99:C100"/>
    <mergeCell ref="D99:D100"/>
    <mergeCell ref="E99:E100"/>
    <mergeCell ref="AL99:AL100"/>
    <mergeCell ref="A101:A102"/>
    <mergeCell ref="B101:B102"/>
    <mergeCell ref="C101:C102"/>
    <mergeCell ref="D101:D102"/>
    <mergeCell ref="E101:E102"/>
    <mergeCell ref="F101:F102"/>
    <mergeCell ref="G101:G102"/>
    <mergeCell ref="F99:F100"/>
    <mergeCell ref="G99:G100"/>
    <mergeCell ref="H99:H100"/>
    <mergeCell ref="I99:I100"/>
    <mergeCell ref="J99:J100"/>
    <mergeCell ref="K99:K100"/>
    <mergeCell ref="AL101:AL102"/>
    <mergeCell ref="H101:H102"/>
    <mergeCell ref="I101:I102"/>
    <mergeCell ref="J101:J102"/>
    <mergeCell ref="K101:K102"/>
    <mergeCell ref="AL95:AL96"/>
    <mergeCell ref="A97:A98"/>
    <mergeCell ref="B97:B98"/>
    <mergeCell ref="C97:C98"/>
    <mergeCell ref="D97:D98"/>
    <mergeCell ref="E97:E98"/>
    <mergeCell ref="F97:F98"/>
    <mergeCell ref="G97:G98"/>
    <mergeCell ref="H97:H98"/>
    <mergeCell ref="I97:I98"/>
    <mergeCell ref="H95:H96"/>
    <mergeCell ref="I95:I96"/>
    <mergeCell ref="J95:J96"/>
    <mergeCell ref="K95:K96"/>
    <mergeCell ref="O95:O96"/>
    <mergeCell ref="P95:P96"/>
    <mergeCell ref="J97:J98"/>
    <mergeCell ref="K97:K98"/>
    <mergeCell ref="O97:O98"/>
    <mergeCell ref="P97:P98"/>
    <mergeCell ref="AL97:AL98"/>
    <mergeCell ref="A95:A96"/>
    <mergeCell ref="B95:B96"/>
    <mergeCell ref="C95:C96"/>
    <mergeCell ref="D95:D96"/>
    <mergeCell ref="E95:E96"/>
    <mergeCell ref="F95:F96"/>
    <mergeCell ref="G95:G96"/>
    <mergeCell ref="F93:F94"/>
    <mergeCell ref="G93:G94"/>
    <mergeCell ref="AL91:AL92"/>
    <mergeCell ref="A93:A94"/>
    <mergeCell ref="B93:B94"/>
    <mergeCell ref="C93:C94"/>
    <mergeCell ref="D93:D94"/>
    <mergeCell ref="E93:E94"/>
    <mergeCell ref="AL93:AL94"/>
    <mergeCell ref="H93:H94"/>
    <mergeCell ref="I93:I94"/>
    <mergeCell ref="J93:J94"/>
    <mergeCell ref="K93:K94"/>
    <mergeCell ref="A91:A92"/>
    <mergeCell ref="B91:B92"/>
    <mergeCell ref="C91:C92"/>
    <mergeCell ref="D91:D92"/>
    <mergeCell ref="E91:E92"/>
    <mergeCell ref="F91:F92"/>
    <mergeCell ref="G91:G92"/>
    <mergeCell ref="H91:H92"/>
    <mergeCell ref="I91:I92"/>
    <mergeCell ref="J91:J92"/>
    <mergeCell ref="K91:K92"/>
    <mergeCell ref="O91:O92"/>
    <mergeCell ref="P91:P92"/>
    <mergeCell ref="K89:K90"/>
    <mergeCell ref="O89:O90"/>
    <mergeCell ref="P89:P90"/>
    <mergeCell ref="L87:L88"/>
    <mergeCell ref="L89:L90"/>
    <mergeCell ref="M87:M88"/>
    <mergeCell ref="N87:N88"/>
    <mergeCell ref="M89:M90"/>
    <mergeCell ref="N89:N90"/>
    <mergeCell ref="AL87:AL88"/>
    <mergeCell ref="A89:A90"/>
    <mergeCell ref="B89:B90"/>
    <mergeCell ref="C89:C90"/>
    <mergeCell ref="D89:D90"/>
    <mergeCell ref="E89:E90"/>
    <mergeCell ref="F89:F90"/>
    <mergeCell ref="G89:G90"/>
    <mergeCell ref="F87:F88"/>
    <mergeCell ref="G87:G88"/>
    <mergeCell ref="H87:H88"/>
    <mergeCell ref="I87:I88"/>
    <mergeCell ref="J87:J88"/>
    <mergeCell ref="K87:K88"/>
    <mergeCell ref="AL89:AL90"/>
    <mergeCell ref="H89:H90"/>
    <mergeCell ref="I89:I90"/>
    <mergeCell ref="J89:J90"/>
    <mergeCell ref="A87:A88"/>
    <mergeCell ref="B87:B88"/>
    <mergeCell ref="C87:C88"/>
    <mergeCell ref="D87:D88"/>
    <mergeCell ref="E87:E88"/>
    <mergeCell ref="P87:P88"/>
    <mergeCell ref="J83:J84"/>
    <mergeCell ref="K83:K84"/>
    <mergeCell ref="O83:O84"/>
    <mergeCell ref="P83:P84"/>
    <mergeCell ref="J85:J86"/>
    <mergeCell ref="K85:K86"/>
    <mergeCell ref="O85:O86"/>
    <mergeCell ref="P85:P86"/>
    <mergeCell ref="AL85:AL86"/>
    <mergeCell ref="M85:M86"/>
    <mergeCell ref="N85:N86"/>
    <mergeCell ref="A85:A86"/>
    <mergeCell ref="B85:B86"/>
    <mergeCell ref="C85:C86"/>
    <mergeCell ref="D85:D86"/>
    <mergeCell ref="E85:E86"/>
    <mergeCell ref="F85:F86"/>
    <mergeCell ref="G85:G86"/>
    <mergeCell ref="H85:H86"/>
    <mergeCell ref="I85:I86"/>
    <mergeCell ref="A81:A82"/>
    <mergeCell ref="B81:B82"/>
    <mergeCell ref="C81:C82"/>
    <mergeCell ref="D81:D82"/>
    <mergeCell ref="E81:E82"/>
    <mergeCell ref="O81:O82"/>
    <mergeCell ref="P81:P82"/>
    <mergeCell ref="AL81:AL82"/>
    <mergeCell ref="A83:A84"/>
    <mergeCell ref="B83:B84"/>
    <mergeCell ref="C83:C84"/>
    <mergeCell ref="D83:D84"/>
    <mergeCell ref="E83:E84"/>
    <mergeCell ref="F83:F84"/>
    <mergeCell ref="G83:G84"/>
    <mergeCell ref="F81:F82"/>
    <mergeCell ref="G81:G82"/>
    <mergeCell ref="H81:H82"/>
    <mergeCell ref="I81:I82"/>
    <mergeCell ref="J81:J82"/>
    <mergeCell ref="K81:K82"/>
    <mergeCell ref="AL83:AL84"/>
    <mergeCell ref="H83:H84"/>
    <mergeCell ref="I83:I84"/>
    <mergeCell ref="J77:J78"/>
    <mergeCell ref="K77:K78"/>
    <mergeCell ref="O77:O78"/>
    <mergeCell ref="P77:P78"/>
    <mergeCell ref="J79:J80"/>
    <mergeCell ref="K79:K80"/>
    <mergeCell ref="O79:O80"/>
    <mergeCell ref="P79:P80"/>
    <mergeCell ref="AL79:AL80"/>
    <mergeCell ref="M79:M80"/>
    <mergeCell ref="N79:N80"/>
    <mergeCell ref="A79:A80"/>
    <mergeCell ref="B79:B80"/>
    <mergeCell ref="C79:C80"/>
    <mergeCell ref="D79:D80"/>
    <mergeCell ref="E79:E80"/>
    <mergeCell ref="F79:F80"/>
    <mergeCell ref="G79:G80"/>
    <mergeCell ref="H79:H80"/>
    <mergeCell ref="I79:I80"/>
    <mergeCell ref="A75:A76"/>
    <mergeCell ref="B75:B76"/>
    <mergeCell ref="C75:C76"/>
    <mergeCell ref="D75:D76"/>
    <mergeCell ref="E75:E76"/>
    <mergeCell ref="O75:O76"/>
    <mergeCell ref="P75:P76"/>
    <mergeCell ref="AL75:AL76"/>
    <mergeCell ref="A77:A78"/>
    <mergeCell ref="B77:B78"/>
    <mergeCell ref="C77:C78"/>
    <mergeCell ref="D77:D78"/>
    <mergeCell ref="E77:E78"/>
    <mergeCell ref="F77:F78"/>
    <mergeCell ref="G77:G78"/>
    <mergeCell ref="F75:F76"/>
    <mergeCell ref="G75:G76"/>
    <mergeCell ref="H75:H76"/>
    <mergeCell ref="I75:I76"/>
    <mergeCell ref="J75:J76"/>
    <mergeCell ref="K75:K76"/>
    <mergeCell ref="AL77:AL78"/>
    <mergeCell ref="H77:H78"/>
    <mergeCell ref="I77:I78"/>
    <mergeCell ref="J71:J72"/>
    <mergeCell ref="K71:K72"/>
    <mergeCell ref="O71:O72"/>
    <mergeCell ref="P71:P72"/>
    <mergeCell ref="J73:J74"/>
    <mergeCell ref="K73:K74"/>
    <mergeCell ref="O73:O74"/>
    <mergeCell ref="P73:P74"/>
    <mergeCell ref="AL73:AL74"/>
    <mergeCell ref="M73:M74"/>
    <mergeCell ref="N73:N74"/>
    <mergeCell ref="A73:A74"/>
    <mergeCell ref="B73:B74"/>
    <mergeCell ref="C73:C74"/>
    <mergeCell ref="D73:D74"/>
    <mergeCell ref="E73:E74"/>
    <mergeCell ref="F73:F74"/>
    <mergeCell ref="G73:G74"/>
    <mergeCell ref="H73:H74"/>
    <mergeCell ref="I73:I74"/>
    <mergeCell ref="A69:A70"/>
    <mergeCell ref="B69:B70"/>
    <mergeCell ref="C69:C70"/>
    <mergeCell ref="D69:D70"/>
    <mergeCell ref="E69:E70"/>
    <mergeCell ref="O69:O70"/>
    <mergeCell ref="P69:P70"/>
    <mergeCell ref="AL69:AL70"/>
    <mergeCell ref="A71:A72"/>
    <mergeCell ref="B71:B72"/>
    <mergeCell ref="C71:C72"/>
    <mergeCell ref="D71:D72"/>
    <mergeCell ref="E71:E72"/>
    <mergeCell ref="F71:F72"/>
    <mergeCell ref="G71:G72"/>
    <mergeCell ref="F69:F70"/>
    <mergeCell ref="G69:G70"/>
    <mergeCell ref="H69:H70"/>
    <mergeCell ref="I69:I70"/>
    <mergeCell ref="J69:J70"/>
    <mergeCell ref="K69:K70"/>
    <mergeCell ref="AL71:AL72"/>
    <mergeCell ref="H71:H72"/>
    <mergeCell ref="I71:I72"/>
    <mergeCell ref="J65:J66"/>
    <mergeCell ref="K65:K66"/>
    <mergeCell ref="O65:O66"/>
    <mergeCell ref="P65:P66"/>
    <mergeCell ref="J67:J68"/>
    <mergeCell ref="K67:K68"/>
    <mergeCell ref="O67:O68"/>
    <mergeCell ref="P67:P68"/>
    <mergeCell ref="AL67:AL68"/>
    <mergeCell ref="L67:L68"/>
    <mergeCell ref="A67:A68"/>
    <mergeCell ref="B67:B68"/>
    <mergeCell ref="C67:C68"/>
    <mergeCell ref="D67:D68"/>
    <mergeCell ref="E67:E68"/>
    <mergeCell ref="F67:F68"/>
    <mergeCell ref="G67:G68"/>
    <mergeCell ref="H67:H68"/>
    <mergeCell ref="I67:I68"/>
    <mergeCell ref="A63:A64"/>
    <mergeCell ref="B63:B64"/>
    <mergeCell ref="C63:C64"/>
    <mergeCell ref="D63:D64"/>
    <mergeCell ref="E63:E64"/>
    <mergeCell ref="O63:O64"/>
    <mergeCell ref="P63:P64"/>
    <mergeCell ref="AL63:AL64"/>
    <mergeCell ref="A65:A66"/>
    <mergeCell ref="B65:B66"/>
    <mergeCell ref="C65:C66"/>
    <mergeCell ref="D65:D66"/>
    <mergeCell ref="E65:E66"/>
    <mergeCell ref="F65:F66"/>
    <mergeCell ref="G65:G66"/>
    <mergeCell ref="F63:F64"/>
    <mergeCell ref="G63:G64"/>
    <mergeCell ref="H63:H64"/>
    <mergeCell ref="I63:I64"/>
    <mergeCell ref="J63:J64"/>
    <mergeCell ref="K63:K64"/>
    <mergeCell ref="AL65:AL66"/>
    <mergeCell ref="H65:H66"/>
    <mergeCell ref="I65:I66"/>
    <mergeCell ref="AL59:AL60"/>
    <mergeCell ref="A61:A62"/>
    <mergeCell ref="B61:B62"/>
    <mergeCell ref="C61:C62"/>
    <mergeCell ref="D61:D62"/>
    <mergeCell ref="E61:E62"/>
    <mergeCell ref="F61:F62"/>
    <mergeCell ref="G61:G62"/>
    <mergeCell ref="H61:H62"/>
    <mergeCell ref="I61:I62"/>
    <mergeCell ref="H59:H60"/>
    <mergeCell ref="I59:I60"/>
    <mergeCell ref="J59:J60"/>
    <mergeCell ref="K59:K60"/>
    <mergeCell ref="O59:O60"/>
    <mergeCell ref="P59:P60"/>
    <mergeCell ref="J61:J62"/>
    <mergeCell ref="K61:K62"/>
    <mergeCell ref="O61:O62"/>
    <mergeCell ref="P61:P62"/>
    <mergeCell ref="AL61:AL62"/>
    <mergeCell ref="L59:L60"/>
    <mergeCell ref="L61:L62"/>
    <mergeCell ref="M61:M62"/>
    <mergeCell ref="A59:A60"/>
    <mergeCell ref="B59:B60"/>
    <mergeCell ref="C59:C60"/>
    <mergeCell ref="D59:D60"/>
    <mergeCell ref="E59:E60"/>
    <mergeCell ref="F59:F60"/>
    <mergeCell ref="G59:G60"/>
    <mergeCell ref="F57:F58"/>
    <mergeCell ref="G57:G58"/>
    <mergeCell ref="AL55:AL56"/>
    <mergeCell ref="A57:A58"/>
    <mergeCell ref="B57:B58"/>
    <mergeCell ref="C57:C58"/>
    <mergeCell ref="D57:D58"/>
    <mergeCell ref="E57:E58"/>
    <mergeCell ref="O57:O58"/>
    <mergeCell ref="P57:P58"/>
    <mergeCell ref="AL57:AL58"/>
    <mergeCell ref="H57:H58"/>
    <mergeCell ref="I57:I58"/>
    <mergeCell ref="J57:J58"/>
    <mergeCell ref="K57:K58"/>
    <mergeCell ref="L55:L56"/>
    <mergeCell ref="L57:L58"/>
    <mergeCell ref="AF53:AI53"/>
    <mergeCell ref="A55:A56"/>
    <mergeCell ref="B55:B56"/>
    <mergeCell ref="C55:C56"/>
    <mergeCell ref="D55:D56"/>
    <mergeCell ref="E55:E56"/>
    <mergeCell ref="F55:F56"/>
    <mergeCell ref="G55:G56"/>
    <mergeCell ref="H55:H56"/>
    <mergeCell ref="I55:I56"/>
    <mergeCell ref="J55:J56"/>
    <mergeCell ref="K55:K56"/>
    <mergeCell ref="O55:O56"/>
    <mergeCell ref="P55:P56"/>
    <mergeCell ref="S24:W24"/>
    <mergeCell ref="S25:W25"/>
    <mergeCell ref="O26:P26"/>
    <mergeCell ref="U53:W53"/>
    <mergeCell ref="X53:AA53"/>
    <mergeCell ref="AB53:AE53"/>
    <mergeCell ref="S18:W18"/>
    <mergeCell ref="S19:W19"/>
    <mergeCell ref="S20:W20"/>
    <mergeCell ref="S21:W21"/>
    <mergeCell ref="S22:W22"/>
    <mergeCell ref="S23:W23"/>
    <mergeCell ref="S13:W13"/>
    <mergeCell ref="S14:W14"/>
    <mergeCell ref="S15:W15"/>
    <mergeCell ref="S16:W16"/>
    <mergeCell ref="S17:W17"/>
    <mergeCell ref="K10:K11"/>
    <mergeCell ref="L10:L11"/>
    <mergeCell ref="M10:M11"/>
    <mergeCell ref="S10:W10"/>
    <mergeCell ref="S11:W11"/>
    <mergeCell ref="S12:W12"/>
    <mergeCell ref="S6:W6"/>
    <mergeCell ref="A7:E7"/>
    <mergeCell ref="G7:I7"/>
    <mergeCell ref="K7:M7"/>
    <mergeCell ref="S7:W7"/>
    <mergeCell ref="K8:K9"/>
    <mergeCell ref="L8:L9"/>
    <mergeCell ref="M8:M9"/>
    <mergeCell ref="S8:W8"/>
    <mergeCell ref="S9:W9"/>
    <mergeCell ref="O4:AD4"/>
    <mergeCell ref="A5:B5"/>
    <mergeCell ref="C5:D5"/>
    <mergeCell ref="E5:F5"/>
    <mergeCell ref="G5:I5"/>
    <mergeCell ref="J5:K5"/>
    <mergeCell ref="L5:M5"/>
    <mergeCell ref="S5:W5"/>
    <mergeCell ref="A1:V1"/>
    <mergeCell ref="W1:AD1"/>
    <mergeCell ref="A2:X2"/>
    <mergeCell ref="Y2:AD2"/>
    <mergeCell ref="A4:B4"/>
    <mergeCell ref="C4:D4"/>
    <mergeCell ref="E4:F4"/>
    <mergeCell ref="G4:I4"/>
    <mergeCell ref="J4:K4"/>
    <mergeCell ref="L4:M4"/>
  </mergeCells>
  <conditionalFormatting sqref="E9:E12">
    <cfRule type="dataBar" priority="15">
      <dataBar showValue="0">
        <cfvo type="num" val="0"/>
        <cfvo type="num" val="1"/>
        <color rgb="FF00B050"/>
      </dataBar>
      <extLst>
        <ext xmlns:x14="http://schemas.microsoft.com/office/spreadsheetml/2009/9/main" uri="{B025F937-C7B1-47D3-B67F-A62EFF666E3E}">
          <x14:id>{287B8923-1FA3-428A-A00A-1C0310E9817A}</x14:id>
        </ext>
      </extLst>
    </cfRule>
  </conditionalFormatting>
  <conditionalFormatting sqref="R6:R25">
    <cfRule type="cellIs" dxfId="82" priority="1" operator="between">
      <formula>$Q$6</formula>
      <formula>0.01</formula>
    </cfRule>
    <cfRule type="cellIs" dxfId="81" priority="2" operator="greaterThanOrEqual">
      <formula>$Q$6</formula>
    </cfRule>
    <cfRule type="cellIs" dxfId="80" priority="3" operator="equal">
      <formula>0</formula>
    </cfRule>
  </conditionalFormatting>
  <conditionalFormatting sqref="Y6:Y25">
    <cfRule type="cellIs" dxfId="79" priority="14" operator="lessThanOrEqual">
      <formula>0.81</formula>
    </cfRule>
  </conditionalFormatting>
  <conditionalFormatting sqref="AB6:AB25">
    <cfRule type="containsText" dxfId="78" priority="4" operator="containsText" text="FALTA DE ACOMPANHAMENTO">
      <formula>NOT(ISERROR(SEARCH("FALTA DE ACOMPANHAMENTO",AB6)))</formula>
    </cfRule>
    <cfRule type="containsText" dxfId="77" priority="9" operator="containsText" text="Concluído">
      <formula>NOT(ISERROR(SEARCH("Concluído",AB6)))</formula>
    </cfRule>
    <cfRule type="containsText" dxfId="76" priority="10" operator="containsText" text="Conforme Planejado">
      <formula>NOT(ISERROR(SEARCH("Conforme Planejado",AB6)))</formula>
    </cfRule>
    <cfRule type="containsText" dxfId="75" priority="11" operator="containsText" text="PROJETO NÃO INICIADO">
      <formula>NOT(ISERROR(SEARCH("PROJETO NÃO INICIADO",AB6)))</formula>
    </cfRule>
    <cfRule type="containsText" dxfId="74" priority="12" operator="containsText" text="Atraso">
      <formula>NOT(ISERROR(SEARCH("Atraso",AB6)))</formula>
    </cfRule>
  </conditionalFormatting>
  <conditionalFormatting sqref="AD6:AD25">
    <cfRule type="containsText" dxfId="73" priority="5" operator="containsText" text="Concluído">
      <formula>NOT(ISERROR(SEARCH("Concluído",AD6)))</formula>
    </cfRule>
    <cfRule type="containsText" dxfId="72" priority="6" operator="containsText" text="Conforme Planejado">
      <formula>NOT(ISERROR(SEARCH("Conforme Planejado",AD6)))</formula>
    </cfRule>
    <cfRule type="containsText" dxfId="71" priority="7" operator="containsText" text="FALTA PLANEJAMENTO">
      <formula>NOT(ISERROR(SEARCH("FALTA PLANEJAMENTO",AD6)))</formula>
    </cfRule>
    <cfRule type="containsText" dxfId="70" priority="8" operator="containsText" text="Atraso">
      <formula>NOT(ISERROR(SEARCH("Atraso",AD6)))</formula>
    </cfRule>
  </conditionalFormatting>
  <dataValidations count="2">
    <dataValidation type="list" allowBlank="1" showInputMessage="1" showErrorMessage="1" sqref="D117:D163" xr:uid="{7210E48B-63F6-40DF-A6CB-D24BFE75AF56}">
      <formula1>"1,2,3"</formula1>
    </dataValidation>
    <dataValidation type="list" allowBlank="1" showInputMessage="1" showErrorMessage="1" sqref="L55:L60 L63:L64" xr:uid="{971C106F-8EDE-4BA6-926E-0F87B4E99145}">
      <formula1>$L$13:$L$17</formula1>
    </dataValidation>
  </dataValidations>
  <hyperlinks>
    <hyperlink ref="A59:A60" r:id="rId1" display="Kaizen" xr:uid="{55ECF97E-A3B0-473D-99CB-2305E8CC9EB1}"/>
    <hyperlink ref="A55:A56" r:id="rId2" display="Kaizen" xr:uid="{C4320E5D-14C6-434A-A657-961777BF4E0C}"/>
    <hyperlink ref="H126" r:id="rId3" xr:uid="{57FA0120-B096-4F7C-8619-0782728E7228}"/>
    <hyperlink ref="H127" r:id="rId4" xr:uid="{E52A86C6-DDBB-47AA-BBC7-BD0C37985888}"/>
    <hyperlink ref="C55" r:id="rId5" xr:uid="{72BDB7CD-0912-46E0-9CD4-FD801AE5F538}"/>
    <hyperlink ref="C57" r:id="rId6" xr:uid="{D0FC98B0-64E1-40B8-85F5-C7318DF4E55A}"/>
    <hyperlink ref="C59" r:id="rId7" xr:uid="{57FBB2B7-BE0B-4D16-81A4-E1F429B46C0F}"/>
    <hyperlink ref="C61" r:id="rId8" xr:uid="{61A116C8-F340-42B7-9280-DB41A1E1BD64}"/>
    <hyperlink ref="C69" r:id="rId9" xr:uid="{75C17F0A-09FA-429A-874D-ABDA863C46E3}"/>
    <hyperlink ref="C77" r:id="rId10" xr:uid="{BECAF3D6-6AD3-4743-8794-FF1AD2793823}"/>
    <hyperlink ref="C65" r:id="rId11" xr:uid="{2ABE4EAD-1CA5-4BC1-8E52-3DAA57531221}"/>
    <hyperlink ref="C63" r:id="rId12" xr:uid="{4898BD3E-24CC-498B-9910-B5128F7F7791}"/>
    <hyperlink ref="H118" r:id="rId13" xr:uid="{3C4866DE-74E0-4BD9-AE0F-E509F2B63AA9}"/>
    <hyperlink ref="H119" r:id="rId14" xr:uid="{775B490A-F517-41B0-A035-A0A864B2DBA8}"/>
    <hyperlink ref="H125" r:id="rId15" xr:uid="{E3C57CB7-178B-4377-9F55-AFDB40A5BD21}"/>
  </hyperlinks>
  <pageMargins left="0.75" right="0.75" top="1" bottom="1" header="0.5" footer="0.5"/>
  <drawing r:id="rId16"/>
  <legacyDrawing r:id="rId17"/>
  <mc:AlternateContent xmlns:mc="http://schemas.openxmlformats.org/markup-compatibility/2006">
    <mc:Choice Requires="x14">
      <controls>
        <mc:AlternateContent xmlns:mc="http://schemas.openxmlformats.org/markup-compatibility/2006">
          <mc:Choice Requires="x14">
            <control shapeId="17409" r:id="rId18" name="Check Box 1">
              <controlPr defaultSize="0" autoFill="0" autoLine="0" autoPict="0">
                <anchor moveWithCells="1">
                  <from>
                    <xdr:col>8</xdr:col>
                    <xdr:colOff>0</xdr:colOff>
                    <xdr:row>54</xdr:row>
                    <xdr:rowOff>30480</xdr:rowOff>
                  </from>
                  <to>
                    <xdr:col>9</xdr:col>
                    <xdr:colOff>0</xdr:colOff>
                    <xdr:row>54</xdr:row>
                    <xdr:rowOff>220980</xdr:rowOff>
                  </to>
                </anchor>
              </controlPr>
            </control>
          </mc:Choice>
        </mc:AlternateContent>
        <mc:AlternateContent xmlns:mc="http://schemas.openxmlformats.org/markup-compatibility/2006">
          <mc:Choice Requires="x14">
            <control shapeId="17410" r:id="rId19" name="Check Box 2">
              <controlPr defaultSize="0" autoFill="0" autoLine="0" autoPict="0">
                <anchor moveWithCells="1">
                  <from>
                    <xdr:col>8</xdr:col>
                    <xdr:colOff>0</xdr:colOff>
                    <xdr:row>54</xdr:row>
                    <xdr:rowOff>259080</xdr:rowOff>
                  </from>
                  <to>
                    <xdr:col>9</xdr:col>
                    <xdr:colOff>0</xdr:colOff>
                    <xdr:row>55</xdr:row>
                    <xdr:rowOff>106680</xdr:rowOff>
                  </to>
                </anchor>
              </controlPr>
            </control>
          </mc:Choice>
        </mc:AlternateContent>
        <mc:AlternateContent xmlns:mc="http://schemas.openxmlformats.org/markup-compatibility/2006">
          <mc:Choice Requires="x14">
            <control shapeId="17411" r:id="rId20" name="Check Box 3">
              <controlPr defaultSize="0" autoFill="0" autoLine="0" autoPict="0">
                <anchor moveWithCells="1">
                  <from>
                    <xdr:col>8</xdr:col>
                    <xdr:colOff>0</xdr:colOff>
                    <xdr:row>55</xdr:row>
                    <xdr:rowOff>106680</xdr:rowOff>
                  </from>
                  <to>
                    <xdr:col>9</xdr:col>
                    <xdr:colOff>0</xdr:colOff>
                    <xdr:row>55</xdr:row>
                    <xdr:rowOff>297180</xdr:rowOff>
                  </to>
                </anchor>
              </controlPr>
            </control>
          </mc:Choice>
        </mc:AlternateContent>
        <mc:AlternateContent xmlns:mc="http://schemas.openxmlformats.org/markup-compatibility/2006">
          <mc:Choice Requires="x14">
            <control shapeId="17412" r:id="rId21" name="Check Box 4">
              <controlPr defaultSize="0" autoFill="0" autoLine="0" autoPict="0">
                <anchor moveWithCells="1">
                  <from>
                    <xdr:col>8</xdr:col>
                    <xdr:colOff>0</xdr:colOff>
                    <xdr:row>56</xdr:row>
                    <xdr:rowOff>30480</xdr:rowOff>
                  </from>
                  <to>
                    <xdr:col>9</xdr:col>
                    <xdr:colOff>0</xdr:colOff>
                    <xdr:row>56</xdr:row>
                    <xdr:rowOff>220980</xdr:rowOff>
                  </to>
                </anchor>
              </controlPr>
            </control>
          </mc:Choice>
        </mc:AlternateContent>
        <mc:AlternateContent xmlns:mc="http://schemas.openxmlformats.org/markup-compatibility/2006">
          <mc:Choice Requires="x14">
            <control shapeId="17413" r:id="rId22" name="Check Box 5">
              <controlPr defaultSize="0" autoFill="0" autoLine="0" autoPict="0">
                <anchor moveWithCells="1">
                  <from>
                    <xdr:col>8</xdr:col>
                    <xdr:colOff>0</xdr:colOff>
                    <xdr:row>56</xdr:row>
                    <xdr:rowOff>259080</xdr:rowOff>
                  </from>
                  <to>
                    <xdr:col>9</xdr:col>
                    <xdr:colOff>0</xdr:colOff>
                    <xdr:row>57</xdr:row>
                    <xdr:rowOff>106680</xdr:rowOff>
                  </to>
                </anchor>
              </controlPr>
            </control>
          </mc:Choice>
        </mc:AlternateContent>
        <mc:AlternateContent xmlns:mc="http://schemas.openxmlformats.org/markup-compatibility/2006">
          <mc:Choice Requires="x14">
            <control shapeId="17414" r:id="rId23" name="Check Box 6">
              <controlPr defaultSize="0" autoFill="0" autoLine="0" autoPict="0">
                <anchor moveWithCells="1">
                  <from>
                    <xdr:col>8</xdr:col>
                    <xdr:colOff>0</xdr:colOff>
                    <xdr:row>57</xdr:row>
                    <xdr:rowOff>106680</xdr:rowOff>
                  </from>
                  <to>
                    <xdr:col>9</xdr:col>
                    <xdr:colOff>0</xdr:colOff>
                    <xdr:row>57</xdr:row>
                    <xdr:rowOff>297180</xdr:rowOff>
                  </to>
                </anchor>
              </controlPr>
            </control>
          </mc:Choice>
        </mc:AlternateContent>
        <mc:AlternateContent xmlns:mc="http://schemas.openxmlformats.org/markup-compatibility/2006">
          <mc:Choice Requires="x14">
            <control shapeId="17415" r:id="rId24" name="Check Box 7">
              <controlPr defaultSize="0" autoFill="0" autoLine="0" autoPict="0">
                <anchor moveWithCells="1">
                  <from>
                    <xdr:col>8</xdr:col>
                    <xdr:colOff>0</xdr:colOff>
                    <xdr:row>58</xdr:row>
                    <xdr:rowOff>30480</xdr:rowOff>
                  </from>
                  <to>
                    <xdr:col>9</xdr:col>
                    <xdr:colOff>0</xdr:colOff>
                    <xdr:row>58</xdr:row>
                    <xdr:rowOff>220980</xdr:rowOff>
                  </to>
                </anchor>
              </controlPr>
            </control>
          </mc:Choice>
        </mc:AlternateContent>
        <mc:AlternateContent xmlns:mc="http://schemas.openxmlformats.org/markup-compatibility/2006">
          <mc:Choice Requires="x14">
            <control shapeId="17416" r:id="rId25" name="Check Box 8">
              <controlPr defaultSize="0" autoFill="0" autoLine="0" autoPict="0">
                <anchor moveWithCells="1">
                  <from>
                    <xdr:col>8</xdr:col>
                    <xdr:colOff>0</xdr:colOff>
                    <xdr:row>58</xdr:row>
                    <xdr:rowOff>259080</xdr:rowOff>
                  </from>
                  <to>
                    <xdr:col>9</xdr:col>
                    <xdr:colOff>0</xdr:colOff>
                    <xdr:row>59</xdr:row>
                    <xdr:rowOff>106680</xdr:rowOff>
                  </to>
                </anchor>
              </controlPr>
            </control>
          </mc:Choice>
        </mc:AlternateContent>
        <mc:AlternateContent xmlns:mc="http://schemas.openxmlformats.org/markup-compatibility/2006">
          <mc:Choice Requires="x14">
            <control shapeId="17417" r:id="rId26" name="Check Box 9">
              <controlPr defaultSize="0" autoFill="0" autoLine="0" autoPict="0">
                <anchor moveWithCells="1">
                  <from>
                    <xdr:col>8</xdr:col>
                    <xdr:colOff>0</xdr:colOff>
                    <xdr:row>59</xdr:row>
                    <xdr:rowOff>106680</xdr:rowOff>
                  </from>
                  <to>
                    <xdr:col>9</xdr:col>
                    <xdr:colOff>0</xdr:colOff>
                    <xdr:row>59</xdr:row>
                    <xdr:rowOff>297180</xdr:rowOff>
                  </to>
                </anchor>
              </controlPr>
            </control>
          </mc:Choice>
        </mc:AlternateContent>
        <mc:AlternateContent xmlns:mc="http://schemas.openxmlformats.org/markup-compatibility/2006">
          <mc:Choice Requires="x14">
            <control shapeId="17418" r:id="rId27" name="Check Box 10">
              <controlPr defaultSize="0" autoFill="0" autoLine="0" autoPict="0">
                <anchor moveWithCells="1">
                  <from>
                    <xdr:col>8</xdr:col>
                    <xdr:colOff>0</xdr:colOff>
                    <xdr:row>60</xdr:row>
                    <xdr:rowOff>259080</xdr:rowOff>
                  </from>
                  <to>
                    <xdr:col>9</xdr:col>
                    <xdr:colOff>0</xdr:colOff>
                    <xdr:row>61</xdr:row>
                    <xdr:rowOff>106680</xdr:rowOff>
                  </to>
                </anchor>
              </controlPr>
            </control>
          </mc:Choice>
        </mc:AlternateContent>
        <mc:AlternateContent xmlns:mc="http://schemas.openxmlformats.org/markup-compatibility/2006">
          <mc:Choice Requires="x14">
            <control shapeId="17419" r:id="rId28" name="Check Box 11">
              <controlPr defaultSize="0" autoFill="0" autoLine="0" autoPict="0">
                <anchor moveWithCells="1">
                  <from>
                    <xdr:col>8</xdr:col>
                    <xdr:colOff>0</xdr:colOff>
                    <xdr:row>61</xdr:row>
                    <xdr:rowOff>106680</xdr:rowOff>
                  </from>
                  <to>
                    <xdr:col>9</xdr:col>
                    <xdr:colOff>0</xdr:colOff>
                    <xdr:row>61</xdr:row>
                    <xdr:rowOff>297180</xdr:rowOff>
                  </to>
                </anchor>
              </controlPr>
            </control>
          </mc:Choice>
        </mc:AlternateContent>
        <mc:AlternateContent xmlns:mc="http://schemas.openxmlformats.org/markup-compatibility/2006">
          <mc:Choice Requires="x14">
            <control shapeId="17420" r:id="rId29" name="Check Box 12">
              <controlPr defaultSize="0" autoFill="0" autoLine="0" autoPict="0">
                <anchor moveWithCells="1">
                  <from>
                    <xdr:col>8</xdr:col>
                    <xdr:colOff>0</xdr:colOff>
                    <xdr:row>62</xdr:row>
                    <xdr:rowOff>259080</xdr:rowOff>
                  </from>
                  <to>
                    <xdr:col>9</xdr:col>
                    <xdr:colOff>0</xdr:colOff>
                    <xdr:row>63</xdr:row>
                    <xdr:rowOff>106680</xdr:rowOff>
                  </to>
                </anchor>
              </controlPr>
            </control>
          </mc:Choice>
        </mc:AlternateContent>
        <mc:AlternateContent xmlns:mc="http://schemas.openxmlformats.org/markup-compatibility/2006">
          <mc:Choice Requires="x14">
            <control shapeId="17421" r:id="rId30" name="Check Box 13">
              <controlPr defaultSize="0" autoFill="0" autoLine="0" autoPict="0">
                <anchor moveWithCells="1">
                  <from>
                    <xdr:col>8</xdr:col>
                    <xdr:colOff>0</xdr:colOff>
                    <xdr:row>63</xdr:row>
                    <xdr:rowOff>106680</xdr:rowOff>
                  </from>
                  <to>
                    <xdr:col>9</xdr:col>
                    <xdr:colOff>0</xdr:colOff>
                    <xdr:row>63</xdr:row>
                    <xdr:rowOff>297180</xdr:rowOff>
                  </to>
                </anchor>
              </controlPr>
            </control>
          </mc:Choice>
        </mc:AlternateContent>
        <mc:AlternateContent xmlns:mc="http://schemas.openxmlformats.org/markup-compatibility/2006">
          <mc:Choice Requires="x14">
            <control shapeId="17422" r:id="rId31" name="Check Box 14">
              <controlPr defaultSize="0" autoFill="0" autoLine="0" autoPict="0">
                <anchor moveWithCells="1">
                  <from>
                    <xdr:col>8</xdr:col>
                    <xdr:colOff>0</xdr:colOff>
                    <xdr:row>64</xdr:row>
                    <xdr:rowOff>259080</xdr:rowOff>
                  </from>
                  <to>
                    <xdr:col>9</xdr:col>
                    <xdr:colOff>0</xdr:colOff>
                    <xdr:row>65</xdr:row>
                    <xdr:rowOff>106680</xdr:rowOff>
                  </to>
                </anchor>
              </controlPr>
            </control>
          </mc:Choice>
        </mc:AlternateContent>
        <mc:AlternateContent xmlns:mc="http://schemas.openxmlformats.org/markup-compatibility/2006">
          <mc:Choice Requires="x14">
            <control shapeId="17423" r:id="rId32" name="Check Box 15">
              <controlPr defaultSize="0" autoFill="0" autoLine="0" autoPict="0">
                <anchor moveWithCells="1">
                  <from>
                    <xdr:col>8</xdr:col>
                    <xdr:colOff>0</xdr:colOff>
                    <xdr:row>65</xdr:row>
                    <xdr:rowOff>106680</xdr:rowOff>
                  </from>
                  <to>
                    <xdr:col>9</xdr:col>
                    <xdr:colOff>0</xdr:colOff>
                    <xdr:row>65</xdr:row>
                    <xdr:rowOff>297180</xdr:rowOff>
                  </to>
                </anchor>
              </controlPr>
            </control>
          </mc:Choice>
        </mc:AlternateContent>
        <mc:AlternateContent xmlns:mc="http://schemas.openxmlformats.org/markup-compatibility/2006">
          <mc:Choice Requires="x14">
            <control shapeId="17424" r:id="rId33" name="Check Box 16">
              <controlPr defaultSize="0" autoFill="0" autoLine="0" autoPict="0">
                <anchor moveWithCells="1">
                  <from>
                    <xdr:col>8</xdr:col>
                    <xdr:colOff>0</xdr:colOff>
                    <xdr:row>66</xdr:row>
                    <xdr:rowOff>259080</xdr:rowOff>
                  </from>
                  <to>
                    <xdr:col>9</xdr:col>
                    <xdr:colOff>0</xdr:colOff>
                    <xdr:row>67</xdr:row>
                    <xdr:rowOff>106680</xdr:rowOff>
                  </to>
                </anchor>
              </controlPr>
            </control>
          </mc:Choice>
        </mc:AlternateContent>
        <mc:AlternateContent xmlns:mc="http://schemas.openxmlformats.org/markup-compatibility/2006">
          <mc:Choice Requires="x14">
            <control shapeId="17425" r:id="rId34" name="Check Box 17">
              <controlPr defaultSize="0" autoFill="0" autoLine="0" autoPict="0">
                <anchor moveWithCells="1">
                  <from>
                    <xdr:col>8</xdr:col>
                    <xdr:colOff>0</xdr:colOff>
                    <xdr:row>67</xdr:row>
                    <xdr:rowOff>106680</xdr:rowOff>
                  </from>
                  <to>
                    <xdr:col>9</xdr:col>
                    <xdr:colOff>0</xdr:colOff>
                    <xdr:row>67</xdr:row>
                    <xdr:rowOff>297180</xdr:rowOff>
                  </to>
                </anchor>
              </controlPr>
            </control>
          </mc:Choice>
        </mc:AlternateContent>
        <mc:AlternateContent xmlns:mc="http://schemas.openxmlformats.org/markup-compatibility/2006">
          <mc:Choice Requires="x14">
            <control shapeId="17426" r:id="rId35" name="Check Box 18">
              <controlPr defaultSize="0" autoFill="0" autoLine="0" autoPict="0">
                <anchor moveWithCells="1">
                  <from>
                    <xdr:col>8</xdr:col>
                    <xdr:colOff>0</xdr:colOff>
                    <xdr:row>68</xdr:row>
                    <xdr:rowOff>259080</xdr:rowOff>
                  </from>
                  <to>
                    <xdr:col>9</xdr:col>
                    <xdr:colOff>0</xdr:colOff>
                    <xdr:row>69</xdr:row>
                    <xdr:rowOff>106680</xdr:rowOff>
                  </to>
                </anchor>
              </controlPr>
            </control>
          </mc:Choice>
        </mc:AlternateContent>
        <mc:AlternateContent xmlns:mc="http://schemas.openxmlformats.org/markup-compatibility/2006">
          <mc:Choice Requires="x14">
            <control shapeId="17427" r:id="rId36" name="Check Box 19">
              <controlPr defaultSize="0" autoFill="0" autoLine="0" autoPict="0">
                <anchor moveWithCells="1">
                  <from>
                    <xdr:col>8</xdr:col>
                    <xdr:colOff>0</xdr:colOff>
                    <xdr:row>69</xdr:row>
                    <xdr:rowOff>106680</xdr:rowOff>
                  </from>
                  <to>
                    <xdr:col>9</xdr:col>
                    <xdr:colOff>0</xdr:colOff>
                    <xdr:row>69</xdr:row>
                    <xdr:rowOff>297180</xdr:rowOff>
                  </to>
                </anchor>
              </controlPr>
            </control>
          </mc:Choice>
        </mc:AlternateContent>
        <mc:AlternateContent xmlns:mc="http://schemas.openxmlformats.org/markup-compatibility/2006">
          <mc:Choice Requires="x14">
            <control shapeId="17428" r:id="rId37" name="Check Box 20">
              <controlPr defaultSize="0" autoFill="0" autoLine="0" autoPict="0">
                <anchor moveWithCells="1">
                  <from>
                    <xdr:col>8</xdr:col>
                    <xdr:colOff>0</xdr:colOff>
                    <xdr:row>70</xdr:row>
                    <xdr:rowOff>259080</xdr:rowOff>
                  </from>
                  <to>
                    <xdr:col>9</xdr:col>
                    <xdr:colOff>0</xdr:colOff>
                    <xdr:row>71</xdr:row>
                    <xdr:rowOff>106680</xdr:rowOff>
                  </to>
                </anchor>
              </controlPr>
            </control>
          </mc:Choice>
        </mc:AlternateContent>
        <mc:AlternateContent xmlns:mc="http://schemas.openxmlformats.org/markup-compatibility/2006">
          <mc:Choice Requires="x14">
            <control shapeId="17429" r:id="rId38" name="Check Box 21">
              <controlPr defaultSize="0" autoFill="0" autoLine="0" autoPict="0">
                <anchor moveWithCells="1">
                  <from>
                    <xdr:col>8</xdr:col>
                    <xdr:colOff>0</xdr:colOff>
                    <xdr:row>71</xdr:row>
                    <xdr:rowOff>106680</xdr:rowOff>
                  </from>
                  <to>
                    <xdr:col>9</xdr:col>
                    <xdr:colOff>0</xdr:colOff>
                    <xdr:row>71</xdr:row>
                    <xdr:rowOff>297180</xdr:rowOff>
                  </to>
                </anchor>
              </controlPr>
            </control>
          </mc:Choice>
        </mc:AlternateContent>
        <mc:AlternateContent xmlns:mc="http://schemas.openxmlformats.org/markup-compatibility/2006">
          <mc:Choice Requires="x14">
            <control shapeId="17430" r:id="rId39" name="Check Box 22">
              <controlPr defaultSize="0" autoFill="0" autoLine="0" autoPict="0">
                <anchor moveWithCells="1">
                  <from>
                    <xdr:col>8</xdr:col>
                    <xdr:colOff>0</xdr:colOff>
                    <xdr:row>72</xdr:row>
                    <xdr:rowOff>259080</xdr:rowOff>
                  </from>
                  <to>
                    <xdr:col>9</xdr:col>
                    <xdr:colOff>0</xdr:colOff>
                    <xdr:row>73</xdr:row>
                    <xdr:rowOff>106680</xdr:rowOff>
                  </to>
                </anchor>
              </controlPr>
            </control>
          </mc:Choice>
        </mc:AlternateContent>
        <mc:AlternateContent xmlns:mc="http://schemas.openxmlformats.org/markup-compatibility/2006">
          <mc:Choice Requires="x14">
            <control shapeId="17431" r:id="rId40" name="Check Box 23">
              <controlPr defaultSize="0" autoFill="0" autoLine="0" autoPict="0">
                <anchor moveWithCells="1">
                  <from>
                    <xdr:col>8</xdr:col>
                    <xdr:colOff>0</xdr:colOff>
                    <xdr:row>73</xdr:row>
                    <xdr:rowOff>106680</xdr:rowOff>
                  </from>
                  <to>
                    <xdr:col>9</xdr:col>
                    <xdr:colOff>0</xdr:colOff>
                    <xdr:row>73</xdr:row>
                    <xdr:rowOff>297180</xdr:rowOff>
                  </to>
                </anchor>
              </controlPr>
            </control>
          </mc:Choice>
        </mc:AlternateContent>
        <mc:AlternateContent xmlns:mc="http://schemas.openxmlformats.org/markup-compatibility/2006">
          <mc:Choice Requires="x14">
            <control shapeId="17432" r:id="rId41" name="Check Box 24">
              <controlPr defaultSize="0" autoFill="0" autoLine="0" autoPict="0">
                <anchor moveWithCells="1">
                  <from>
                    <xdr:col>8</xdr:col>
                    <xdr:colOff>0</xdr:colOff>
                    <xdr:row>74</xdr:row>
                    <xdr:rowOff>259080</xdr:rowOff>
                  </from>
                  <to>
                    <xdr:col>9</xdr:col>
                    <xdr:colOff>0</xdr:colOff>
                    <xdr:row>75</xdr:row>
                    <xdr:rowOff>106680</xdr:rowOff>
                  </to>
                </anchor>
              </controlPr>
            </control>
          </mc:Choice>
        </mc:AlternateContent>
        <mc:AlternateContent xmlns:mc="http://schemas.openxmlformats.org/markup-compatibility/2006">
          <mc:Choice Requires="x14">
            <control shapeId="17433" r:id="rId42" name="Check Box 25">
              <controlPr defaultSize="0" autoFill="0" autoLine="0" autoPict="0">
                <anchor moveWithCells="1">
                  <from>
                    <xdr:col>8</xdr:col>
                    <xdr:colOff>0</xdr:colOff>
                    <xdr:row>75</xdr:row>
                    <xdr:rowOff>106680</xdr:rowOff>
                  </from>
                  <to>
                    <xdr:col>9</xdr:col>
                    <xdr:colOff>0</xdr:colOff>
                    <xdr:row>75</xdr:row>
                    <xdr:rowOff>297180</xdr:rowOff>
                  </to>
                </anchor>
              </controlPr>
            </control>
          </mc:Choice>
        </mc:AlternateContent>
        <mc:AlternateContent xmlns:mc="http://schemas.openxmlformats.org/markup-compatibility/2006">
          <mc:Choice Requires="x14">
            <control shapeId="17434" r:id="rId43" name="Check Box 26">
              <controlPr defaultSize="0" autoFill="0" autoLine="0" autoPict="0">
                <anchor moveWithCells="1">
                  <from>
                    <xdr:col>8</xdr:col>
                    <xdr:colOff>0</xdr:colOff>
                    <xdr:row>76</xdr:row>
                    <xdr:rowOff>259080</xdr:rowOff>
                  </from>
                  <to>
                    <xdr:col>9</xdr:col>
                    <xdr:colOff>0</xdr:colOff>
                    <xdr:row>77</xdr:row>
                    <xdr:rowOff>106680</xdr:rowOff>
                  </to>
                </anchor>
              </controlPr>
            </control>
          </mc:Choice>
        </mc:AlternateContent>
        <mc:AlternateContent xmlns:mc="http://schemas.openxmlformats.org/markup-compatibility/2006">
          <mc:Choice Requires="x14">
            <control shapeId="17435" r:id="rId44" name="Check Box 27">
              <controlPr defaultSize="0" autoFill="0" autoLine="0" autoPict="0">
                <anchor moveWithCells="1">
                  <from>
                    <xdr:col>8</xdr:col>
                    <xdr:colOff>0</xdr:colOff>
                    <xdr:row>77</xdr:row>
                    <xdr:rowOff>106680</xdr:rowOff>
                  </from>
                  <to>
                    <xdr:col>9</xdr:col>
                    <xdr:colOff>0</xdr:colOff>
                    <xdr:row>77</xdr:row>
                    <xdr:rowOff>297180</xdr:rowOff>
                  </to>
                </anchor>
              </controlPr>
            </control>
          </mc:Choice>
        </mc:AlternateContent>
        <mc:AlternateContent xmlns:mc="http://schemas.openxmlformats.org/markup-compatibility/2006">
          <mc:Choice Requires="x14">
            <control shapeId="17436" r:id="rId45" name="Check Box 28">
              <controlPr defaultSize="0" autoFill="0" autoLine="0" autoPict="0">
                <anchor moveWithCells="1">
                  <from>
                    <xdr:col>8</xdr:col>
                    <xdr:colOff>0</xdr:colOff>
                    <xdr:row>78</xdr:row>
                    <xdr:rowOff>30480</xdr:rowOff>
                  </from>
                  <to>
                    <xdr:col>9</xdr:col>
                    <xdr:colOff>0</xdr:colOff>
                    <xdr:row>78</xdr:row>
                    <xdr:rowOff>220980</xdr:rowOff>
                  </to>
                </anchor>
              </controlPr>
            </control>
          </mc:Choice>
        </mc:AlternateContent>
        <mc:AlternateContent xmlns:mc="http://schemas.openxmlformats.org/markup-compatibility/2006">
          <mc:Choice Requires="x14">
            <control shapeId="17437" r:id="rId46" name="Check Box 29">
              <controlPr defaultSize="0" autoFill="0" autoLine="0" autoPict="0">
                <anchor moveWithCells="1">
                  <from>
                    <xdr:col>8</xdr:col>
                    <xdr:colOff>0</xdr:colOff>
                    <xdr:row>78</xdr:row>
                    <xdr:rowOff>259080</xdr:rowOff>
                  </from>
                  <to>
                    <xdr:col>9</xdr:col>
                    <xdr:colOff>0</xdr:colOff>
                    <xdr:row>79</xdr:row>
                    <xdr:rowOff>106680</xdr:rowOff>
                  </to>
                </anchor>
              </controlPr>
            </control>
          </mc:Choice>
        </mc:AlternateContent>
        <mc:AlternateContent xmlns:mc="http://schemas.openxmlformats.org/markup-compatibility/2006">
          <mc:Choice Requires="x14">
            <control shapeId="17438" r:id="rId47" name="Check Box 30">
              <controlPr defaultSize="0" autoFill="0" autoLine="0" autoPict="0">
                <anchor moveWithCells="1">
                  <from>
                    <xdr:col>8</xdr:col>
                    <xdr:colOff>0</xdr:colOff>
                    <xdr:row>79</xdr:row>
                    <xdr:rowOff>106680</xdr:rowOff>
                  </from>
                  <to>
                    <xdr:col>9</xdr:col>
                    <xdr:colOff>0</xdr:colOff>
                    <xdr:row>79</xdr:row>
                    <xdr:rowOff>297180</xdr:rowOff>
                  </to>
                </anchor>
              </controlPr>
            </control>
          </mc:Choice>
        </mc:AlternateContent>
        <mc:AlternateContent xmlns:mc="http://schemas.openxmlformats.org/markup-compatibility/2006">
          <mc:Choice Requires="x14">
            <control shapeId="17439" r:id="rId48" name="Check Box 31">
              <controlPr defaultSize="0" autoFill="0" autoLine="0" autoPict="0">
                <anchor moveWithCells="1">
                  <from>
                    <xdr:col>8</xdr:col>
                    <xdr:colOff>0</xdr:colOff>
                    <xdr:row>80</xdr:row>
                    <xdr:rowOff>259080</xdr:rowOff>
                  </from>
                  <to>
                    <xdr:col>9</xdr:col>
                    <xdr:colOff>0</xdr:colOff>
                    <xdr:row>81</xdr:row>
                    <xdr:rowOff>106680</xdr:rowOff>
                  </to>
                </anchor>
              </controlPr>
            </control>
          </mc:Choice>
        </mc:AlternateContent>
        <mc:AlternateContent xmlns:mc="http://schemas.openxmlformats.org/markup-compatibility/2006">
          <mc:Choice Requires="x14">
            <control shapeId="17440" r:id="rId49" name="Check Box 32">
              <controlPr defaultSize="0" autoFill="0" autoLine="0" autoPict="0">
                <anchor moveWithCells="1">
                  <from>
                    <xdr:col>8</xdr:col>
                    <xdr:colOff>0</xdr:colOff>
                    <xdr:row>81</xdr:row>
                    <xdr:rowOff>106680</xdr:rowOff>
                  </from>
                  <to>
                    <xdr:col>9</xdr:col>
                    <xdr:colOff>0</xdr:colOff>
                    <xdr:row>81</xdr:row>
                    <xdr:rowOff>297180</xdr:rowOff>
                  </to>
                </anchor>
              </controlPr>
            </control>
          </mc:Choice>
        </mc:AlternateContent>
        <mc:AlternateContent xmlns:mc="http://schemas.openxmlformats.org/markup-compatibility/2006">
          <mc:Choice Requires="x14">
            <control shapeId="17441" r:id="rId50" name="Check Box 33">
              <controlPr defaultSize="0" autoFill="0" autoLine="0" autoPict="0">
                <anchor moveWithCells="1">
                  <from>
                    <xdr:col>8</xdr:col>
                    <xdr:colOff>0</xdr:colOff>
                    <xdr:row>82</xdr:row>
                    <xdr:rowOff>259080</xdr:rowOff>
                  </from>
                  <to>
                    <xdr:col>9</xdr:col>
                    <xdr:colOff>0</xdr:colOff>
                    <xdr:row>83</xdr:row>
                    <xdr:rowOff>106680</xdr:rowOff>
                  </to>
                </anchor>
              </controlPr>
            </control>
          </mc:Choice>
        </mc:AlternateContent>
        <mc:AlternateContent xmlns:mc="http://schemas.openxmlformats.org/markup-compatibility/2006">
          <mc:Choice Requires="x14">
            <control shapeId="17442" r:id="rId51" name="Check Box 34">
              <controlPr defaultSize="0" autoFill="0" autoLine="0" autoPict="0">
                <anchor moveWithCells="1">
                  <from>
                    <xdr:col>8</xdr:col>
                    <xdr:colOff>0</xdr:colOff>
                    <xdr:row>83</xdr:row>
                    <xdr:rowOff>106680</xdr:rowOff>
                  </from>
                  <to>
                    <xdr:col>9</xdr:col>
                    <xdr:colOff>0</xdr:colOff>
                    <xdr:row>83</xdr:row>
                    <xdr:rowOff>297180</xdr:rowOff>
                  </to>
                </anchor>
              </controlPr>
            </control>
          </mc:Choice>
        </mc:AlternateContent>
        <mc:AlternateContent xmlns:mc="http://schemas.openxmlformats.org/markup-compatibility/2006">
          <mc:Choice Requires="x14">
            <control shapeId="17443" r:id="rId52" name="Check Box 35">
              <controlPr defaultSize="0" autoFill="0" autoLine="0" autoPict="0">
                <anchor moveWithCells="1">
                  <from>
                    <xdr:col>8</xdr:col>
                    <xdr:colOff>0</xdr:colOff>
                    <xdr:row>84</xdr:row>
                    <xdr:rowOff>259080</xdr:rowOff>
                  </from>
                  <to>
                    <xdr:col>9</xdr:col>
                    <xdr:colOff>0</xdr:colOff>
                    <xdr:row>85</xdr:row>
                    <xdr:rowOff>68580</xdr:rowOff>
                  </to>
                </anchor>
              </controlPr>
            </control>
          </mc:Choice>
        </mc:AlternateContent>
        <mc:AlternateContent xmlns:mc="http://schemas.openxmlformats.org/markup-compatibility/2006">
          <mc:Choice Requires="x14">
            <control shapeId="17444" r:id="rId53" name="Check Box 36">
              <controlPr defaultSize="0" autoFill="0" autoLine="0" autoPict="0">
                <anchor moveWithCells="1">
                  <from>
                    <xdr:col>8</xdr:col>
                    <xdr:colOff>0</xdr:colOff>
                    <xdr:row>85</xdr:row>
                    <xdr:rowOff>106680</xdr:rowOff>
                  </from>
                  <to>
                    <xdr:col>9</xdr:col>
                    <xdr:colOff>0</xdr:colOff>
                    <xdr:row>85</xdr:row>
                    <xdr:rowOff>297180</xdr:rowOff>
                  </to>
                </anchor>
              </controlPr>
            </control>
          </mc:Choice>
        </mc:AlternateContent>
        <mc:AlternateContent xmlns:mc="http://schemas.openxmlformats.org/markup-compatibility/2006">
          <mc:Choice Requires="x14">
            <control shapeId="17445" r:id="rId54" name="Check Box 37">
              <controlPr defaultSize="0" autoFill="0" autoLine="0" autoPict="0">
                <anchor moveWithCells="1">
                  <from>
                    <xdr:col>8</xdr:col>
                    <xdr:colOff>0</xdr:colOff>
                    <xdr:row>86</xdr:row>
                    <xdr:rowOff>259080</xdr:rowOff>
                  </from>
                  <to>
                    <xdr:col>9</xdr:col>
                    <xdr:colOff>0</xdr:colOff>
                    <xdr:row>87</xdr:row>
                    <xdr:rowOff>106680</xdr:rowOff>
                  </to>
                </anchor>
              </controlPr>
            </control>
          </mc:Choice>
        </mc:AlternateContent>
        <mc:AlternateContent xmlns:mc="http://schemas.openxmlformats.org/markup-compatibility/2006">
          <mc:Choice Requires="x14">
            <control shapeId="17446" r:id="rId55" name="Check Box 38">
              <controlPr defaultSize="0" autoFill="0" autoLine="0" autoPict="0">
                <anchor moveWithCells="1">
                  <from>
                    <xdr:col>8</xdr:col>
                    <xdr:colOff>0</xdr:colOff>
                    <xdr:row>87</xdr:row>
                    <xdr:rowOff>106680</xdr:rowOff>
                  </from>
                  <to>
                    <xdr:col>9</xdr:col>
                    <xdr:colOff>0</xdr:colOff>
                    <xdr:row>87</xdr:row>
                    <xdr:rowOff>297180</xdr:rowOff>
                  </to>
                </anchor>
              </controlPr>
            </control>
          </mc:Choice>
        </mc:AlternateContent>
        <mc:AlternateContent xmlns:mc="http://schemas.openxmlformats.org/markup-compatibility/2006">
          <mc:Choice Requires="x14">
            <control shapeId="17447" r:id="rId56" name="Check Box 39">
              <controlPr defaultSize="0" autoFill="0" autoLine="0" autoPict="0">
                <anchor moveWithCells="1">
                  <from>
                    <xdr:col>8</xdr:col>
                    <xdr:colOff>0</xdr:colOff>
                    <xdr:row>88</xdr:row>
                    <xdr:rowOff>259080</xdr:rowOff>
                  </from>
                  <to>
                    <xdr:col>9</xdr:col>
                    <xdr:colOff>0</xdr:colOff>
                    <xdr:row>89</xdr:row>
                    <xdr:rowOff>106680</xdr:rowOff>
                  </to>
                </anchor>
              </controlPr>
            </control>
          </mc:Choice>
        </mc:AlternateContent>
        <mc:AlternateContent xmlns:mc="http://schemas.openxmlformats.org/markup-compatibility/2006">
          <mc:Choice Requires="x14">
            <control shapeId="17448" r:id="rId57" name="Check Box 40">
              <controlPr defaultSize="0" autoFill="0" autoLine="0" autoPict="0">
                <anchor moveWithCells="1">
                  <from>
                    <xdr:col>8</xdr:col>
                    <xdr:colOff>0</xdr:colOff>
                    <xdr:row>89</xdr:row>
                    <xdr:rowOff>106680</xdr:rowOff>
                  </from>
                  <to>
                    <xdr:col>9</xdr:col>
                    <xdr:colOff>0</xdr:colOff>
                    <xdr:row>89</xdr:row>
                    <xdr:rowOff>297180</xdr:rowOff>
                  </to>
                </anchor>
              </controlPr>
            </control>
          </mc:Choice>
        </mc:AlternateContent>
        <mc:AlternateContent xmlns:mc="http://schemas.openxmlformats.org/markup-compatibility/2006">
          <mc:Choice Requires="x14">
            <control shapeId="17449" r:id="rId58" name="Check Box 41">
              <controlPr defaultSize="0" autoFill="0" autoLine="0" autoPict="0">
                <anchor moveWithCells="1">
                  <from>
                    <xdr:col>8</xdr:col>
                    <xdr:colOff>0</xdr:colOff>
                    <xdr:row>90</xdr:row>
                    <xdr:rowOff>259080</xdr:rowOff>
                  </from>
                  <to>
                    <xdr:col>9</xdr:col>
                    <xdr:colOff>0</xdr:colOff>
                    <xdr:row>91</xdr:row>
                    <xdr:rowOff>106680</xdr:rowOff>
                  </to>
                </anchor>
              </controlPr>
            </control>
          </mc:Choice>
        </mc:AlternateContent>
        <mc:AlternateContent xmlns:mc="http://schemas.openxmlformats.org/markup-compatibility/2006">
          <mc:Choice Requires="x14">
            <control shapeId="17450" r:id="rId59" name="Check Box 42">
              <controlPr defaultSize="0" autoFill="0" autoLine="0" autoPict="0">
                <anchor moveWithCells="1">
                  <from>
                    <xdr:col>8</xdr:col>
                    <xdr:colOff>0</xdr:colOff>
                    <xdr:row>91</xdr:row>
                    <xdr:rowOff>106680</xdr:rowOff>
                  </from>
                  <to>
                    <xdr:col>9</xdr:col>
                    <xdr:colOff>0</xdr:colOff>
                    <xdr:row>91</xdr:row>
                    <xdr:rowOff>297180</xdr:rowOff>
                  </to>
                </anchor>
              </controlPr>
            </control>
          </mc:Choice>
        </mc:AlternateContent>
        <mc:AlternateContent xmlns:mc="http://schemas.openxmlformats.org/markup-compatibility/2006">
          <mc:Choice Requires="x14">
            <control shapeId="17451" r:id="rId60" name="Check Box 43">
              <controlPr defaultSize="0" autoFill="0" autoLine="0" autoPict="0">
                <anchor moveWithCells="1">
                  <from>
                    <xdr:col>8</xdr:col>
                    <xdr:colOff>0</xdr:colOff>
                    <xdr:row>92</xdr:row>
                    <xdr:rowOff>259080</xdr:rowOff>
                  </from>
                  <to>
                    <xdr:col>9</xdr:col>
                    <xdr:colOff>0</xdr:colOff>
                    <xdr:row>93</xdr:row>
                    <xdr:rowOff>106680</xdr:rowOff>
                  </to>
                </anchor>
              </controlPr>
            </control>
          </mc:Choice>
        </mc:AlternateContent>
        <mc:AlternateContent xmlns:mc="http://schemas.openxmlformats.org/markup-compatibility/2006">
          <mc:Choice Requires="x14">
            <control shapeId="17452" r:id="rId61" name="Check Box 44">
              <controlPr defaultSize="0" autoFill="0" autoLine="0" autoPict="0">
                <anchor moveWithCells="1">
                  <from>
                    <xdr:col>8</xdr:col>
                    <xdr:colOff>0</xdr:colOff>
                    <xdr:row>93</xdr:row>
                    <xdr:rowOff>106680</xdr:rowOff>
                  </from>
                  <to>
                    <xdr:col>9</xdr:col>
                    <xdr:colOff>0</xdr:colOff>
                    <xdr:row>93</xdr:row>
                    <xdr:rowOff>297180</xdr:rowOff>
                  </to>
                </anchor>
              </controlPr>
            </control>
          </mc:Choice>
        </mc:AlternateContent>
        <mc:AlternateContent xmlns:mc="http://schemas.openxmlformats.org/markup-compatibility/2006">
          <mc:Choice Requires="x14">
            <control shapeId="17453" r:id="rId62" name="Check Box 45">
              <controlPr defaultSize="0" autoFill="0" autoLine="0" autoPict="0">
                <anchor moveWithCells="1">
                  <from>
                    <xdr:col>8</xdr:col>
                    <xdr:colOff>0</xdr:colOff>
                    <xdr:row>94</xdr:row>
                    <xdr:rowOff>259080</xdr:rowOff>
                  </from>
                  <to>
                    <xdr:col>9</xdr:col>
                    <xdr:colOff>0</xdr:colOff>
                    <xdr:row>95</xdr:row>
                    <xdr:rowOff>106680</xdr:rowOff>
                  </to>
                </anchor>
              </controlPr>
            </control>
          </mc:Choice>
        </mc:AlternateContent>
        <mc:AlternateContent xmlns:mc="http://schemas.openxmlformats.org/markup-compatibility/2006">
          <mc:Choice Requires="x14">
            <control shapeId="17454" r:id="rId63" name="Check Box 46">
              <controlPr defaultSize="0" autoFill="0" autoLine="0" autoPict="0">
                <anchor moveWithCells="1">
                  <from>
                    <xdr:col>8</xdr:col>
                    <xdr:colOff>0</xdr:colOff>
                    <xdr:row>95</xdr:row>
                    <xdr:rowOff>106680</xdr:rowOff>
                  </from>
                  <to>
                    <xdr:col>9</xdr:col>
                    <xdr:colOff>0</xdr:colOff>
                    <xdr:row>95</xdr:row>
                    <xdr:rowOff>297180</xdr:rowOff>
                  </to>
                </anchor>
              </controlPr>
            </control>
          </mc:Choice>
        </mc:AlternateContent>
        <mc:AlternateContent xmlns:mc="http://schemas.openxmlformats.org/markup-compatibility/2006">
          <mc:Choice Requires="x14">
            <control shapeId="17455" r:id="rId64" name="Check Box 47">
              <controlPr defaultSize="0" autoFill="0" autoLine="0" autoPict="0">
                <anchor moveWithCells="1">
                  <from>
                    <xdr:col>8</xdr:col>
                    <xdr:colOff>0</xdr:colOff>
                    <xdr:row>96</xdr:row>
                    <xdr:rowOff>259080</xdr:rowOff>
                  </from>
                  <to>
                    <xdr:col>9</xdr:col>
                    <xdr:colOff>0</xdr:colOff>
                    <xdr:row>97</xdr:row>
                    <xdr:rowOff>106680</xdr:rowOff>
                  </to>
                </anchor>
              </controlPr>
            </control>
          </mc:Choice>
        </mc:AlternateContent>
        <mc:AlternateContent xmlns:mc="http://schemas.openxmlformats.org/markup-compatibility/2006">
          <mc:Choice Requires="x14">
            <control shapeId="17456" r:id="rId65" name="Check Box 48">
              <controlPr defaultSize="0" autoFill="0" autoLine="0" autoPict="0">
                <anchor moveWithCells="1">
                  <from>
                    <xdr:col>8</xdr:col>
                    <xdr:colOff>0</xdr:colOff>
                    <xdr:row>97</xdr:row>
                    <xdr:rowOff>106680</xdr:rowOff>
                  </from>
                  <to>
                    <xdr:col>9</xdr:col>
                    <xdr:colOff>0</xdr:colOff>
                    <xdr:row>97</xdr:row>
                    <xdr:rowOff>297180</xdr:rowOff>
                  </to>
                </anchor>
              </controlPr>
            </control>
          </mc:Choice>
        </mc:AlternateContent>
        <mc:AlternateContent xmlns:mc="http://schemas.openxmlformats.org/markup-compatibility/2006">
          <mc:Choice Requires="x14">
            <control shapeId="17457" r:id="rId66" name="Check Box 49">
              <controlPr defaultSize="0" autoFill="0" autoLine="0" autoPict="0">
                <anchor moveWithCells="1">
                  <from>
                    <xdr:col>8</xdr:col>
                    <xdr:colOff>0</xdr:colOff>
                    <xdr:row>98</xdr:row>
                    <xdr:rowOff>259080</xdr:rowOff>
                  </from>
                  <to>
                    <xdr:col>9</xdr:col>
                    <xdr:colOff>0</xdr:colOff>
                    <xdr:row>99</xdr:row>
                    <xdr:rowOff>106680</xdr:rowOff>
                  </to>
                </anchor>
              </controlPr>
            </control>
          </mc:Choice>
        </mc:AlternateContent>
        <mc:AlternateContent xmlns:mc="http://schemas.openxmlformats.org/markup-compatibility/2006">
          <mc:Choice Requires="x14">
            <control shapeId="17458" r:id="rId67" name="Check Box 50">
              <controlPr defaultSize="0" autoFill="0" autoLine="0" autoPict="0">
                <anchor moveWithCells="1">
                  <from>
                    <xdr:col>8</xdr:col>
                    <xdr:colOff>0</xdr:colOff>
                    <xdr:row>99</xdr:row>
                    <xdr:rowOff>106680</xdr:rowOff>
                  </from>
                  <to>
                    <xdr:col>9</xdr:col>
                    <xdr:colOff>0</xdr:colOff>
                    <xdr:row>99</xdr:row>
                    <xdr:rowOff>297180</xdr:rowOff>
                  </to>
                </anchor>
              </controlPr>
            </control>
          </mc:Choice>
        </mc:AlternateContent>
        <mc:AlternateContent xmlns:mc="http://schemas.openxmlformats.org/markup-compatibility/2006">
          <mc:Choice Requires="x14">
            <control shapeId="17459" r:id="rId68" name="Check Box 51">
              <controlPr defaultSize="0" autoFill="0" autoLine="0" autoPict="0">
                <anchor moveWithCells="1">
                  <from>
                    <xdr:col>8</xdr:col>
                    <xdr:colOff>0</xdr:colOff>
                    <xdr:row>108</xdr:row>
                    <xdr:rowOff>259080</xdr:rowOff>
                  </from>
                  <to>
                    <xdr:col>9</xdr:col>
                    <xdr:colOff>0</xdr:colOff>
                    <xdr:row>109</xdr:row>
                    <xdr:rowOff>106680</xdr:rowOff>
                  </to>
                </anchor>
              </controlPr>
            </control>
          </mc:Choice>
        </mc:AlternateContent>
        <mc:AlternateContent xmlns:mc="http://schemas.openxmlformats.org/markup-compatibility/2006">
          <mc:Choice Requires="x14">
            <control shapeId="17460" r:id="rId69" name="Check Box 52">
              <controlPr defaultSize="0" autoFill="0" autoLine="0" autoPict="0">
                <anchor moveWithCells="1">
                  <from>
                    <xdr:col>8</xdr:col>
                    <xdr:colOff>0</xdr:colOff>
                    <xdr:row>109</xdr:row>
                    <xdr:rowOff>106680</xdr:rowOff>
                  </from>
                  <to>
                    <xdr:col>9</xdr:col>
                    <xdr:colOff>0</xdr:colOff>
                    <xdr:row>109</xdr:row>
                    <xdr:rowOff>297180</xdr:rowOff>
                  </to>
                </anchor>
              </controlPr>
            </control>
          </mc:Choice>
        </mc:AlternateContent>
        <mc:AlternateContent xmlns:mc="http://schemas.openxmlformats.org/markup-compatibility/2006">
          <mc:Choice Requires="x14">
            <control shapeId="17461" r:id="rId70" name="Check Box 53">
              <controlPr defaultSize="0" autoFill="0" autoLine="0" autoPict="0">
                <anchor moveWithCells="1">
                  <from>
                    <xdr:col>8</xdr:col>
                    <xdr:colOff>0</xdr:colOff>
                    <xdr:row>110</xdr:row>
                    <xdr:rowOff>259080</xdr:rowOff>
                  </from>
                  <to>
                    <xdr:col>9</xdr:col>
                    <xdr:colOff>0</xdr:colOff>
                    <xdr:row>111</xdr:row>
                    <xdr:rowOff>106680</xdr:rowOff>
                  </to>
                </anchor>
              </controlPr>
            </control>
          </mc:Choice>
        </mc:AlternateContent>
        <mc:AlternateContent xmlns:mc="http://schemas.openxmlformats.org/markup-compatibility/2006">
          <mc:Choice Requires="x14">
            <control shapeId="17462" r:id="rId71" name="Check Box 54">
              <controlPr defaultSize="0" autoFill="0" autoLine="0" autoPict="0">
                <anchor moveWithCells="1">
                  <from>
                    <xdr:col>8</xdr:col>
                    <xdr:colOff>0</xdr:colOff>
                    <xdr:row>111</xdr:row>
                    <xdr:rowOff>106680</xdr:rowOff>
                  </from>
                  <to>
                    <xdr:col>9</xdr:col>
                    <xdr:colOff>0</xdr:colOff>
                    <xdr:row>111</xdr:row>
                    <xdr:rowOff>297180</xdr:rowOff>
                  </to>
                </anchor>
              </controlPr>
            </control>
          </mc:Choice>
        </mc:AlternateContent>
        <mc:AlternateContent xmlns:mc="http://schemas.openxmlformats.org/markup-compatibility/2006">
          <mc:Choice Requires="x14">
            <control shapeId="17463" r:id="rId72" name="Check Box 55">
              <controlPr defaultSize="0" autoFill="0" autoLine="0" autoPict="0">
                <anchor moveWithCells="1">
                  <from>
                    <xdr:col>8</xdr:col>
                    <xdr:colOff>0</xdr:colOff>
                    <xdr:row>112</xdr:row>
                    <xdr:rowOff>259080</xdr:rowOff>
                  </from>
                  <to>
                    <xdr:col>9</xdr:col>
                    <xdr:colOff>0</xdr:colOff>
                    <xdr:row>113</xdr:row>
                    <xdr:rowOff>106680</xdr:rowOff>
                  </to>
                </anchor>
              </controlPr>
            </control>
          </mc:Choice>
        </mc:AlternateContent>
        <mc:AlternateContent xmlns:mc="http://schemas.openxmlformats.org/markup-compatibility/2006">
          <mc:Choice Requires="x14">
            <control shapeId="17464" r:id="rId73" name="Check Box 56">
              <controlPr defaultSize="0" autoFill="0" autoLine="0" autoPict="0">
                <anchor moveWithCells="1">
                  <from>
                    <xdr:col>8</xdr:col>
                    <xdr:colOff>0</xdr:colOff>
                    <xdr:row>113</xdr:row>
                    <xdr:rowOff>106680</xdr:rowOff>
                  </from>
                  <to>
                    <xdr:col>9</xdr:col>
                    <xdr:colOff>0</xdr:colOff>
                    <xdr:row>113</xdr:row>
                    <xdr:rowOff>297180</xdr:rowOff>
                  </to>
                </anchor>
              </controlPr>
            </control>
          </mc:Choice>
        </mc:AlternateContent>
        <mc:AlternateContent xmlns:mc="http://schemas.openxmlformats.org/markup-compatibility/2006">
          <mc:Choice Requires="x14">
            <control shapeId="17465" r:id="rId74" name="Check Box 57">
              <controlPr defaultSize="0" autoFill="0" autoLine="0" autoPict="0">
                <anchor moveWithCells="1">
                  <from>
                    <xdr:col>8</xdr:col>
                    <xdr:colOff>0</xdr:colOff>
                    <xdr:row>60</xdr:row>
                    <xdr:rowOff>30480</xdr:rowOff>
                  </from>
                  <to>
                    <xdr:col>9</xdr:col>
                    <xdr:colOff>0</xdr:colOff>
                    <xdr:row>60</xdr:row>
                    <xdr:rowOff>220980</xdr:rowOff>
                  </to>
                </anchor>
              </controlPr>
            </control>
          </mc:Choice>
        </mc:AlternateContent>
        <mc:AlternateContent xmlns:mc="http://schemas.openxmlformats.org/markup-compatibility/2006">
          <mc:Choice Requires="x14">
            <control shapeId="17466" r:id="rId75" name="Check Box 58">
              <controlPr defaultSize="0" autoFill="0" autoLine="0" autoPict="0">
                <anchor moveWithCells="1">
                  <from>
                    <xdr:col>8</xdr:col>
                    <xdr:colOff>0</xdr:colOff>
                    <xdr:row>62</xdr:row>
                    <xdr:rowOff>30480</xdr:rowOff>
                  </from>
                  <to>
                    <xdr:col>9</xdr:col>
                    <xdr:colOff>0</xdr:colOff>
                    <xdr:row>62</xdr:row>
                    <xdr:rowOff>220980</xdr:rowOff>
                  </to>
                </anchor>
              </controlPr>
            </control>
          </mc:Choice>
        </mc:AlternateContent>
        <mc:AlternateContent xmlns:mc="http://schemas.openxmlformats.org/markup-compatibility/2006">
          <mc:Choice Requires="x14">
            <control shapeId="17467" r:id="rId76" name="Check Box 59">
              <controlPr defaultSize="0" autoFill="0" autoLine="0" autoPict="0">
                <anchor moveWithCells="1">
                  <from>
                    <xdr:col>8</xdr:col>
                    <xdr:colOff>0</xdr:colOff>
                    <xdr:row>64</xdr:row>
                    <xdr:rowOff>30480</xdr:rowOff>
                  </from>
                  <to>
                    <xdr:col>9</xdr:col>
                    <xdr:colOff>0</xdr:colOff>
                    <xdr:row>64</xdr:row>
                    <xdr:rowOff>220980</xdr:rowOff>
                  </to>
                </anchor>
              </controlPr>
            </control>
          </mc:Choice>
        </mc:AlternateContent>
        <mc:AlternateContent xmlns:mc="http://schemas.openxmlformats.org/markup-compatibility/2006">
          <mc:Choice Requires="x14">
            <control shapeId="17468" r:id="rId77" name="Check Box 60">
              <controlPr defaultSize="0" autoFill="0" autoLine="0" autoPict="0">
                <anchor moveWithCells="1">
                  <from>
                    <xdr:col>8</xdr:col>
                    <xdr:colOff>0</xdr:colOff>
                    <xdr:row>66</xdr:row>
                    <xdr:rowOff>30480</xdr:rowOff>
                  </from>
                  <to>
                    <xdr:col>9</xdr:col>
                    <xdr:colOff>0</xdr:colOff>
                    <xdr:row>66</xdr:row>
                    <xdr:rowOff>220980</xdr:rowOff>
                  </to>
                </anchor>
              </controlPr>
            </control>
          </mc:Choice>
        </mc:AlternateContent>
        <mc:AlternateContent xmlns:mc="http://schemas.openxmlformats.org/markup-compatibility/2006">
          <mc:Choice Requires="x14">
            <control shapeId="17469" r:id="rId78" name="Check Box 61">
              <controlPr defaultSize="0" autoFill="0" autoLine="0" autoPict="0">
                <anchor moveWithCells="1">
                  <from>
                    <xdr:col>8</xdr:col>
                    <xdr:colOff>0</xdr:colOff>
                    <xdr:row>68</xdr:row>
                    <xdr:rowOff>30480</xdr:rowOff>
                  </from>
                  <to>
                    <xdr:col>9</xdr:col>
                    <xdr:colOff>0</xdr:colOff>
                    <xdr:row>68</xdr:row>
                    <xdr:rowOff>220980</xdr:rowOff>
                  </to>
                </anchor>
              </controlPr>
            </control>
          </mc:Choice>
        </mc:AlternateContent>
        <mc:AlternateContent xmlns:mc="http://schemas.openxmlformats.org/markup-compatibility/2006">
          <mc:Choice Requires="x14">
            <control shapeId="17470" r:id="rId79" name="Check Box 62">
              <controlPr defaultSize="0" autoFill="0" autoLine="0" autoPict="0">
                <anchor moveWithCells="1">
                  <from>
                    <xdr:col>8</xdr:col>
                    <xdr:colOff>0</xdr:colOff>
                    <xdr:row>70</xdr:row>
                    <xdr:rowOff>30480</xdr:rowOff>
                  </from>
                  <to>
                    <xdr:col>9</xdr:col>
                    <xdr:colOff>0</xdr:colOff>
                    <xdr:row>70</xdr:row>
                    <xdr:rowOff>220980</xdr:rowOff>
                  </to>
                </anchor>
              </controlPr>
            </control>
          </mc:Choice>
        </mc:AlternateContent>
        <mc:AlternateContent xmlns:mc="http://schemas.openxmlformats.org/markup-compatibility/2006">
          <mc:Choice Requires="x14">
            <control shapeId="17471" r:id="rId80" name="Check Box 63">
              <controlPr defaultSize="0" autoFill="0" autoLine="0" autoPict="0">
                <anchor moveWithCells="1">
                  <from>
                    <xdr:col>8</xdr:col>
                    <xdr:colOff>0</xdr:colOff>
                    <xdr:row>72</xdr:row>
                    <xdr:rowOff>30480</xdr:rowOff>
                  </from>
                  <to>
                    <xdr:col>9</xdr:col>
                    <xdr:colOff>0</xdr:colOff>
                    <xdr:row>72</xdr:row>
                    <xdr:rowOff>220980</xdr:rowOff>
                  </to>
                </anchor>
              </controlPr>
            </control>
          </mc:Choice>
        </mc:AlternateContent>
        <mc:AlternateContent xmlns:mc="http://schemas.openxmlformats.org/markup-compatibility/2006">
          <mc:Choice Requires="x14">
            <control shapeId="17472" r:id="rId81" name="Check Box 64">
              <controlPr defaultSize="0" autoFill="0" autoLine="0" autoPict="0">
                <anchor moveWithCells="1">
                  <from>
                    <xdr:col>8</xdr:col>
                    <xdr:colOff>0</xdr:colOff>
                    <xdr:row>74</xdr:row>
                    <xdr:rowOff>30480</xdr:rowOff>
                  </from>
                  <to>
                    <xdr:col>9</xdr:col>
                    <xdr:colOff>0</xdr:colOff>
                    <xdr:row>74</xdr:row>
                    <xdr:rowOff>220980</xdr:rowOff>
                  </to>
                </anchor>
              </controlPr>
            </control>
          </mc:Choice>
        </mc:AlternateContent>
        <mc:AlternateContent xmlns:mc="http://schemas.openxmlformats.org/markup-compatibility/2006">
          <mc:Choice Requires="x14">
            <control shapeId="17473" r:id="rId82" name="Check Box 65">
              <controlPr defaultSize="0" autoFill="0" autoLine="0" autoPict="0">
                <anchor moveWithCells="1">
                  <from>
                    <xdr:col>8</xdr:col>
                    <xdr:colOff>0</xdr:colOff>
                    <xdr:row>76</xdr:row>
                    <xdr:rowOff>30480</xdr:rowOff>
                  </from>
                  <to>
                    <xdr:col>9</xdr:col>
                    <xdr:colOff>0</xdr:colOff>
                    <xdr:row>76</xdr:row>
                    <xdr:rowOff>220980</xdr:rowOff>
                  </to>
                </anchor>
              </controlPr>
            </control>
          </mc:Choice>
        </mc:AlternateContent>
        <mc:AlternateContent xmlns:mc="http://schemas.openxmlformats.org/markup-compatibility/2006">
          <mc:Choice Requires="x14">
            <control shapeId="17474" r:id="rId83" name="Check Box 66">
              <controlPr defaultSize="0" autoFill="0" autoLine="0" autoPict="0">
                <anchor moveWithCells="1">
                  <from>
                    <xdr:col>8</xdr:col>
                    <xdr:colOff>0</xdr:colOff>
                    <xdr:row>80</xdr:row>
                    <xdr:rowOff>30480</xdr:rowOff>
                  </from>
                  <to>
                    <xdr:col>9</xdr:col>
                    <xdr:colOff>0</xdr:colOff>
                    <xdr:row>80</xdr:row>
                    <xdr:rowOff>220980</xdr:rowOff>
                  </to>
                </anchor>
              </controlPr>
            </control>
          </mc:Choice>
        </mc:AlternateContent>
        <mc:AlternateContent xmlns:mc="http://schemas.openxmlformats.org/markup-compatibility/2006">
          <mc:Choice Requires="x14">
            <control shapeId="17475" r:id="rId84" name="Check Box 67">
              <controlPr defaultSize="0" autoFill="0" autoLine="0" autoPict="0">
                <anchor moveWithCells="1">
                  <from>
                    <xdr:col>8</xdr:col>
                    <xdr:colOff>0</xdr:colOff>
                    <xdr:row>82</xdr:row>
                    <xdr:rowOff>30480</xdr:rowOff>
                  </from>
                  <to>
                    <xdr:col>9</xdr:col>
                    <xdr:colOff>0</xdr:colOff>
                    <xdr:row>82</xdr:row>
                    <xdr:rowOff>220980</xdr:rowOff>
                  </to>
                </anchor>
              </controlPr>
            </control>
          </mc:Choice>
        </mc:AlternateContent>
        <mc:AlternateContent xmlns:mc="http://schemas.openxmlformats.org/markup-compatibility/2006">
          <mc:Choice Requires="x14">
            <control shapeId="17476" r:id="rId85" name="Check Box 68">
              <controlPr defaultSize="0" autoFill="0" autoLine="0" autoPict="0">
                <anchor moveWithCells="1">
                  <from>
                    <xdr:col>8</xdr:col>
                    <xdr:colOff>0</xdr:colOff>
                    <xdr:row>84</xdr:row>
                    <xdr:rowOff>30480</xdr:rowOff>
                  </from>
                  <to>
                    <xdr:col>9</xdr:col>
                    <xdr:colOff>0</xdr:colOff>
                    <xdr:row>84</xdr:row>
                    <xdr:rowOff>220980</xdr:rowOff>
                  </to>
                </anchor>
              </controlPr>
            </control>
          </mc:Choice>
        </mc:AlternateContent>
        <mc:AlternateContent xmlns:mc="http://schemas.openxmlformats.org/markup-compatibility/2006">
          <mc:Choice Requires="x14">
            <control shapeId="17477" r:id="rId86" name="Check Box 69">
              <controlPr defaultSize="0" autoFill="0" autoLine="0" autoPict="0">
                <anchor moveWithCells="1">
                  <from>
                    <xdr:col>8</xdr:col>
                    <xdr:colOff>0</xdr:colOff>
                    <xdr:row>86</xdr:row>
                    <xdr:rowOff>30480</xdr:rowOff>
                  </from>
                  <to>
                    <xdr:col>9</xdr:col>
                    <xdr:colOff>0</xdr:colOff>
                    <xdr:row>86</xdr:row>
                    <xdr:rowOff>220980</xdr:rowOff>
                  </to>
                </anchor>
              </controlPr>
            </control>
          </mc:Choice>
        </mc:AlternateContent>
        <mc:AlternateContent xmlns:mc="http://schemas.openxmlformats.org/markup-compatibility/2006">
          <mc:Choice Requires="x14">
            <control shapeId="17478" r:id="rId87" name="Check Box 70">
              <controlPr defaultSize="0" autoFill="0" autoLine="0" autoPict="0">
                <anchor moveWithCells="1">
                  <from>
                    <xdr:col>8</xdr:col>
                    <xdr:colOff>0</xdr:colOff>
                    <xdr:row>88</xdr:row>
                    <xdr:rowOff>30480</xdr:rowOff>
                  </from>
                  <to>
                    <xdr:col>9</xdr:col>
                    <xdr:colOff>0</xdr:colOff>
                    <xdr:row>88</xdr:row>
                    <xdr:rowOff>220980</xdr:rowOff>
                  </to>
                </anchor>
              </controlPr>
            </control>
          </mc:Choice>
        </mc:AlternateContent>
        <mc:AlternateContent xmlns:mc="http://schemas.openxmlformats.org/markup-compatibility/2006">
          <mc:Choice Requires="x14">
            <control shapeId="17479" r:id="rId88" name="Check Box 71">
              <controlPr defaultSize="0" autoFill="0" autoLine="0" autoPict="0">
                <anchor moveWithCells="1">
                  <from>
                    <xdr:col>8</xdr:col>
                    <xdr:colOff>0</xdr:colOff>
                    <xdr:row>90</xdr:row>
                    <xdr:rowOff>30480</xdr:rowOff>
                  </from>
                  <to>
                    <xdr:col>9</xdr:col>
                    <xdr:colOff>0</xdr:colOff>
                    <xdr:row>90</xdr:row>
                    <xdr:rowOff>220980</xdr:rowOff>
                  </to>
                </anchor>
              </controlPr>
            </control>
          </mc:Choice>
        </mc:AlternateContent>
        <mc:AlternateContent xmlns:mc="http://schemas.openxmlformats.org/markup-compatibility/2006">
          <mc:Choice Requires="x14">
            <control shapeId="17480" r:id="rId89" name="Check Box 72">
              <controlPr defaultSize="0" autoFill="0" autoLine="0" autoPict="0">
                <anchor moveWithCells="1">
                  <from>
                    <xdr:col>8</xdr:col>
                    <xdr:colOff>0</xdr:colOff>
                    <xdr:row>92</xdr:row>
                    <xdr:rowOff>30480</xdr:rowOff>
                  </from>
                  <to>
                    <xdr:col>9</xdr:col>
                    <xdr:colOff>0</xdr:colOff>
                    <xdr:row>92</xdr:row>
                    <xdr:rowOff>220980</xdr:rowOff>
                  </to>
                </anchor>
              </controlPr>
            </control>
          </mc:Choice>
        </mc:AlternateContent>
        <mc:AlternateContent xmlns:mc="http://schemas.openxmlformats.org/markup-compatibility/2006">
          <mc:Choice Requires="x14">
            <control shapeId="17481" r:id="rId90" name="Check Box 73">
              <controlPr defaultSize="0" autoFill="0" autoLine="0" autoPict="0">
                <anchor moveWithCells="1">
                  <from>
                    <xdr:col>8</xdr:col>
                    <xdr:colOff>0</xdr:colOff>
                    <xdr:row>94</xdr:row>
                    <xdr:rowOff>30480</xdr:rowOff>
                  </from>
                  <to>
                    <xdr:col>9</xdr:col>
                    <xdr:colOff>0</xdr:colOff>
                    <xdr:row>94</xdr:row>
                    <xdr:rowOff>220980</xdr:rowOff>
                  </to>
                </anchor>
              </controlPr>
            </control>
          </mc:Choice>
        </mc:AlternateContent>
        <mc:AlternateContent xmlns:mc="http://schemas.openxmlformats.org/markup-compatibility/2006">
          <mc:Choice Requires="x14">
            <control shapeId="17482" r:id="rId91" name="Check Box 74">
              <controlPr defaultSize="0" autoFill="0" autoLine="0" autoPict="0">
                <anchor moveWithCells="1">
                  <from>
                    <xdr:col>8</xdr:col>
                    <xdr:colOff>0</xdr:colOff>
                    <xdr:row>96</xdr:row>
                    <xdr:rowOff>30480</xdr:rowOff>
                  </from>
                  <to>
                    <xdr:col>9</xdr:col>
                    <xdr:colOff>0</xdr:colOff>
                    <xdr:row>96</xdr:row>
                    <xdr:rowOff>220980</xdr:rowOff>
                  </to>
                </anchor>
              </controlPr>
            </control>
          </mc:Choice>
        </mc:AlternateContent>
        <mc:AlternateContent xmlns:mc="http://schemas.openxmlformats.org/markup-compatibility/2006">
          <mc:Choice Requires="x14">
            <control shapeId="17483" r:id="rId92" name="Check Box 75">
              <controlPr defaultSize="0" autoFill="0" autoLine="0" autoPict="0">
                <anchor moveWithCells="1">
                  <from>
                    <xdr:col>8</xdr:col>
                    <xdr:colOff>0</xdr:colOff>
                    <xdr:row>98</xdr:row>
                    <xdr:rowOff>30480</xdr:rowOff>
                  </from>
                  <to>
                    <xdr:col>9</xdr:col>
                    <xdr:colOff>0</xdr:colOff>
                    <xdr:row>98</xdr:row>
                    <xdr:rowOff>220980</xdr:rowOff>
                  </to>
                </anchor>
              </controlPr>
            </control>
          </mc:Choice>
        </mc:AlternateContent>
        <mc:AlternateContent xmlns:mc="http://schemas.openxmlformats.org/markup-compatibility/2006">
          <mc:Choice Requires="x14">
            <control shapeId="17484" r:id="rId93" name="Check Box 76">
              <controlPr defaultSize="0" autoFill="0" autoLine="0" autoPict="0">
                <anchor moveWithCells="1">
                  <from>
                    <xdr:col>8</xdr:col>
                    <xdr:colOff>0</xdr:colOff>
                    <xdr:row>108</xdr:row>
                    <xdr:rowOff>30480</xdr:rowOff>
                  </from>
                  <to>
                    <xdr:col>9</xdr:col>
                    <xdr:colOff>0</xdr:colOff>
                    <xdr:row>108</xdr:row>
                    <xdr:rowOff>228600</xdr:rowOff>
                  </to>
                </anchor>
              </controlPr>
            </control>
          </mc:Choice>
        </mc:AlternateContent>
        <mc:AlternateContent xmlns:mc="http://schemas.openxmlformats.org/markup-compatibility/2006">
          <mc:Choice Requires="x14">
            <control shapeId="17485" r:id="rId94" name="Check Box 77">
              <controlPr defaultSize="0" autoFill="0" autoLine="0" autoPict="0">
                <anchor moveWithCells="1">
                  <from>
                    <xdr:col>8</xdr:col>
                    <xdr:colOff>0</xdr:colOff>
                    <xdr:row>110</xdr:row>
                    <xdr:rowOff>30480</xdr:rowOff>
                  </from>
                  <to>
                    <xdr:col>9</xdr:col>
                    <xdr:colOff>0</xdr:colOff>
                    <xdr:row>110</xdr:row>
                    <xdr:rowOff>228600</xdr:rowOff>
                  </to>
                </anchor>
              </controlPr>
            </control>
          </mc:Choice>
        </mc:AlternateContent>
        <mc:AlternateContent xmlns:mc="http://schemas.openxmlformats.org/markup-compatibility/2006">
          <mc:Choice Requires="x14">
            <control shapeId="17486" r:id="rId95" name="Check Box 78">
              <controlPr defaultSize="0" autoFill="0" autoLine="0" autoPict="0">
                <anchor moveWithCells="1">
                  <from>
                    <xdr:col>8</xdr:col>
                    <xdr:colOff>0</xdr:colOff>
                    <xdr:row>112</xdr:row>
                    <xdr:rowOff>30480</xdr:rowOff>
                  </from>
                  <to>
                    <xdr:col>9</xdr:col>
                    <xdr:colOff>0</xdr:colOff>
                    <xdr:row>112</xdr:row>
                    <xdr:rowOff>228600</xdr:rowOff>
                  </to>
                </anchor>
              </controlPr>
            </control>
          </mc:Choice>
        </mc:AlternateContent>
        <mc:AlternateContent xmlns:mc="http://schemas.openxmlformats.org/markup-compatibility/2006">
          <mc:Choice Requires="x14">
            <control shapeId="17487" r:id="rId96" name="Check Box 79">
              <controlPr defaultSize="0" autoFill="0" autoLine="0" autoPict="0">
                <anchor moveWithCells="1">
                  <from>
                    <xdr:col>8</xdr:col>
                    <xdr:colOff>0</xdr:colOff>
                    <xdr:row>104</xdr:row>
                    <xdr:rowOff>259080</xdr:rowOff>
                  </from>
                  <to>
                    <xdr:col>9</xdr:col>
                    <xdr:colOff>0</xdr:colOff>
                    <xdr:row>105</xdr:row>
                    <xdr:rowOff>106680</xdr:rowOff>
                  </to>
                </anchor>
              </controlPr>
            </control>
          </mc:Choice>
        </mc:AlternateContent>
        <mc:AlternateContent xmlns:mc="http://schemas.openxmlformats.org/markup-compatibility/2006">
          <mc:Choice Requires="x14">
            <control shapeId="17488" r:id="rId97" name="Check Box 80">
              <controlPr defaultSize="0" autoFill="0" autoLine="0" autoPict="0">
                <anchor moveWithCells="1">
                  <from>
                    <xdr:col>8</xdr:col>
                    <xdr:colOff>0</xdr:colOff>
                    <xdr:row>105</xdr:row>
                    <xdr:rowOff>106680</xdr:rowOff>
                  </from>
                  <to>
                    <xdr:col>9</xdr:col>
                    <xdr:colOff>0</xdr:colOff>
                    <xdr:row>105</xdr:row>
                    <xdr:rowOff>297180</xdr:rowOff>
                  </to>
                </anchor>
              </controlPr>
            </control>
          </mc:Choice>
        </mc:AlternateContent>
        <mc:AlternateContent xmlns:mc="http://schemas.openxmlformats.org/markup-compatibility/2006">
          <mc:Choice Requires="x14">
            <control shapeId="17489" r:id="rId98" name="Check Box 81">
              <controlPr defaultSize="0" autoFill="0" autoLine="0" autoPict="0">
                <anchor moveWithCells="1">
                  <from>
                    <xdr:col>8</xdr:col>
                    <xdr:colOff>0</xdr:colOff>
                    <xdr:row>106</xdr:row>
                    <xdr:rowOff>259080</xdr:rowOff>
                  </from>
                  <to>
                    <xdr:col>9</xdr:col>
                    <xdr:colOff>0</xdr:colOff>
                    <xdr:row>107</xdr:row>
                    <xdr:rowOff>106680</xdr:rowOff>
                  </to>
                </anchor>
              </controlPr>
            </control>
          </mc:Choice>
        </mc:AlternateContent>
        <mc:AlternateContent xmlns:mc="http://schemas.openxmlformats.org/markup-compatibility/2006">
          <mc:Choice Requires="x14">
            <control shapeId="17490" r:id="rId99" name="Check Box 82">
              <controlPr defaultSize="0" autoFill="0" autoLine="0" autoPict="0">
                <anchor moveWithCells="1">
                  <from>
                    <xdr:col>8</xdr:col>
                    <xdr:colOff>0</xdr:colOff>
                    <xdr:row>107</xdr:row>
                    <xdr:rowOff>106680</xdr:rowOff>
                  </from>
                  <to>
                    <xdr:col>9</xdr:col>
                    <xdr:colOff>0</xdr:colOff>
                    <xdr:row>107</xdr:row>
                    <xdr:rowOff>297180</xdr:rowOff>
                  </to>
                </anchor>
              </controlPr>
            </control>
          </mc:Choice>
        </mc:AlternateContent>
        <mc:AlternateContent xmlns:mc="http://schemas.openxmlformats.org/markup-compatibility/2006">
          <mc:Choice Requires="x14">
            <control shapeId="17491" r:id="rId100" name="Check Box 83">
              <controlPr defaultSize="0" autoFill="0" autoLine="0" autoPict="0">
                <anchor moveWithCells="1">
                  <from>
                    <xdr:col>8</xdr:col>
                    <xdr:colOff>0</xdr:colOff>
                    <xdr:row>104</xdr:row>
                    <xdr:rowOff>30480</xdr:rowOff>
                  </from>
                  <to>
                    <xdr:col>9</xdr:col>
                    <xdr:colOff>0</xdr:colOff>
                    <xdr:row>104</xdr:row>
                    <xdr:rowOff>228600</xdr:rowOff>
                  </to>
                </anchor>
              </controlPr>
            </control>
          </mc:Choice>
        </mc:AlternateContent>
        <mc:AlternateContent xmlns:mc="http://schemas.openxmlformats.org/markup-compatibility/2006">
          <mc:Choice Requires="x14">
            <control shapeId="17492" r:id="rId101" name="Check Box 84">
              <controlPr defaultSize="0" autoFill="0" autoLine="0" autoPict="0">
                <anchor moveWithCells="1">
                  <from>
                    <xdr:col>8</xdr:col>
                    <xdr:colOff>0</xdr:colOff>
                    <xdr:row>106</xdr:row>
                    <xdr:rowOff>30480</xdr:rowOff>
                  </from>
                  <to>
                    <xdr:col>9</xdr:col>
                    <xdr:colOff>0</xdr:colOff>
                    <xdr:row>106</xdr:row>
                    <xdr:rowOff>228600</xdr:rowOff>
                  </to>
                </anchor>
              </controlPr>
            </control>
          </mc:Choice>
        </mc:AlternateContent>
        <mc:AlternateContent xmlns:mc="http://schemas.openxmlformats.org/markup-compatibility/2006">
          <mc:Choice Requires="x14">
            <control shapeId="17493" r:id="rId102" name="Check Box 85">
              <controlPr defaultSize="0" autoFill="0" autoLine="0" autoPict="0">
                <anchor moveWithCells="1">
                  <from>
                    <xdr:col>8</xdr:col>
                    <xdr:colOff>0</xdr:colOff>
                    <xdr:row>100</xdr:row>
                    <xdr:rowOff>259080</xdr:rowOff>
                  </from>
                  <to>
                    <xdr:col>9</xdr:col>
                    <xdr:colOff>0</xdr:colOff>
                    <xdr:row>101</xdr:row>
                    <xdr:rowOff>106680</xdr:rowOff>
                  </to>
                </anchor>
              </controlPr>
            </control>
          </mc:Choice>
        </mc:AlternateContent>
        <mc:AlternateContent xmlns:mc="http://schemas.openxmlformats.org/markup-compatibility/2006">
          <mc:Choice Requires="x14">
            <control shapeId="17494" r:id="rId103" name="Check Box 86">
              <controlPr defaultSize="0" autoFill="0" autoLine="0" autoPict="0">
                <anchor moveWithCells="1">
                  <from>
                    <xdr:col>8</xdr:col>
                    <xdr:colOff>0</xdr:colOff>
                    <xdr:row>101</xdr:row>
                    <xdr:rowOff>106680</xdr:rowOff>
                  </from>
                  <to>
                    <xdr:col>9</xdr:col>
                    <xdr:colOff>0</xdr:colOff>
                    <xdr:row>101</xdr:row>
                    <xdr:rowOff>297180</xdr:rowOff>
                  </to>
                </anchor>
              </controlPr>
            </control>
          </mc:Choice>
        </mc:AlternateContent>
        <mc:AlternateContent xmlns:mc="http://schemas.openxmlformats.org/markup-compatibility/2006">
          <mc:Choice Requires="x14">
            <control shapeId="17495" r:id="rId104" name="Check Box 87">
              <controlPr defaultSize="0" autoFill="0" autoLine="0" autoPict="0">
                <anchor moveWithCells="1">
                  <from>
                    <xdr:col>8</xdr:col>
                    <xdr:colOff>0</xdr:colOff>
                    <xdr:row>102</xdr:row>
                    <xdr:rowOff>259080</xdr:rowOff>
                  </from>
                  <to>
                    <xdr:col>9</xdr:col>
                    <xdr:colOff>0</xdr:colOff>
                    <xdr:row>103</xdr:row>
                    <xdr:rowOff>106680</xdr:rowOff>
                  </to>
                </anchor>
              </controlPr>
            </control>
          </mc:Choice>
        </mc:AlternateContent>
        <mc:AlternateContent xmlns:mc="http://schemas.openxmlformats.org/markup-compatibility/2006">
          <mc:Choice Requires="x14">
            <control shapeId="17496" r:id="rId105" name="Check Box 88">
              <controlPr defaultSize="0" autoFill="0" autoLine="0" autoPict="0">
                <anchor moveWithCells="1">
                  <from>
                    <xdr:col>8</xdr:col>
                    <xdr:colOff>0</xdr:colOff>
                    <xdr:row>103</xdr:row>
                    <xdr:rowOff>106680</xdr:rowOff>
                  </from>
                  <to>
                    <xdr:col>9</xdr:col>
                    <xdr:colOff>0</xdr:colOff>
                    <xdr:row>103</xdr:row>
                    <xdr:rowOff>297180</xdr:rowOff>
                  </to>
                </anchor>
              </controlPr>
            </control>
          </mc:Choice>
        </mc:AlternateContent>
        <mc:AlternateContent xmlns:mc="http://schemas.openxmlformats.org/markup-compatibility/2006">
          <mc:Choice Requires="x14">
            <control shapeId="17497" r:id="rId106" name="Check Box 89">
              <controlPr defaultSize="0" autoFill="0" autoLine="0" autoPict="0">
                <anchor moveWithCells="1">
                  <from>
                    <xdr:col>8</xdr:col>
                    <xdr:colOff>0</xdr:colOff>
                    <xdr:row>100</xdr:row>
                    <xdr:rowOff>30480</xdr:rowOff>
                  </from>
                  <to>
                    <xdr:col>9</xdr:col>
                    <xdr:colOff>0</xdr:colOff>
                    <xdr:row>100</xdr:row>
                    <xdr:rowOff>228600</xdr:rowOff>
                  </to>
                </anchor>
              </controlPr>
            </control>
          </mc:Choice>
        </mc:AlternateContent>
        <mc:AlternateContent xmlns:mc="http://schemas.openxmlformats.org/markup-compatibility/2006">
          <mc:Choice Requires="x14">
            <control shapeId="17498" r:id="rId107" name="Check Box 90">
              <controlPr defaultSize="0" autoFill="0" autoLine="0" autoPict="0">
                <anchor moveWithCells="1">
                  <from>
                    <xdr:col>8</xdr:col>
                    <xdr:colOff>0</xdr:colOff>
                    <xdr:row>102</xdr:row>
                    <xdr:rowOff>30480</xdr:rowOff>
                  </from>
                  <to>
                    <xdr:col>9</xdr:col>
                    <xdr:colOff>0</xdr:colOff>
                    <xdr:row>102</xdr:row>
                    <xdr:rowOff>228600</xdr:rowOff>
                  </to>
                </anchor>
              </controlPr>
            </control>
          </mc:Choice>
        </mc:AlternateContent>
      </controls>
    </mc:Choice>
  </mc:AlternateContent>
  <tableParts count="1">
    <tablePart r:id="rId108"/>
  </tableParts>
  <extLst>
    <ext xmlns:x14="http://schemas.microsoft.com/office/spreadsheetml/2009/9/main" uri="{78C0D931-6437-407d-A8EE-F0AAD7539E65}">
      <x14:conditionalFormattings>
        <x14:conditionalFormatting xmlns:xm="http://schemas.microsoft.com/office/excel/2006/main">
          <x14:cfRule type="dataBar" id="{287B8923-1FA3-428A-A00A-1C0310E9817A}">
            <x14:dataBar minLength="0" maxLength="100" border="1" direction="leftToRight">
              <x14:cfvo type="num">
                <xm:f>0</xm:f>
              </x14:cfvo>
              <x14:cfvo type="num">
                <xm:f>1</xm:f>
              </x14:cfvo>
              <x14:borderColor rgb="FF000099"/>
              <x14:negativeFillColor rgb="FFFF0000"/>
              <x14:axisColor rgb="FF000000"/>
            </x14:dataBar>
          </x14:cfRule>
          <xm:sqref>E9:E12</xm:sqref>
        </x14:conditionalFormatting>
        <x14:conditionalFormatting xmlns:xm="http://schemas.microsoft.com/office/excel/2006/main">
          <x14:cfRule type="iconSet" priority="13" id="{989505A7-0A1C-408F-8589-B66D5FAD8EC9}">
            <x14:iconSet iconSet="3Stars">
              <x14:cfvo type="percent">
                <xm:f>0</xm:f>
              </x14:cfvo>
              <x14:cfvo type="percent">
                <xm:f>33</xm:f>
              </x14:cfvo>
              <x14:cfvo type="percent">
                <xm:f>67</xm:f>
              </x14:cfvo>
            </x14:iconSet>
          </x14:cfRule>
          <xm:sqref>O6:P6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4045780E-09D4-4495-A815-1F24D9E76A98}">
          <x14:formula1>
            <xm:f>Parâmetros!$A$28:$A$30</xm:f>
          </x14:formula1>
          <xm:sqref>E117:F163</xm:sqref>
        </x14:dataValidation>
        <x14:dataValidation type="list" allowBlank="1" showInputMessage="1" showErrorMessage="1" xr:uid="{548AA944-E6B6-4AF0-B2C8-E5A790E31D1C}">
          <x14:formula1>
            <xm:f>Parâmetros!$A$36:$A$38</xm:f>
          </x14:formula1>
          <xm:sqref>AC29:AC51 AA29:AA51 Y29:Y51 I34:I51 W29:W51 U29:U51 S29:S51 Q29:Q51 O29:O51 M29:M51 K29:K51 I29:I32 AE29:AE51</xm:sqref>
        </x14:dataValidation>
        <x14:dataValidation type="list" allowBlank="1" showInputMessage="1" showErrorMessage="1" xr:uid="{B2F94090-D211-497E-8A25-66AA46451A39}">
          <x14:formula1>
            <xm:f>Parâmetros!$A$31:$A$33</xm:f>
          </x14:formula1>
          <xm:sqref>O55 O57 O59 O61 O63 O65 O67 O69:O114</xm:sqref>
        </x14:dataValidation>
        <x14:dataValidation type="list" allowBlank="1" showInputMessage="1" showErrorMessage="1" xr:uid="{C095A7F8-4FB4-4915-AD38-956C2F1E3FEC}">
          <x14:formula1>
            <xm:f>Parâmetros!$A$28:$A$29</xm:f>
          </x14:formula1>
          <xm:sqref>I118:K139 J55:J114</xm:sqref>
        </x14:dataValidation>
        <x14:dataValidation type="list" allowBlank="1" showInputMessage="1" showErrorMessage="1" xr:uid="{E316A9CD-55A2-4BFA-90E9-3457BFC69F93}">
          <x14:formula1>
            <xm:f>Parâmetros!$A$24:$A$27</xm:f>
          </x14:formula1>
          <xm:sqref>A55:A114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E2232-72DE-4790-A7AD-D94B304EE399}">
  <dimension ref="A1:C12"/>
  <sheetViews>
    <sheetView workbookViewId="0">
      <selection activeCell="A10" sqref="A10"/>
    </sheetView>
  </sheetViews>
  <sheetFormatPr defaultRowHeight="14.4" x14ac:dyDescent="0.3"/>
  <cols>
    <col min="1" max="1" width="31.44140625" customWidth="1"/>
    <col min="2" max="2" width="8.5546875" bestFit="1" customWidth="1"/>
    <col min="3" max="3" width="130" customWidth="1"/>
  </cols>
  <sheetData>
    <row r="1" spans="1:3" ht="31.2" x14ac:dyDescent="0.3">
      <c r="A1" s="13" t="s">
        <v>1783</v>
      </c>
      <c r="B1" s="13" t="s">
        <v>78</v>
      </c>
      <c r="C1" s="13" t="s">
        <v>1784</v>
      </c>
    </row>
    <row r="2" spans="1:3" x14ac:dyDescent="0.3">
      <c r="A2" s="14" t="s">
        <v>1785</v>
      </c>
      <c r="B2" s="14" t="s">
        <v>183</v>
      </c>
      <c r="C2" s="14" t="s">
        <v>1786</v>
      </c>
    </row>
    <row r="3" spans="1:3" x14ac:dyDescent="0.3">
      <c r="A3" s="14" t="s">
        <v>187</v>
      </c>
      <c r="B3" s="14" t="s">
        <v>183</v>
      </c>
      <c r="C3" s="14" t="s">
        <v>1787</v>
      </c>
    </row>
    <row r="4" spans="1:3" ht="28.8" x14ac:dyDescent="0.3">
      <c r="A4" s="14" t="s">
        <v>1788</v>
      </c>
      <c r="B4" s="14" t="s">
        <v>183</v>
      </c>
      <c r="C4" s="14" t="s">
        <v>1789</v>
      </c>
    </row>
    <row r="5" spans="1:3" ht="28.8" x14ac:dyDescent="0.3">
      <c r="A5" s="14" t="s">
        <v>1790</v>
      </c>
      <c r="B5" s="14" t="s">
        <v>183</v>
      </c>
      <c r="C5" s="14" t="s">
        <v>1791</v>
      </c>
    </row>
    <row r="6" spans="1:3" x14ac:dyDescent="0.3">
      <c r="A6" s="14" t="s">
        <v>1792</v>
      </c>
      <c r="B6" s="14" t="s">
        <v>1793</v>
      </c>
      <c r="C6" s="14" t="s">
        <v>1794</v>
      </c>
    </row>
    <row r="7" spans="1:3" x14ac:dyDescent="0.3">
      <c r="A7" s="14" t="s">
        <v>1795</v>
      </c>
      <c r="B7" s="14" t="s">
        <v>1793</v>
      </c>
      <c r="C7" s="14" t="s">
        <v>1796</v>
      </c>
    </row>
    <row r="8" spans="1:3" x14ac:dyDescent="0.3">
      <c r="A8" s="14" t="s">
        <v>1797</v>
      </c>
      <c r="B8" s="14" t="s">
        <v>1798</v>
      </c>
      <c r="C8" s="14" t="s">
        <v>1799</v>
      </c>
    </row>
    <row r="9" spans="1:3" x14ac:dyDescent="0.3">
      <c r="A9" s="14" t="s">
        <v>1800</v>
      </c>
      <c r="B9" s="14" t="s">
        <v>183</v>
      </c>
      <c r="C9" s="14" t="s">
        <v>1801</v>
      </c>
    </row>
    <row r="10" spans="1:3" ht="28.8" x14ac:dyDescent="0.3">
      <c r="A10" s="14" t="s">
        <v>1802</v>
      </c>
      <c r="B10" s="14" t="s">
        <v>1803</v>
      </c>
      <c r="C10" s="14" t="s">
        <v>1804</v>
      </c>
    </row>
    <row r="11" spans="1:3" ht="28.8" x14ac:dyDescent="0.3">
      <c r="A11" s="14" t="s">
        <v>1805</v>
      </c>
      <c r="B11" s="14" t="s">
        <v>183</v>
      </c>
      <c r="C11" s="14" t="s">
        <v>1806</v>
      </c>
    </row>
    <row r="12" spans="1:3" x14ac:dyDescent="0.3">
      <c r="A12" s="14" t="s">
        <v>246</v>
      </c>
      <c r="B12" s="14" t="s">
        <v>183</v>
      </c>
      <c r="C12" s="14" t="s">
        <v>1807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CD16A-4F46-4AA3-8504-88D8B8E9E833}">
  <dimension ref="A1:AV287"/>
  <sheetViews>
    <sheetView topLeftCell="A43" zoomScale="55" zoomScaleNormal="55" workbookViewId="0">
      <selection activeCell="G5" sqref="G5:H5"/>
    </sheetView>
  </sheetViews>
  <sheetFormatPr defaultColWidth="8.5546875" defaultRowHeight="14.4" x14ac:dyDescent="0.3"/>
  <cols>
    <col min="1" max="1" width="33.44140625" style="62" customWidth="1"/>
    <col min="2" max="2" width="30.5546875" style="62" customWidth="1"/>
    <col min="3" max="3" width="39.44140625" style="62" customWidth="1"/>
    <col min="4" max="4" width="44.44140625" style="62" customWidth="1"/>
    <col min="5" max="5" width="23.5546875" style="62" customWidth="1"/>
    <col min="6" max="6" width="18.5546875" style="62" customWidth="1"/>
    <col min="7" max="7" width="10.44140625" style="62" customWidth="1"/>
    <col min="8" max="8" width="27.44140625" style="62" bestFit="1" customWidth="1"/>
    <col min="9" max="9" width="30.5546875" style="62" customWidth="1"/>
    <col min="10" max="10" width="21.44140625" style="62" customWidth="1"/>
    <col min="11" max="11" width="22.5546875" style="62" customWidth="1"/>
    <col min="12" max="12" width="33.44140625" style="62" customWidth="1"/>
    <col min="13" max="13" width="35" style="62" bestFit="1" customWidth="1"/>
    <col min="14" max="14" width="29.44140625" style="1003" customWidth="1"/>
    <col min="15" max="15" width="29.5546875" style="62" bestFit="1" customWidth="1"/>
    <col min="16" max="16" width="19.5546875" style="62" bestFit="1" customWidth="1"/>
    <col min="17" max="17" width="34.44140625" style="62" bestFit="1" customWidth="1"/>
    <col min="18" max="18" width="25.44140625" style="62" customWidth="1"/>
    <col min="19" max="19" width="17.5546875" style="62" bestFit="1" customWidth="1"/>
    <col min="20" max="20" width="22.44140625" style="62" customWidth="1"/>
    <col min="21" max="21" width="17.5546875" style="62" bestFit="1" customWidth="1"/>
    <col min="22" max="22" width="23.44140625" style="62" customWidth="1"/>
    <col min="23" max="23" width="17.5546875" style="62" bestFit="1" customWidth="1"/>
    <col min="24" max="24" width="18.44140625" style="62" bestFit="1" customWidth="1"/>
    <col min="25" max="25" width="22.44140625" style="62" customWidth="1"/>
    <col min="26" max="26" width="19.5546875" style="62" bestFit="1" customWidth="1"/>
    <col min="27" max="27" width="20.44140625" style="62" bestFit="1" customWidth="1"/>
    <col min="28" max="28" width="36.5546875" style="62" bestFit="1" customWidth="1"/>
    <col min="29" max="29" width="20.44140625" style="62" bestFit="1" customWidth="1"/>
    <col min="30" max="30" width="28.44140625" style="62" customWidth="1"/>
    <col min="31" max="31" width="19.5546875" style="62" customWidth="1"/>
    <col min="32" max="32" width="16.5546875" style="62" bestFit="1" customWidth="1"/>
    <col min="33" max="33" width="54.44140625" style="62" bestFit="1" customWidth="1"/>
    <col min="34" max="34" width="22.44140625" style="62" bestFit="1" customWidth="1"/>
    <col min="35" max="35" width="15.5546875" style="62" bestFit="1" customWidth="1"/>
    <col min="36" max="36" width="16" style="62" customWidth="1"/>
    <col min="37" max="37" width="20.44140625" style="62" bestFit="1" customWidth="1"/>
    <col min="38" max="38" width="11.44140625" style="62" bestFit="1" customWidth="1"/>
    <col min="39" max="39" width="48.44140625" style="62" bestFit="1" customWidth="1"/>
    <col min="40" max="40" width="93.44140625" style="62" bestFit="1" customWidth="1"/>
    <col min="41" max="41" width="20.44140625" style="62" bestFit="1" customWidth="1"/>
    <col min="42" max="42" width="93.44140625" style="62" bestFit="1" customWidth="1"/>
    <col min="43" max="43" width="2.44140625" style="62" bestFit="1" customWidth="1"/>
    <col min="44" max="44" width="17.5546875" style="62" bestFit="1" customWidth="1"/>
    <col min="45" max="45" width="25.44140625" style="62" bestFit="1" customWidth="1"/>
    <col min="46" max="46" width="8.5546875" style="62"/>
    <col min="47" max="48" width="20.5546875" style="62" customWidth="1"/>
    <col min="49" max="16384" width="8.5546875" style="62"/>
  </cols>
  <sheetData>
    <row r="1" spans="1:39" ht="50.1" customHeight="1" x14ac:dyDescent="0.3">
      <c r="A1" s="1434" t="s">
        <v>1808</v>
      </c>
      <c r="B1" s="1434"/>
      <c r="C1" s="1434"/>
      <c r="D1" s="1434"/>
      <c r="E1" s="1434"/>
      <c r="F1" s="1434"/>
      <c r="G1" s="1434"/>
      <c r="H1" s="1434"/>
      <c r="I1" s="1434"/>
      <c r="J1" s="1434"/>
      <c r="K1" s="1434"/>
      <c r="L1" s="1434"/>
      <c r="M1" s="1434"/>
      <c r="N1" s="1434"/>
      <c r="O1" s="1434"/>
      <c r="P1" s="1434"/>
      <c r="Q1" s="1434"/>
      <c r="R1" s="1434"/>
      <c r="S1" s="1434"/>
      <c r="T1" s="1434"/>
      <c r="U1" s="1434"/>
      <c r="V1" s="1434"/>
      <c r="W1" s="1434"/>
      <c r="X1" s="1434"/>
      <c r="Y1" s="1434"/>
      <c r="Z1" s="1434"/>
      <c r="AA1" s="1434"/>
      <c r="AB1" s="1434"/>
      <c r="AC1" s="1434"/>
      <c r="AD1" s="1434"/>
      <c r="AE1" s="1434"/>
      <c r="AF1" s="1434"/>
      <c r="AG1" s="47"/>
      <c r="AH1" s="47"/>
      <c r="AI1" s="47"/>
      <c r="AJ1" s="47"/>
    </row>
    <row r="2" spans="1:39" ht="25.35" customHeight="1" x14ac:dyDescent="0.3">
      <c r="A2" s="1443" t="s">
        <v>46</v>
      </c>
      <c r="B2" s="1443"/>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3"/>
      <c r="AD2" s="1443"/>
      <c r="AE2" s="1443"/>
      <c r="AF2" s="1443"/>
      <c r="AG2" s="47"/>
      <c r="AH2" s="47"/>
      <c r="AI2" s="47"/>
      <c r="AJ2" s="47"/>
    </row>
    <row r="3" spans="1:39" ht="8.1" customHeight="1" x14ac:dyDescent="0.3">
      <c r="A3" s="47"/>
      <c r="B3" s="47"/>
      <c r="C3" s="47"/>
      <c r="D3" s="47"/>
      <c r="E3" s="47"/>
      <c r="F3" s="47"/>
      <c r="G3" s="47"/>
      <c r="H3" s="47"/>
      <c r="I3" s="47"/>
      <c r="J3" s="47"/>
      <c r="K3" s="47"/>
      <c r="L3" s="47"/>
      <c r="M3" s="47"/>
      <c r="N3" s="832"/>
      <c r="O3" s="47"/>
      <c r="P3" s="47"/>
      <c r="Q3" s="47"/>
      <c r="R3" s="47"/>
      <c r="S3" s="47"/>
      <c r="T3" s="47"/>
      <c r="U3" s="47"/>
      <c r="V3" s="47"/>
      <c r="W3" s="47"/>
      <c r="X3" s="47"/>
      <c r="Y3" s="47"/>
      <c r="Z3" s="47"/>
      <c r="AA3" s="47"/>
      <c r="AB3" s="47"/>
      <c r="AC3" s="47"/>
      <c r="AD3" s="47"/>
      <c r="AE3" s="47"/>
      <c r="AF3" s="47"/>
      <c r="AG3" s="47"/>
      <c r="AH3" s="47"/>
      <c r="AI3" s="47"/>
      <c r="AJ3" s="47"/>
    </row>
    <row r="4" spans="1:39" ht="22.35" customHeight="1" x14ac:dyDescent="0.3">
      <c r="A4" s="362" t="s">
        <v>94</v>
      </c>
      <c r="B4" s="475" t="s">
        <v>48</v>
      </c>
      <c r="C4" s="976" t="s">
        <v>49</v>
      </c>
      <c r="D4" s="478" t="s">
        <v>50</v>
      </c>
      <c r="E4" s="1415" t="s">
        <v>100</v>
      </c>
      <c r="F4" s="1415"/>
      <c r="G4" s="1423" t="s">
        <v>102</v>
      </c>
      <c r="H4" s="1424"/>
      <c r="I4" s="903" t="s">
        <v>1390</v>
      </c>
      <c r="J4" s="1435" t="s">
        <v>54</v>
      </c>
      <c r="K4" s="1435"/>
      <c r="L4" s="913" t="s">
        <v>55</v>
      </c>
      <c r="M4" s="47"/>
      <c r="N4" s="832"/>
      <c r="O4" s="1441" t="s">
        <v>129</v>
      </c>
      <c r="P4" s="1441"/>
      <c r="Q4" s="1441"/>
      <c r="R4" s="1441"/>
      <c r="S4" s="1441"/>
      <c r="T4" s="1441"/>
      <c r="U4" s="1441"/>
      <c r="V4" s="1441"/>
      <c r="W4" s="1441"/>
      <c r="X4" s="1441"/>
      <c r="Y4" s="1441"/>
      <c r="Z4" s="1441"/>
      <c r="AA4" s="1441"/>
      <c r="AB4" s="1441"/>
      <c r="AC4" s="1441"/>
      <c r="AD4" s="1441"/>
      <c r="AE4" s="1441"/>
      <c r="AF4" s="1441"/>
      <c r="AG4" s="47"/>
      <c r="AH4" s="47"/>
      <c r="AI4" s="47"/>
      <c r="AJ4" s="47"/>
    </row>
    <row r="5" spans="1:39" ht="45" customHeight="1" x14ac:dyDescent="0.3">
      <c r="A5" s="476">
        <f>Parâmetros!E7</f>
        <v>2100000</v>
      </c>
      <c r="B5" s="477">
        <f>SUM(I55:I106)</f>
        <v>2230520.7000000002</v>
      </c>
      <c r="C5" s="977">
        <f>AV53</f>
        <v>2808030.1760606058</v>
      </c>
      <c r="D5" s="479">
        <f>AU53</f>
        <v>1240725.8558333332</v>
      </c>
      <c r="E5" s="1416">
        <f>SUM(N55:N106)</f>
        <v>2196413.4</v>
      </c>
      <c r="F5" s="1416"/>
      <c r="G5" s="1425">
        <f>SUM(E9,E11:E14)</f>
        <v>1158700.68</v>
      </c>
      <c r="H5" s="1426"/>
      <c r="I5" s="904">
        <f>E8+E10</f>
        <v>120860.87999999999</v>
      </c>
      <c r="J5" s="2266">
        <f>G5/A5</f>
        <v>0.55176222857142854</v>
      </c>
      <c r="K5" s="1795"/>
      <c r="L5" s="2263">
        <f>SUM(G8:G10)</f>
        <v>18</v>
      </c>
      <c r="M5" s="47"/>
      <c r="N5" s="983"/>
      <c r="O5" s="231" t="s">
        <v>132</v>
      </c>
      <c r="P5" s="359" t="s">
        <v>77</v>
      </c>
      <c r="Q5" s="232" t="s">
        <v>924</v>
      </c>
      <c r="R5" s="363" t="s">
        <v>134</v>
      </c>
      <c r="S5" s="363" t="s">
        <v>135</v>
      </c>
      <c r="T5" s="507" t="s">
        <v>136</v>
      </c>
      <c r="U5" s="1444" t="s">
        <v>137</v>
      </c>
      <c r="V5" s="1444"/>
      <c r="W5" s="1444"/>
      <c r="X5" s="1444"/>
      <c r="Y5" s="1444"/>
      <c r="Z5" s="232" t="s">
        <v>138</v>
      </c>
      <c r="AA5" s="232" t="s">
        <v>139</v>
      </c>
      <c r="AB5" s="359" t="s">
        <v>140</v>
      </c>
      <c r="AC5" s="359" t="s">
        <v>141</v>
      </c>
      <c r="AD5" s="359" t="s">
        <v>142</v>
      </c>
      <c r="AE5" s="363" t="s">
        <v>143</v>
      </c>
      <c r="AG5" s="47"/>
      <c r="AH5" s="47"/>
      <c r="AI5" s="47"/>
      <c r="AJ5" s="47"/>
      <c r="AK5" s="47"/>
      <c r="AL5" s="47"/>
    </row>
    <row r="6" spans="1:39" ht="20.100000000000001" customHeight="1" x14ac:dyDescent="0.3">
      <c r="A6" s="755" t="s">
        <v>145</v>
      </c>
      <c r="B6" s="755"/>
      <c r="C6" s="755"/>
      <c r="D6" s="755"/>
      <c r="E6" s="755"/>
      <c r="F6" s="900" t="s">
        <v>64</v>
      </c>
      <c r="G6" s="900"/>
      <c r="H6" s="900"/>
      <c r="I6" s="1659" t="s">
        <v>65</v>
      </c>
      <c r="J6" s="1660"/>
      <c r="K6" s="1660"/>
      <c r="L6" s="2264"/>
      <c r="M6" s="47"/>
      <c r="N6" s="832"/>
      <c r="O6" s="229" cm="1">
        <f t="array" ref="O6:O25">_xlfn.SEQUENCE(20)</f>
        <v>1</v>
      </c>
      <c r="P6" s="371" t="str">
        <f t="shared" ref="P6:P25" si="0">_xlfn.XLOOKUP(U6,$C$55:$C$106,$A$55:$A$106)</f>
        <v>Kaizen</v>
      </c>
      <c r="Q6" s="377">
        <f>MAX(I55:I106)</f>
        <v>733701.49999999988</v>
      </c>
      <c r="R6" s="709">
        <f t="shared" ref="R6:R20" si="1">_xlfn.XLOOKUP(Q6,$I$55:$I$106,$N$55:$N$106)</f>
        <v>1736617.43</v>
      </c>
      <c r="S6" s="499">
        <f t="shared" ref="S6:S20" si="2">_xlfn.XLOOKUP(U6,$C$55:$C$106,$J$55:$J$106)</f>
        <v>46082</v>
      </c>
      <c r="T6" s="508" cm="1">
        <f t="array" aca="1" ref="T6" ca="1">SUMPRODUCT(($C$55:$C$106=U6)*(U$54:$AI$54&lt;=TODAY())*(ISNUMBER(U$55:$AI$106)),U$55:$AI$106)</f>
        <v>1041970.458</v>
      </c>
      <c r="U6" s="675" t="str">
        <f t="shared" ref="U6:U21" si="3">IFERROR(HYPERLINK(INDEX($D$55:$D$106,MATCH(Q6,$I$55:$I$106,0)),INDEX($C$55:$C$106,MATCH(Q6,$I$55:$I$106,0))
   ),
   ""
)</f>
        <v>07- Reestruturação</v>
      </c>
      <c r="V6" s="487"/>
      <c r="W6" s="487"/>
      <c r="X6" s="487"/>
      <c r="Y6" s="488"/>
      <c r="Z6" s="353">
        <f t="shared" ref="Z6:Z20" si="4">IF(Q6="","",Q6/$B$5)</f>
        <v>0.3289373194339778</v>
      </c>
      <c r="AA6" s="236">
        <f>Z6</f>
        <v>0.3289373194339778</v>
      </c>
      <c r="AB6" s="635" cm="1">
        <f t="array" ref="AB6">IFERROR(INDEX($T$55:$T$106,MATCH(1,($AP$55:$AP$106=U6)*($S$55:$S$106="Previsto"), 0) ), "")</f>
        <v>1</v>
      </c>
      <c r="AC6" s="635" cm="1">
        <f t="array" ref="AC6">IFERROR(INDEX($T$55:$T$106,MATCH(1,($AP$55:$AP$106=U6)*($S$55:$S$106="Real"), 0) ), "")</f>
        <v>1</v>
      </c>
      <c r="AD6" s="373" t="str">
        <f t="shared" ref="AD6:AD13" si="5">IF(OR(AB6="",AC6=""),"",IF(AC6=100%,"CONCLUÍDO",IF(AC6=0,IF(AB6=0,"PROJETO NÃO INICIADO","FALTA DE ACOMPANHAMENTO"),IF(AC6&gt;AB6,"ADIANTADO",IF(AC6=AB6,"CONFORME PLANEJADO","ATRASO")))))</f>
        <v>CONCLUÍDO</v>
      </c>
      <c r="AE6" s="353" cm="1">
        <f t="array" ref="AE6:AE25">_xlfn.XLOOKUP($U$6:$U$25,$C$55:$C$106,$R$55:$R$106)</f>
        <v>1</v>
      </c>
      <c r="AG6" s="47"/>
      <c r="AH6" s="47"/>
      <c r="AI6" s="47"/>
      <c r="AJ6" s="47"/>
      <c r="AK6" s="47"/>
      <c r="AL6" s="47"/>
    </row>
    <row r="7" spans="1:39" ht="20.100000000000001" customHeight="1" x14ac:dyDescent="0.35">
      <c r="A7" s="15" t="s">
        <v>67</v>
      </c>
      <c r="B7" s="15" t="s">
        <v>68</v>
      </c>
      <c r="C7" s="15" t="s">
        <v>69</v>
      </c>
      <c r="D7" s="753" t="s">
        <v>70</v>
      </c>
      <c r="E7" s="49" t="s">
        <v>71</v>
      </c>
      <c r="F7" s="463" t="s">
        <v>72</v>
      </c>
      <c r="G7" s="463" t="s">
        <v>68</v>
      </c>
      <c r="H7" s="537" t="s">
        <v>73</v>
      </c>
      <c r="I7" s="901" t="s">
        <v>74</v>
      </c>
      <c r="J7" s="1427" t="s">
        <v>75</v>
      </c>
      <c r="K7" s="2140" t="s">
        <v>147</v>
      </c>
      <c r="L7" s="2264"/>
      <c r="M7" s="47"/>
      <c r="N7" s="832"/>
      <c r="O7" s="256">
        <v>2</v>
      </c>
      <c r="P7" s="372" t="str">
        <f t="shared" si="0"/>
        <v>Kaizen</v>
      </c>
      <c r="Q7" s="378">
        <f t="shared" ref="Q7:Q25" si="6">IFERROR(LARGE($I$55:$I$106,O7)," ")</f>
        <v>296000</v>
      </c>
      <c r="R7" s="710">
        <f t="shared" si="1"/>
        <v>0</v>
      </c>
      <c r="S7" s="500">
        <f t="shared" si="2"/>
        <v>46296</v>
      </c>
      <c r="T7" s="509" cm="1">
        <f t="array" aca="1" ref="T7" ca="1">SUMPRODUCT(($C$55:$C$106=U7)*(U$54:$AI$54&lt;=TODAY())*(ISNUMBER(U$55:$AI$106)),U$55:$AI$106)</f>
        <v>0</v>
      </c>
      <c r="U7" s="483" t="str">
        <f t="shared" si="3"/>
        <v>27-Redução no tempo de setup na Linha Schuler.</v>
      </c>
      <c r="V7" s="484"/>
      <c r="W7" s="484"/>
      <c r="X7" s="484"/>
      <c r="Y7" s="485"/>
      <c r="Z7" s="358">
        <f t="shared" si="4"/>
        <v>0.13270443981981425</v>
      </c>
      <c r="AA7" s="255">
        <f t="shared" ref="AA7:AA14" si="7">Z7+AA6</f>
        <v>0.46164175925379203</v>
      </c>
      <c r="AB7" s="636" cm="1">
        <f t="array" ref="AB7">IFERROR(INDEX($T$55:$T$106,MATCH(1,($AP$55:$AP$106=U7)*($S$55:$S$106="Previsto"), 0) ), "")</f>
        <v>0.4236111111111111</v>
      </c>
      <c r="AC7" s="636" cm="1">
        <f t="array" ref="AC7">IFERROR(INDEX($T$55:$T$106,MATCH(1,($AP$55:$AP$106=U7)*($S$55:$S$106="Real"), 0) ), "")</f>
        <v>0.6</v>
      </c>
      <c r="AD7" s="374" t="str">
        <f t="shared" si="5"/>
        <v>ADIANTADO</v>
      </c>
      <c r="AE7" s="358">
        <v>0</v>
      </c>
      <c r="AH7" s="47"/>
      <c r="AI7" s="47"/>
      <c r="AJ7" s="47"/>
      <c r="AK7" s="47"/>
      <c r="AL7" s="47"/>
      <c r="AM7" s="47"/>
    </row>
    <row r="8" spans="1:39" ht="20.100000000000001" customHeight="1" x14ac:dyDescent="0.35">
      <c r="A8" s="48" t="s">
        <v>57</v>
      </c>
      <c r="B8" s="884">
        <f>COUNTIF($A$55:$A$107,A8)</f>
        <v>0</v>
      </c>
      <c r="C8" s="914">
        <v>11</v>
      </c>
      <c r="D8" s="914">
        <f>SUMIF($A$55:$A$96,A8,$N$55:$N$96)</f>
        <v>0</v>
      </c>
      <c r="E8" s="915">
        <f>SUMIFS($AK$55:$AK$96,$S$55:$S$96,"Previsto",$AS$55:$AS$96,A8)</f>
        <v>0</v>
      </c>
      <c r="F8" s="464" t="s">
        <v>81</v>
      </c>
      <c r="G8" s="465">
        <f>COUNTIF($O$55:$O$106,F8)</f>
        <v>11</v>
      </c>
      <c r="H8" s="538">
        <f>SUMIF($O$55:$O$106,F8,$I$55:$I$106)</f>
        <v>1422892.7699999998</v>
      </c>
      <c r="I8" s="909"/>
      <c r="J8" s="2287"/>
      <c r="K8" s="2288"/>
      <c r="L8" s="2264"/>
      <c r="M8" s="47"/>
      <c r="N8" s="832"/>
      <c r="O8" s="229">
        <v>3</v>
      </c>
      <c r="P8" s="371" t="str">
        <f t="shared" si="0"/>
        <v>Kaizen</v>
      </c>
      <c r="Q8" s="377">
        <f t="shared" si="6"/>
        <v>255939.20000000001</v>
      </c>
      <c r="R8" s="709">
        <f t="shared" si="1"/>
        <v>0</v>
      </c>
      <c r="S8" s="499">
        <f t="shared" si="2"/>
        <v>46296</v>
      </c>
      <c r="T8" s="508" cm="1">
        <f t="array" aca="1" ref="T8" ca="1">SUMPRODUCT(($C$55:$C$106=U8)*(U$54:$AI$54&lt;=TODAY())*(ISNUMBER(U$55:$AI$106)),U$55:$AI$106)</f>
        <v>0</v>
      </c>
      <c r="U8" s="486" t="str">
        <f t="shared" si="3"/>
        <v>26-Aumento de produtividade na LINHA SCHULER</v>
      </c>
      <c r="V8" s="487"/>
      <c r="W8" s="487"/>
      <c r="X8" s="487"/>
      <c r="Y8" s="488"/>
      <c r="Z8" s="353">
        <f t="shared" si="4"/>
        <v>0.11474414920247097</v>
      </c>
      <c r="AA8" s="236">
        <f t="shared" si="7"/>
        <v>0.57638590845626303</v>
      </c>
      <c r="AB8" s="635" cm="1">
        <f t="array" ref="AB8">IFERROR(INDEX($T$55:$T$106,MATCH(1,($AP$55:$AP$106=U8)*($S$55:$S$106="Previsto"), 0) ), "")</f>
        <v>0.76393442622950825</v>
      </c>
      <c r="AC8" s="635" cm="1">
        <f t="array" ref="AC8">IFERROR(INDEX($T$55:$T$106,MATCH(1,($AP$55:$AP$106=U8)*($S$55:$S$106="Real"), 0) ), "")</f>
        <v>0.78</v>
      </c>
      <c r="AD8" s="373" t="str">
        <f t="shared" si="5"/>
        <v>ADIANTADO</v>
      </c>
      <c r="AE8" s="353">
        <v>0</v>
      </c>
      <c r="AH8" s="47"/>
      <c r="AI8" s="47"/>
      <c r="AJ8" s="47"/>
      <c r="AK8" s="47"/>
      <c r="AL8" s="47"/>
      <c r="AM8" s="47"/>
    </row>
    <row r="9" spans="1:39" ht="20.100000000000001" customHeight="1" x14ac:dyDescent="0.35">
      <c r="A9" s="48" t="s">
        <v>59</v>
      </c>
      <c r="B9" s="884">
        <f t="shared" ref="B9:B14" si="8">COUNTIF($A$55:$A$96,A9)</f>
        <v>1</v>
      </c>
      <c r="C9" s="914">
        <f>SUMIF($A$55:$A$126,A9,$I$55:$I$126)</f>
        <v>218726.78</v>
      </c>
      <c r="D9" s="914">
        <f>SUMIF($A$55:$A$126,A9,$N$55:$N$126)</f>
        <v>218726.78</v>
      </c>
      <c r="E9" s="915">
        <f>SUMIFS($AK$55:$AK$96,$S$55:$S$96,"Real",$AS$55:$AS$96,A9)</f>
        <v>186458.31</v>
      </c>
      <c r="F9" s="466" t="s">
        <v>83</v>
      </c>
      <c r="G9" s="467">
        <f>COUNTIF($O$55:$O$106,F9)</f>
        <v>7</v>
      </c>
      <c r="H9" s="539">
        <f>SUMIF($O$55:$O$106,F9,$I$55:$I$106)</f>
        <v>807627.93</v>
      </c>
      <c r="I9" s="2138">
        <f>E137</f>
        <v>1</v>
      </c>
      <c r="J9" s="2138">
        <f>F137</f>
        <v>0.95833333333333337</v>
      </c>
      <c r="K9" s="2142">
        <f>L130</f>
        <v>0.10256410153846154</v>
      </c>
      <c r="L9" s="2264"/>
      <c r="M9" s="47"/>
      <c r="N9" s="832"/>
      <c r="O9" s="256">
        <v>4</v>
      </c>
      <c r="P9" s="372" t="str">
        <f t="shared" si="0"/>
        <v>Kaizen - Ganho Recorrente</v>
      </c>
      <c r="Q9" s="378">
        <f t="shared" si="6"/>
        <v>218726.78</v>
      </c>
      <c r="R9" s="710">
        <f t="shared" si="1"/>
        <v>218726.78</v>
      </c>
      <c r="S9" s="500">
        <f t="shared" si="2"/>
        <v>46054</v>
      </c>
      <c r="T9" s="509" cm="1">
        <f t="array" aca="1" ref="T9" ca="1">SUMPRODUCT(($C$55:$C$106=U9)*(U$54:$AI$54&lt;=TODAY())*(ISNUMBER(U$55:$AI$106)),U$55:$AI$106)</f>
        <v>139189.7690909091</v>
      </c>
      <c r="U9" s="483" t="str">
        <f t="shared" si="3"/>
        <v>01 - Redução de Refugo</v>
      </c>
      <c r="V9" s="484"/>
      <c r="W9" s="484"/>
      <c r="X9" s="484"/>
      <c r="Y9" s="485"/>
      <c r="Z9" s="358">
        <f t="shared" si="4"/>
        <v>9.8060860856391055E-2</v>
      </c>
      <c r="AA9" s="255">
        <f t="shared" si="7"/>
        <v>0.67444676931265413</v>
      </c>
      <c r="AB9" s="636" cm="1">
        <f t="array" ref="AB9">IFERROR(INDEX($T$55:$T$106,MATCH(1,($AP$55:$AP$106=U9)*($S$55:$S$106="Previsto"), 0) ), "")</f>
        <v>1</v>
      </c>
      <c r="AC9" s="636" cm="1">
        <f t="array" ref="AC9">IFERROR(INDEX($T$55:$T$106,MATCH(1,($AP$55:$AP$106=U9)*($S$55:$S$106="Real"), 0) ), "")</f>
        <v>1</v>
      </c>
      <c r="AD9" s="374" t="str">
        <f t="shared" si="5"/>
        <v>CONCLUÍDO</v>
      </c>
      <c r="AE9" s="358">
        <v>1</v>
      </c>
      <c r="AI9" s="47"/>
      <c r="AJ9" s="47"/>
      <c r="AK9" s="47"/>
      <c r="AL9" s="47"/>
      <c r="AM9" s="47"/>
    </row>
    <row r="10" spans="1:39" ht="20.100000000000001" customHeight="1" x14ac:dyDescent="0.35">
      <c r="A10" s="48" t="s">
        <v>61</v>
      </c>
      <c r="B10" s="884">
        <f t="shared" si="8"/>
        <v>1</v>
      </c>
      <c r="C10" s="914">
        <f>SUMIF($A$55:$A$126,A10,$I$55:$I$126)</f>
        <v>120860.88</v>
      </c>
      <c r="D10" s="914">
        <f>SUMIF($A$55:$A$126,A10,$N$55:$N$126)</f>
        <v>0</v>
      </c>
      <c r="E10" s="915">
        <f>SUMIFS($AK$55:$AK$96,$S$55:$S$96,"Previsto",$AS$55:$AS$96,A10)</f>
        <v>120860.87999999999</v>
      </c>
      <c r="F10" s="468" t="s">
        <v>85</v>
      </c>
      <c r="G10" s="469">
        <f>COUNTIF($O$55:$O$106,F10)</f>
        <v>0</v>
      </c>
      <c r="H10" s="540">
        <f>SUMIF($O$55:$O$106,F10,$I$55:$I$106)</f>
        <v>0</v>
      </c>
      <c r="I10" s="2290"/>
      <c r="J10" s="2290"/>
      <c r="K10" s="2291"/>
      <c r="L10" s="2265"/>
      <c r="M10" s="47"/>
      <c r="N10" s="984"/>
      <c r="O10" s="910">
        <v>5</v>
      </c>
      <c r="P10" s="371" t="str">
        <f t="shared" si="0"/>
        <v>Kaizen - Custo Evitado</v>
      </c>
      <c r="Q10" s="377">
        <f t="shared" si="6"/>
        <v>120860.88</v>
      </c>
      <c r="R10" s="709">
        <f t="shared" si="1"/>
        <v>0</v>
      </c>
      <c r="S10" s="499">
        <f t="shared" si="2"/>
        <v>46237</v>
      </c>
      <c r="T10" s="508" cm="1">
        <f t="array" aca="1" ref="T10" ca="1">SUMPRODUCT(($C$55:$C$106=U10)*(U$54:$AI$54&lt;=TODAY())*(ISNUMBER(U$55:$AI$106)),U$55:$AI$106)</f>
        <v>24172.175999999999</v>
      </c>
      <c r="U10" s="486" t="str">
        <f t="shared" si="3"/>
        <v>14- Redução de gastos com energia elétrica.</v>
      </c>
      <c r="V10" s="487"/>
      <c r="W10" s="487"/>
      <c r="X10" s="487"/>
      <c r="Y10" s="488"/>
      <c r="Z10" s="353">
        <f t="shared" si="4"/>
        <v>5.4185051947735791E-2</v>
      </c>
      <c r="AA10" s="236">
        <f t="shared" si="7"/>
        <v>0.72863182126038994</v>
      </c>
      <c r="AB10" s="635" cm="1">
        <f t="array" ref="AB10">IFERROR(INDEX($T$55:$T$106,MATCH(1,($AP$55:$AP$106=U10)*($S$55:$S$106="Previsto"), 0) ), "")</f>
        <v>0.94399999999999995</v>
      </c>
      <c r="AC10" s="635" cm="1">
        <f t="array" ref="AC10">IFERROR(INDEX($T$55:$T$106,MATCH(1,($AP$55:$AP$106=U10)*($S$55:$S$106="Real"), 0) ), "")</f>
        <v>0.95000000000000007</v>
      </c>
      <c r="AD10" s="373" t="str">
        <f t="shared" si="5"/>
        <v>ADIANTADO</v>
      </c>
      <c r="AE10" s="353">
        <v>1</v>
      </c>
      <c r="AH10" s="47"/>
      <c r="AI10" s="47"/>
      <c r="AJ10" s="47"/>
      <c r="AK10" s="47"/>
      <c r="AL10" s="47"/>
      <c r="AM10" s="47"/>
    </row>
    <row r="11" spans="1:39" ht="20.100000000000001" customHeight="1" x14ac:dyDescent="0.35">
      <c r="A11" s="459" t="s">
        <v>925</v>
      </c>
      <c r="B11" s="884">
        <f t="shared" si="8"/>
        <v>8</v>
      </c>
      <c r="C11" s="916">
        <f>SUMIF($A$55:$A$106,LEFT(A11,6)&amp;"*",$I$55:$I$106)</f>
        <v>1830374.23</v>
      </c>
      <c r="D11" s="916">
        <f>SUMIF($A$55:$A$106,LEFT(A11,6)&amp;"*",$N$55:$N$106)</f>
        <v>2082433.44</v>
      </c>
      <c r="E11" s="915">
        <f>SUMIFS($AK$55:$AK$96,$S$55:$S$96,"Real",$AS$55:$AS$96,A11)</f>
        <v>970520.53999999992</v>
      </c>
      <c r="F11" s="47"/>
      <c r="G11" s="47"/>
      <c r="M11" s="912"/>
      <c r="N11" s="985"/>
      <c r="O11" s="911">
        <v>6</v>
      </c>
      <c r="P11" s="372" t="str">
        <f t="shared" si="0"/>
        <v>Redução de custo</v>
      </c>
      <c r="Q11" s="378">
        <f t="shared" si="6"/>
        <v>110000</v>
      </c>
      <c r="R11" s="710">
        <f t="shared" si="1"/>
        <v>0</v>
      </c>
      <c r="S11" s="500">
        <f t="shared" si="2"/>
        <v>46300</v>
      </c>
      <c r="T11" s="509" cm="1">
        <f t="array" aca="1" ref="T11" ca="1">SUMPRODUCT(($C$55:$C$106=U11)*(U$54:$AI$54&lt;=TODAY())*(ISNUMBER(U$55:$AI$106)),U$55:$AI$106)</f>
        <v>0</v>
      </c>
      <c r="U11" s="483" t="str">
        <f t="shared" si="3"/>
        <v>06- Troca do fornecedor de tubo do Capo CNH CN-13</v>
      </c>
      <c r="V11" s="484"/>
      <c r="W11" s="484"/>
      <c r="X11" s="484"/>
      <c r="Y11" s="485"/>
      <c r="Z11" s="358">
        <f t="shared" si="4"/>
        <v>4.9315839122228269E-2</v>
      </c>
      <c r="AA11" s="255">
        <f t="shared" si="7"/>
        <v>0.7779476603826182</v>
      </c>
      <c r="AB11" s="636" cm="1">
        <f t="array" ref="AB11">IFERROR(INDEX($T$55:$T$106,MATCH(1,($AP$55:$AP$106=U11)*($S$55:$S$106="Previsto"), 0) ), "")</f>
        <v>0.26899696048632216</v>
      </c>
      <c r="AC11" s="636" cm="1">
        <f t="array" ref="AC11">IFERROR(INDEX($T$55:$T$106,MATCH(1,($AP$55:$AP$106=U11)*($S$55:$S$106="Real"), 0) ), "")</f>
        <v>0.27857142857142858</v>
      </c>
      <c r="AD11" s="374" t="str">
        <f t="shared" si="5"/>
        <v>ADIANTADO</v>
      </c>
      <c r="AE11" s="358">
        <v>1</v>
      </c>
      <c r="AH11" s="47"/>
      <c r="AI11" s="47"/>
      <c r="AJ11" s="47"/>
      <c r="AK11" s="47"/>
      <c r="AL11" s="47"/>
      <c r="AM11" s="47"/>
    </row>
    <row r="12" spans="1:39" ht="20.100000000000001" customHeight="1" x14ac:dyDescent="0.35">
      <c r="A12" s="459" t="s">
        <v>89</v>
      </c>
      <c r="B12" s="884">
        <f t="shared" si="8"/>
        <v>3</v>
      </c>
      <c r="C12" s="916">
        <f>SUMIF($A$55:$A$106,A12,$I$55:$I$106)</f>
        <v>134975</v>
      </c>
      <c r="D12" s="916">
        <f>SUMIF($A$55:$A$106,A12,$N$55:$N$106)</f>
        <v>6312.56</v>
      </c>
      <c r="E12" s="915">
        <f>SUMIFS($AK$55:$AK$96,$S$55:$S$96,"Real",$AS$55:$AS$96,A12)</f>
        <v>1721.8300000000002</v>
      </c>
      <c r="F12" s="47"/>
      <c r="G12" s="47"/>
      <c r="H12" s="47"/>
      <c r="I12" s="47"/>
      <c r="J12" s="47"/>
      <c r="K12" s="47"/>
      <c r="L12" s="47"/>
      <c r="M12" s="47"/>
      <c r="N12" s="984"/>
      <c r="O12" s="910">
        <v>7</v>
      </c>
      <c r="P12" s="371" t="str">
        <f t="shared" si="0"/>
        <v>BSW</v>
      </c>
      <c r="Q12" s="377">
        <f t="shared" si="6"/>
        <v>92802.55</v>
      </c>
      <c r="R12" s="709">
        <f t="shared" si="1"/>
        <v>69662.34</v>
      </c>
      <c r="S12" s="499">
        <f t="shared" si="2"/>
        <v>46266</v>
      </c>
      <c r="T12" s="508" cm="1">
        <f t="array" aca="1" ref="T12" ca="1">SUMPRODUCT(($C$55:$C$106=U12)*(U$54:$AI$54&lt;=TODAY())*(ISNUMBER(U$55:$AI$106)),U$55:$AI$106)</f>
        <v>0</v>
      </c>
      <c r="U12" s="486" t="str">
        <f t="shared" si="3"/>
        <v>04 -  REDUÇÃO DE PESO BRUTO DD000502/503Z</v>
      </c>
      <c r="V12" s="487"/>
      <c r="W12" s="487"/>
      <c r="X12" s="487"/>
      <c r="Y12" s="488"/>
      <c r="Z12" s="353">
        <f t="shared" si="4"/>
        <v>4.1605778417568594E-2</v>
      </c>
      <c r="AA12" s="236">
        <f t="shared" si="7"/>
        <v>0.81955343880018683</v>
      </c>
      <c r="AB12" s="635" cm="1">
        <f t="array" ref="AB12">IFERROR(INDEX($T$55:$T$106,MATCH(1,($AP$55:$AP$106=U12)*($S$55:$S$106="Previsto"), 0) ), "")</f>
        <v>1</v>
      </c>
      <c r="AC12" s="635" cm="1">
        <f t="array" ref="AC12">IFERROR(INDEX($T$55:$T$106,MATCH(1,($AP$55:$AP$106=U12)*($S$55:$S$106="Real"), 0) ), "")</f>
        <v>1</v>
      </c>
      <c r="AD12" s="373" t="str">
        <f t="shared" si="5"/>
        <v>CONCLUÍDO</v>
      </c>
      <c r="AE12" s="353">
        <v>1</v>
      </c>
      <c r="AH12" s="47"/>
      <c r="AI12" s="47"/>
      <c r="AJ12" s="47"/>
      <c r="AK12" s="47"/>
      <c r="AL12" s="47"/>
      <c r="AM12" s="47"/>
    </row>
    <row r="13" spans="1:39" ht="20.100000000000001" customHeight="1" x14ac:dyDescent="0.35">
      <c r="A13" s="459" t="s">
        <v>90</v>
      </c>
      <c r="B13" s="884">
        <f t="shared" si="8"/>
        <v>0</v>
      </c>
      <c r="C13" s="916">
        <f>SUMIF($A$55:$A$106,A13,$I$55:$I$106)</f>
        <v>0</v>
      </c>
      <c r="D13" s="916">
        <f>SUMIF($A$55:$A$106,A13,$N$55:$N$106)</f>
        <v>0</v>
      </c>
      <c r="E13" s="915">
        <f>SUMIFS($AK$55:$AK$96,$S$55:$S$96,"Real",$AS$55:$AS$96,A13)</f>
        <v>0</v>
      </c>
      <c r="G13" s="611"/>
      <c r="I13" s="47"/>
      <c r="J13" s="47"/>
      <c r="K13" s="47"/>
      <c r="L13" s="168"/>
      <c r="M13" s="752"/>
      <c r="N13" s="986"/>
      <c r="O13" s="256">
        <v>8</v>
      </c>
      <c r="P13" s="372" t="str">
        <f t="shared" si="0"/>
        <v>Kaizen</v>
      </c>
      <c r="Q13" s="378">
        <f t="shared" si="6"/>
        <v>82981.320000000007</v>
      </c>
      <c r="R13" s="710">
        <f t="shared" si="1"/>
        <v>55320.88</v>
      </c>
      <c r="S13" s="500">
        <f t="shared" si="2"/>
        <v>46113</v>
      </c>
      <c r="T13" s="509" cm="1">
        <f t="array" aca="1" ref="T13" ca="1">SUMPRODUCT(($C$55:$C$106=U13)*(U$54:$AI$54&lt;=TODAY())*(ISNUMBER(U$55:$AI$106)),U$55:$AI$106)</f>
        <v>30733.822222222221</v>
      </c>
      <c r="U13" s="483" t="str">
        <f t="shared" si="3"/>
        <v>13- Redução do custo mensal de empilhadeira locada (LOCAPEX).</v>
      </c>
      <c r="V13" s="484"/>
      <c r="W13" s="484"/>
      <c r="X13" s="484"/>
      <c r="Y13" s="485"/>
      <c r="Z13" s="358">
        <f t="shared" si="4"/>
        <v>3.7202667520637667E-2</v>
      </c>
      <c r="AA13" s="255">
        <f t="shared" si="7"/>
        <v>0.85675610632082444</v>
      </c>
      <c r="AB13" s="636" cm="1">
        <f t="array" ref="AB13">IFERROR(INDEX($T$55:$T$106,MATCH(1,($AP$55:$AP$106=U13)*($S$55:$S$106="Previsto"), 0) ), "")</f>
        <v>1</v>
      </c>
      <c r="AC13" s="636" cm="1">
        <f t="array" ref="AC13">IFERROR(INDEX($T$55:$T$106,MATCH(1,($AP$55:$AP$106=U13)*($S$55:$S$106="Real"), 0) ), "")</f>
        <v>1</v>
      </c>
      <c r="AD13" s="374" t="str">
        <f t="shared" si="5"/>
        <v>CONCLUÍDO</v>
      </c>
      <c r="AE13" s="358">
        <v>1</v>
      </c>
      <c r="AH13" s="47"/>
      <c r="AI13" s="47"/>
      <c r="AJ13" s="47"/>
      <c r="AK13" s="47"/>
      <c r="AL13" s="47"/>
      <c r="AM13" s="47"/>
    </row>
    <row r="14" spans="1:39" ht="20.100000000000001" customHeight="1" x14ac:dyDescent="0.35">
      <c r="A14" s="459" t="s">
        <v>91</v>
      </c>
      <c r="B14" s="884">
        <f t="shared" si="8"/>
        <v>5</v>
      </c>
      <c r="C14" s="916">
        <f>SUMIF($A$55:$A$106,A14,$I$55:$I$106)</f>
        <v>265171.47000000003</v>
      </c>
      <c r="D14" s="916">
        <f>SUMIF($A$55:$A$106,A14,$N$55:$N$106)</f>
        <v>107667.4</v>
      </c>
      <c r="E14" s="915">
        <f>SUMIFS($AK$55:$AK$96,$S$55:$S$96,"Real",$AS$55:$AS$96,A14)</f>
        <v>0</v>
      </c>
      <c r="F14" s="47"/>
      <c r="G14" s="47"/>
      <c r="H14" s="47"/>
      <c r="I14" s="47"/>
      <c r="J14" s="47"/>
      <c r="K14" s="47"/>
      <c r="L14" s="47"/>
      <c r="M14" s="47"/>
      <c r="N14" s="832"/>
      <c r="O14" s="229">
        <v>9</v>
      </c>
      <c r="P14" s="371" t="str">
        <f t="shared" si="0"/>
        <v>BSW</v>
      </c>
      <c r="Q14" s="377">
        <f t="shared" si="6"/>
        <v>48730.19</v>
      </c>
      <c r="R14" s="709">
        <f t="shared" si="1"/>
        <v>38005.06</v>
      </c>
      <c r="S14" s="499">
        <f t="shared" si="2"/>
        <v>46239</v>
      </c>
      <c r="T14" s="508" cm="1">
        <f t="array" aca="1" ref="T14" ca="1">SUMPRODUCT(($C$55:$C$106=U14)*(U$54:$AI$54&lt;=TODAY())*(ISNUMBER(U$55:$AI$106)),U$55:$AI$106)</f>
        <v>7601.0119999999997</v>
      </c>
      <c r="U14" s="486" t="str">
        <f t="shared" si="3"/>
        <v xml:space="preserve">10 -  REDUÇÃO DE PESO BRUTO DD000504/505Z
</v>
      </c>
      <c r="V14" s="487"/>
      <c r="W14" s="487"/>
      <c r="X14" s="487"/>
      <c r="Y14" s="488"/>
      <c r="Z14" s="353">
        <f t="shared" si="4"/>
        <v>2.1847001913051063E-2</v>
      </c>
      <c r="AA14" s="236">
        <f t="shared" si="7"/>
        <v>0.87860310823387555</v>
      </c>
      <c r="AB14" s="635" cm="1">
        <f t="array" ref="AB14">IFERROR(INDEX($T$55:$T$106,MATCH(1,($AP$55:$AP$106=U14)*($S$55:$S$106="Previsto"), 0) ), "")</f>
        <v>1</v>
      </c>
      <c r="AC14" s="635" cm="1">
        <f t="array" ref="AC14">IFERROR(INDEX($T$55:$T$106,MATCH(1,($AP$55:$AP$106=U14)*($S$55:$S$106="Real"), 0) ), "")</f>
        <v>1</v>
      </c>
      <c r="AD14" s="373" t="str">
        <f t="shared" ref="AD14:AD20" si="9">IF(OR(AB14="",AC14=""),"",IF(AC14=100%,"CONCLUÍDO",IF(AC14=0,IF(AB14=0,"PROJETO NÃO INICIADO","FALTA DE ACOMPANHAMENTO"),IF(AC14&gt;AB14,"ADIANTADO",IF(AC14=AB14,"CONFORME PLANEJADO","ATRASO")))))</f>
        <v>CONCLUÍDO</v>
      </c>
      <c r="AE14" s="353">
        <v>1</v>
      </c>
      <c r="AG14" s="47"/>
      <c r="AH14" s="47"/>
      <c r="AI14" s="47"/>
      <c r="AJ14" s="47"/>
      <c r="AK14" s="47"/>
      <c r="AL14" s="47"/>
    </row>
    <row r="15" spans="1:39" ht="20.100000000000001" customHeight="1" x14ac:dyDescent="0.35">
      <c r="A15" s="460" t="s">
        <v>29</v>
      </c>
      <c r="B15" s="461">
        <f>SUM(B8:B14)</f>
        <v>18</v>
      </c>
      <c r="C15" s="462">
        <f>SUM(C8:C14)</f>
        <v>2570119.3600000003</v>
      </c>
      <c r="D15" s="462">
        <f>SUM(D8:D14)</f>
        <v>2415140.1799999997</v>
      </c>
      <c r="E15" s="462">
        <f>SUM(E8:E14)</f>
        <v>1279561.56</v>
      </c>
      <c r="F15" s="47" t="s">
        <v>95</v>
      </c>
      <c r="G15" s="832">
        <f>SUMIF($B$55:$B$98,F15,$N$55:$N$98)</f>
        <v>107667.4</v>
      </c>
      <c r="H15" s="47"/>
      <c r="I15" s="47"/>
      <c r="J15" s="47"/>
      <c r="K15" s="47"/>
      <c r="L15" s="47"/>
      <c r="M15" s="47"/>
      <c r="N15" s="832"/>
      <c r="O15" s="256">
        <v>10</v>
      </c>
      <c r="P15" s="372" t="str">
        <f t="shared" si="0"/>
        <v>BSW</v>
      </c>
      <c r="Q15" s="378">
        <f t="shared" si="6"/>
        <v>46282.32</v>
      </c>
      <c r="R15" s="710">
        <f t="shared" si="1"/>
        <v>0</v>
      </c>
      <c r="S15" s="500">
        <f t="shared" si="2"/>
        <v>46327</v>
      </c>
      <c r="T15" s="509" cm="1">
        <f t="array" aca="1" ref="T15" ca="1">SUMPRODUCT(($C$55:$C$106=U15)*(U$54:$AI$54&lt;=TODAY())*(ISNUMBER(U$55:$AI$106)),U$55:$AI$106)</f>
        <v>0</v>
      </c>
      <c r="U15" s="483" t="str">
        <f t="shared" si="3"/>
        <v xml:space="preserve">15-  REDUÇÃO DE PESO BRUTO DD000507z
</v>
      </c>
      <c r="V15" s="484"/>
      <c r="W15" s="484"/>
      <c r="X15" s="484"/>
      <c r="Y15" s="485"/>
      <c r="Z15" s="358">
        <f t="shared" si="4"/>
        <v>2.0749558612031708E-2</v>
      </c>
      <c r="AA15" s="255">
        <f t="shared" ref="AA15:AA17" si="10">Z15+AA14</f>
        <v>0.89935266684590731</v>
      </c>
      <c r="AB15" s="636" cm="1">
        <f t="array" ref="AB15">IFERROR(INDEX($T$55:$T$106,MATCH(1,($AP$55:$AP$106=U15)*($S$55:$S$106="Previsto"), 0) ), "")</f>
        <v>0.57529411764705884</v>
      </c>
      <c r="AC15" s="636" cm="1">
        <f t="array" ref="AC15">IFERROR(INDEX($T$55:$T$106,MATCH(1,($AP$55:$AP$106=U15)*($S$55:$S$106="Real"), 0) ), "")</f>
        <v>0.72499999999999998</v>
      </c>
      <c r="AD15" s="374" t="str">
        <f t="shared" si="9"/>
        <v>ADIANTADO</v>
      </c>
      <c r="AE15" s="358">
        <v>0</v>
      </c>
      <c r="AG15" s="47"/>
      <c r="AH15" s="47"/>
      <c r="AI15" s="47"/>
      <c r="AJ15" s="47"/>
      <c r="AK15" s="47"/>
      <c r="AL15" s="47"/>
    </row>
    <row r="16" spans="1:39" ht="20.100000000000001" customHeight="1" x14ac:dyDescent="0.3">
      <c r="A16" s="47"/>
      <c r="B16" s="47"/>
      <c r="C16" s="47"/>
      <c r="D16" s="47"/>
      <c r="E16" s="47"/>
      <c r="F16" s="47" t="s">
        <v>97</v>
      </c>
      <c r="G16" s="832">
        <f>SUMIF($B$55:$B$98,F16,$N$55:$N$98)</f>
        <v>2088746</v>
      </c>
      <c r="H16" s="47"/>
      <c r="I16" s="47"/>
      <c r="J16" s="47"/>
      <c r="K16" s="47"/>
      <c r="L16" s="47"/>
      <c r="M16" s="47"/>
      <c r="N16" s="832"/>
      <c r="O16" s="229">
        <v>11</v>
      </c>
      <c r="P16" s="371" t="str">
        <f t="shared" si="0"/>
        <v>Kaizen</v>
      </c>
      <c r="Q16" s="377">
        <f t="shared" si="6"/>
        <v>40500</v>
      </c>
      <c r="R16" s="709">
        <f t="shared" si="1"/>
        <v>61023.6</v>
      </c>
      <c r="S16" s="499">
        <f t="shared" si="2"/>
        <v>46113</v>
      </c>
      <c r="T16" s="508" cm="1">
        <f t="array" aca="1" ref="T16" ca="1">SUMPRODUCT(($C$55:$C$106=U16)*(U$54:$AI$54&lt;=TODAY())*(ISNUMBER(U$55:$AI$106)),U$55:$AI$106)</f>
        <v>33902</v>
      </c>
      <c r="U16" s="486" t="str">
        <f t="shared" si="3"/>
        <v>05 - Acabamento capo CN13</v>
      </c>
      <c r="V16" s="487"/>
      <c r="W16" s="487"/>
      <c r="X16" s="487"/>
      <c r="Y16" s="488"/>
      <c r="Z16" s="353">
        <f t="shared" si="4"/>
        <v>1.8157195313184046E-2</v>
      </c>
      <c r="AA16" s="236">
        <f>Z15+AA15</f>
        <v>0.92010222545793907</v>
      </c>
      <c r="AB16" s="635" cm="1">
        <f t="array" ref="AB16">IFERROR(INDEX($T$55:$T$106,MATCH(1,($AP$55:$AP$106=U16)*($S$55:$S$106="Previsto"), 0) ), "")</f>
        <v>1</v>
      </c>
      <c r="AC16" s="635" cm="1">
        <f t="array" ref="AC16">IFERROR(INDEX($T$55:$T$106,MATCH(1,($AP$55:$AP$106=U16)*($S$55:$S$106="Real"), 0) ), "")</f>
        <v>1</v>
      </c>
      <c r="AD16" s="373" t="str">
        <f>IF(OR(AB16="",AC16=""),"",IF(AC16=100%,"CONCLUÍDO",IF(AC16=0,IF(AB16=0,"PROJETO NÃO INICIADO","FALTA DE ACOMPANHAMENTO"),IF(AC16&gt;AB16,"ADIANTADO",IF(AC16=AB16,"CONFORME PLANEJADO","ATRASO")))))</f>
        <v>CONCLUÍDO</v>
      </c>
      <c r="AE16" s="353">
        <v>1</v>
      </c>
      <c r="AG16" s="47"/>
      <c r="AH16" s="47"/>
      <c r="AI16" s="47"/>
      <c r="AJ16" s="47"/>
      <c r="AK16" s="47"/>
      <c r="AL16" s="47"/>
    </row>
    <row r="17" spans="1:38" ht="20.100000000000001" customHeight="1" x14ac:dyDescent="0.3">
      <c r="A17" s="47"/>
      <c r="B17" s="47"/>
      <c r="C17" s="47"/>
      <c r="D17" s="47"/>
      <c r="E17" s="47"/>
      <c r="F17" s="47" t="s">
        <v>99</v>
      </c>
      <c r="G17" s="832">
        <f>SUMIF($B$55:$B$98,F17,$N$55:$N$98)</f>
        <v>0</v>
      </c>
      <c r="H17" s="47"/>
      <c r="I17" s="47"/>
      <c r="J17" s="47"/>
      <c r="K17" s="47"/>
      <c r="L17" s="47"/>
      <c r="M17" s="47"/>
      <c r="N17" s="832"/>
      <c r="O17" s="256">
        <v>12</v>
      </c>
      <c r="P17" s="372" t="str">
        <f t="shared" si="0"/>
        <v>BSW</v>
      </c>
      <c r="Q17" s="378">
        <f t="shared" si="6"/>
        <v>40000</v>
      </c>
      <c r="R17" s="710">
        <f t="shared" si="1"/>
        <v>0</v>
      </c>
      <c r="S17" s="500">
        <f t="shared" si="2"/>
        <v>46327</v>
      </c>
      <c r="T17" s="509" cm="1">
        <f t="array" aca="1" ref="T17" ca="1">SUMPRODUCT(($C$55:$C$106=U17)*(U$54:$AI$54&lt;=TODAY())*(ISNUMBER(U$55:$AI$106)),U$55:$AI$106)</f>
        <v>0</v>
      </c>
      <c r="U17" s="483" t="str">
        <f t="shared" si="3"/>
        <v>03- Comunização de Materiais</v>
      </c>
      <c r="V17" s="484"/>
      <c r="W17" s="484"/>
      <c r="X17" s="484"/>
      <c r="Y17" s="485"/>
      <c r="Z17" s="358">
        <f t="shared" si="4"/>
        <v>1.7933032408083006E-2</v>
      </c>
      <c r="AA17" s="255">
        <f t="shared" si="10"/>
        <v>0.93803525786602204</v>
      </c>
      <c r="AB17" s="636" cm="1">
        <f t="array" ref="AB17">IFERROR(INDEX($T$55:$T$106,MATCH(1,($AP$55:$AP$106=U17)*($S$55:$S$106="Previsto"), 0) ), "")</f>
        <v>0.58933333333333338</v>
      </c>
      <c r="AC17" s="636" cm="1">
        <f t="array" ref="AC17">IFERROR(INDEX($T$55:$T$106,MATCH(1,($AP$55:$AP$106=U17)*($S$55:$S$106="Real"), 0) ), "")</f>
        <v>0.7</v>
      </c>
      <c r="AD17" s="374" t="str">
        <f t="shared" si="9"/>
        <v>ADIANTADO</v>
      </c>
      <c r="AE17" s="358">
        <v>1</v>
      </c>
      <c r="AG17" s="47"/>
      <c r="AH17" s="47"/>
      <c r="AI17" s="47"/>
      <c r="AJ17" s="47"/>
      <c r="AK17" s="47"/>
      <c r="AL17" s="47"/>
    </row>
    <row r="18" spans="1:38" ht="20.100000000000001" customHeight="1" x14ac:dyDescent="0.3">
      <c r="A18" s="47"/>
      <c r="B18" s="47"/>
      <c r="C18" s="47"/>
      <c r="D18" s="47"/>
      <c r="E18" s="47"/>
      <c r="F18" s="47" t="s">
        <v>101</v>
      </c>
      <c r="G18" s="832">
        <f>SUMIF($B$55:$B$98,F18,$N$55:$N$98)</f>
        <v>0</v>
      </c>
      <c r="H18" s="47"/>
      <c r="I18" s="47"/>
      <c r="J18" s="47"/>
      <c r="K18" s="47"/>
      <c r="L18" s="47"/>
      <c r="M18" s="47"/>
      <c r="N18" s="832"/>
      <c r="O18" s="229">
        <v>13</v>
      </c>
      <c r="P18" s="371" t="str">
        <f t="shared" si="0"/>
        <v>BSW</v>
      </c>
      <c r="Q18" s="377">
        <f t="shared" si="6"/>
        <v>37356.410000000003</v>
      </c>
      <c r="R18" s="709">
        <f t="shared" si="1"/>
        <v>0</v>
      </c>
      <c r="S18" s="499">
        <f t="shared" si="2"/>
        <v>46331</v>
      </c>
      <c r="T18" s="508" cm="1">
        <f t="array" aca="1" ref="T18" ca="1">SUMPRODUCT(($C$55:$C$106=U18)*(U$54:$AI$54&lt;=TODAY())*(ISNUMBER(U$55:$AI$106)),U$55:$AI$106)</f>
        <v>0</v>
      </c>
      <c r="U18" s="486" t="str">
        <f t="shared" si="3"/>
        <v xml:space="preserve">02 -  REDUÇÃO DE PESO BRUTO DD000506Z
</v>
      </c>
      <c r="V18" s="487"/>
      <c r="W18" s="487"/>
      <c r="X18" s="487"/>
      <c r="Y18" s="488"/>
      <c r="Z18" s="353">
        <f t="shared" si="4"/>
        <v>1.6747842779490905E-2</v>
      </c>
      <c r="AA18" s="236">
        <f>Z18+AA17</f>
        <v>0.95478310064551297</v>
      </c>
      <c r="AB18" s="635" cm="1">
        <f t="array" ref="AB18">IFERROR(INDEX($T$55:$T$106,MATCH(1,($AP$55:$AP$106=U18)*($S$55:$S$106="Previsto"), 0) ), "")</f>
        <v>0.65226337448559668</v>
      </c>
      <c r="AC18" s="635" cm="1">
        <f t="array" ref="AC18">IFERROR(INDEX($T$55:$T$106,MATCH(1,($AP$55:$AP$106=U18)*($S$55:$S$106="Real"), 0) ), "")</f>
        <v>0.82857142857142851</v>
      </c>
      <c r="AD18" s="373" t="str">
        <f t="shared" si="9"/>
        <v>ADIANTADO</v>
      </c>
      <c r="AE18" s="353">
        <v>1</v>
      </c>
      <c r="AG18" s="47"/>
      <c r="AH18" s="47"/>
      <c r="AI18" s="47"/>
      <c r="AJ18" s="47"/>
      <c r="AK18" s="47"/>
      <c r="AL18" s="47"/>
    </row>
    <row r="19" spans="1:38" ht="20.100000000000001" customHeight="1" x14ac:dyDescent="0.3">
      <c r="A19" s="47"/>
      <c r="B19" s="47"/>
      <c r="C19" s="47"/>
      <c r="D19" s="47"/>
      <c r="E19" s="47"/>
      <c r="F19" s="47"/>
      <c r="G19" s="59"/>
      <c r="H19" s="47"/>
      <c r="I19" s="47"/>
      <c r="J19" s="47"/>
      <c r="K19" s="47"/>
      <c r="L19" s="47"/>
      <c r="M19" s="47"/>
      <c r="N19" s="832"/>
      <c r="O19" s="256">
        <v>14</v>
      </c>
      <c r="P19" s="372" t="str">
        <f t="shared" si="0"/>
        <v>Kaizen</v>
      </c>
      <c r="Q19" s="378">
        <f t="shared" si="6"/>
        <v>33214.550000000003</v>
      </c>
      <c r="R19" s="710">
        <f t="shared" si="1"/>
        <v>3044.75</v>
      </c>
      <c r="S19" s="500">
        <f t="shared" si="2"/>
        <v>46266</v>
      </c>
      <c r="T19" s="509" cm="1">
        <f t="array" aca="1" ref="T19" ca="1">SUMPRODUCT(($C$55:$C$106=U19)*(U$54:$AI$54&lt;=TODAY())*(ISNUMBER(U$55:$AI$106)),U$55:$AI$106)</f>
        <v>0</v>
      </c>
      <c r="U19" s="483" t="str">
        <f t="shared" si="3"/>
        <v>22- Eliminar custo com usinagem externa CN 00016/17</v>
      </c>
      <c r="V19" s="484"/>
      <c r="W19" s="484"/>
      <c r="X19" s="484"/>
      <c r="Y19" s="485"/>
      <c r="Z19" s="358">
        <f t="shared" si="4"/>
        <v>1.4890940039247338E-2</v>
      </c>
      <c r="AA19" s="255">
        <f>Z19+AA18</f>
        <v>0.96967404068476026</v>
      </c>
      <c r="AB19" s="636" cm="1">
        <f t="array" ref="AB19">IFERROR(INDEX($T$55:$T$106,MATCH(1,($AP$55:$AP$106=U19)*($S$55:$S$106="Previsto"), 0) ), "")</f>
        <v>0.87301587301587291</v>
      </c>
      <c r="AC19" s="636" cm="1">
        <f t="array" ref="AC19">IFERROR(INDEX($T$55:$T$106,MATCH(1,($AP$55:$AP$106=U19)*($S$55:$S$106="Real"), 0) ), "")</f>
        <v>0.87857142857142867</v>
      </c>
      <c r="AD19" s="374" t="str">
        <f t="shared" si="9"/>
        <v>ADIANTADO</v>
      </c>
      <c r="AE19" s="358">
        <v>0</v>
      </c>
      <c r="AG19" s="47"/>
      <c r="AH19" s="47"/>
      <c r="AI19" s="47"/>
      <c r="AJ19" s="47"/>
      <c r="AK19" s="47"/>
      <c r="AL19" s="47"/>
    </row>
    <row r="20" spans="1:38" ht="20.100000000000001" customHeight="1" x14ac:dyDescent="0.3">
      <c r="A20" s="47"/>
      <c r="B20" s="47"/>
      <c r="C20" s="47"/>
      <c r="D20" s="47"/>
      <c r="E20" s="47"/>
      <c r="F20" s="47"/>
      <c r="G20" s="47"/>
      <c r="H20" s="47"/>
      <c r="I20" s="47"/>
      <c r="J20" s="47"/>
      <c r="K20" s="47"/>
      <c r="L20" s="47"/>
      <c r="M20" s="47"/>
      <c r="N20" s="832"/>
      <c r="O20" s="229">
        <v>15</v>
      </c>
      <c r="P20" s="371" t="str">
        <f t="shared" si="0"/>
        <v>Kaizen</v>
      </c>
      <c r="Q20" s="377">
        <f t="shared" si="6"/>
        <v>26400</v>
      </c>
      <c r="R20" s="709">
        <f t="shared" si="1"/>
        <v>7700</v>
      </c>
      <c r="S20" s="499">
        <f t="shared" si="2"/>
        <v>46145</v>
      </c>
      <c r="T20" s="508" cm="1">
        <f t="array" aca="1" ref="T20" ca="1">SUMPRODUCT(($C$55:$C$106=U20)*(U$54:$AI$54&lt;=TODAY())*(ISNUMBER(U$55:$AI$106)),U$55:$AI$106)</f>
        <v>3850</v>
      </c>
      <c r="U20" s="486" t="str">
        <f t="shared" si="3"/>
        <v>11- REDUZIR A QUANTIDADE DE MÁQUINAS DE SOLDA MIG/MAG LOCADAS</v>
      </c>
      <c r="V20" s="487"/>
      <c r="W20" s="487"/>
      <c r="X20" s="487"/>
      <c r="Y20" s="488"/>
      <c r="Z20" s="353">
        <f t="shared" si="4"/>
        <v>1.1835801389334785E-2</v>
      </c>
      <c r="AA20" s="236">
        <f>Z20+AA19</f>
        <v>0.98150984207409508</v>
      </c>
      <c r="AB20" s="635" cm="1">
        <f t="array" ref="AB20">IFERROR(INDEX($T$55:$T$106,MATCH(1,($AP$55:$AP$106=U20)*($S$55:$S$106="Previsto"), 0) ), "")</f>
        <v>0.83333333333333337</v>
      </c>
      <c r="AC20" s="635" cm="1">
        <f t="array" ref="AC20">IFERROR(INDEX($T$55:$T$106,MATCH(1,($AP$55:$AP$106=U20)*($S$55:$S$106="Real"), 0) ), "")</f>
        <v>0.8666666666666667</v>
      </c>
      <c r="AD20" s="373" t="str">
        <f t="shared" si="9"/>
        <v>ADIANTADO</v>
      </c>
      <c r="AE20" s="353">
        <v>1</v>
      </c>
      <c r="AG20" s="47"/>
      <c r="AH20" s="47"/>
      <c r="AI20" s="47"/>
      <c r="AJ20" s="47"/>
      <c r="AK20" s="47"/>
      <c r="AL20" s="47"/>
    </row>
    <row r="21" spans="1:38" ht="20.100000000000001" customHeight="1" x14ac:dyDescent="0.3">
      <c r="A21" s="47"/>
      <c r="B21" s="47"/>
      <c r="C21" s="47"/>
      <c r="D21" s="47"/>
      <c r="E21" s="47"/>
      <c r="F21" s="47"/>
      <c r="G21" s="47"/>
      <c r="H21" s="47"/>
      <c r="I21" s="47"/>
      <c r="J21" s="47"/>
      <c r="K21" s="47"/>
      <c r="L21" s="47"/>
      <c r="M21" s="47"/>
      <c r="N21" s="832"/>
      <c r="O21" s="256">
        <v>16</v>
      </c>
      <c r="P21" s="372" t="str">
        <f t="shared" si="0"/>
        <v>Kaizen</v>
      </c>
      <c r="Q21" s="378">
        <f t="shared" si="6"/>
        <v>22050</v>
      </c>
      <c r="R21" s="437"/>
      <c r="S21" s="500"/>
      <c r="T21" s="509"/>
      <c r="U21" s="1459" t="str">
        <f t="shared" si="3"/>
        <v>09- Substituíção de Empilhadeiras GPL.</v>
      </c>
      <c r="V21" s="1459"/>
      <c r="W21" s="1459"/>
      <c r="X21" s="1459"/>
      <c r="Y21" s="1459"/>
      <c r="Z21" s="358"/>
      <c r="AA21" s="255"/>
      <c r="AB21" s="636" cm="1">
        <f t="array" ref="AB21">IFERROR(INDEX($T$55:$T$106,MATCH(1,($AP$55:$AP$106=U21)*($S$55:$S$106="Previsto"), 0) ), "")</f>
        <v>0.72587719298245612</v>
      </c>
      <c r="AC21" s="636" cm="1">
        <f t="array" ref="AC21">IFERROR(INDEX($T$55:$T$106,MATCH(1,($AP$55:$AP$106=U21)*($S$55:$S$106="Real"), 0) ), "")</f>
        <v>0.73750000000000004</v>
      </c>
      <c r="AD21" s="374" t="str">
        <f>IF(OR(AB21="",AC21=""),"",IF(AC21=100%,"CONCLUÍDO",IF(AC21=0,IF(AB21=0,"PROJETO NÃO INICIADO","FALTA DE ACOMPANHAMENTO"),IF(AC21&gt;AB21,"ADIANTADO",IF(AC21=AB21,"CONFORME PLANEJADO","ATRASO")))))</f>
        <v>ADIANTADO</v>
      </c>
      <c r="AE21" s="358">
        <v>1</v>
      </c>
      <c r="AG21" s="47"/>
      <c r="AH21" s="47"/>
      <c r="AI21" s="47"/>
      <c r="AJ21" s="47"/>
      <c r="AK21" s="47"/>
      <c r="AL21" s="47"/>
    </row>
    <row r="22" spans="1:38" ht="20.100000000000001" customHeight="1" x14ac:dyDescent="0.3">
      <c r="A22" s="47"/>
      <c r="B22" s="47"/>
      <c r="C22" s="47"/>
      <c r="D22" s="47"/>
      <c r="E22" s="47"/>
      <c r="F22" s="47"/>
      <c r="G22" s="47"/>
      <c r="H22" s="47"/>
      <c r="I22" s="47"/>
      <c r="J22" s="47"/>
      <c r="K22" s="47"/>
      <c r="L22" s="47"/>
      <c r="M22" s="47"/>
      <c r="N22" s="832"/>
      <c r="O22" s="229">
        <v>17</v>
      </c>
      <c r="P22" s="371">
        <f t="shared" si="0"/>
        <v>0</v>
      </c>
      <c r="Q22" s="377">
        <f t="shared" si="6"/>
        <v>18000</v>
      </c>
      <c r="R22" s="436"/>
      <c r="S22" s="499"/>
      <c r="T22" s="508"/>
      <c r="U22" s="1458"/>
      <c r="V22" s="1458"/>
      <c r="W22" s="1458"/>
      <c r="X22" s="1458"/>
      <c r="Y22" s="1458"/>
      <c r="Z22" s="353"/>
      <c r="AA22" s="236"/>
      <c r="AB22" s="635"/>
      <c r="AC22" s="635"/>
      <c r="AD22" s="373" t="str">
        <f>IF(OR(AB22="",AC22=""),"",IF(AC22=100%,"CONCLUÍDO",IF(AC22=0,IF(AB22=0,"PROJETO NÃO INICIADO","FALTA DE ACOMPANHAMENTO"),IF(AC22&gt;AB22,"ADIANTADO",IF(AC22=AB22,"CONFORME PLANEJADO","ATRASO")))))</f>
        <v/>
      </c>
      <c r="AE22" s="353">
        <v>0</v>
      </c>
      <c r="AG22" s="47"/>
      <c r="AH22" s="47"/>
      <c r="AI22" s="47"/>
      <c r="AJ22" s="47"/>
      <c r="AK22" s="47"/>
      <c r="AL22" s="47"/>
    </row>
    <row r="23" spans="1:38" ht="20.100000000000001" customHeight="1" x14ac:dyDescent="0.3">
      <c r="A23" s="47"/>
      <c r="B23" s="47"/>
      <c r="C23" s="47"/>
      <c r="D23" s="47"/>
      <c r="E23" s="47"/>
      <c r="F23" s="47"/>
      <c r="G23" s="47"/>
      <c r="H23" s="47"/>
      <c r="I23" s="47"/>
      <c r="J23" s="47"/>
      <c r="K23" s="47"/>
      <c r="L23" s="47"/>
      <c r="M23" s="47"/>
      <c r="N23" s="832"/>
      <c r="O23" s="256">
        <v>18</v>
      </c>
      <c r="P23" s="372" t="str">
        <f t="shared" si="0"/>
        <v>Redução de custo</v>
      </c>
      <c r="Q23" s="378">
        <f t="shared" si="6"/>
        <v>6975</v>
      </c>
      <c r="R23" s="437"/>
      <c r="S23" s="500"/>
      <c r="T23" s="509"/>
      <c r="U23" s="1459" t="str">
        <f>IFERROR(HYPERLINK(INDEX($D$55:$D$106,MATCH(Q23,$I$55:$I$106,0)),INDEX($C$55:$C$106,MATCH(Q23,$I$55:$I$106,0))
   ),
   ""
)</f>
        <v>08 - REDUÇÃO DE CUSTO LOCAÇÃO DE PTA (12METROS)</v>
      </c>
      <c r="V23" s="1459"/>
      <c r="W23" s="1459"/>
      <c r="X23" s="1459"/>
      <c r="Y23" s="1459"/>
      <c r="Z23" s="358"/>
      <c r="AA23" s="255"/>
      <c r="AB23" s="636"/>
      <c r="AC23" s="636"/>
      <c r="AD23" s="374" t="str">
        <f>IF(OR(AB23="",AC23=""),"",IF(AC23=100%,"CONCLUÍDO",IF(AC23=0,IF(AB23=0,"PROJETO NÃO INICIADO","FALTA DE ACOMPANHAMENTO"),IF(AC23&gt;AB23,"ADIANTADO",IF(AC23=AB23,"CONFORME PLANEJADO","ATRASO")))))</f>
        <v/>
      </c>
      <c r="AE23" s="358">
        <v>1</v>
      </c>
      <c r="AG23" s="47"/>
      <c r="AH23" s="47"/>
      <c r="AI23" s="47"/>
      <c r="AJ23" s="47"/>
      <c r="AK23" s="47"/>
      <c r="AL23" s="47"/>
    </row>
    <row r="24" spans="1:38" ht="20.100000000000001" customHeight="1" x14ac:dyDescent="0.3">
      <c r="A24" s="47"/>
      <c r="B24" s="47"/>
      <c r="C24" s="47"/>
      <c r="D24" s="47"/>
      <c r="E24" s="47"/>
      <c r="F24" s="47"/>
      <c r="G24" s="47"/>
      <c r="H24" s="47"/>
      <c r="I24" s="47"/>
      <c r="J24" s="47"/>
      <c r="K24" s="47"/>
      <c r="L24" s="47"/>
      <c r="M24" s="47"/>
      <c r="N24" s="832"/>
      <c r="O24" s="229">
        <v>19</v>
      </c>
      <c r="P24" s="371" t="e">
        <f t="shared" si="0"/>
        <v>#N/A</v>
      </c>
      <c r="Q24" s="377" t="str">
        <f t="shared" si="6"/>
        <v xml:space="preserve"> </v>
      </c>
      <c r="R24" s="436"/>
      <c r="S24" s="499"/>
      <c r="T24" s="508"/>
      <c r="U24" s="1458" t="str">
        <f>IFERROR(HYPERLINK(INDEX($D$55:$D$106,MATCH(Q24,$I$55:$I$106,0)),INDEX($C$55:$C$106,MATCH(Q24,$I$55:$I$106,0))
   ),
   ""
)</f>
        <v/>
      </c>
      <c r="V24" s="1458"/>
      <c r="W24" s="1458"/>
      <c r="X24" s="1458"/>
      <c r="Y24" s="1458"/>
      <c r="Z24" s="353"/>
      <c r="AA24" s="236"/>
      <c r="AB24" s="635"/>
      <c r="AC24" s="635"/>
      <c r="AD24" s="373" t="str">
        <f>IF(OR(AB24="",AC24=""),"",IF(AC24=100%,"CONCLUÍDO",IF(AC24=0,IF(AB24=0,"PROJETO NÃO INICIADO","FALTA DE ACOMPANHAMENTO"),IF(AC24&gt;AB24,"ADIANTADO",IF(AC24=AB24,"CONFORME PLANEJADO","ATRASO")))))</f>
        <v/>
      </c>
      <c r="AE24" s="353" t="e">
        <v>#N/A</v>
      </c>
      <c r="AG24" s="47"/>
      <c r="AH24" s="47"/>
      <c r="AI24" s="47"/>
      <c r="AJ24" s="47"/>
      <c r="AK24" s="47"/>
      <c r="AL24" s="47"/>
    </row>
    <row r="25" spans="1:38" ht="20.100000000000001" customHeight="1" x14ac:dyDescent="0.3">
      <c r="A25" s="47"/>
      <c r="B25" s="47"/>
      <c r="C25" s="47"/>
      <c r="D25" s="47"/>
      <c r="E25" s="47"/>
      <c r="F25" s="47"/>
      <c r="G25" s="47"/>
      <c r="H25" s="47"/>
      <c r="I25" s="47"/>
      <c r="J25" s="47"/>
      <c r="K25" s="47"/>
      <c r="L25" s="47"/>
      <c r="M25" s="47"/>
      <c r="N25" s="832"/>
      <c r="O25" s="256">
        <v>20</v>
      </c>
      <c r="P25" s="372" t="e">
        <f t="shared" si="0"/>
        <v>#N/A</v>
      </c>
      <c r="Q25" s="378" t="str">
        <f t="shared" si="6"/>
        <v xml:space="preserve"> </v>
      </c>
      <c r="R25" s="437"/>
      <c r="S25" s="500"/>
      <c r="T25" s="509"/>
      <c r="U25" s="1459" t="str">
        <f>IFERROR(HYPERLINK(INDEX($D$55:$D$106,MATCH(Q25,$I$55:$I$106,0)),INDEX($C$55:$C$106,MATCH(Q25,$I$55:$I$106,0))
   ),
   ""
)</f>
        <v/>
      </c>
      <c r="V25" s="1459"/>
      <c r="W25" s="1459"/>
      <c r="X25" s="1459"/>
      <c r="Y25" s="1459"/>
      <c r="Z25" s="358"/>
      <c r="AA25" s="255"/>
      <c r="AB25" s="636"/>
      <c r="AC25" s="636"/>
      <c r="AD25" s="374" t="str">
        <f>IF(OR(AB25="",AC25=""),"",IF(AC25=100%,"CONCLUÍDO",IF(AC25=0,IF(AB25=0,"PROJETO NÃO INICIADO","FALTA DE ACOMPANHAMENTO"),IF(AC25&gt;AB25,"ADIANTADO",IF(AC25=AB25,"CONFORME PLANEJADO","ATRASO")))))</f>
        <v/>
      </c>
      <c r="AE25" s="358" t="e">
        <v>#N/A</v>
      </c>
      <c r="AG25" s="47"/>
      <c r="AH25" s="47"/>
      <c r="AI25" s="47"/>
      <c r="AJ25" s="47"/>
      <c r="AK25" s="47"/>
      <c r="AL25" s="47"/>
    </row>
    <row r="26" spans="1:38" ht="20.100000000000001" customHeight="1" x14ac:dyDescent="0.3">
      <c r="A26" s="47"/>
      <c r="B26" s="47"/>
      <c r="C26" s="47"/>
      <c r="D26" s="47"/>
      <c r="E26" s="47"/>
      <c r="F26" s="47"/>
      <c r="G26" s="47"/>
      <c r="H26" s="47"/>
      <c r="I26" s="47"/>
      <c r="J26" s="47"/>
      <c r="K26" s="47"/>
      <c r="L26" s="47"/>
      <c r="M26" s="47"/>
      <c r="N26" s="832"/>
      <c r="O26" s="1461" t="s">
        <v>149</v>
      </c>
      <c r="P26" s="1461"/>
      <c r="Q26" s="407">
        <f>SUM(Q6:Q25)</f>
        <v>2230520.6999999997</v>
      </c>
      <c r="R26" s="407">
        <f>SUM(R6:R25)</f>
        <v>2190100.84</v>
      </c>
      <c r="S26" s="47"/>
      <c r="T26" s="47"/>
      <c r="U26" s="47"/>
      <c r="V26" s="47"/>
      <c r="W26" s="47"/>
      <c r="X26" s="47"/>
      <c r="Y26" s="47"/>
      <c r="Z26" s="47"/>
      <c r="AA26" s="47"/>
      <c r="AB26" s="47"/>
      <c r="AC26" s="47"/>
      <c r="AD26" s="47"/>
      <c r="AE26" s="47"/>
      <c r="AF26" s="47"/>
      <c r="AG26" s="47"/>
      <c r="AH26" s="47"/>
      <c r="AI26" s="47"/>
      <c r="AJ26" s="47"/>
    </row>
    <row r="27" spans="1:38" ht="15.6" x14ac:dyDescent="0.3">
      <c r="A27" s="63" t="s">
        <v>150</v>
      </c>
      <c r="B27" s="63"/>
      <c r="C27" s="63"/>
      <c r="D27" s="63"/>
      <c r="E27" s="63"/>
      <c r="F27" s="63"/>
      <c r="G27" s="63"/>
      <c r="H27" s="63"/>
      <c r="I27" s="63"/>
      <c r="J27" s="63"/>
      <c r="K27" s="63"/>
      <c r="L27" s="63"/>
      <c r="M27" s="63"/>
      <c r="N27" s="987"/>
      <c r="O27" s="63"/>
      <c r="P27" s="63"/>
      <c r="Q27" s="63"/>
      <c r="R27" s="63"/>
      <c r="S27" s="63"/>
      <c r="T27" s="63"/>
      <c r="U27" s="63"/>
      <c r="V27" s="63"/>
      <c r="W27" s="63"/>
      <c r="X27" s="63"/>
      <c r="Y27" s="63"/>
      <c r="Z27" s="63"/>
      <c r="AA27" s="63"/>
      <c r="AB27" s="63"/>
      <c r="AC27" s="63"/>
      <c r="AD27" s="63"/>
      <c r="AE27" s="47"/>
      <c r="AF27" s="47"/>
      <c r="AG27" s="47"/>
      <c r="AH27" s="47"/>
      <c r="AI27" s="47"/>
      <c r="AJ27" s="47"/>
    </row>
    <row r="28" spans="1:38" x14ac:dyDescent="0.3">
      <c r="A28" s="64" t="s">
        <v>151</v>
      </c>
      <c r="B28" s="65" t="s">
        <v>31</v>
      </c>
      <c r="C28" s="65" t="s">
        <v>152</v>
      </c>
      <c r="D28" s="65" t="s">
        <v>153</v>
      </c>
      <c r="E28" s="65" t="s">
        <v>154</v>
      </c>
      <c r="F28" s="65" t="s">
        <v>155</v>
      </c>
      <c r="G28" s="65" t="s">
        <v>156</v>
      </c>
      <c r="H28" s="65" t="s">
        <v>157</v>
      </c>
      <c r="I28" s="66" t="s">
        <v>158</v>
      </c>
      <c r="J28" s="65" t="s">
        <v>159</v>
      </c>
      <c r="K28" s="66" t="s">
        <v>160</v>
      </c>
      <c r="L28" s="65" t="s">
        <v>161</v>
      </c>
      <c r="M28" s="66" t="s">
        <v>162</v>
      </c>
      <c r="N28" s="988" t="s">
        <v>163</v>
      </c>
      <c r="O28" s="66" t="s">
        <v>164</v>
      </c>
      <c r="P28" s="65" t="s">
        <v>165</v>
      </c>
      <c r="Q28" s="66" t="s">
        <v>166</v>
      </c>
      <c r="R28" s="65" t="s">
        <v>167</v>
      </c>
      <c r="S28" s="66" t="s">
        <v>168</v>
      </c>
      <c r="T28" s="65" t="s">
        <v>169</v>
      </c>
      <c r="U28" s="66" t="s">
        <v>170</v>
      </c>
      <c r="V28" s="65" t="s">
        <v>171</v>
      </c>
      <c r="W28" s="66" t="s">
        <v>172</v>
      </c>
      <c r="X28" s="65" t="s">
        <v>173</v>
      </c>
      <c r="Y28" s="66" t="s">
        <v>174</v>
      </c>
      <c r="Z28" s="65" t="s">
        <v>175</v>
      </c>
      <c r="AA28" s="66" t="s">
        <v>176</v>
      </c>
      <c r="AB28" s="65" t="s">
        <v>177</v>
      </c>
      <c r="AC28" s="66" t="s">
        <v>178</v>
      </c>
      <c r="AD28" s="65" t="s">
        <v>179</v>
      </c>
      <c r="AE28" s="172" t="s">
        <v>180</v>
      </c>
      <c r="AF28" s="47"/>
      <c r="AG28" s="47"/>
      <c r="AH28" s="47"/>
      <c r="AI28" s="47"/>
      <c r="AJ28" s="47"/>
    </row>
    <row r="29" spans="1:38" x14ac:dyDescent="0.3">
      <c r="A29" s="67" t="s">
        <v>181</v>
      </c>
      <c r="B29" s="68" t="s">
        <v>182</v>
      </c>
      <c r="C29" s="68" t="s">
        <v>183</v>
      </c>
      <c r="D29" s="69" t="s">
        <v>184</v>
      </c>
      <c r="E29" s="624" t="s">
        <v>928</v>
      </c>
      <c r="F29" s="70">
        <v>44.8</v>
      </c>
      <c r="G29" s="70">
        <v>37.799999999999997</v>
      </c>
      <c r="H29" s="765" t="s">
        <v>1809</v>
      </c>
      <c r="I29" s="69"/>
      <c r="J29" s="764">
        <v>0.42799999999999999</v>
      </c>
      <c r="K29" s="68"/>
      <c r="L29" s="764">
        <v>0.41199999999999998</v>
      </c>
      <c r="M29" s="1013"/>
      <c r="N29" s="989">
        <v>0.46100000000000002</v>
      </c>
      <c r="O29" s="1013"/>
      <c r="P29" s="1013"/>
      <c r="Q29" s="1013"/>
      <c r="R29" s="1013"/>
      <c r="S29" s="1013"/>
      <c r="T29" s="69"/>
      <c r="U29" s="69"/>
      <c r="V29" s="69"/>
      <c r="W29" s="69"/>
      <c r="X29" s="69"/>
      <c r="Y29" s="71"/>
      <c r="Z29" s="71"/>
      <c r="AA29" s="71"/>
      <c r="AB29" s="71"/>
      <c r="AC29" s="71"/>
      <c r="AD29" s="71"/>
      <c r="AE29" s="156"/>
      <c r="AF29" s="47"/>
      <c r="AG29" s="47"/>
      <c r="AH29" s="47"/>
      <c r="AI29" s="47"/>
      <c r="AJ29" s="47"/>
    </row>
    <row r="30" spans="1:38" ht="28.8" x14ac:dyDescent="0.3">
      <c r="A30" s="67" t="s">
        <v>181</v>
      </c>
      <c r="B30" s="68" t="s">
        <v>187</v>
      </c>
      <c r="C30" s="68" t="s">
        <v>1810</v>
      </c>
      <c r="D30" s="68" t="s">
        <v>184</v>
      </c>
      <c r="E30" s="247" t="s">
        <v>929</v>
      </c>
      <c r="F30" s="72">
        <v>1.3</v>
      </c>
      <c r="G30" s="72">
        <v>0.5</v>
      </c>
      <c r="H30" s="621">
        <v>6987</v>
      </c>
      <c r="I30" s="68" t="s">
        <v>1811</v>
      </c>
      <c r="J30" s="622">
        <v>4855</v>
      </c>
      <c r="K30" s="68"/>
      <c r="L30" s="622">
        <v>3169</v>
      </c>
      <c r="M30" s="68" t="s">
        <v>1812</v>
      </c>
      <c r="N30" s="990">
        <v>3260</v>
      </c>
      <c r="O30" s="68"/>
      <c r="P30" s="302">
        <v>5200.5</v>
      </c>
      <c r="Q30" s="68"/>
      <c r="R30" s="68">
        <v>3500</v>
      </c>
      <c r="S30" s="939" t="s">
        <v>1813</v>
      </c>
      <c r="T30" s="68"/>
      <c r="U30" s="68"/>
      <c r="V30" s="68"/>
      <c r="W30" s="68"/>
      <c r="X30" s="68"/>
      <c r="Y30" s="68"/>
      <c r="Z30" s="68"/>
      <c r="AA30" s="68"/>
      <c r="AB30" s="68"/>
      <c r="AC30" s="68"/>
      <c r="AD30" s="68"/>
      <c r="AE30" s="157"/>
      <c r="AF30" s="47"/>
      <c r="AG30" s="47"/>
      <c r="AH30" s="47"/>
      <c r="AI30" s="47"/>
      <c r="AJ30" s="47"/>
    </row>
    <row r="31" spans="1:38" ht="28.8" x14ac:dyDescent="0.3">
      <c r="A31" s="67" t="s">
        <v>190</v>
      </c>
      <c r="B31" s="68" t="s">
        <v>931</v>
      </c>
      <c r="C31" s="68" t="s">
        <v>183</v>
      </c>
      <c r="D31" s="68" t="s">
        <v>192</v>
      </c>
      <c r="E31" s="247" t="s">
        <v>928</v>
      </c>
      <c r="F31" s="72">
        <v>0.52710000000000001</v>
      </c>
      <c r="G31" s="72">
        <v>0.55000000000000004</v>
      </c>
      <c r="H31" s="72">
        <v>0.52</v>
      </c>
      <c r="I31" s="68" t="s">
        <v>1814</v>
      </c>
      <c r="J31" s="940">
        <v>0.62</v>
      </c>
      <c r="K31" s="941"/>
      <c r="L31" s="941">
        <v>0.63700000000000001</v>
      </c>
      <c r="M31" s="942"/>
      <c r="N31" s="991">
        <v>0.69299999999999995</v>
      </c>
      <c r="O31" s="942"/>
      <c r="P31" s="940">
        <v>0.71</v>
      </c>
      <c r="Q31" s="942"/>
      <c r="R31" s="940">
        <v>0.75</v>
      </c>
      <c r="S31" s="939" t="s">
        <v>1815</v>
      </c>
      <c r="T31" s="78">
        <v>0.72</v>
      </c>
      <c r="U31" s="68"/>
      <c r="V31" s="68"/>
      <c r="W31" s="68"/>
      <c r="X31" s="68"/>
      <c r="Y31" s="73"/>
      <c r="Z31" s="73"/>
      <c r="AA31" s="73"/>
      <c r="AB31" s="73"/>
      <c r="AC31" s="73"/>
      <c r="AD31" s="73"/>
      <c r="AE31" s="158"/>
      <c r="AF31" s="47"/>
      <c r="AG31" s="47"/>
      <c r="AH31" s="47"/>
      <c r="AI31" s="47"/>
      <c r="AJ31" s="47"/>
    </row>
    <row r="32" spans="1:38" ht="43.2" x14ac:dyDescent="0.3">
      <c r="A32" s="67" t="s">
        <v>190</v>
      </c>
      <c r="B32" s="68" t="s">
        <v>934</v>
      </c>
      <c r="C32" s="68" t="s">
        <v>183</v>
      </c>
      <c r="D32" s="68" t="s">
        <v>184</v>
      </c>
      <c r="E32" s="247" t="s">
        <v>928</v>
      </c>
      <c r="F32" s="72">
        <v>0.54120000000000001</v>
      </c>
      <c r="G32" s="72">
        <v>0.6</v>
      </c>
      <c r="H32" s="72">
        <v>0.62</v>
      </c>
      <c r="I32" s="68" t="s">
        <v>1816</v>
      </c>
      <c r="J32" s="940">
        <v>0.67</v>
      </c>
      <c r="K32" s="97" t="s">
        <v>1817</v>
      </c>
      <c r="L32" s="940">
        <v>0.69</v>
      </c>
      <c r="M32" s="97" t="s">
        <v>1818</v>
      </c>
      <c r="N32" s="991">
        <v>0.68</v>
      </c>
      <c r="O32" s="97" t="s">
        <v>1817</v>
      </c>
      <c r="P32" s="940">
        <v>0.77</v>
      </c>
      <c r="Q32" s="97" t="s">
        <v>1817</v>
      </c>
      <c r="R32" s="940">
        <v>0.72</v>
      </c>
      <c r="S32" s="939" t="s">
        <v>1819</v>
      </c>
      <c r="T32" s="78">
        <v>0.75</v>
      </c>
      <c r="U32" s="68"/>
      <c r="V32" s="68"/>
      <c r="W32" s="68"/>
      <c r="X32" s="68"/>
      <c r="Y32" s="68"/>
      <c r="Z32" s="68"/>
      <c r="AA32" s="68"/>
      <c r="AB32" s="68"/>
      <c r="AC32" s="68"/>
      <c r="AD32" s="68"/>
      <c r="AE32" s="157"/>
      <c r="AF32" s="47"/>
      <c r="AG32" s="47"/>
      <c r="AH32" s="47"/>
      <c r="AI32" s="47"/>
      <c r="AJ32" s="47"/>
    </row>
    <row r="33" spans="1:37" x14ac:dyDescent="0.3">
      <c r="A33" s="67" t="s">
        <v>190</v>
      </c>
      <c r="B33" s="68" t="s">
        <v>937</v>
      </c>
      <c r="C33" s="68" t="s">
        <v>183</v>
      </c>
      <c r="D33" s="68" t="s">
        <v>192</v>
      </c>
      <c r="E33" s="247" t="s">
        <v>928</v>
      </c>
      <c r="F33" s="72">
        <v>0.80169999999999997</v>
      </c>
      <c r="G33" s="72">
        <v>0.9</v>
      </c>
      <c r="H33" s="72">
        <v>0.748</v>
      </c>
      <c r="I33" s="68"/>
      <c r="J33" s="78">
        <v>0.93</v>
      </c>
      <c r="K33" s="68" t="s">
        <v>1820</v>
      </c>
      <c r="L33" s="541">
        <v>0.80500000000000005</v>
      </c>
      <c r="M33" s="68" t="s">
        <v>1820</v>
      </c>
      <c r="N33" s="668">
        <v>0.745</v>
      </c>
      <c r="O33" s="68" t="s">
        <v>1820</v>
      </c>
      <c r="P33" s="78">
        <v>0.93</v>
      </c>
      <c r="Q33" s="68"/>
      <c r="R33" s="78">
        <v>0.89</v>
      </c>
      <c r="S33" s="1014"/>
      <c r="T33" s="78">
        <v>0.9</v>
      </c>
      <c r="U33" s="68"/>
      <c r="V33" s="68"/>
      <c r="W33" s="68"/>
      <c r="X33" s="68"/>
      <c r="Y33" s="68"/>
      <c r="Z33" s="68"/>
      <c r="AA33" s="68"/>
      <c r="AB33" s="68"/>
      <c r="AC33" s="68"/>
      <c r="AD33" s="68"/>
      <c r="AE33" s="157"/>
      <c r="AF33" s="47"/>
      <c r="AG33" s="47"/>
      <c r="AH33" s="47"/>
      <c r="AI33" s="47"/>
      <c r="AJ33" s="47"/>
    </row>
    <row r="34" spans="1:37" x14ac:dyDescent="0.3">
      <c r="A34" s="67" t="s">
        <v>190</v>
      </c>
      <c r="B34" s="68" t="s">
        <v>217</v>
      </c>
      <c r="C34" s="68" t="s">
        <v>183</v>
      </c>
      <c r="D34" s="68" t="s">
        <v>192</v>
      </c>
      <c r="E34" s="247" t="s">
        <v>928</v>
      </c>
      <c r="F34" s="72">
        <v>0.999</v>
      </c>
      <c r="G34" s="72">
        <v>0.95</v>
      </c>
      <c r="H34" s="72">
        <v>1</v>
      </c>
      <c r="I34" s="68" t="s">
        <v>1820</v>
      </c>
      <c r="J34" s="78">
        <v>1</v>
      </c>
      <c r="K34" s="68" t="s">
        <v>1820</v>
      </c>
      <c r="L34" s="78">
        <v>1</v>
      </c>
      <c r="M34" s="68" t="s">
        <v>1820</v>
      </c>
      <c r="N34" s="668">
        <v>1</v>
      </c>
      <c r="O34" s="68" t="s">
        <v>1820</v>
      </c>
      <c r="P34" s="78">
        <v>1</v>
      </c>
      <c r="Q34" s="68"/>
      <c r="R34" s="78">
        <v>1</v>
      </c>
      <c r="S34" s="1014"/>
      <c r="T34" s="78">
        <v>1</v>
      </c>
      <c r="U34" s="68"/>
      <c r="V34" s="68"/>
      <c r="W34" s="68"/>
      <c r="X34" s="68"/>
      <c r="Y34" s="68"/>
      <c r="Z34" s="68"/>
      <c r="AA34" s="68"/>
      <c r="AB34" s="68"/>
      <c r="AC34" s="68"/>
      <c r="AD34" s="68"/>
      <c r="AE34" s="157"/>
      <c r="AF34" s="47"/>
      <c r="AG34" s="47"/>
      <c r="AH34" s="47"/>
      <c r="AI34" s="47"/>
      <c r="AJ34" s="47"/>
    </row>
    <row r="35" spans="1:37" x14ac:dyDescent="0.3">
      <c r="A35" s="67" t="s">
        <v>190</v>
      </c>
      <c r="B35" s="68" t="s">
        <v>938</v>
      </c>
      <c r="C35" s="68" t="s">
        <v>183</v>
      </c>
      <c r="D35" s="68" t="s">
        <v>192</v>
      </c>
      <c r="E35" s="247" t="s">
        <v>928</v>
      </c>
      <c r="F35" s="72">
        <v>0.66910000000000003</v>
      </c>
      <c r="G35" s="72">
        <v>0.7</v>
      </c>
      <c r="H35" s="72">
        <v>0.7</v>
      </c>
      <c r="I35" s="68" t="s">
        <v>1820</v>
      </c>
      <c r="J35" s="541">
        <v>0.63900000000000001</v>
      </c>
      <c r="K35" s="68" t="s">
        <v>1821</v>
      </c>
      <c r="L35" s="541">
        <v>0.79100000000000004</v>
      </c>
      <c r="M35" s="68" t="s">
        <v>1820</v>
      </c>
      <c r="N35" s="668">
        <v>0.745</v>
      </c>
      <c r="O35" s="68" t="s">
        <v>1820</v>
      </c>
      <c r="P35" s="774">
        <v>0.77</v>
      </c>
      <c r="Q35" s="68" t="s">
        <v>1820</v>
      </c>
      <c r="R35" s="78">
        <v>0.77</v>
      </c>
      <c r="S35" s="68" t="s">
        <v>1820</v>
      </c>
      <c r="T35" s="68"/>
      <c r="U35" s="68"/>
      <c r="V35" s="68"/>
      <c r="W35" s="68"/>
      <c r="X35" s="68"/>
      <c r="Y35" s="73"/>
      <c r="Z35" s="73"/>
      <c r="AA35" s="73"/>
      <c r="AB35" s="73"/>
      <c r="AC35" s="73"/>
      <c r="AD35" s="73"/>
      <c r="AE35" s="158"/>
      <c r="AF35" s="47"/>
      <c r="AG35" s="47"/>
      <c r="AH35" s="47"/>
      <c r="AI35" s="47"/>
      <c r="AJ35" s="47"/>
    </row>
    <row r="36" spans="1:37" ht="28.8" x14ac:dyDescent="0.3">
      <c r="A36" s="67" t="s">
        <v>190</v>
      </c>
      <c r="B36" s="68" t="s">
        <v>201</v>
      </c>
      <c r="C36" s="68" t="s">
        <v>202</v>
      </c>
      <c r="D36" s="68" t="s">
        <v>184</v>
      </c>
      <c r="E36" s="247" t="s">
        <v>928</v>
      </c>
      <c r="F36" s="74"/>
      <c r="G36" s="192">
        <v>200</v>
      </c>
      <c r="H36" s="192">
        <v>218</v>
      </c>
      <c r="I36" s="68"/>
      <c r="J36" s="76">
        <v>104.59</v>
      </c>
      <c r="K36" s="68" t="s">
        <v>1822</v>
      </c>
      <c r="L36" s="68">
        <v>107.06</v>
      </c>
      <c r="M36" s="68" t="s">
        <v>1823</v>
      </c>
      <c r="N36" s="992">
        <v>4.2993055555555557</v>
      </c>
      <c r="O36" s="68" t="s">
        <v>1824</v>
      </c>
      <c r="P36" s="771">
        <v>4.166666666666667</v>
      </c>
      <c r="Q36" s="68"/>
      <c r="R36" s="68"/>
      <c r="S36" s="939" t="s">
        <v>1825</v>
      </c>
      <c r="T36" s="68"/>
      <c r="U36" s="68"/>
      <c r="V36" s="68"/>
      <c r="W36" s="68"/>
      <c r="X36" s="68"/>
      <c r="Y36" s="68"/>
      <c r="Z36" s="68"/>
      <c r="AA36" s="68"/>
      <c r="AB36" s="68"/>
      <c r="AC36" s="68"/>
      <c r="AD36" s="68"/>
      <c r="AE36" s="157"/>
      <c r="AF36" s="47"/>
      <c r="AG36" s="47"/>
      <c r="AH36" s="47"/>
      <c r="AI36" s="47"/>
      <c r="AJ36" s="47"/>
    </row>
    <row r="37" spans="1:37" ht="28.8" x14ac:dyDescent="0.3">
      <c r="A37" s="67" t="s">
        <v>190</v>
      </c>
      <c r="B37" s="68" t="s">
        <v>206</v>
      </c>
      <c r="C37" s="68" t="s">
        <v>202</v>
      </c>
      <c r="D37" s="68" t="s">
        <v>184</v>
      </c>
      <c r="E37" s="247" t="s">
        <v>929</v>
      </c>
      <c r="F37" s="74">
        <v>7.18</v>
      </c>
      <c r="G37" s="263">
        <v>8.3333333333333329E-2</v>
      </c>
      <c r="H37" s="263">
        <v>0.97847222222222219</v>
      </c>
      <c r="I37" s="68" t="s">
        <v>1826</v>
      </c>
      <c r="J37" s="76">
        <v>7.64</v>
      </c>
      <c r="K37" s="68"/>
      <c r="L37" s="68">
        <v>35</v>
      </c>
      <c r="M37" s="68"/>
      <c r="N37" s="668">
        <v>2.5694444444444443E-2</v>
      </c>
      <c r="O37" s="68" t="s">
        <v>1824</v>
      </c>
      <c r="P37" s="775">
        <v>1.9444444444444445E-2</v>
      </c>
      <c r="Q37" s="68"/>
      <c r="R37" s="68"/>
      <c r="S37" s="939" t="s">
        <v>1825</v>
      </c>
      <c r="T37" s="68"/>
      <c r="U37" s="68"/>
      <c r="V37" s="68"/>
      <c r="W37" s="68"/>
      <c r="X37" s="68"/>
      <c r="Y37" s="73"/>
      <c r="Z37" s="73"/>
      <c r="AA37" s="73"/>
      <c r="AB37" s="73"/>
      <c r="AC37" s="73"/>
      <c r="AD37" s="73"/>
      <c r="AE37" s="158"/>
      <c r="AF37" s="47"/>
      <c r="AG37" s="47"/>
      <c r="AH37" s="47"/>
      <c r="AI37" s="47"/>
      <c r="AJ37" s="47"/>
    </row>
    <row r="38" spans="1:37" x14ac:dyDescent="0.3">
      <c r="A38" s="67" t="s">
        <v>190</v>
      </c>
      <c r="B38" s="68" t="s">
        <v>211</v>
      </c>
      <c r="C38" s="68" t="s">
        <v>212</v>
      </c>
      <c r="D38" s="68" t="s">
        <v>184</v>
      </c>
      <c r="E38" s="247" t="s">
        <v>929</v>
      </c>
      <c r="F38" s="75">
        <v>743400</v>
      </c>
      <c r="G38" s="75">
        <v>514800</v>
      </c>
      <c r="H38" s="75">
        <v>636.45000000000005</v>
      </c>
      <c r="I38" s="68" t="s">
        <v>1827</v>
      </c>
      <c r="J38" s="546">
        <v>1117.23</v>
      </c>
      <c r="K38" s="68" t="s">
        <v>1827</v>
      </c>
      <c r="L38" s="600">
        <v>16713</v>
      </c>
      <c r="M38" s="68" t="s">
        <v>1828</v>
      </c>
      <c r="N38" s="668">
        <v>8242.9</v>
      </c>
      <c r="O38" s="68" t="s">
        <v>1829</v>
      </c>
      <c r="P38" s="772">
        <v>10100</v>
      </c>
      <c r="Q38" s="68" t="s">
        <v>1827</v>
      </c>
      <c r="R38" s="1014"/>
      <c r="S38" s="1014"/>
      <c r="T38" s="68"/>
      <c r="U38" s="68"/>
      <c r="V38" s="68"/>
      <c r="W38" s="68"/>
      <c r="X38" s="68"/>
      <c r="Y38" s="68"/>
      <c r="Z38" s="68"/>
      <c r="AA38" s="68"/>
      <c r="AB38" s="68"/>
      <c r="AC38" s="68"/>
      <c r="AD38" s="68"/>
      <c r="AE38" s="157"/>
      <c r="AF38" s="47"/>
      <c r="AG38" s="47"/>
      <c r="AH38" s="47"/>
      <c r="AI38" s="47"/>
      <c r="AJ38" s="47"/>
    </row>
    <row r="39" spans="1:37" x14ac:dyDescent="0.3">
      <c r="A39" s="67" t="s">
        <v>190</v>
      </c>
      <c r="B39" s="68" t="s">
        <v>213</v>
      </c>
      <c r="C39" s="68" t="s">
        <v>212</v>
      </c>
      <c r="D39" s="68" t="s">
        <v>192</v>
      </c>
      <c r="E39" s="247" t="s">
        <v>929</v>
      </c>
      <c r="F39" s="254">
        <v>0.88300000000000001</v>
      </c>
      <c r="G39" s="254">
        <v>0.95</v>
      </c>
      <c r="H39" s="254">
        <v>0.87</v>
      </c>
      <c r="I39" s="68"/>
      <c r="J39" s="78">
        <v>0.85</v>
      </c>
      <c r="K39" s="68"/>
      <c r="L39" s="78">
        <v>0.84</v>
      </c>
      <c r="M39" s="68"/>
      <c r="N39" s="668">
        <v>0.88</v>
      </c>
      <c r="O39" s="68"/>
      <c r="P39" s="774">
        <v>0.87</v>
      </c>
      <c r="Q39" s="68"/>
      <c r="R39" s="78">
        <v>0.9</v>
      </c>
      <c r="S39" s="68" t="s">
        <v>1830</v>
      </c>
      <c r="T39" s="78">
        <v>0.9</v>
      </c>
      <c r="U39" s="68"/>
      <c r="V39" s="68"/>
      <c r="W39" s="68"/>
      <c r="X39" s="68"/>
      <c r="Y39" s="73"/>
      <c r="Z39" s="73"/>
      <c r="AA39" s="73"/>
      <c r="AB39" s="73"/>
      <c r="AC39" s="73"/>
      <c r="AD39" s="73"/>
      <c r="AE39" s="158"/>
      <c r="AF39" s="47"/>
      <c r="AG39" s="47"/>
      <c r="AH39" s="47"/>
      <c r="AI39" s="47"/>
      <c r="AJ39" s="47"/>
    </row>
    <row r="40" spans="1:37" x14ac:dyDescent="0.3">
      <c r="A40" s="67" t="s">
        <v>217</v>
      </c>
      <c r="B40" s="68" t="s">
        <v>218</v>
      </c>
      <c r="C40" s="68" t="s">
        <v>219</v>
      </c>
      <c r="D40" s="68" t="s">
        <v>184</v>
      </c>
      <c r="E40" s="247" t="s">
        <v>929</v>
      </c>
      <c r="F40" s="76">
        <v>6200</v>
      </c>
      <c r="G40" s="76">
        <v>3000</v>
      </c>
      <c r="H40" s="76">
        <v>13618</v>
      </c>
      <c r="I40" s="68" t="s">
        <v>1820</v>
      </c>
      <c r="J40" s="68">
        <v>1300</v>
      </c>
      <c r="K40" s="68" t="s">
        <v>1820</v>
      </c>
      <c r="L40" s="68">
        <v>487</v>
      </c>
      <c r="M40" s="68" t="s">
        <v>1820</v>
      </c>
      <c r="N40" s="668">
        <v>291</v>
      </c>
      <c r="O40" s="68" t="s">
        <v>1820</v>
      </c>
      <c r="P40" s="302">
        <v>200</v>
      </c>
      <c r="Q40" s="68"/>
      <c r="R40" s="68">
        <v>200</v>
      </c>
      <c r="S40" s="1014"/>
      <c r="T40" s="68"/>
      <c r="U40" s="68"/>
      <c r="V40" s="68"/>
      <c r="W40" s="68"/>
      <c r="X40" s="68"/>
      <c r="Y40" s="68"/>
      <c r="Z40" s="68"/>
      <c r="AA40" s="68"/>
      <c r="AB40" s="68"/>
      <c r="AC40" s="68"/>
      <c r="AD40" s="68"/>
      <c r="AE40" s="157"/>
      <c r="AF40" s="47"/>
      <c r="AG40" s="47"/>
      <c r="AH40" s="47"/>
      <c r="AI40" s="47"/>
      <c r="AJ40" s="47"/>
    </row>
    <row r="41" spans="1:37" x14ac:dyDescent="0.3">
      <c r="A41" s="67" t="s">
        <v>217</v>
      </c>
      <c r="B41" s="68" t="s">
        <v>221</v>
      </c>
      <c r="C41" s="68" t="s">
        <v>219</v>
      </c>
      <c r="D41" s="68" t="s">
        <v>184</v>
      </c>
      <c r="E41" s="247" t="s">
        <v>929</v>
      </c>
      <c r="F41" s="76">
        <v>1386</v>
      </c>
      <c r="G41" s="76">
        <v>600</v>
      </c>
      <c r="H41" s="76">
        <v>0</v>
      </c>
      <c r="I41" s="68" t="s">
        <v>1820</v>
      </c>
      <c r="J41" s="68">
        <v>25</v>
      </c>
      <c r="K41" s="68" t="s">
        <v>1820</v>
      </c>
      <c r="L41" s="68">
        <v>20</v>
      </c>
      <c r="M41" s="68" t="s">
        <v>1820</v>
      </c>
      <c r="N41" s="668">
        <v>33</v>
      </c>
      <c r="O41" s="68" t="s">
        <v>1820</v>
      </c>
      <c r="P41" s="776">
        <v>30</v>
      </c>
      <c r="Q41" s="68"/>
      <c r="R41" s="68">
        <v>30</v>
      </c>
      <c r="S41" s="1014"/>
      <c r="T41" s="68"/>
      <c r="U41" s="68"/>
      <c r="V41" s="68"/>
      <c r="W41" s="68"/>
      <c r="X41" s="68"/>
      <c r="Y41" s="73"/>
      <c r="Z41" s="73"/>
      <c r="AA41" s="73"/>
      <c r="AB41" s="73"/>
      <c r="AC41" s="73"/>
      <c r="AD41" s="73"/>
      <c r="AE41" s="158"/>
      <c r="AF41" s="47"/>
      <c r="AG41" s="47"/>
      <c r="AH41" s="47"/>
      <c r="AI41" s="47"/>
      <c r="AJ41" s="47"/>
    </row>
    <row r="42" spans="1:37" x14ac:dyDescent="0.3">
      <c r="A42" s="67" t="s">
        <v>217</v>
      </c>
      <c r="B42" s="68" t="s">
        <v>228</v>
      </c>
      <c r="C42" s="68" t="s">
        <v>183</v>
      </c>
      <c r="D42" s="68" t="s">
        <v>184</v>
      </c>
      <c r="E42" s="247" t="s">
        <v>929</v>
      </c>
      <c r="F42" s="72">
        <v>3.3500000000000002E-2</v>
      </c>
      <c r="G42" s="72">
        <v>0.01</v>
      </c>
      <c r="H42" s="72">
        <v>2.1999999999999999E-2</v>
      </c>
      <c r="I42" s="68" t="s">
        <v>1811</v>
      </c>
      <c r="J42" s="541">
        <v>6.8999999999999999E-3</v>
      </c>
      <c r="K42" s="68"/>
      <c r="L42" s="541">
        <v>6.6E-3</v>
      </c>
      <c r="M42" s="68"/>
      <c r="N42" s="668">
        <v>7.7000000000000002E-3</v>
      </c>
      <c r="O42" s="68" t="s">
        <v>1831</v>
      </c>
      <c r="P42" s="541">
        <v>3.2800000000000003E-2</v>
      </c>
      <c r="Q42" s="68" t="s">
        <v>1832</v>
      </c>
      <c r="R42" s="1014"/>
      <c r="S42" s="68" t="s">
        <v>1833</v>
      </c>
      <c r="T42" s="68"/>
      <c r="U42" s="68"/>
      <c r="V42" s="68"/>
      <c r="W42" s="68"/>
      <c r="X42" s="68"/>
      <c r="Y42" s="68"/>
      <c r="Z42" s="68"/>
      <c r="AA42" s="68"/>
      <c r="AB42" s="68"/>
      <c r="AC42" s="68"/>
      <c r="AD42" s="68"/>
      <c r="AE42" s="157"/>
      <c r="AF42" s="47"/>
      <c r="AG42" s="47"/>
      <c r="AH42" s="47"/>
      <c r="AI42" s="47"/>
      <c r="AJ42" s="47"/>
    </row>
    <row r="43" spans="1:37" x14ac:dyDescent="0.3">
      <c r="A43" s="67" t="s">
        <v>217</v>
      </c>
      <c r="B43" s="68" t="s">
        <v>232</v>
      </c>
      <c r="C43" s="68" t="s">
        <v>233</v>
      </c>
      <c r="D43" s="68" t="s">
        <v>234</v>
      </c>
      <c r="E43" s="247" t="s">
        <v>929</v>
      </c>
      <c r="F43" s="76">
        <v>18</v>
      </c>
      <c r="G43" s="76">
        <v>15</v>
      </c>
      <c r="H43" s="76">
        <v>0</v>
      </c>
      <c r="I43" s="68"/>
      <c r="J43" s="68">
        <v>0</v>
      </c>
      <c r="K43" s="68"/>
      <c r="L43" s="68">
        <v>2</v>
      </c>
      <c r="M43" s="68" t="s">
        <v>1834</v>
      </c>
      <c r="N43" s="668">
        <v>2</v>
      </c>
      <c r="O43" s="68" t="s">
        <v>1835</v>
      </c>
      <c r="P43" s="68">
        <v>1</v>
      </c>
      <c r="Q43" s="68" t="s">
        <v>186</v>
      </c>
      <c r="R43" s="68">
        <v>0</v>
      </c>
      <c r="S43" s="68"/>
      <c r="T43" s="68"/>
      <c r="U43" s="68"/>
      <c r="V43" s="68"/>
      <c r="W43" s="68"/>
      <c r="X43" s="68"/>
      <c r="Y43" s="73"/>
      <c r="Z43" s="73"/>
      <c r="AA43" s="73"/>
      <c r="AB43" s="73"/>
      <c r="AC43" s="73"/>
      <c r="AD43" s="73"/>
      <c r="AE43" s="158"/>
      <c r="AF43" s="47"/>
      <c r="AG43" s="47"/>
      <c r="AH43" s="47"/>
      <c r="AI43" s="47"/>
      <c r="AJ43" s="47"/>
    </row>
    <row r="44" spans="1:37" x14ac:dyDescent="0.3">
      <c r="A44" s="67" t="s">
        <v>236</v>
      </c>
      <c r="B44" s="68" t="s">
        <v>237</v>
      </c>
      <c r="C44" s="68" t="s">
        <v>238</v>
      </c>
      <c r="D44" s="302" t="s">
        <v>184</v>
      </c>
      <c r="E44" s="247" t="s">
        <v>929</v>
      </c>
      <c r="F44" s="76">
        <v>20</v>
      </c>
      <c r="G44" s="76">
        <v>31</v>
      </c>
      <c r="H44" s="76">
        <v>0</v>
      </c>
      <c r="I44" s="68"/>
      <c r="J44" s="68">
        <v>0</v>
      </c>
      <c r="K44" s="68" t="s">
        <v>1820</v>
      </c>
      <c r="L44" s="68">
        <v>0</v>
      </c>
      <c r="M44" s="68" t="s">
        <v>1820</v>
      </c>
      <c r="N44" s="668">
        <v>0</v>
      </c>
      <c r="O44" s="68" t="s">
        <v>1820</v>
      </c>
      <c r="P44" s="68">
        <v>0</v>
      </c>
      <c r="Q44" s="68"/>
      <c r="R44" s="68">
        <v>0</v>
      </c>
      <c r="S44" s="68"/>
      <c r="T44" s="68"/>
      <c r="U44" s="68"/>
      <c r="V44" s="68"/>
      <c r="W44" s="68"/>
      <c r="X44" s="68"/>
      <c r="Y44" s="68"/>
      <c r="Z44" s="68"/>
      <c r="AA44" s="68"/>
      <c r="AB44" s="68"/>
      <c r="AC44" s="68"/>
      <c r="AD44" s="68"/>
      <c r="AE44" s="157"/>
      <c r="AF44" s="47"/>
      <c r="AG44" s="47"/>
      <c r="AH44" s="47"/>
      <c r="AI44" s="47"/>
      <c r="AJ44" s="47"/>
    </row>
    <row r="45" spans="1:37" ht="15.6" x14ac:dyDescent="0.3">
      <c r="A45" s="67" t="s">
        <v>240</v>
      </c>
      <c r="B45" s="68" t="s">
        <v>241</v>
      </c>
      <c r="C45" s="68" t="s">
        <v>183</v>
      </c>
      <c r="D45" s="68" t="s">
        <v>242</v>
      </c>
      <c r="E45" s="247" t="s">
        <v>928</v>
      </c>
      <c r="F45" s="186" t="s">
        <v>93</v>
      </c>
      <c r="G45" s="77">
        <v>1</v>
      </c>
      <c r="H45" s="77">
        <v>1</v>
      </c>
      <c r="I45" s="68" t="s">
        <v>1820</v>
      </c>
      <c r="J45" s="78">
        <v>1</v>
      </c>
      <c r="K45" s="68" t="s">
        <v>1820</v>
      </c>
      <c r="L45" s="78">
        <v>1</v>
      </c>
      <c r="M45" s="68" t="s">
        <v>1820</v>
      </c>
      <c r="N45" s="668">
        <v>100</v>
      </c>
      <c r="O45" s="68" t="s">
        <v>1820</v>
      </c>
      <c r="P45" s="774">
        <v>1</v>
      </c>
      <c r="Q45" s="68"/>
      <c r="R45" s="78">
        <v>1</v>
      </c>
      <c r="S45" s="68"/>
      <c r="T45" s="78">
        <v>1</v>
      </c>
      <c r="U45" s="68"/>
      <c r="V45" s="68"/>
      <c r="W45" s="68"/>
      <c r="X45" s="68"/>
      <c r="Y45" s="73"/>
      <c r="Z45" s="73"/>
      <c r="AA45" s="73"/>
      <c r="AB45" s="73"/>
      <c r="AC45" s="73"/>
      <c r="AD45" s="73"/>
      <c r="AE45" s="158"/>
      <c r="AF45" s="47"/>
      <c r="AG45" s="47"/>
      <c r="AH45" s="47"/>
      <c r="AI45" s="47"/>
      <c r="AJ45" s="1409" t="s">
        <v>244</v>
      </c>
      <c r="AK45" s="1409"/>
    </row>
    <row r="46" spans="1:37" x14ac:dyDescent="0.3">
      <c r="A46" s="67" t="s">
        <v>245</v>
      </c>
      <c r="B46" s="68" t="s">
        <v>246</v>
      </c>
      <c r="C46" s="68" t="s">
        <v>183</v>
      </c>
      <c r="D46" s="68" t="s">
        <v>192</v>
      </c>
      <c r="E46" s="247" t="s">
        <v>928</v>
      </c>
      <c r="F46" s="68">
        <v>0</v>
      </c>
      <c r="G46" s="78">
        <v>1</v>
      </c>
      <c r="H46" s="78">
        <v>0.68</v>
      </c>
      <c r="I46" s="68" t="s">
        <v>1820</v>
      </c>
      <c r="J46" s="78">
        <v>0.8</v>
      </c>
      <c r="K46" s="68" t="s">
        <v>1820</v>
      </c>
      <c r="L46" s="78">
        <v>0.34</v>
      </c>
      <c r="M46" s="68" t="s">
        <v>1836</v>
      </c>
      <c r="N46" s="668">
        <v>0.78</v>
      </c>
      <c r="O46" s="68" t="s">
        <v>1837</v>
      </c>
      <c r="P46" s="78">
        <v>0.69</v>
      </c>
      <c r="Q46" s="68"/>
      <c r="R46" s="78">
        <v>0.92</v>
      </c>
      <c r="S46" s="68"/>
      <c r="T46" s="68"/>
      <c r="U46" s="68"/>
      <c r="V46" s="68"/>
      <c r="W46" s="68"/>
      <c r="X46" s="68"/>
      <c r="Y46" s="68"/>
      <c r="Z46" s="68"/>
      <c r="AA46" s="68"/>
      <c r="AB46" s="68"/>
      <c r="AC46" s="68"/>
      <c r="AD46" s="68"/>
      <c r="AE46" s="157"/>
      <c r="AF46" s="47"/>
      <c r="AG46" s="47"/>
      <c r="AH46" s="47"/>
      <c r="AI46" s="47"/>
      <c r="AJ46" s="447" t="s">
        <v>249</v>
      </c>
      <c r="AK46" s="447" t="s">
        <v>250</v>
      </c>
    </row>
    <row r="47" spans="1:37" x14ac:dyDescent="0.3">
      <c r="A47" s="67" t="s">
        <v>190</v>
      </c>
      <c r="B47" s="68" t="s">
        <v>251</v>
      </c>
      <c r="C47" s="68" t="s">
        <v>202</v>
      </c>
      <c r="D47" s="68" t="s">
        <v>184</v>
      </c>
      <c r="E47" s="247" t="s">
        <v>928</v>
      </c>
      <c r="F47" s="186" t="s">
        <v>93</v>
      </c>
      <c r="G47" s="257">
        <v>2.3333333333333335</v>
      </c>
      <c r="H47" s="257">
        <v>2.4166666666666665</v>
      </c>
      <c r="I47" s="68"/>
      <c r="J47" s="257">
        <v>2.375</v>
      </c>
      <c r="K47" s="68"/>
      <c r="L47" s="257">
        <v>2.4166666666666665</v>
      </c>
      <c r="M47" s="68" t="s">
        <v>1838</v>
      </c>
      <c r="N47" s="668">
        <v>2.4099537037037035</v>
      </c>
      <c r="O47" s="68"/>
      <c r="P47" s="773">
        <v>2.4</v>
      </c>
      <c r="Q47" s="68"/>
      <c r="R47" s="257">
        <v>2.3632986111111109</v>
      </c>
      <c r="S47" s="68"/>
      <c r="T47" s="78">
        <v>1</v>
      </c>
      <c r="U47" s="68"/>
      <c r="V47" s="68"/>
      <c r="W47" s="68"/>
      <c r="X47" s="68"/>
      <c r="Y47" s="73"/>
      <c r="Z47" s="73"/>
      <c r="AA47" s="73"/>
      <c r="AB47" s="73"/>
      <c r="AC47" s="73"/>
      <c r="AD47" s="73"/>
      <c r="AE47" s="158"/>
      <c r="AF47" s="47"/>
      <c r="AG47" s="47"/>
      <c r="AH47" s="47"/>
      <c r="AI47" s="47"/>
      <c r="AJ47" s="228" t="s">
        <v>26</v>
      </c>
      <c r="AK47" s="448">
        <f>SUMIF($AM$55:$AM$106,AJ47,$AO$55:$AO$106)</f>
        <v>0</v>
      </c>
    </row>
    <row r="48" spans="1:37" x14ac:dyDescent="0.3">
      <c r="A48" s="67" t="s">
        <v>190</v>
      </c>
      <c r="B48" s="68" t="s">
        <v>260</v>
      </c>
      <c r="C48" s="68" t="s">
        <v>202</v>
      </c>
      <c r="D48" s="68" t="s">
        <v>184</v>
      </c>
      <c r="E48" s="247" t="s">
        <v>929</v>
      </c>
      <c r="F48" s="186" t="s">
        <v>93</v>
      </c>
      <c r="G48" s="264">
        <v>1.7361111111111112E-2</v>
      </c>
      <c r="H48" s="264">
        <v>7.6388888888888895E-2</v>
      </c>
      <c r="I48" s="68" t="s">
        <v>1839</v>
      </c>
      <c r="J48" s="542">
        <v>1.0416666666666666E-2</v>
      </c>
      <c r="K48" s="68"/>
      <c r="L48" s="542">
        <v>6.9444444444444441E-3</v>
      </c>
      <c r="M48" s="68" t="s">
        <v>1840</v>
      </c>
      <c r="N48" s="668">
        <v>1.0416666666666666E-2</v>
      </c>
      <c r="O48" s="68" t="s">
        <v>1841</v>
      </c>
      <c r="P48" s="770">
        <v>8.3333333333333332E-3</v>
      </c>
      <c r="Q48" s="68" t="s">
        <v>1842</v>
      </c>
      <c r="R48" s="542">
        <v>1.5972222222222221E-2</v>
      </c>
      <c r="S48" s="68"/>
      <c r="T48" s="68"/>
      <c r="U48" s="68"/>
      <c r="V48" s="68"/>
      <c r="W48" s="68"/>
      <c r="X48" s="68"/>
      <c r="Y48" s="68"/>
      <c r="Z48" s="68"/>
      <c r="AA48" s="68"/>
      <c r="AB48" s="68"/>
      <c r="AC48" s="68"/>
      <c r="AD48" s="68"/>
      <c r="AE48" s="157"/>
      <c r="AF48" s="47"/>
      <c r="AG48" s="47"/>
      <c r="AH48" s="47"/>
      <c r="AI48" s="47"/>
      <c r="AJ48" s="251" t="s">
        <v>27</v>
      </c>
      <c r="AK48" s="449">
        <f>SUMIF($AM$55:$AM$106,AJ48,$AO$55:$AO$106)</f>
        <v>0</v>
      </c>
    </row>
    <row r="49" spans="1:48" x14ac:dyDescent="0.3">
      <c r="A49" s="67" t="s">
        <v>263</v>
      </c>
      <c r="B49" s="68" t="s">
        <v>264</v>
      </c>
      <c r="C49" s="68" t="s">
        <v>265</v>
      </c>
      <c r="D49" s="68" t="s">
        <v>184</v>
      </c>
      <c r="E49" s="247" t="s">
        <v>185</v>
      </c>
      <c r="F49" s="501" t="s">
        <v>93</v>
      </c>
      <c r="G49" s="501" t="s">
        <v>93</v>
      </c>
      <c r="H49" s="588">
        <v>11000</v>
      </c>
      <c r="I49" s="68"/>
      <c r="J49" s="546">
        <v>13000</v>
      </c>
      <c r="K49" s="68"/>
      <c r="L49" s="546">
        <v>15000</v>
      </c>
      <c r="M49" s="68"/>
      <c r="N49" s="668">
        <v>14000</v>
      </c>
      <c r="O49" s="68"/>
      <c r="P49" s="546">
        <v>15000</v>
      </c>
      <c r="Q49" s="68"/>
      <c r="R49" s="1014"/>
      <c r="S49" s="1014"/>
      <c r="T49" s="68"/>
      <c r="U49" s="68"/>
      <c r="V49" s="68"/>
      <c r="W49" s="68"/>
      <c r="X49" s="68"/>
      <c r="Y49" s="73"/>
      <c r="Z49" s="73"/>
      <c r="AA49" s="73"/>
      <c r="AB49" s="73"/>
      <c r="AC49" s="73"/>
      <c r="AD49" s="73"/>
      <c r="AE49" s="158"/>
      <c r="AF49" s="47"/>
      <c r="AG49" s="47"/>
      <c r="AH49" s="47"/>
      <c r="AI49" s="47"/>
      <c r="AJ49" s="228" t="s">
        <v>266</v>
      </c>
      <c r="AK49" s="448">
        <f>SUMIF($AM$55:$AM$106,AJ49,$AO$55:$AO$106)</f>
        <v>0</v>
      </c>
    </row>
    <row r="50" spans="1:48" x14ac:dyDescent="0.3">
      <c r="A50" s="67"/>
      <c r="B50" s="68"/>
      <c r="C50" s="68"/>
      <c r="D50" s="68"/>
      <c r="E50" s="68"/>
      <c r="F50" s="68"/>
      <c r="G50" s="68"/>
      <c r="H50" s="68"/>
      <c r="I50" s="68"/>
      <c r="J50" s="68"/>
      <c r="K50" s="68"/>
      <c r="L50" s="68"/>
      <c r="M50" s="68"/>
      <c r="N50" s="668"/>
      <c r="O50" s="68"/>
      <c r="P50" s="68"/>
      <c r="Q50" s="68"/>
      <c r="R50" s="68"/>
      <c r="S50" s="68"/>
      <c r="T50" s="68"/>
      <c r="U50" s="68"/>
      <c r="V50" s="68"/>
      <c r="W50" s="68"/>
      <c r="X50" s="68"/>
      <c r="Y50" s="68"/>
      <c r="Z50" s="68"/>
      <c r="AA50" s="68"/>
      <c r="AB50" s="68"/>
      <c r="AC50" s="68"/>
      <c r="AD50" s="68"/>
      <c r="AE50" s="157"/>
      <c r="AF50" s="47"/>
      <c r="AG50" s="47"/>
      <c r="AH50" s="47"/>
      <c r="AI50" s="47"/>
      <c r="AJ50" s="251" t="s">
        <v>267</v>
      </c>
      <c r="AK50" s="449">
        <f>SUMIF($AM$55:$AM$106,AJ50,$AO$55:$AO$106)</f>
        <v>0</v>
      </c>
    </row>
    <row r="51" spans="1:48" x14ac:dyDescent="0.3">
      <c r="A51" s="79"/>
      <c r="B51" s="80"/>
      <c r="C51" s="80"/>
      <c r="D51" s="80"/>
      <c r="E51" s="80"/>
      <c r="F51" s="80"/>
      <c r="G51" s="80"/>
      <c r="H51" s="185"/>
      <c r="I51" s="80"/>
      <c r="J51" s="80"/>
      <c r="K51" s="80"/>
      <c r="L51" s="80"/>
      <c r="M51" s="80"/>
      <c r="N51" s="993"/>
      <c r="O51" s="80"/>
      <c r="P51" s="80"/>
      <c r="Q51" s="80"/>
      <c r="R51" s="80"/>
      <c r="S51" s="80"/>
      <c r="T51" s="80"/>
      <c r="U51" s="80"/>
      <c r="V51" s="80"/>
      <c r="W51" s="80"/>
      <c r="X51" s="80"/>
      <c r="Y51" s="73"/>
      <c r="Z51" s="73"/>
      <c r="AA51" s="73"/>
      <c r="AB51" s="73"/>
      <c r="AC51" s="73"/>
      <c r="AD51" s="73"/>
      <c r="AE51" s="158"/>
      <c r="AF51" s="47"/>
      <c r="AG51" s="47"/>
      <c r="AH51" s="47"/>
      <c r="AI51" s="47"/>
      <c r="AJ51" s="228" t="s">
        <v>268</v>
      </c>
      <c r="AK51" s="448">
        <f>SUMIF($AM$55:$AM$106,AJ51,$AO$55:$AO$106)</f>
        <v>0</v>
      </c>
    </row>
    <row r="52" spans="1:48" x14ac:dyDescent="0.3">
      <c r="A52" s="79"/>
      <c r="B52" s="80"/>
      <c r="C52" s="80"/>
      <c r="D52" s="80"/>
      <c r="E52" s="80"/>
      <c r="F52" s="80"/>
      <c r="G52" s="80"/>
      <c r="H52" s="80"/>
      <c r="I52" s="80"/>
      <c r="J52" s="80"/>
      <c r="K52" s="80"/>
      <c r="L52" s="80"/>
      <c r="M52" s="80"/>
      <c r="N52" s="993"/>
      <c r="O52" s="80"/>
      <c r="P52" s="80"/>
      <c r="Q52" s="80"/>
      <c r="R52" s="80"/>
      <c r="S52" s="80"/>
      <c r="T52" s="80"/>
      <c r="U52" s="80"/>
      <c r="V52" s="543"/>
      <c r="W52" s="543"/>
      <c r="X52" s="80"/>
      <c r="Y52" s="544"/>
      <c r="Z52" s="544"/>
      <c r="AA52" s="544"/>
      <c r="AB52" s="544"/>
      <c r="AC52" s="544"/>
      <c r="AD52" s="544"/>
      <c r="AE52" s="545"/>
      <c r="AF52" s="47"/>
      <c r="AG52" s="47"/>
      <c r="AH52" s="47"/>
      <c r="AI52" s="47"/>
      <c r="AJ52" s="47"/>
    </row>
    <row r="53" spans="1:48" ht="15.6" x14ac:dyDescent="0.3">
      <c r="A53" s="208" t="s">
        <v>269</v>
      </c>
      <c r="B53" s="208"/>
      <c r="C53" s="208"/>
      <c r="D53" s="208"/>
      <c r="E53" s="208"/>
      <c r="F53" s="208"/>
      <c r="G53" s="208"/>
      <c r="H53" s="208"/>
      <c r="I53" s="208"/>
      <c r="J53" s="208"/>
      <c r="K53" s="208"/>
      <c r="L53" s="208"/>
      <c r="M53" s="208"/>
      <c r="N53" s="994"/>
      <c r="O53" s="82"/>
      <c r="P53" s="208"/>
      <c r="Q53" s="208"/>
      <c r="R53" s="208"/>
      <c r="S53" s="82"/>
      <c r="T53" s="82"/>
      <c r="U53" s="1784" t="s">
        <v>270</v>
      </c>
      <c r="V53" s="1784"/>
      <c r="W53" s="1784"/>
      <c r="X53" s="209"/>
      <c r="Y53" s="204" t="s">
        <v>271</v>
      </c>
      <c r="Z53" s="204"/>
      <c r="AA53" s="204"/>
      <c r="AB53" s="204"/>
      <c r="AC53" s="204" t="s">
        <v>272</v>
      </c>
      <c r="AD53" s="204"/>
      <c r="AE53" s="204"/>
      <c r="AF53" s="204"/>
      <c r="AG53" s="204" t="s">
        <v>273</v>
      </c>
      <c r="AH53" s="204"/>
      <c r="AI53" s="204"/>
      <c r="AJ53" s="204"/>
      <c r="AK53" s="83"/>
      <c r="AL53" s="82"/>
      <c r="AM53" s="1410"/>
      <c r="AN53" s="1410"/>
      <c r="AO53" s="1410"/>
      <c r="AP53" s="47"/>
      <c r="AU53" s="975">
        <f>SUM(AU55:AU176)</f>
        <v>1240725.8558333332</v>
      </c>
      <c r="AV53" s="975">
        <f>SUM(AV55:AV176)</f>
        <v>2808030.1760606058</v>
      </c>
    </row>
    <row r="54" spans="1:48" ht="36" customHeight="1" x14ac:dyDescent="0.3">
      <c r="A54" s="260" t="s">
        <v>950</v>
      </c>
      <c r="B54" s="84" t="s">
        <v>275</v>
      </c>
      <c r="C54" s="946" t="s">
        <v>276</v>
      </c>
      <c r="D54" s="84" t="s">
        <v>277</v>
      </c>
      <c r="E54" s="260" t="s">
        <v>278</v>
      </c>
      <c r="F54" s="260" t="s">
        <v>279</v>
      </c>
      <c r="G54" s="260" t="s">
        <v>280</v>
      </c>
      <c r="H54" s="260" t="s">
        <v>281</v>
      </c>
      <c r="I54" s="260" t="s">
        <v>951</v>
      </c>
      <c r="J54" s="84" t="s">
        <v>283</v>
      </c>
      <c r="K54" s="250" t="s">
        <v>284</v>
      </c>
      <c r="L54" s="348" t="s">
        <v>285</v>
      </c>
      <c r="M54" s="260" t="s">
        <v>952</v>
      </c>
      <c r="N54" s="995" t="s">
        <v>287</v>
      </c>
      <c r="O54" s="260" t="s">
        <v>72</v>
      </c>
      <c r="P54" s="84" t="s">
        <v>288</v>
      </c>
      <c r="Q54" s="84" t="s">
        <v>289</v>
      </c>
      <c r="R54" s="84" t="s">
        <v>143</v>
      </c>
      <c r="S54" s="260"/>
      <c r="T54" s="84" t="s">
        <v>291</v>
      </c>
      <c r="U54" s="261">
        <v>46023</v>
      </c>
      <c r="V54" s="261">
        <v>46054</v>
      </c>
      <c r="W54" s="261">
        <v>46082</v>
      </c>
      <c r="X54" s="260" t="s">
        <v>292</v>
      </c>
      <c r="Y54" s="261">
        <v>46113</v>
      </c>
      <c r="Z54" s="261">
        <v>46143</v>
      </c>
      <c r="AA54" s="261">
        <v>46174</v>
      </c>
      <c r="AB54" s="260" t="s">
        <v>293</v>
      </c>
      <c r="AC54" s="262">
        <v>46204</v>
      </c>
      <c r="AD54" s="262">
        <v>46235</v>
      </c>
      <c r="AE54" s="262">
        <v>46266</v>
      </c>
      <c r="AF54" s="260" t="s">
        <v>294</v>
      </c>
      <c r="AG54" s="262">
        <v>46296</v>
      </c>
      <c r="AH54" s="262">
        <v>46327</v>
      </c>
      <c r="AI54" s="262">
        <v>46357</v>
      </c>
      <c r="AJ54" s="260" t="s">
        <v>295</v>
      </c>
      <c r="AK54" s="84" t="s">
        <v>296</v>
      </c>
      <c r="AL54" s="84" t="s">
        <v>297</v>
      </c>
      <c r="AM54" s="84" t="s">
        <v>244</v>
      </c>
      <c r="AN54" s="84" t="s">
        <v>298</v>
      </c>
      <c r="AO54" s="84" t="s">
        <v>299</v>
      </c>
      <c r="AP54" s="62" t="s">
        <v>300</v>
      </c>
      <c r="AR54" s="507" t="s">
        <v>301</v>
      </c>
      <c r="AU54" s="507" t="s">
        <v>302</v>
      </c>
      <c r="AV54" s="507" t="s">
        <v>303</v>
      </c>
    </row>
    <row r="55" spans="1:48" ht="42" customHeight="1" x14ac:dyDescent="0.3">
      <c r="A55" s="1380" t="s">
        <v>59</v>
      </c>
      <c r="B55" s="2341" t="s">
        <v>97</v>
      </c>
      <c r="C55" s="2294" t="s">
        <v>1843</v>
      </c>
      <c r="D55" s="2286" t="s">
        <v>1844</v>
      </c>
      <c r="E55" s="1368" t="s">
        <v>1845</v>
      </c>
      <c r="F55" s="1370" t="s">
        <v>1846</v>
      </c>
      <c r="G55" s="1372">
        <v>46023</v>
      </c>
      <c r="H55" s="1372">
        <v>46080</v>
      </c>
      <c r="I55" s="1354">
        <v>218726.78</v>
      </c>
      <c r="J55" s="1376">
        <v>46054</v>
      </c>
      <c r="K55" s="1389">
        <f>IF(J55="", "", 12 - MONTH(J55) + 1)</f>
        <v>11</v>
      </c>
      <c r="L55" s="1354"/>
      <c r="M55" s="1350" t="s">
        <v>308</v>
      </c>
      <c r="N55" s="1391">
        <f>218726.78</f>
        <v>218726.78</v>
      </c>
      <c r="O55" s="1327" t="s">
        <v>81</v>
      </c>
      <c r="P55" s="1673"/>
      <c r="Q55" s="1673"/>
      <c r="R55" s="1327">
        <v>1</v>
      </c>
      <c r="S55" s="87" t="s">
        <v>116</v>
      </c>
      <c r="T55" s="91">
        <f>AVERAGE([32]Estrutura!$I$5:$I$8)</f>
        <v>1</v>
      </c>
      <c r="U55" s="287">
        <f>IFERROR(IF(AND(U$54&gt;=EOMONTH($J55,-1)+1,U$54&lt;=EOMONTH(EOMONTH($J55,-1)+1,$K55-1)),IF(NOT(ISBLANK($N55)),$N55/$K55,$I55/$K55),0),0)</f>
        <v>0</v>
      </c>
      <c r="V55" s="287">
        <f>IFERROR(IF(AND(V$54&gt;=EOMONTH($J55,-1)+1,V$54&lt;=EOMONTH(EOMONTH($J55,-1)+1,$K55-1)),IF(NOT(ISBLANK($N55)),$N55/$K55,$I55/$K55),0),0)</f>
        <v>19884.252727272727</v>
      </c>
      <c r="W55" s="287">
        <f>IFERROR(IF(AND(W$54&gt;=EOMONTH($J55,-1)+1,W$54&lt;=EOMONTH(EOMONTH($J55,-1)+1,$K55-1)),IF(NOT(ISBLANK($N55)),$N55/$K55,$I55/$K55),0),0)</f>
        <v>19884.252727272727</v>
      </c>
      <c r="X55" s="89">
        <f t="shared" ref="X55:X60" si="11">SUM(U55:W55)</f>
        <v>39768.505454545455</v>
      </c>
      <c r="Y55" s="287">
        <f>IFERROR(IF(AND(Y$54&gt;=EOMONTH($J55,-1)+1,Y$54&lt;=EOMONTH(EOMONTH($J55,-1)+1,$K55-1)),IF(NOT(ISBLANK($N55)),$N55/$K55,$I55/$K55),0),0)</f>
        <v>19884.252727272727</v>
      </c>
      <c r="Z55" s="287">
        <f>IFERROR(IF(AND(Z$54&gt;=EOMONTH($J55,-1)+1,Z$54&lt;=EOMONTH(EOMONTH($J55,-1)+1,$K55-1)),IF(NOT(ISBLANK($N55)),$N55/$K55,$I55/$K55),0),0)</f>
        <v>19884.252727272727</v>
      </c>
      <c r="AA55" s="287">
        <f>IFERROR(IF(AND(AA$54&gt;=EOMONTH($J55,-1)+1,AA$54&lt;=EOMONTH(EOMONTH($J55,-1)+1,$K55-1)),IF(NOT(ISBLANK($N55)),$N55/$K55,$I55/$K55),0),0)</f>
        <v>19884.252727272727</v>
      </c>
      <c r="AB55" s="89">
        <f t="shared" ref="AB55:AB60" si="12">SUM(Y55:AA55)</f>
        <v>59652.758181818179</v>
      </c>
      <c r="AC55" s="287">
        <f>IFERROR(IF(AND(AC$54&gt;=EOMONTH($J55,-1)+1,AC$54&lt;=EOMONTH(EOMONTH($J55,-1)+1,$K55-1)),IF(NOT(ISBLANK($N55)),$N55/$K55,$I55/$K55),0),0)</f>
        <v>19884.252727272727</v>
      </c>
      <c r="AD55" s="287">
        <f>IFERROR(IF(AND(AD$54&gt;=EOMONTH($J55,-1)+1,AD$54&lt;=EOMONTH(EOMONTH($J55,-1)+1,$K55-1)),IF(NOT(ISBLANK($N55)),$N55/$K55,$I55/$K55),0),0)</f>
        <v>19884.252727272727</v>
      </c>
      <c r="AE55" s="287">
        <f>IFERROR(IF(AND(AE$54&gt;=EOMONTH($J55,-1)+1,AE$54&lt;=EOMONTH(EOMONTH($J55,-1)+1,$K55-1)),IF(NOT(ISBLANK($N55)),$N55/$K55,$I55/$K55),0),0)</f>
        <v>19884.252727272727</v>
      </c>
      <c r="AF55" s="89">
        <f t="shared" ref="AF55:AF60" si="13">SUM(AC55:AE55)</f>
        <v>59652.758181818179</v>
      </c>
      <c r="AG55" s="287">
        <f>IFERROR(IF(AND(AG$54&gt;=EOMONTH($J55,-1)+1,AG$54&lt;=EOMONTH(EOMONTH($J55,-1)+1,$K55-1)),IF(NOT(ISBLANK($N55)),$N55/$K55,$I55/$K55),0),0)</f>
        <v>19884.252727272727</v>
      </c>
      <c r="AH55" s="287">
        <f>IFERROR(IF(AND(AH$54&gt;=EOMONTH($J55,-1)+1,AH$54&lt;=EOMONTH(EOMONTH($J55,-1)+1,$K55-1)),IF(NOT(ISBLANK($N55)),$N55/$K55,$I55/$K55),0),0)</f>
        <v>19884.252727272727</v>
      </c>
      <c r="AI55" s="287">
        <f>IFERROR(IF(AND(AI$54&gt;=EOMONTH($J55,-1)+1,AI$54&lt;=EOMONTH(EOMONTH($J55,-1)+1,$K55-1)),IF(NOT(ISBLANK($N55)),$N55/$K55,$I55/$K55),0),0)</f>
        <v>19884.252727272727</v>
      </c>
      <c r="AJ55" s="89">
        <f t="shared" ref="AJ55:AJ100" si="14">SUM(AG55:AI55)</f>
        <v>59652.758181818179</v>
      </c>
      <c r="AK55" s="90">
        <f>SUM(X55,AB55,AF55,AJ55)</f>
        <v>218726.78</v>
      </c>
      <c r="AL55" s="98" t="s">
        <v>1847</v>
      </c>
      <c r="AM55" s="1370"/>
      <c r="AN55" s="1411"/>
      <c r="AO55" s="1405">
        <f>N55*AN55</f>
        <v>0</v>
      </c>
      <c r="AP55" s="62" t="str">
        <f>C55</f>
        <v>01 - Redução de Refugo</v>
      </c>
      <c r="AQ55" s="62" t="s">
        <v>311</v>
      </c>
      <c r="AR55" s="508" cm="1">
        <f t="array" aca="1" ref="AR55" ca="1">IF(OR(AP55="",AP55=0),"",IF(SUMPRODUCT(($C$55:$C$142=AP55)*(U$54:$AI$54&lt;EOMONTH(TODAY(),-1)+1)*(ISNUMBER(U$55:$AI$142)),U$55:$AI$142)=0,"",SUMPRODUCT(($C$55:$C$142=AP55)*(U$54:$AI$54&lt;EOMONTH(TODAY(),-1)+1)*(ISNUMBER(U$55:$AI$142)),U$55:$AI$142)))</f>
        <v>119305.51636363637</v>
      </c>
      <c r="AS55" s="62" t="str">
        <f>A55</f>
        <v>Kaizen - Ganho Recorrente</v>
      </c>
      <c r="AU55" s="1566">
        <f>IF(OR(I55="",K55=""),0,(I55/12)*K55)</f>
        <v>200499.54833333334</v>
      </c>
      <c r="AV55" s="1566">
        <f>IF(OR(N55="",K55="",K55=0),0,(N55/K55)*12)</f>
        <v>238611.03272727272</v>
      </c>
    </row>
    <row r="56" spans="1:48" ht="29.1" customHeight="1" x14ac:dyDescent="0.3">
      <c r="A56" s="1380"/>
      <c r="B56" s="2342"/>
      <c r="C56" s="2295"/>
      <c r="D56" s="2286"/>
      <c r="E56" s="1368"/>
      <c r="F56" s="1370"/>
      <c r="G56" s="1372"/>
      <c r="H56" s="1372"/>
      <c r="I56" s="1354"/>
      <c r="J56" s="1376"/>
      <c r="K56" s="1389"/>
      <c r="L56" s="1354"/>
      <c r="M56" s="1350"/>
      <c r="N56" s="1391"/>
      <c r="O56" s="1327"/>
      <c r="P56" s="1674"/>
      <c r="Q56" s="1674"/>
      <c r="R56" s="1327"/>
      <c r="S56" s="87" t="s">
        <v>117</v>
      </c>
      <c r="T56" s="91">
        <f>AVERAGE([32]Estrutura!$J$5:$J$8)</f>
        <v>1</v>
      </c>
      <c r="U56" s="547">
        <v>7696.79</v>
      </c>
      <c r="V56" s="547">
        <v>38554.160000000003</v>
      </c>
      <c r="W56" s="547">
        <v>40155.120000000003</v>
      </c>
      <c r="X56" s="89">
        <f>SUM(U56:W56)</f>
        <v>86406.07</v>
      </c>
      <c r="Y56" s="547">
        <v>33290.06</v>
      </c>
      <c r="Z56" s="547">
        <v>29879.71</v>
      </c>
      <c r="AA56" s="547">
        <v>20395.13</v>
      </c>
      <c r="AB56" s="89">
        <f t="shared" si="12"/>
        <v>83564.899999999994</v>
      </c>
      <c r="AC56" s="547">
        <v>16487.34</v>
      </c>
      <c r="AD56" s="287" t="s">
        <v>959</v>
      </c>
      <c r="AE56" s="287" t="s">
        <v>959</v>
      </c>
      <c r="AF56" s="89">
        <f t="shared" si="13"/>
        <v>16487.34</v>
      </c>
      <c r="AG56" s="287" t="s">
        <v>959</v>
      </c>
      <c r="AH56" s="287" t="s">
        <v>959</v>
      </c>
      <c r="AI56" s="287" t="s">
        <v>959</v>
      </c>
      <c r="AJ56" s="89">
        <f t="shared" si="14"/>
        <v>0</v>
      </c>
      <c r="AK56" s="289">
        <f t="shared" ref="AK56:AK58" si="15">SUM(X56,AB56,AF56,AJ56)</f>
        <v>186458.31</v>
      </c>
      <c r="AL56" s="92"/>
      <c r="AM56" s="1370"/>
      <c r="AN56" s="1411"/>
      <c r="AO56" s="1405"/>
      <c r="AP56" s="62" t="str">
        <f>C55</f>
        <v>01 - Redução de Refugo</v>
      </c>
      <c r="AQ56" s="62" t="s">
        <v>313</v>
      </c>
      <c r="AR56" s="508" cm="1">
        <f t="array" aca="1" ref="AR56" ca="1">IF(OR(AP56="",AP56=0),"",IF(SUMPRODUCT(($C$55:$C$142=AP56)*(U$54:$AI$54&lt;EOMONTH(TODAY(),-1)+1)*(ISNUMBER(U$56:$AI$143)),U$56:$AI$143)=0,"",SUMPRODUCT(($C$55:$C$142=AP56)*(U$54:$AI$54&lt;EOMONTH(TODAY(),-1)+1)*(ISNUMBER(U$56:$AI$143)),U$56:$AI$143)))</f>
        <v>186458.31</v>
      </c>
      <c r="AS56" s="62" t="str">
        <f>A55</f>
        <v>Kaizen - Ganho Recorrente</v>
      </c>
      <c r="AU56" s="1567"/>
      <c r="AV56" s="1567"/>
    </row>
    <row r="57" spans="1:48" ht="29.1" customHeight="1" x14ac:dyDescent="0.3">
      <c r="A57" s="1407" t="s">
        <v>91</v>
      </c>
      <c r="B57" s="1407" t="s">
        <v>95</v>
      </c>
      <c r="C57" s="2293" t="s">
        <v>1848</v>
      </c>
      <c r="D57" s="1356" t="s">
        <v>1849</v>
      </c>
      <c r="E57" s="1449" t="s">
        <v>1850</v>
      </c>
      <c r="F57" s="1451" t="s">
        <v>1851</v>
      </c>
      <c r="G57" s="1366">
        <v>46114</v>
      </c>
      <c r="H57" s="1366">
        <v>46300</v>
      </c>
      <c r="I57" s="1488">
        <v>37356.410000000003</v>
      </c>
      <c r="J57" s="2284">
        <v>46331</v>
      </c>
      <c r="K57" s="1387">
        <f>IF(J57="", "", 12 - MONTH(J57) + 1)</f>
        <v>2</v>
      </c>
      <c r="L57" s="1395"/>
      <c r="M57" s="1347"/>
      <c r="N57" s="1728"/>
      <c r="O57" s="1334" t="s">
        <v>83</v>
      </c>
      <c r="P57" s="2129" t="s">
        <v>1852</v>
      </c>
      <c r="Q57" s="2115">
        <v>46237</v>
      </c>
      <c r="R57" s="1334">
        <v>1</v>
      </c>
      <c r="S57" s="93" t="s">
        <v>116</v>
      </c>
      <c r="T57" s="96">
        <f>AVERAGE([33]Estrutura!$I$5:$I$13)</f>
        <v>0.65226337448559668</v>
      </c>
      <c r="U57" s="498">
        <f>IFERROR(IF(AND(U$54&gt;=EOMONTH($J57,-1)+1,U$54&lt;=EOMONTH(EOMONTH($J57,-1)+1,$K57-1)),IF(NOT(ISBLANK($N57)),$N57/$K57,$I57/$K57),0),0)</f>
        <v>0</v>
      </c>
      <c r="V57" s="498">
        <f>IFERROR(IF(AND(V$54&gt;=EOMONTH($J57,-1)+1,V$54&lt;=EOMONTH(EOMONTH($J57,-1)+1,$K57-1)),IF(NOT(ISBLANK($N57)),$N57/$K57,$I57/$K57),0),0)</f>
        <v>0</v>
      </c>
      <c r="W57" s="498">
        <f>IFERROR(IF(AND(W$54&gt;=EOMONTH($J57,-1)+1,W$54&lt;=EOMONTH(EOMONTH($J57,-1)+1,$K57-1)),IF(NOT(ISBLANK($N57)),$N57/$K57,$I57/$K57),0),0)</f>
        <v>0</v>
      </c>
      <c r="X57" s="89">
        <f t="shared" ref="X57" si="16">SUM(U57:W57)</f>
        <v>0</v>
      </c>
      <c r="Y57" s="498">
        <f>IFERROR(IF(AND(Y$54&gt;=EOMONTH($J57,-1)+1,Y$54&lt;=EOMONTH(EOMONTH($J57,-1)+1,$K57-1)),IF(NOT(ISBLANK($N57)),$N57/$K57,$I57/$K57),0),0)</f>
        <v>0</v>
      </c>
      <c r="Z57" s="888">
        <f>IFERROR(IF(AND(Z$54&gt;=EOMONTH($J57,-1)+1,Z$54&lt;=EOMONTH(EOMONTH($J57,-1)+1,$K57-1)),IF(NOT(ISBLANK($N57)),$N57/$K57,$I57/$K57),0),0)</f>
        <v>0</v>
      </c>
      <c r="AA57" s="498">
        <f>IFERROR(IF(AND(AA$54&gt;=EOMONTH($J57,-1)+1,AA$54&lt;=EOMONTH(EOMONTH($J57,-1)+1,$K57-1)),IF(NOT(ISBLANK($N57)),$N57/$K57,$I57/$K57),0),0)</f>
        <v>0</v>
      </c>
      <c r="AB57" s="89">
        <f t="shared" ref="AB57" si="17">SUM(Y57:AA57)</f>
        <v>0</v>
      </c>
      <c r="AC57" s="498">
        <f>IFERROR(IF(AND(AC$54&gt;=EOMONTH($J57,-1)+1,AC$54&lt;=EOMONTH(EOMONTH($J57,-1)+1,$K57-1)),IF(NOT(ISBLANK($N57)),$N57/$K57,$I57/$K57),0),0)</f>
        <v>0</v>
      </c>
      <c r="AD57" s="498">
        <f>IFERROR(IF(AND(AD$54&gt;=EOMONTH($J57,-1)+1,AD$54&lt;=EOMONTH(EOMONTH($J57,-1)+1,$K57-1)),IF(NOT(ISBLANK($N57)),$N57/$K57,$I57/$K57),0),0)</f>
        <v>0</v>
      </c>
      <c r="AE57" s="498">
        <f>IFERROR(IF(AND(AE$54&gt;=EOMONTH($J57,-1)+1,AE$54&lt;=EOMONTH(EOMONTH($J57,-1)+1,$K57-1)),IF(NOT(ISBLANK($N57)),$N57/$K57,$I57/$K57),0),0)</f>
        <v>0</v>
      </c>
      <c r="AF57" s="89">
        <f t="shared" ref="AF57" si="18">SUM(AC57:AE57)</f>
        <v>0</v>
      </c>
      <c r="AG57" s="498">
        <f>IFERROR(IF(AND(AG$54&gt;=EOMONTH($J57,-1)+1,AG$54&lt;=EOMONTH(EOMONTH($J57,-1)+1,$K57-1)),IF(NOT(ISBLANK($N57)),$N57/$K57,$I57/$K57),0),0)</f>
        <v>0</v>
      </c>
      <c r="AH57" s="498">
        <f>IFERROR(IF(AND(AH$54&gt;=EOMONTH($J57,-1)+1,AH$54&lt;=EOMONTH(EOMONTH($J57,-1)+1,$K57-1)),IF(NOT(ISBLANK($N57)),$N57/$K57,$I57/$K57),0),0)</f>
        <v>18678.205000000002</v>
      </c>
      <c r="AI57" s="498">
        <f>IFERROR(IF(AND(AI$54&gt;=EOMONTH($J57,-1)+1,AI$54&lt;=EOMONTH(EOMONTH($J57,-1)+1,$K57-1)),IF(NOT(ISBLANK($N57)),$N57/$K57,$I57/$K57),0),0)</f>
        <v>18678.205000000002</v>
      </c>
      <c r="AJ57" s="89">
        <f t="shared" si="14"/>
        <v>37356.410000000003</v>
      </c>
      <c r="AK57" s="95">
        <f t="shared" si="15"/>
        <v>37356.410000000003</v>
      </c>
      <c r="AL57" s="97"/>
      <c r="AM57" s="1407"/>
      <c r="AN57" s="1334"/>
      <c r="AO57" s="1403">
        <f>N57*AN57</f>
        <v>0</v>
      </c>
      <c r="AP57" s="62" t="str">
        <f>C57</f>
        <v xml:space="preserve">02 -  REDUÇÃO DE PESO BRUTO DD000506Z
</v>
      </c>
      <c r="AQ57" s="62" t="s">
        <v>311</v>
      </c>
      <c r="AR57" s="508" t="str" cm="1">
        <f t="array" aca="1" ref="AR57" ca="1">IF(OR(AP57="",AP57=0),"",IF(SUMPRODUCT(($C$55:$C$142=AP57)*(U$54:$AI$54&lt;EOMONTH(TODAY(),-1)+1)*(ISNUMBER(U$55:$AI$142)),U$55:$AI$142)=0,"",SUMPRODUCT(($C$55:$C$142=AP57)*(U$54:$AI$54&lt;EOMONTH(TODAY(),-1)+1)*(ISNUMBER(U$55:$AI$142)),U$55:$AI$142)))</f>
        <v/>
      </c>
      <c r="AS57" s="62" t="str">
        <f>A57</f>
        <v>BSW</v>
      </c>
      <c r="AU57" s="1566">
        <f t="shared" ref="AU57" si="19">IF(OR(I57="",K57=""),0,(I57/12)*K57)</f>
        <v>6226.0683333333336</v>
      </c>
      <c r="AV57" s="1566">
        <f t="shared" ref="AV57" si="20">IF(OR(N57="",K57="",K57=0),0,(N57/K57)*12)</f>
        <v>0</v>
      </c>
    </row>
    <row r="58" spans="1:48" ht="54" customHeight="1" x14ac:dyDescent="0.3">
      <c r="A58" s="1407"/>
      <c r="B58" s="1408"/>
      <c r="C58" s="1817"/>
      <c r="D58" s="1356"/>
      <c r="E58" s="1449"/>
      <c r="F58" s="1451"/>
      <c r="G58" s="1366"/>
      <c r="H58" s="1366"/>
      <c r="I58" s="1488"/>
      <c r="J58" s="2284"/>
      <c r="K58" s="1387"/>
      <c r="L58" s="1395"/>
      <c r="M58" s="1347"/>
      <c r="N58" s="1728"/>
      <c r="O58" s="1334"/>
      <c r="P58" s="1672"/>
      <c r="Q58" s="2116"/>
      <c r="R58" s="1334"/>
      <c r="S58" s="93" t="s">
        <v>117</v>
      </c>
      <c r="T58" s="96">
        <f>AVERAGE([33]Estrutura!$J$5:$J$13)</f>
        <v>0.82857142857142851</v>
      </c>
      <c r="U58" s="290" t="s">
        <v>959</v>
      </c>
      <c r="V58" s="290" t="s">
        <v>959</v>
      </c>
      <c r="W58" s="290" t="s">
        <v>959</v>
      </c>
      <c r="X58" s="89">
        <f t="shared" si="11"/>
        <v>0</v>
      </c>
      <c r="Y58" s="290" t="s">
        <v>959</v>
      </c>
      <c r="Z58" s="290" t="s">
        <v>959</v>
      </c>
      <c r="AA58" s="290" t="s">
        <v>959</v>
      </c>
      <c r="AB58" s="89">
        <f t="shared" si="12"/>
        <v>0</v>
      </c>
      <c r="AC58" s="290" t="s">
        <v>959</v>
      </c>
      <c r="AD58" s="290" t="s">
        <v>959</v>
      </c>
      <c r="AE58" s="290" t="s">
        <v>959</v>
      </c>
      <c r="AF58" s="89">
        <f t="shared" si="13"/>
        <v>0</v>
      </c>
      <c r="AG58" s="290" t="s">
        <v>959</v>
      </c>
      <c r="AH58" s="290" t="s">
        <v>959</v>
      </c>
      <c r="AI58" s="290" t="s">
        <v>959</v>
      </c>
      <c r="AJ58" s="89">
        <f t="shared" si="14"/>
        <v>0</v>
      </c>
      <c r="AK58" s="291">
        <f t="shared" si="15"/>
        <v>0</v>
      </c>
      <c r="AL58" s="97"/>
      <c r="AM58" s="1407"/>
      <c r="AN58" s="1334"/>
      <c r="AO58" s="1403"/>
      <c r="AP58" s="62" t="str">
        <f>C57</f>
        <v xml:space="preserve">02 -  REDUÇÃO DE PESO BRUTO DD000506Z
</v>
      </c>
      <c r="AQ58" s="62" t="s">
        <v>313</v>
      </c>
      <c r="AR58" s="508" t="str" cm="1">
        <f t="array" aca="1" ref="AR58" ca="1">IF(OR(AP58="",AP58=0),"",IF(SUMPRODUCT(($C$55:$C$142=AP58)*(U$54:$AI$54&lt;EOMONTH(TODAY(),-1)+1)*(ISNUMBER(U$56:$AI$143)),U$56:$AI$143)=0,"",SUMPRODUCT(($C$55:$C$142=AP58)*(U$54:$AI$54&lt;EOMONTH(TODAY(),-1)+1)*(ISNUMBER(U$56:$AI$143)),U$56:$AI$143)))</f>
        <v/>
      </c>
      <c r="AS58" s="62" t="str">
        <f>A57</f>
        <v>BSW</v>
      </c>
      <c r="AU58" s="1567"/>
      <c r="AV58" s="1567"/>
    </row>
    <row r="59" spans="1:48" ht="48.6" customHeight="1" x14ac:dyDescent="0.3">
      <c r="A59" s="1380" t="s">
        <v>91</v>
      </c>
      <c r="B59" s="1691" t="s">
        <v>95</v>
      </c>
      <c r="C59" s="1482" t="s">
        <v>1853</v>
      </c>
      <c r="D59" s="1486" t="s">
        <v>1854</v>
      </c>
      <c r="E59" s="1368" t="s">
        <v>1855</v>
      </c>
      <c r="F59" s="1370" t="s">
        <v>1856</v>
      </c>
      <c r="G59" s="1372">
        <v>45785</v>
      </c>
      <c r="H59" s="1372">
        <v>46313</v>
      </c>
      <c r="I59" s="1354">
        <v>40000</v>
      </c>
      <c r="J59" s="1376">
        <v>46327</v>
      </c>
      <c r="K59" s="1389">
        <f t="shared" ref="K59" si="21">IF(J59="", "", 12 - MONTH(J59) + 1)</f>
        <v>2</v>
      </c>
      <c r="L59" s="2275"/>
      <c r="M59" s="1350"/>
      <c r="N59" s="1391"/>
      <c r="O59" s="1327" t="s">
        <v>83</v>
      </c>
      <c r="P59" s="2127" t="s">
        <v>1857</v>
      </c>
      <c r="Q59" s="1669">
        <v>46259</v>
      </c>
      <c r="R59" s="1327">
        <v>1</v>
      </c>
      <c r="S59" s="87" t="s">
        <v>116</v>
      </c>
      <c r="T59" s="91">
        <f>AVERAGE([34]Estrutura!$I$5:$I$14)</f>
        <v>0.58933333333333338</v>
      </c>
      <c r="U59" s="287">
        <f>IFERROR(IF(AND(U$54&gt;=EOMONTH($J59,-1)+1,U$54&lt;=EOMONTH(EOMONTH($J59,-1)+1,$K59-1)),IF(NOT(ISBLANK($N59)),$N59/$K59,$I59/$K59),0),0)</f>
        <v>0</v>
      </c>
      <c r="V59" s="287">
        <f>IFERROR(IF(AND(V$54&gt;=EOMONTH($J59,-1)+1,V$54&lt;=EOMONTH(EOMONTH($J59,-1)+1,$K59-1)),IF(NOT(ISBLANK($N59)),$N59/$K59,$I59/$K59),0),0)</f>
        <v>0</v>
      </c>
      <c r="W59" s="287">
        <f>IFERROR(IF(AND(W$54&gt;=EOMONTH($J59,-1)+1,W$54&lt;=EOMONTH(EOMONTH($J59,-1)+1,$K59-1)),IF(NOT(ISBLANK($N59)),$N59/$K59,$I59/$K59),0),0)</f>
        <v>0</v>
      </c>
      <c r="X59" s="89">
        <f t="shared" ref="X59" si="22">SUM(U59:W59)</f>
        <v>0</v>
      </c>
      <c r="Y59" s="287">
        <f>IFERROR(IF(AND(Y$54&gt;=EOMONTH($J59,-1)+1,Y$54&lt;=EOMONTH(EOMONTH($J59,-1)+1,$K59-1)),IF(NOT(ISBLANK($N59)),$N59/$K59,$I59/$K59),0),0)</f>
        <v>0</v>
      </c>
      <c r="Z59" s="527">
        <f>IFERROR(IF(AND(Z$54&gt;=EOMONTH($J59,-1)+1,Z$54&lt;=EOMONTH(EOMONTH($J59,-1)+1,$K59-1)),IF(NOT(ISBLANK($N59)),$N59/$K59,$I59/$K59),0),0)</f>
        <v>0</v>
      </c>
      <c r="AA59" s="287">
        <f>IFERROR(IF(AND(AA$54&gt;=EOMONTH($J59,-1)+1,AA$54&lt;=EOMONTH(EOMONTH($J59,-1)+1,$K59-1)),IF(NOT(ISBLANK($N59)),$N59/$K59,$I59/$K59),0),0)</f>
        <v>0</v>
      </c>
      <c r="AB59" s="89">
        <f t="shared" ref="AB59" si="23">SUM(Y59:AA59)</f>
        <v>0</v>
      </c>
      <c r="AC59" s="287">
        <f>IFERROR(IF(AND(AC$54&gt;=EOMONTH($J59,-1)+1,AC$54&lt;=EOMONTH(EOMONTH($J59,-1)+1,$K59-1)),IF(NOT(ISBLANK($N59)),$N59/$K59,$I59/$K59),0),0)</f>
        <v>0</v>
      </c>
      <c r="AD59" s="287">
        <f>IFERROR(IF(AND(AD$54&gt;=EOMONTH($J59,-1)+1,AD$54&lt;=EOMONTH(EOMONTH($J59,-1)+1,$K59-1)),IF(NOT(ISBLANK($N59)),$N59/$K59,$I59/$K59),0),0)</f>
        <v>0</v>
      </c>
      <c r="AE59" s="287">
        <f>IFERROR(IF(AND(AE$54&gt;=EOMONTH($J59,-1)+1,AE$54&lt;=EOMONTH(EOMONTH($J59,-1)+1,$K59-1)),IF(NOT(ISBLANK($N59)),$N59/$K59,$I59/$K59),0),0)</f>
        <v>0</v>
      </c>
      <c r="AF59" s="89">
        <f t="shared" ref="AF59" si="24">SUM(AC59:AE59)</f>
        <v>0</v>
      </c>
      <c r="AG59" s="287">
        <f>IFERROR(IF(AND(AG$54&gt;=EOMONTH($J59,-1)+1,AG$54&lt;=EOMONTH(EOMONTH($J59,-1)+1,$K59-1)),IF(NOT(ISBLANK($N59)),$N59/$K59,$I59/$K59),0),0)</f>
        <v>0</v>
      </c>
      <c r="AH59" s="287">
        <f>IFERROR(IF(AND(AH$54&gt;=EOMONTH($J59,-1)+1,AH$54&lt;=EOMONTH(EOMONTH($J59,-1)+1,$K59-1)),IF(NOT(ISBLANK($N59)),$N59/$K59,$I59/$K59),0),0)</f>
        <v>20000</v>
      </c>
      <c r="AI59" s="287">
        <f>IFERROR(IF(AND(AI$54&gt;=EOMONTH($J59,-1)+1,AI$54&lt;=EOMONTH(EOMONTH($J59,-1)+1,$K59-1)),IF(NOT(ISBLANK($N59)),$N59/$K59,$I59/$K59),0),0)</f>
        <v>20000</v>
      </c>
      <c r="AJ59" s="89">
        <f t="shared" si="14"/>
        <v>40000</v>
      </c>
      <c r="AK59" s="90">
        <f>SUM(X59,AB59,AF59,AJ59)</f>
        <v>40000</v>
      </c>
      <c r="AL59" s="98"/>
      <c r="AM59" s="1370"/>
      <c r="AN59" s="1411"/>
      <c r="AO59" s="1405">
        <f>N59*AN59</f>
        <v>0</v>
      </c>
      <c r="AP59" s="62" t="str">
        <f>C59</f>
        <v>03- Comunização de Materiais</v>
      </c>
      <c r="AQ59" s="62" t="s">
        <v>311</v>
      </c>
      <c r="AR59" s="508" t="str" cm="1">
        <f t="array" aca="1" ref="AR59" ca="1">IF(OR(AP59="",AP59=0),"",IF(SUMPRODUCT(($C$55:$C$142=AP59)*(U$54:$AI$54&lt;EOMONTH(TODAY(),-1)+1)*(ISNUMBER(U$55:$AI$142)),U$55:$AI$142)=0,"",SUMPRODUCT(($C$55:$C$142=AP59)*(U$54:$AI$54&lt;EOMONTH(TODAY(),-1)+1)*(ISNUMBER(U$55:$AI$142)),U$55:$AI$142)))</f>
        <v/>
      </c>
      <c r="AS59" s="62" t="str">
        <f>A59</f>
        <v>BSW</v>
      </c>
      <c r="AU59" s="1566">
        <f t="shared" ref="AU59" si="25">IF(OR(I59="",K59=""),0,(I59/12)*K59)</f>
        <v>6666.666666666667</v>
      </c>
      <c r="AV59" s="1566">
        <f t="shared" ref="AV59" si="26">IF(OR(N59="",K59="",K59=0),0,(N59/K59)*12)</f>
        <v>0</v>
      </c>
    </row>
    <row r="60" spans="1:48" ht="45" customHeight="1" x14ac:dyDescent="0.3">
      <c r="A60" s="1380"/>
      <c r="B60" s="1692"/>
      <c r="C60" s="1482"/>
      <c r="D60" s="1486"/>
      <c r="E60" s="1368"/>
      <c r="F60" s="1370"/>
      <c r="G60" s="1372"/>
      <c r="H60" s="1372"/>
      <c r="I60" s="1354"/>
      <c r="J60" s="1376"/>
      <c r="K60" s="1389"/>
      <c r="L60" s="2275"/>
      <c r="M60" s="1350"/>
      <c r="N60" s="1391"/>
      <c r="O60" s="1327"/>
      <c r="P60" s="2128"/>
      <c r="Q60" s="2260"/>
      <c r="R60" s="1327"/>
      <c r="S60" s="87" t="s">
        <v>117</v>
      </c>
      <c r="T60" s="91">
        <f>AVERAGE([34]Estrutura!$J$5:$J$14)</f>
        <v>0.7</v>
      </c>
      <c r="U60" s="287" t="s">
        <v>959</v>
      </c>
      <c r="V60" s="287" t="s">
        <v>959</v>
      </c>
      <c r="W60" s="287" t="s">
        <v>959</v>
      </c>
      <c r="X60" s="89">
        <f t="shared" si="11"/>
        <v>0</v>
      </c>
      <c r="Y60" s="287" t="s">
        <v>959</v>
      </c>
      <c r="Z60" s="287" t="s">
        <v>959</v>
      </c>
      <c r="AA60" s="287" t="s">
        <v>959</v>
      </c>
      <c r="AB60" s="89">
        <f t="shared" si="12"/>
        <v>0</v>
      </c>
      <c r="AC60" s="287" t="s">
        <v>959</v>
      </c>
      <c r="AD60" s="287" t="s">
        <v>959</v>
      </c>
      <c r="AE60" s="287" t="s">
        <v>959</v>
      </c>
      <c r="AF60" s="89">
        <f t="shared" si="13"/>
        <v>0</v>
      </c>
      <c r="AG60" s="287" t="s">
        <v>959</v>
      </c>
      <c r="AH60" s="287" t="s">
        <v>959</v>
      </c>
      <c r="AI60" s="287" t="s">
        <v>959</v>
      </c>
      <c r="AJ60" s="89">
        <f t="shared" si="14"/>
        <v>0</v>
      </c>
      <c r="AK60" s="289">
        <f t="shared" ref="AK60" si="27">SUM(X60,AB60,AF60,AJ60)</f>
        <v>0</v>
      </c>
      <c r="AL60" s="337" t="s">
        <v>1858</v>
      </c>
      <c r="AM60" s="1370"/>
      <c r="AN60" s="1411"/>
      <c r="AO60" s="1405"/>
      <c r="AP60" s="62" t="str">
        <f>C59</f>
        <v>03- Comunização de Materiais</v>
      </c>
      <c r="AQ60" s="62" t="s">
        <v>313</v>
      </c>
      <c r="AR60" s="508" t="str" cm="1">
        <f t="array" aca="1" ref="AR60" ca="1">IF(OR(AP60="",AP60=0),"",IF(SUMPRODUCT(($C$55:$C$142=AP60)*(U$54:$AI$54&lt;EOMONTH(TODAY(),-1)+1)*(ISNUMBER(U$56:$AI$143)),U$56:$AI$143)=0,"",SUMPRODUCT(($C$55:$C$142=AP60)*(U$54:$AI$54&lt;EOMONTH(TODAY(),-1)+1)*(ISNUMBER(U$56:$AI$143)),U$56:$AI$143)))</f>
        <v/>
      </c>
      <c r="AS60" s="62" t="str">
        <f>A59</f>
        <v>BSW</v>
      </c>
      <c r="AU60" s="1567"/>
      <c r="AV60" s="1567"/>
    </row>
    <row r="61" spans="1:48" ht="29.1" customHeight="1" x14ac:dyDescent="0.3">
      <c r="A61" s="1407" t="s">
        <v>91</v>
      </c>
      <c r="B61" s="1691" t="s">
        <v>95</v>
      </c>
      <c r="C61" s="1465" t="s">
        <v>1859</v>
      </c>
      <c r="D61" s="1356" t="s">
        <v>1860</v>
      </c>
      <c r="E61" s="1449" t="s">
        <v>1850</v>
      </c>
      <c r="F61" s="1451" t="s">
        <v>1851</v>
      </c>
      <c r="G61" s="1366">
        <v>46054</v>
      </c>
      <c r="H61" s="1366">
        <v>46220</v>
      </c>
      <c r="I61" s="1488">
        <v>92802.55</v>
      </c>
      <c r="J61" s="1378">
        <v>46266</v>
      </c>
      <c r="K61" s="1387">
        <f t="shared" ref="K61" si="28">IF(J61="", "", 12 - MONTH(J61) + 1)</f>
        <v>4</v>
      </c>
      <c r="L61" s="1395"/>
      <c r="M61" s="1347" t="s">
        <v>308</v>
      </c>
      <c r="N61" s="2289">
        <v>69662.34</v>
      </c>
      <c r="O61" s="1334" t="s">
        <v>81</v>
      </c>
      <c r="P61" s="1673"/>
      <c r="Q61" s="1673"/>
      <c r="R61" s="1334">
        <v>1</v>
      </c>
      <c r="S61" s="93" t="s">
        <v>116</v>
      </c>
      <c r="T61" s="96">
        <f>AVERAGE([35]Estrutura!$I$5:$I$14)</f>
        <v>1</v>
      </c>
      <c r="U61" s="498">
        <f>IFERROR(IF(AND(U$54&gt;=EOMONTH($J61,-1)+1,U$54&lt;=EOMONTH(EOMONTH($J61,-1)+1,$K61-1)),IF(NOT(ISBLANK($N61)),$N61/$K61,$I61/$K61),0),0)</f>
        <v>0</v>
      </c>
      <c r="V61" s="498">
        <f>IFERROR(IF(AND(V$54&gt;=EOMONTH($J61,-1)+1,V$54&lt;=EOMONTH(EOMONTH($J61,-1)+1,$K61-1)),IF(NOT(ISBLANK($N61)),$N61/$K61,$I61/$K61),0),0)</f>
        <v>0</v>
      </c>
      <c r="W61" s="498">
        <f>IFERROR(IF(AND(W$54&gt;=EOMONTH($J61,-1)+1,W$54&lt;=EOMONTH(EOMONTH($J61,-1)+1,$K61-1)),IF(NOT(ISBLANK($N61)),$N61/$K61,$I61/$K61),0),0)</f>
        <v>0</v>
      </c>
      <c r="X61" s="89">
        <f t="shared" ref="X61:X100" si="29">SUM(U61:W61)</f>
        <v>0</v>
      </c>
      <c r="Y61" s="498">
        <f>IFERROR(IF(AND(Y$54&gt;=EOMONTH($J61,-1)+1,Y$54&lt;=EOMONTH(EOMONTH($J61,-1)+1,$K61-1)),IF(NOT(ISBLANK($N61)),$N61/$K61,$I61/$K61),0),0)</f>
        <v>0</v>
      </c>
      <c r="Z61" s="888">
        <f>IFERROR(IF(AND(Z$54&gt;=EOMONTH($J61,-1)+1,Z$54&lt;=EOMONTH(EOMONTH($J61,-1)+1,$K61-1)),IF(NOT(ISBLANK($N61)),$N61/$K61,$I61/$K61),0),0)</f>
        <v>0</v>
      </c>
      <c r="AA61" s="498">
        <f>IFERROR(IF(AND(AA$54&gt;=EOMONTH($J61,-1)+1,AA$54&lt;=EOMONTH(EOMONTH($J61,-1)+1,$K61-1)),IF(NOT(ISBLANK($N61)),$N61/$K61,$I61/$K61),0),0)</f>
        <v>0</v>
      </c>
      <c r="AB61" s="89">
        <f t="shared" ref="AB61:AB100" si="30">SUM(Y61:AA61)</f>
        <v>0</v>
      </c>
      <c r="AC61" s="498">
        <f>IFERROR(IF(AND(AC$54&gt;=EOMONTH($J61,-1)+1,AC$54&lt;=EOMONTH(EOMONTH($J61,-1)+1,$K61-1)),IF(NOT(ISBLANK($N61)),$N61/$K61,$I61/$K61),0),0)</f>
        <v>0</v>
      </c>
      <c r="AD61" s="498">
        <f>IFERROR(IF(AND(AD$54&gt;=EOMONTH($J61,-1)+1,AD$54&lt;=EOMONTH(EOMONTH($J61,-1)+1,$K61-1)),IF(NOT(ISBLANK($N61)),$N61/$K61,$I61/$K61),0),0)</f>
        <v>0</v>
      </c>
      <c r="AE61" s="498">
        <f>IFERROR(IF(AND(AE$54&gt;=EOMONTH($J61,-1)+1,AE$54&lt;=EOMONTH(EOMONTH($J61,-1)+1,$K61-1)),IF(NOT(ISBLANK($N61)),$N61/$K61,$I61/$K61),0),0)</f>
        <v>17415.584999999999</v>
      </c>
      <c r="AF61" s="89">
        <f t="shared" ref="AF61:AF100" si="31">SUM(AC61:AE61)</f>
        <v>17415.584999999999</v>
      </c>
      <c r="AG61" s="498">
        <f>IFERROR(IF(AND(AG$54&gt;=EOMONTH($J61,-1)+1,AG$54&lt;=EOMONTH(EOMONTH($J61,-1)+1,$K61-1)),IF(NOT(ISBLANK($N61)),$N61/$K61,$I61/$K61),0),0)</f>
        <v>17415.584999999999</v>
      </c>
      <c r="AH61" s="498">
        <f>IFERROR(IF(AND(AH$54&gt;=EOMONTH($J61,-1)+1,AH$54&lt;=EOMONTH(EOMONTH($J61,-1)+1,$K61-1)),IF(NOT(ISBLANK($N61)),$N61/$K61,$I61/$K61),0),0)</f>
        <v>17415.584999999999</v>
      </c>
      <c r="AI61" s="498">
        <f>IFERROR(IF(AND(AI$54&gt;=EOMONTH($J61,-1)+1,AI$54&lt;=EOMONTH(EOMONTH($J61,-1)+1,$K61-1)),IF(NOT(ISBLANK($N61)),$N61/$K61,$I61/$K61),0),0)</f>
        <v>17415.584999999999</v>
      </c>
      <c r="AJ61" s="89">
        <f t="shared" si="14"/>
        <v>52246.754999999997</v>
      </c>
      <c r="AK61" s="95">
        <f t="shared" ref="AK61:AK100" si="32">SUM(X61,AB61,AF61,AJ61)</f>
        <v>69662.34</v>
      </c>
      <c r="AL61" s="97"/>
      <c r="AM61" s="1407"/>
      <c r="AN61" s="1334"/>
      <c r="AO61" s="1403">
        <f>N61*AN61</f>
        <v>0</v>
      </c>
      <c r="AP61" s="62" t="str">
        <f>C61</f>
        <v>04 -  REDUÇÃO DE PESO BRUTO DD000502/503Z</v>
      </c>
      <c r="AQ61" s="62" t="s">
        <v>311</v>
      </c>
      <c r="AR61" s="508" t="str" cm="1">
        <f t="array" aca="1" ref="AR61" ca="1">IF(OR(AP61="",AP61=0),"",IF(SUMPRODUCT(($C$55:$C$142=AP61)*(U$54:$AI$54&lt;EOMONTH(TODAY(),-1)+1)*(ISNUMBER(U$55:$AI$142)),U$55:$AI$142)=0,"",SUMPRODUCT(($C$55:$C$142=AP61)*(U$54:$AI$54&lt;EOMONTH(TODAY(),-1)+1)*(ISNUMBER(U$55:$AI$142)),U$55:$AI$142)))</f>
        <v/>
      </c>
      <c r="AS61" s="62" t="str">
        <f>A61</f>
        <v>BSW</v>
      </c>
      <c r="AU61" s="1566">
        <f t="shared" ref="AU61" si="33">IF(OR(I61="",K61=""),0,(I61/12)*K61)</f>
        <v>30934.183333333334</v>
      </c>
      <c r="AV61" s="1566">
        <f t="shared" ref="AV61" si="34">IF(OR(N61="",K61="",K61=0),0,(N61/K61)*12)</f>
        <v>208987.02</v>
      </c>
    </row>
    <row r="62" spans="1:48" ht="35.85" customHeight="1" x14ac:dyDescent="0.3">
      <c r="A62" s="1407"/>
      <c r="B62" s="1692"/>
      <c r="C62" s="1465"/>
      <c r="D62" s="1356"/>
      <c r="E62" s="1449"/>
      <c r="F62" s="1451"/>
      <c r="G62" s="1366"/>
      <c r="H62" s="1366"/>
      <c r="I62" s="1488"/>
      <c r="J62" s="1378"/>
      <c r="K62" s="1387"/>
      <c r="L62" s="1395"/>
      <c r="M62" s="1347"/>
      <c r="N62" s="1728"/>
      <c r="O62" s="1334"/>
      <c r="P62" s="1674"/>
      <c r="Q62" s="1674"/>
      <c r="R62" s="1334"/>
      <c r="S62" s="93" t="s">
        <v>117</v>
      </c>
      <c r="T62" s="96">
        <f>AVERAGE([35]Estrutura!$J$5:$J$14)</f>
        <v>1</v>
      </c>
      <c r="U62" s="290" t="s">
        <v>959</v>
      </c>
      <c r="V62" s="290" t="s">
        <v>959</v>
      </c>
      <c r="W62" s="290" t="s">
        <v>959</v>
      </c>
      <c r="X62" s="89">
        <f t="shared" si="29"/>
        <v>0</v>
      </c>
      <c r="Y62" s="290" t="s">
        <v>959</v>
      </c>
      <c r="Z62" s="290" t="s">
        <v>959</v>
      </c>
      <c r="AA62" s="290" t="s">
        <v>959</v>
      </c>
      <c r="AB62" s="89">
        <f t="shared" si="30"/>
        <v>0</v>
      </c>
      <c r="AC62" s="290" t="s">
        <v>959</v>
      </c>
      <c r="AD62" s="290" t="s">
        <v>959</v>
      </c>
      <c r="AE62" s="290" t="s">
        <v>959</v>
      </c>
      <c r="AF62" s="89">
        <f t="shared" si="31"/>
        <v>0</v>
      </c>
      <c r="AG62" s="290" t="s">
        <v>959</v>
      </c>
      <c r="AH62" s="290" t="s">
        <v>959</v>
      </c>
      <c r="AI62" s="290" t="s">
        <v>959</v>
      </c>
      <c r="AJ62" s="89">
        <f t="shared" si="14"/>
        <v>0</v>
      </c>
      <c r="AK62" s="291">
        <f t="shared" si="32"/>
        <v>0</v>
      </c>
      <c r="AL62" s="97"/>
      <c r="AM62" s="1407"/>
      <c r="AN62" s="1334"/>
      <c r="AO62" s="1403"/>
      <c r="AP62" s="62" t="str">
        <f>C61</f>
        <v>04 -  REDUÇÃO DE PESO BRUTO DD000502/503Z</v>
      </c>
      <c r="AQ62" s="62" t="s">
        <v>313</v>
      </c>
      <c r="AR62" s="508" t="str" cm="1">
        <f t="array" aca="1" ref="AR62" ca="1">IF(OR(AP62="",AP62=0),"",IF(SUMPRODUCT(($C$55:$C$142=AP62)*(U$54:$AI$54&lt;EOMONTH(TODAY(),-1)+1)*(ISNUMBER(U$56:$AI$143)),U$56:$AI$143)=0,"",SUMPRODUCT(($C$55:$C$142=AP62)*(U$54:$AI$54&lt;EOMONTH(TODAY(),-1)+1)*(ISNUMBER(U$56:$AI$143)),U$56:$AI$143)))</f>
        <v/>
      </c>
      <c r="AS62" s="62" t="str">
        <f>A61</f>
        <v>BSW</v>
      </c>
      <c r="AU62" s="1567"/>
      <c r="AV62" s="1567"/>
    </row>
    <row r="63" spans="1:48" ht="40.35" customHeight="1" x14ac:dyDescent="0.3">
      <c r="A63" s="1380" t="s">
        <v>925</v>
      </c>
      <c r="B63" s="1407" t="s">
        <v>97</v>
      </c>
      <c r="C63" s="1482" t="s">
        <v>1861</v>
      </c>
      <c r="D63" s="2296" t="s">
        <v>1862</v>
      </c>
      <c r="E63" s="1368" t="s">
        <v>1863</v>
      </c>
      <c r="F63" s="1370" t="s">
        <v>1856</v>
      </c>
      <c r="G63" s="1372">
        <v>46064</v>
      </c>
      <c r="H63" s="1372">
        <v>46142</v>
      </c>
      <c r="I63" s="1710">
        <v>40500</v>
      </c>
      <c r="J63" s="1376">
        <v>46113</v>
      </c>
      <c r="K63" s="1389">
        <f t="shared" ref="K63" si="35">IF(J63="", "", 12 - MONTH(J63) + 1)</f>
        <v>9</v>
      </c>
      <c r="L63" s="1354"/>
      <c r="M63" s="1350" t="s">
        <v>308</v>
      </c>
      <c r="N63" s="2283">
        <v>61023.6</v>
      </c>
      <c r="O63" s="1327" t="s">
        <v>81</v>
      </c>
      <c r="P63" s="1671"/>
      <c r="Q63" s="1671"/>
      <c r="R63" s="1327">
        <v>1</v>
      </c>
      <c r="S63" s="87" t="s">
        <v>116</v>
      </c>
      <c r="T63" s="91">
        <f>AVERAGE([36]Estrutura!$I$5:$I$12)</f>
        <v>1</v>
      </c>
      <c r="U63" s="287">
        <f>IFERROR(IF(AND(U$54&gt;=EOMONTH($J63,-1)+1,U$54&lt;=EOMONTH(EOMONTH($J63,-1)+1,$K63-1)),IF(NOT(ISBLANK($N63)),$N63/$K63,$I63/$K63),0),0)</f>
        <v>0</v>
      </c>
      <c r="V63" s="287">
        <f>IFERROR(IF(AND(V$54&gt;=EOMONTH($J63,-1)+1,V$54&lt;=EOMONTH(EOMONTH($J63,-1)+1,$K63-1)),IF(NOT(ISBLANK($N63)),$N63/$K63,$I63/$K63),0),0)</f>
        <v>0</v>
      </c>
      <c r="W63" s="287">
        <f>IFERROR(IF(AND(W$54&gt;=EOMONTH($J63,-1)+1,W$54&lt;=EOMONTH(EOMONTH($J63,-1)+1,$K63-1)),IF(NOT(ISBLANK($N63)),$N63/$K63,$I63/$K63),0),0)</f>
        <v>0</v>
      </c>
      <c r="X63" s="89">
        <f t="shared" si="29"/>
        <v>0</v>
      </c>
      <c r="Y63" s="287">
        <f>IFERROR(IF(AND(Y$54&gt;=EOMONTH($J63,-1)+1,Y$54&lt;=EOMONTH(EOMONTH($J63,-1)+1,$K63-1)),IF(NOT(ISBLANK($N63)),$N63/$K63,$I63/$K63),0),0)</f>
        <v>6780.4</v>
      </c>
      <c r="Z63" s="287">
        <f>IFERROR(IF(AND(Z$54&gt;=EOMONTH($J63,-1)+1,Z$54&lt;=EOMONTH(EOMONTH($J63,-1)+1,$K63-1)),IF(NOT(ISBLANK($N63)),$N63/$K63,$I63/$K63),0),0)</f>
        <v>6780.4</v>
      </c>
      <c r="AA63" s="287">
        <f>IFERROR(IF(AND(AA$54&gt;=EOMONTH($J63,-1)+1,AA$54&lt;=EOMONTH(EOMONTH($J63,-1)+1,$K63-1)),IF(NOT(ISBLANK($N63)),$N63/$K63,$I63/$K63),0),0)</f>
        <v>6780.4</v>
      </c>
      <c r="AB63" s="89">
        <f t="shared" si="30"/>
        <v>20341.199999999997</v>
      </c>
      <c r="AC63" s="287">
        <f>IFERROR(IF(AND(AC$54&gt;=EOMONTH($J63,-1)+1,AC$54&lt;=EOMONTH(EOMONTH($J63,-1)+1,$K63-1)),IF(NOT(ISBLANK($N63)),$N63/$K63,$I63/$K63),0),0)</f>
        <v>6780.4</v>
      </c>
      <c r="AD63" s="287">
        <f>IFERROR(IF(AND(AD$54&gt;=EOMONTH($J63,-1)+1,AD$54&lt;=EOMONTH(EOMONTH($J63,-1)+1,$K63-1)),IF(NOT(ISBLANK($N63)),$N63/$K63,$I63/$K63),0),0)</f>
        <v>6780.4</v>
      </c>
      <c r="AE63" s="287">
        <f>IFERROR(IF(AND(AE$54&gt;=EOMONTH($J63,-1)+1,AE$54&lt;=EOMONTH(EOMONTH($J63,-1)+1,$K63-1)),IF(NOT(ISBLANK($N63)),$N63/$K63,$I63/$K63),0),0)</f>
        <v>6780.4</v>
      </c>
      <c r="AF63" s="89">
        <f t="shared" si="31"/>
        <v>20341.199999999997</v>
      </c>
      <c r="AG63" s="287">
        <f>IFERROR(IF(AND(AG$54&gt;=EOMONTH($J63,-1)+1,AG$54&lt;=EOMONTH(EOMONTH($J63,-1)+1,$K63-1)),IF(NOT(ISBLANK($N63)),$N63/$K63,$I63/$K63),0),0)</f>
        <v>6780.4</v>
      </c>
      <c r="AH63" s="287">
        <f>IFERROR(IF(AND(AH$54&gt;=EOMONTH($J63,-1)+1,AH$54&lt;=EOMONTH(EOMONTH($J63,-1)+1,$K63-1)),IF(NOT(ISBLANK($N63)),$N63/$K63,$I63/$K63),0),0)</f>
        <v>6780.4</v>
      </c>
      <c r="AI63" s="287">
        <f>IFERROR(IF(AND(AI$54&gt;=EOMONTH($J63,-1)+1,AI$54&lt;=EOMONTH(EOMONTH($J63,-1)+1,$K63-1)),IF(NOT(ISBLANK($N63)),$N63/$K63,$I63/$K63),0),0)</f>
        <v>6780.4</v>
      </c>
      <c r="AJ63" s="89">
        <f t="shared" si="14"/>
        <v>20341.199999999997</v>
      </c>
      <c r="AK63" s="90">
        <f>SUM(X63,AB63,AF63,AJ63)</f>
        <v>61023.599999999991</v>
      </c>
      <c r="AL63" s="98"/>
      <c r="AM63" s="1370"/>
      <c r="AN63" s="1411"/>
      <c r="AO63" s="1405">
        <f>N63*AN63</f>
        <v>0</v>
      </c>
      <c r="AP63" s="62" t="str">
        <f>C63</f>
        <v>05 - Acabamento capo CN13</v>
      </c>
      <c r="AQ63" s="62" t="s">
        <v>311</v>
      </c>
      <c r="AR63" s="508" cm="1">
        <f t="array" aca="1" ref="AR63" ca="1">IF(OR(AP63="",AP63=0),"",IF(SUMPRODUCT(($C$55:$C$142=AP63)*(U$54:$AI$54&lt;EOMONTH(TODAY(),-1)+1)*(ISNUMBER(U$55:$AI$142)),U$55:$AI$142)=0,"",SUMPRODUCT(($C$55:$C$142=AP63)*(U$54:$AI$54&lt;EOMONTH(TODAY(),-1)+1)*(ISNUMBER(U$55:$AI$142)),U$55:$AI$142)))</f>
        <v>27121.599999999999</v>
      </c>
      <c r="AS63" s="62" t="str">
        <f>A63</f>
        <v>Kaizen</v>
      </c>
      <c r="AU63" s="1566">
        <f t="shared" ref="AU63" si="36">IF(OR(I63="",K63=""),0,(I63/12)*K63)</f>
        <v>30375</v>
      </c>
      <c r="AV63" s="1566">
        <f t="shared" ref="AV63" si="37">IF(OR(N63="",K63="",K63=0),0,(N63/K63)*12)</f>
        <v>81364.799999999988</v>
      </c>
    </row>
    <row r="64" spans="1:48" ht="29.1" customHeight="1" x14ac:dyDescent="0.3">
      <c r="A64" s="1380"/>
      <c r="B64" s="1408"/>
      <c r="C64" s="1482"/>
      <c r="D64" s="2297"/>
      <c r="E64" s="1368"/>
      <c r="F64" s="1370"/>
      <c r="G64" s="1372"/>
      <c r="H64" s="1372"/>
      <c r="I64" s="1710"/>
      <c r="J64" s="1376"/>
      <c r="K64" s="1389"/>
      <c r="L64" s="1354"/>
      <c r="M64" s="1350"/>
      <c r="N64" s="2283"/>
      <c r="O64" s="1327"/>
      <c r="P64" s="1672"/>
      <c r="Q64" s="1672"/>
      <c r="R64" s="1327"/>
      <c r="S64" s="87" t="s">
        <v>117</v>
      </c>
      <c r="T64" s="91">
        <f>AVERAGE([36]Estrutura!$J$5:$J$12)</f>
        <v>1</v>
      </c>
      <c r="U64" s="287" t="s">
        <v>959</v>
      </c>
      <c r="V64" s="287" t="s">
        <v>959</v>
      </c>
      <c r="W64" s="287" t="s">
        <v>959</v>
      </c>
      <c r="X64" s="89">
        <f t="shared" si="29"/>
        <v>0</v>
      </c>
      <c r="Y64" s="287">
        <v>6780.4</v>
      </c>
      <c r="Z64" s="287">
        <v>6780.4</v>
      </c>
      <c r="AA64" s="287">
        <v>6780.4</v>
      </c>
      <c r="AB64" s="89">
        <f t="shared" si="30"/>
        <v>20341.199999999997</v>
      </c>
      <c r="AC64" s="287" t="s">
        <v>959</v>
      </c>
      <c r="AD64" s="287" t="s">
        <v>959</v>
      </c>
      <c r="AE64" s="287" t="s">
        <v>959</v>
      </c>
      <c r="AF64" s="89">
        <f t="shared" si="31"/>
        <v>0</v>
      </c>
      <c r="AG64" s="287" t="s">
        <v>959</v>
      </c>
      <c r="AH64" s="287" t="s">
        <v>959</v>
      </c>
      <c r="AI64" s="287" t="s">
        <v>959</v>
      </c>
      <c r="AJ64" s="89">
        <f t="shared" si="14"/>
        <v>0</v>
      </c>
      <c r="AK64" s="289">
        <f t="shared" si="32"/>
        <v>20341.199999999997</v>
      </c>
      <c r="AL64" s="337"/>
      <c r="AM64" s="1370"/>
      <c r="AN64" s="1411"/>
      <c r="AO64" s="1405"/>
      <c r="AP64" s="62" t="str">
        <f>C63</f>
        <v>05 - Acabamento capo CN13</v>
      </c>
      <c r="AQ64" s="62" t="s">
        <v>313</v>
      </c>
      <c r="AR64" s="508" cm="1">
        <f t="array" aca="1" ref="AR64" ca="1">IF(OR(AP64="",AP64=0),"",IF(SUMPRODUCT(($C$55:$C$142=AP64)*(U$54:$AI$54&lt;EOMONTH(TODAY(),-1)+1)*(ISNUMBER(U$56:$AI$143)),U$56:$AI$143)=0,"",SUMPRODUCT(($C$55:$C$142=AP64)*(U$54:$AI$54&lt;EOMONTH(TODAY(),-1)+1)*(ISNUMBER(U$56:$AI$143)),U$56:$AI$143)))</f>
        <v>20341.199999999997</v>
      </c>
      <c r="AS64" s="62" t="str">
        <f>A63</f>
        <v>Kaizen</v>
      </c>
      <c r="AU64" s="1567"/>
      <c r="AV64" s="1567"/>
    </row>
    <row r="65" spans="1:48" ht="40.35" customHeight="1" x14ac:dyDescent="0.3">
      <c r="A65" s="1407" t="s">
        <v>953</v>
      </c>
      <c r="B65" s="1691" t="s">
        <v>97</v>
      </c>
      <c r="C65" s="2292" t="s">
        <v>1864</v>
      </c>
      <c r="D65" s="1356" t="s">
        <v>1865</v>
      </c>
      <c r="E65" s="1449" t="s">
        <v>1866</v>
      </c>
      <c r="F65" s="1451" t="s">
        <v>1867</v>
      </c>
      <c r="G65" s="1366">
        <v>46146</v>
      </c>
      <c r="H65" s="1366">
        <v>46269</v>
      </c>
      <c r="I65" s="1488">
        <v>110000</v>
      </c>
      <c r="J65" s="2284">
        <v>46300</v>
      </c>
      <c r="K65" s="1387">
        <f t="shared" ref="K65" si="38">IF(J65="", "", 12 - MONTH(J65) + 1)</f>
        <v>3</v>
      </c>
      <c r="L65" s="2275"/>
      <c r="M65" s="1352"/>
      <c r="N65" s="1393"/>
      <c r="O65" s="1334" t="s">
        <v>83</v>
      </c>
      <c r="P65" s="2127" t="s">
        <v>1868</v>
      </c>
      <c r="Q65" s="1669">
        <v>46262</v>
      </c>
      <c r="R65" s="1334">
        <v>1</v>
      </c>
      <c r="S65" s="93" t="s">
        <v>116</v>
      </c>
      <c r="T65" s="96">
        <f>AVERAGE([37]Estrutura!$I$5:$I$11)</f>
        <v>0.26899696048632216</v>
      </c>
      <c r="U65" s="498">
        <f>IFERROR(IF(AND(U$54&gt;=EOMONTH($J65,-1)+1,U$54&lt;=EOMONTH(EOMONTH($J65,-1)+1,$K65-1)),IF(NOT(ISBLANK($N65)),$N65/$K65,$I65/$K65),0),0)</f>
        <v>0</v>
      </c>
      <c r="V65" s="498">
        <f>IFERROR(IF(AND(V$54&gt;=EOMONTH($J65,-1)+1,V$54&lt;=EOMONTH(EOMONTH($J65,-1)+1,$K65-1)),IF(NOT(ISBLANK($N65)),$N65/$K65,$I65/$K65),0),0)</f>
        <v>0</v>
      </c>
      <c r="W65" s="498">
        <f>IFERROR(IF(AND(W$54&gt;=EOMONTH($J65,-1)+1,W$54&lt;=EOMONTH(EOMONTH($J65,-1)+1,$K65-1)),IF(NOT(ISBLANK($N65)),$N65/$K65,$I65/$K65),0),0)</f>
        <v>0</v>
      </c>
      <c r="X65" s="89">
        <f t="shared" si="29"/>
        <v>0</v>
      </c>
      <c r="Y65" s="498">
        <f>IFERROR(IF(AND(Y$54&gt;=EOMONTH($J65,-1)+1,Y$54&lt;=EOMONTH(EOMONTH($J65,-1)+1,$K65-1)),IF(NOT(ISBLANK($N65)),$N65/$K65,$I65/$K65),0),0)</f>
        <v>0</v>
      </c>
      <c r="Z65" s="498">
        <f>IFERROR(IF(AND(Z$54&gt;=EOMONTH($J65,-1)+1,Z$54&lt;=EOMONTH(EOMONTH($J65,-1)+1,$K65-1)),IF(NOT(ISBLANK($N65)),$N65/$K65,$I65/$K65),0),0)</f>
        <v>0</v>
      </c>
      <c r="AA65" s="498">
        <f>IFERROR(IF(AND(AA$54&gt;=EOMONTH($J65,-1)+1,AA$54&lt;=EOMONTH(EOMONTH($J65,-1)+1,$K65-1)),IF(NOT(ISBLANK($N65)),$N65/$K65,$I65/$K65),0),0)</f>
        <v>0</v>
      </c>
      <c r="AB65" s="89">
        <f t="shared" si="30"/>
        <v>0</v>
      </c>
      <c r="AC65" s="498">
        <f>IFERROR(IF(AND(AC$54&gt;=EOMONTH($J65,-1)+1,AC$54&lt;=EOMONTH(EOMONTH($J65,-1)+1,$K65-1)),IF(NOT(ISBLANK($N65)),$N65/$K65,$I65/$K65),0),0)</f>
        <v>0</v>
      </c>
      <c r="AD65" s="498">
        <f>IFERROR(IF(AND(AD$54&gt;=EOMONTH($J65,-1)+1,AD$54&lt;=EOMONTH(EOMONTH($J65,-1)+1,$K65-1)),IF(NOT(ISBLANK($N65)),$N65/$K65,$I65/$K65),0),0)</f>
        <v>0</v>
      </c>
      <c r="AE65" s="498">
        <f>IFERROR(IF(AND(AE$54&gt;=EOMONTH($J65,-1)+1,AE$54&lt;=EOMONTH(EOMONTH($J65,-1)+1,$K65-1)),IF(NOT(ISBLANK($N65)),$N65/$K65,$I65/$K65),0),0)</f>
        <v>0</v>
      </c>
      <c r="AF65" s="89">
        <f t="shared" si="31"/>
        <v>0</v>
      </c>
      <c r="AG65" s="498">
        <f>IFERROR(IF(AND(AG$54&gt;=EOMONTH($J65,-1)+1,AG$54&lt;=EOMONTH(EOMONTH($J65,-1)+1,$K65-1)),IF(NOT(ISBLANK($N65)),$N65/$K65,$I65/$K65),0),0)</f>
        <v>36666.666666666664</v>
      </c>
      <c r="AH65" s="498">
        <f>IFERROR(IF(AND(AH$54&gt;=EOMONTH($J65,-1)+1,AH$54&lt;=EOMONTH(EOMONTH($J65,-1)+1,$K65-1)),IF(NOT(ISBLANK($N65)),$N65/$K65,$I65/$K65),0),0)</f>
        <v>36666.666666666664</v>
      </c>
      <c r="AI65" s="498">
        <f>IFERROR(IF(AND(AI$54&gt;=EOMONTH($J65,-1)+1,AI$54&lt;=EOMONTH(EOMONTH($J65,-1)+1,$K65-1)),IF(NOT(ISBLANK($N65)),$N65/$K65,$I65/$K65),0),0)</f>
        <v>36666.666666666664</v>
      </c>
      <c r="AJ65" s="89">
        <f t="shared" si="14"/>
        <v>110000</v>
      </c>
      <c r="AK65" s="95">
        <f t="shared" si="32"/>
        <v>110000</v>
      </c>
      <c r="AL65" s="97"/>
      <c r="AM65" s="1407"/>
      <c r="AN65" s="1334"/>
      <c r="AO65" s="1403">
        <f>N65*AN65</f>
        <v>0</v>
      </c>
      <c r="AP65" s="62" t="str">
        <f>C65</f>
        <v>06- Troca do fornecedor de tubo do Capo CNH CN-13</v>
      </c>
      <c r="AQ65" s="62" t="s">
        <v>311</v>
      </c>
      <c r="AR65" s="508" t="str" cm="1">
        <f t="array" aca="1" ref="AR65" ca="1">IF(OR(AP65="",AP65=0),"",IF(SUMPRODUCT(($C$55:$C$142=AP65)*(U$54:$AI$54&lt;EOMONTH(TODAY(),-1)+1)*(ISNUMBER(U$55:$AI$142)),U$55:$AI$142)=0,"",SUMPRODUCT(($C$55:$C$142=AP65)*(U$54:$AI$54&lt;EOMONTH(TODAY(),-1)+1)*(ISNUMBER(U$55:$AI$142)),U$55:$AI$142)))</f>
        <v/>
      </c>
      <c r="AS65" s="62" t="str">
        <f>A65</f>
        <v>Redução de custo</v>
      </c>
      <c r="AU65" s="1566">
        <f t="shared" ref="AU65" si="39">IF(OR(I65="",K65=""),0,(I65/12)*K65)</f>
        <v>27500</v>
      </c>
      <c r="AV65" s="1566">
        <f t="shared" ref="AV65" si="40">IF(OR(N65="",K65="",K65=0),0,(N65/K65)*12)</f>
        <v>0</v>
      </c>
    </row>
    <row r="66" spans="1:48" ht="82.35" customHeight="1" x14ac:dyDescent="0.3">
      <c r="A66" s="1407"/>
      <c r="B66" s="1692"/>
      <c r="C66" s="2292"/>
      <c r="D66" s="1356"/>
      <c r="E66" s="1449"/>
      <c r="F66" s="1451"/>
      <c r="G66" s="1366"/>
      <c r="H66" s="1366"/>
      <c r="I66" s="1488"/>
      <c r="J66" s="2284"/>
      <c r="K66" s="1387"/>
      <c r="L66" s="2275"/>
      <c r="M66" s="1352"/>
      <c r="N66" s="1393"/>
      <c r="O66" s="1334"/>
      <c r="P66" s="2128"/>
      <c r="Q66" s="2260"/>
      <c r="R66" s="1334"/>
      <c r="S66" s="93" t="s">
        <v>117</v>
      </c>
      <c r="T66" s="96">
        <f>AVERAGE([37]Estrutura!$J$5:$J$11)</f>
        <v>0.27857142857142858</v>
      </c>
      <c r="U66" s="290" t="s">
        <v>959</v>
      </c>
      <c r="V66" s="290" t="s">
        <v>959</v>
      </c>
      <c r="W66" s="290" t="s">
        <v>959</v>
      </c>
      <c r="X66" s="89">
        <f t="shared" si="29"/>
        <v>0</v>
      </c>
      <c r="Y66" s="290" t="s">
        <v>959</v>
      </c>
      <c r="Z66" s="290" t="s">
        <v>959</v>
      </c>
      <c r="AA66" s="290" t="s">
        <v>959</v>
      </c>
      <c r="AB66" s="89">
        <f t="shared" si="30"/>
        <v>0</v>
      </c>
      <c r="AC66" s="290" t="s">
        <v>959</v>
      </c>
      <c r="AD66" s="290" t="s">
        <v>959</v>
      </c>
      <c r="AE66" s="290" t="s">
        <v>959</v>
      </c>
      <c r="AF66" s="89">
        <f t="shared" si="31"/>
        <v>0</v>
      </c>
      <c r="AG66" s="290" t="s">
        <v>959</v>
      </c>
      <c r="AH66" s="290" t="s">
        <v>959</v>
      </c>
      <c r="AI66" s="290" t="s">
        <v>959</v>
      </c>
      <c r="AJ66" s="89">
        <f t="shared" si="14"/>
        <v>0</v>
      </c>
      <c r="AK66" s="291">
        <f t="shared" si="32"/>
        <v>0</v>
      </c>
      <c r="AL66" s="97"/>
      <c r="AM66" s="1407"/>
      <c r="AN66" s="1334"/>
      <c r="AO66" s="1403"/>
      <c r="AP66" s="62" t="str">
        <f>C65</f>
        <v>06- Troca do fornecedor de tubo do Capo CNH CN-13</v>
      </c>
      <c r="AQ66" s="62" t="s">
        <v>313</v>
      </c>
      <c r="AR66" s="508" t="str" cm="1">
        <f t="array" aca="1" ref="AR66" ca="1">IF(OR(AP66="",AP66=0),"",IF(SUMPRODUCT(($C$55:$C$142=AP66)*(U$54:$AI$54&lt;EOMONTH(TODAY(),-1)+1)*(ISNUMBER(U$56:$AI$143)),U$56:$AI$143)=0,"",SUMPRODUCT(($C$55:$C$142=AP66)*(U$54:$AI$54&lt;EOMONTH(TODAY(),-1)+1)*(ISNUMBER(U$56:$AI$143)),U$56:$AI$143)))</f>
        <v/>
      </c>
      <c r="AS66" s="62" t="str">
        <f>A65</f>
        <v>Redução de custo</v>
      </c>
      <c r="AU66" s="1567"/>
      <c r="AV66" s="1567"/>
    </row>
    <row r="67" spans="1:48" ht="40.35" customHeight="1" x14ac:dyDescent="0.3">
      <c r="A67" s="1380" t="s">
        <v>925</v>
      </c>
      <c r="B67" s="1407" t="s">
        <v>97</v>
      </c>
      <c r="C67" s="1482" t="s">
        <v>1869</v>
      </c>
      <c r="D67" s="2315" t="s">
        <v>1870</v>
      </c>
      <c r="E67" s="1368" t="s">
        <v>1871</v>
      </c>
      <c r="F67" s="1370" t="s">
        <v>1872</v>
      </c>
      <c r="G67" s="1372">
        <v>46063</v>
      </c>
      <c r="H67" s="1372">
        <v>46076</v>
      </c>
      <c r="I67" s="1710">
        <v>733701.49999999988</v>
      </c>
      <c r="J67" s="1376">
        <v>46082</v>
      </c>
      <c r="K67" s="1389">
        <f t="shared" ref="K67" si="41">IF(J67="", "", 12 - MONTH(J67) + 1)</f>
        <v>10</v>
      </c>
      <c r="L67" s="1354"/>
      <c r="M67" s="1350" t="s">
        <v>308</v>
      </c>
      <c r="N67" s="1391">
        <f>1736617.43</f>
        <v>1736617.43</v>
      </c>
      <c r="O67" s="1327" t="s">
        <v>81</v>
      </c>
      <c r="P67" s="1671"/>
      <c r="Q67" s="1671"/>
      <c r="R67" s="1327">
        <v>1</v>
      </c>
      <c r="S67" s="87" t="s">
        <v>116</v>
      </c>
      <c r="T67" s="91">
        <f>AVERAGE([38]Estrutura!$I$5:$I$10)</f>
        <v>1</v>
      </c>
      <c r="U67" s="287">
        <f>IFERROR(IF(AND(U$54&gt;=EOMONTH($J67,-1)+1,U$54&lt;=EOMONTH(EOMONTH($J67,-1)+1,$K67-1)),IF(NOT(ISBLANK($N67)),$N67/$K67,$I67/$K67),0),0)</f>
        <v>0</v>
      </c>
      <c r="V67" s="287">
        <f>IFERROR(IF(AND(V$54&gt;=EOMONTH($J67,-1)+1,V$54&lt;=EOMONTH(EOMONTH($J67,-1)+1,$K67-1)),IF(NOT(ISBLANK($N67)),$N67/$K67,$I67/$K67),0),0)</f>
        <v>0</v>
      </c>
      <c r="W67" s="287">
        <f>IFERROR(IF(AND(W$54&gt;=EOMONTH($J67,-1)+1,W$54&lt;=EOMONTH(EOMONTH($J67,-1)+1,$K67-1)),IF(NOT(ISBLANK($N67)),$N67/$K67,$I67/$K67),0),0)</f>
        <v>173661.74299999999</v>
      </c>
      <c r="X67" s="89">
        <f t="shared" si="29"/>
        <v>173661.74299999999</v>
      </c>
      <c r="Y67" s="547">
        <f>IFERROR(IF(AND(Y$54&gt;=EOMONTH($J67,-1)+1,Y$54&lt;=EOMONTH(EOMONTH($J67,-1)+1,$K67-1)),IF(NOT(ISBLANK($N67)),$N67/$K67,$I67/$K67),0),0)</f>
        <v>173661.74299999999</v>
      </c>
      <c r="Z67" s="287">
        <f>IFERROR(IF(AND(Z$54&gt;=EOMONTH($J67,-1)+1,Z$54&lt;=EOMONTH(EOMONTH($J67,-1)+1,$K67-1)),IF(NOT(ISBLANK($N67)),$N67/$K67,$I67/$K67),0),0)</f>
        <v>173661.74299999999</v>
      </c>
      <c r="AA67" s="287">
        <f>IFERROR(IF(AND(AA$54&gt;=EOMONTH($J67,-1)+1,AA$54&lt;=EOMONTH(EOMONTH($J67,-1)+1,$K67-1)),IF(NOT(ISBLANK($N67)),$N67/$K67,$I67/$K67),0),0)</f>
        <v>173661.74299999999</v>
      </c>
      <c r="AB67" s="89">
        <f t="shared" si="30"/>
        <v>520985.22899999993</v>
      </c>
      <c r="AC67" s="287">
        <f>IFERROR(IF(AND(AC$54&gt;=EOMONTH($J67,-1)+1,AC$54&lt;=EOMONTH(EOMONTH($J67,-1)+1,$K67-1)),IF(NOT(ISBLANK($N67)),$N67/$K67,$I67/$K67),0),0)</f>
        <v>173661.74299999999</v>
      </c>
      <c r="AD67" s="287">
        <f>IFERROR(IF(AND(AD$54&gt;=EOMONTH($J67,-1)+1,AD$54&lt;=EOMONTH(EOMONTH($J67,-1)+1,$K67-1)),IF(NOT(ISBLANK($N67)),$N67/$K67,$I67/$K67),0),0)</f>
        <v>173661.74299999999</v>
      </c>
      <c r="AE67" s="287">
        <f>IFERROR(IF(AND(AE$54&gt;=EOMONTH($J67,-1)+1,AE$54&lt;=EOMONTH(EOMONTH($J67,-1)+1,$K67-1)),IF(NOT(ISBLANK($N67)),$N67/$K67,$I67/$K67),0),0)</f>
        <v>173661.74299999999</v>
      </c>
      <c r="AF67" s="89">
        <f t="shared" si="31"/>
        <v>520985.22899999993</v>
      </c>
      <c r="AG67" s="287">
        <f>IFERROR(IF(AND(AG$54&gt;=EOMONTH($J67,-1)+1,AG$54&lt;=EOMONTH(EOMONTH($J67,-1)+1,$K67-1)),IF(NOT(ISBLANK($N67)),$N67/$K67,$I67/$K67),0),0)</f>
        <v>173661.74299999999</v>
      </c>
      <c r="AH67" s="287">
        <f>IFERROR(IF(AND(AH$54&gt;=EOMONTH($J67,-1)+1,AH$54&lt;=EOMONTH(EOMONTH($J67,-1)+1,$K67-1)),IF(NOT(ISBLANK($N67)),$N67/$K67,$I67/$K67),0),0)</f>
        <v>173661.74299999999</v>
      </c>
      <c r="AI67" s="287">
        <f>IFERROR(IF(AND(AI$54&gt;=EOMONTH($J67,-1)+1,AI$54&lt;=EOMONTH(EOMONTH($J67,-1)+1,$K67-1)),IF(NOT(ISBLANK($N67)),$N67/$K67,$I67/$K67),0),0)</f>
        <v>173661.74299999999</v>
      </c>
      <c r="AJ67" s="89">
        <f t="shared" si="14"/>
        <v>520985.22899999993</v>
      </c>
      <c r="AK67" s="90">
        <f>SUM(X67,AB67,AF67,AJ67)</f>
        <v>1736617.4299999997</v>
      </c>
      <c r="AL67" s="98"/>
      <c r="AM67" s="1370"/>
      <c r="AN67" s="1411"/>
      <c r="AO67" s="1405">
        <f>N67*AN67</f>
        <v>0</v>
      </c>
      <c r="AP67" s="62" t="str">
        <f>C67</f>
        <v>07- Reestruturação</v>
      </c>
      <c r="AQ67" s="62" t="s">
        <v>311</v>
      </c>
      <c r="AR67" s="508" cm="1">
        <f t="array" aca="1" ref="AR67" ca="1">IF(OR(AP67="",AP67=0),"",IF(SUMPRODUCT(($C$55:$C$142=AP67)*(U$54:$AI$54&lt;EOMONTH(TODAY(),-1)+1)*(ISNUMBER(U$55:$AI$142)),U$55:$AI$142)=0,"",SUMPRODUCT(($C$55:$C$142=AP67)*(U$54:$AI$54&lt;EOMONTH(TODAY(),-1)+1)*(ISNUMBER(U$55:$AI$142)),U$55:$AI$142)))</f>
        <v>868308.71499999997</v>
      </c>
      <c r="AS67" s="62" t="str">
        <f>A67</f>
        <v>Kaizen</v>
      </c>
      <c r="AU67" s="1566">
        <f t="shared" ref="AU67" si="42">IF(OR(I67="",K67=""),0,(I67/12)*K67)</f>
        <v>611417.91666666651</v>
      </c>
      <c r="AV67" s="1566">
        <f t="shared" ref="AV67" si="43">IF(OR(N67="",K67="",K67=0),0,(N67/K67)*12)</f>
        <v>2083940.9159999997</v>
      </c>
    </row>
    <row r="68" spans="1:48" ht="29.1" customHeight="1" x14ac:dyDescent="0.3">
      <c r="A68" s="1380"/>
      <c r="B68" s="1408"/>
      <c r="C68" s="1482"/>
      <c r="D68" s="2315"/>
      <c r="E68" s="1368"/>
      <c r="F68" s="1370"/>
      <c r="G68" s="1372"/>
      <c r="H68" s="1372"/>
      <c r="I68" s="1710"/>
      <c r="J68" s="1376"/>
      <c r="K68" s="1389"/>
      <c r="L68" s="1354"/>
      <c r="M68" s="1350"/>
      <c r="N68" s="1391"/>
      <c r="O68" s="1327"/>
      <c r="P68" s="1672"/>
      <c r="Q68" s="1672"/>
      <c r="R68" s="1327"/>
      <c r="S68" s="87" t="s">
        <v>117</v>
      </c>
      <c r="T68" s="91">
        <f>AVERAGE([38]Estrutura!$J$5:$J$10)</f>
        <v>1</v>
      </c>
      <c r="U68" s="287" t="s">
        <v>959</v>
      </c>
      <c r="V68" s="287"/>
      <c r="W68" s="547">
        <v>233271</v>
      </c>
      <c r="X68" s="88">
        <f t="shared" si="29"/>
        <v>233271</v>
      </c>
      <c r="Y68" s="547">
        <v>233271</v>
      </c>
      <c r="Z68" s="547">
        <v>233271</v>
      </c>
      <c r="AA68" s="547">
        <v>233271</v>
      </c>
      <c r="AB68" s="89">
        <f t="shared" si="30"/>
        <v>699813</v>
      </c>
      <c r="AC68" s="287" t="s">
        <v>959</v>
      </c>
      <c r="AD68" s="287" t="s">
        <v>959</v>
      </c>
      <c r="AE68" s="287" t="s">
        <v>959</v>
      </c>
      <c r="AF68" s="89">
        <f t="shared" si="31"/>
        <v>0</v>
      </c>
      <c r="AG68" s="287" t="s">
        <v>959</v>
      </c>
      <c r="AH68" s="287" t="s">
        <v>959</v>
      </c>
      <c r="AI68" s="287" t="s">
        <v>959</v>
      </c>
      <c r="AJ68" s="89">
        <f t="shared" si="14"/>
        <v>0</v>
      </c>
      <c r="AK68" s="289">
        <f t="shared" si="32"/>
        <v>933084</v>
      </c>
      <c r="AL68" s="337"/>
      <c r="AM68" s="1370"/>
      <c r="AN68" s="1411"/>
      <c r="AO68" s="1405"/>
      <c r="AP68" s="62" t="str">
        <f>C67</f>
        <v>07- Reestruturação</v>
      </c>
      <c r="AQ68" s="62" t="s">
        <v>313</v>
      </c>
      <c r="AR68" s="508" cm="1">
        <f t="array" aca="1" ref="AR68" ca="1">IF(OR(AP68="",AP68=0),"",IF(SUMPRODUCT(($C$55:$C$142=AP68)*(U$54:$AI$54&lt;EOMONTH(TODAY(),-1)+1)*(ISNUMBER(U$56:$AI$143)),U$56:$AI$143)=0,"",SUMPRODUCT(($C$55:$C$142=AP68)*(U$54:$AI$54&lt;EOMONTH(TODAY(),-1)+1)*(ISNUMBER(U$56:$AI$143)),U$56:$AI$143)))</f>
        <v>933084</v>
      </c>
      <c r="AS68" s="62" t="str">
        <f>A67</f>
        <v>Kaizen</v>
      </c>
      <c r="AU68" s="1567"/>
      <c r="AV68" s="1567"/>
    </row>
    <row r="69" spans="1:48" ht="40.35" customHeight="1" x14ac:dyDescent="0.3">
      <c r="A69" s="1407" t="s">
        <v>953</v>
      </c>
      <c r="B69" s="1691" t="s">
        <v>97</v>
      </c>
      <c r="C69" s="1465" t="s">
        <v>1873</v>
      </c>
      <c r="D69" s="1356" t="s">
        <v>1874</v>
      </c>
      <c r="E69" s="1449" t="s">
        <v>1875</v>
      </c>
      <c r="F69" s="1451" t="s">
        <v>1876</v>
      </c>
      <c r="G69" s="1366">
        <v>46062</v>
      </c>
      <c r="H69" s="1366">
        <v>46132</v>
      </c>
      <c r="I69" s="1488">
        <v>6975</v>
      </c>
      <c r="J69" s="1378">
        <v>46143</v>
      </c>
      <c r="K69" s="1387">
        <f t="shared" ref="K69" si="44">IF(J69="", "", 12 - MONTH(J69) + 1)</f>
        <v>8</v>
      </c>
      <c r="L69" s="1395"/>
      <c r="M69" s="1347" t="s">
        <v>308</v>
      </c>
      <c r="N69" s="2289">
        <v>6312.56</v>
      </c>
      <c r="O69" s="1334" t="s">
        <v>81</v>
      </c>
      <c r="P69" s="1673"/>
      <c r="Q69" s="1673"/>
      <c r="R69" s="1334">
        <v>1</v>
      </c>
      <c r="S69" s="93" t="s">
        <v>116</v>
      </c>
      <c r="T69" s="96">
        <f>AVERAGE([39]Estrutura!$I$5:$I$11)</f>
        <v>1</v>
      </c>
      <c r="U69" s="498">
        <f>IFERROR(IF(AND(U$54&gt;=EOMONTH($J69,-1)+1,U$54&lt;=EOMONTH(EOMONTH($J69,-1)+1,$K69-1)),IF(NOT(ISBLANK($N69)),$N69/$K69,$I69/$K69),0),0)</f>
        <v>0</v>
      </c>
      <c r="V69" s="498">
        <f>IFERROR(IF(AND(V$54&gt;=EOMONTH($J69,-1)+1,V$54&lt;=EOMONTH(EOMONTH($J69,-1)+1,$K69-1)),IF(NOT(ISBLANK($N69)),$N69/$K69,$I69/$K69),0),0)</f>
        <v>0</v>
      </c>
      <c r="W69" s="498">
        <f>IFERROR(IF(AND(W$54&gt;=EOMONTH($J69,-1)+1,W$54&lt;=EOMONTH(EOMONTH($J69,-1)+1,$K69-1)),IF(NOT(ISBLANK($N69)),$N69/$K69,$I69/$K69),0),0)</f>
        <v>0</v>
      </c>
      <c r="X69" s="89">
        <f t="shared" si="29"/>
        <v>0</v>
      </c>
      <c r="Y69" s="715">
        <f>IFERROR(IF(AND(Y$54&gt;=EOMONTH($J69,-1)+1,Y$54&lt;=EOMONTH(EOMONTH($J69,-1)+1,$K69-1)),IF(NOT(ISBLANK($N69)),$N69/$K69,$I69/$K69),0),0)</f>
        <v>0</v>
      </c>
      <c r="Z69" s="498">
        <f>IFERROR(IF(AND(Z$54&gt;=EOMONTH($J69,-1)+1,Z$54&lt;=EOMONTH(EOMONTH($J69,-1)+1,$K69-1)),IF(NOT(ISBLANK($N69)),$N69/$K69,$I69/$K69),0),0)</f>
        <v>789.07</v>
      </c>
      <c r="AA69" s="498">
        <f>IFERROR(IF(AND(AA$54&gt;=EOMONTH($J69,-1)+1,AA$54&lt;=EOMONTH(EOMONTH($J69,-1)+1,$K69-1)),IF(NOT(ISBLANK($N69)),$N69/$K69,$I69/$K69),0),0)</f>
        <v>789.07</v>
      </c>
      <c r="AB69" s="89">
        <f t="shared" si="30"/>
        <v>1578.14</v>
      </c>
      <c r="AC69" s="498">
        <f>IFERROR(IF(AND(AC$54&gt;=EOMONTH($J69,-1)+1,AC$54&lt;=EOMONTH(EOMONTH($J69,-1)+1,$K69-1)),IF(NOT(ISBLANK($N69)),$N69/$K69,$I69/$K69),0),0)</f>
        <v>789.07</v>
      </c>
      <c r="AD69" s="498">
        <f>IFERROR(IF(AND(AD$54&gt;=EOMONTH($J69,-1)+1,AD$54&lt;=EOMONTH(EOMONTH($J69,-1)+1,$K69-1)),IF(NOT(ISBLANK($N69)),$N69/$K69,$I69/$K69),0),0)</f>
        <v>789.07</v>
      </c>
      <c r="AE69" s="498">
        <f>IFERROR(IF(AND(AE$54&gt;=EOMONTH($J69,-1)+1,AE$54&lt;=EOMONTH(EOMONTH($J69,-1)+1,$K69-1)),IF(NOT(ISBLANK($N69)),$N69/$K69,$I69/$K69),0),0)</f>
        <v>789.07</v>
      </c>
      <c r="AF69" s="89">
        <f t="shared" si="31"/>
        <v>2367.21</v>
      </c>
      <c r="AG69" s="498">
        <f>IFERROR(IF(AND(AG$54&gt;=EOMONTH($J69,-1)+1,AG$54&lt;=EOMONTH(EOMONTH($J69,-1)+1,$K69-1)),IF(NOT(ISBLANK($N69)),$N69/$K69,$I69/$K69),0),0)</f>
        <v>789.07</v>
      </c>
      <c r="AH69" s="498">
        <f>IFERROR(IF(AND(AH$54&gt;=EOMONTH($J69,-1)+1,AH$54&lt;=EOMONTH(EOMONTH($J69,-1)+1,$K69-1)),IF(NOT(ISBLANK($N69)),$N69/$K69,$I69/$K69),0),0)</f>
        <v>789.07</v>
      </c>
      <c r="AI69" s="498">
        <f>IFERROR(IF(AND(AI$54&gt;=EOMONTH($J69,-1)+1,AI$54&lt;=EOMONTH(EOMONTH($J69,-1)+1,$K69-1)),IF(NOT(ISBLANK($N69)),$N69/$K69,$I69/$K69),0),0)</f>
        <v>789.07</v>
      </c>
      <c r="AJ69" s="89">
        <f t="shared" si="14"/>
        <v>2367.21</v>
      </c>
      <c r="AK69" s="95">
        <f t="shared" si="32"/>
        <v>6312.56</v>
      </c>
      <c r="AL69" s="97"/>
      <c r="AM69" s="1407"/>
      <c r="AN69" s="1334"/>
      <c r="AO69" s="1403">
        <f>N69*AN69</f>
        <v>0</v>
      </c>
      <c r="AP69" s="62" t="str">
        <f>C69</f>
        <v>08 - REDUÇÃO DE CUSTO LOCAÇÃO DE PTA (12METROS)</v>
      </c>
      <c r="AQ69" s="62" t="s">
        <v>311</v>
      </c>
      <c r="AR69" s="508" cm="1">
        <f t="array" aca="1" ref="AR69" ca="1">IF(OR(AP69="",AP69=0),"",IF(SUMPRODUCT(($C$55:$C$142=AP69)*(U$54:$AI$54&lt;EOMONTH(TODAY(),-1)+1)*(ISNUMBER(U$55:$AI$142)),U$55:$AI$142)=0,"",SUMPRODUCT(($C$55:$C$142=AP69)*(U$54:$AI$54&lt;EOMONTH(TODAY(),-1)+1)*(ISNUMBER(U$55:$AI$142)),U$55:$AI$142)))</f>
        <v>2367.21</v>
      </c>
      <c r="AS69" s="62" t="str">
        <f>A69</f>
        <v>Redução de custo</v>
      </c>
      <c r="AU69" s="1566">
        <f t="shared" ref="AU69" si="45">IF(OR(I69="",K69=""),0,(I69/12)*K69)</f>
        <v>4650</v>
      </c>
      <c r="AV69" s="1566">
        <f t="shared" ref="AV69" si="46">IF(OR(N69="",K69="",K69=0),0,(N69/K69)*12)</f>
        <v>9468.84</v>
      </c>
    </row>
    <row r="70" spans="1:48" ht="38.1" customHeight="1" x14ac:dyDescent="0.3">
      <c r="A70" s="1407"/>
      <c r="B70" s="1692"/>
      <c r="C70" s="1465"/>
      <c r="D70" s="1356"/>
      <c r="E70" s="1449"/>
      <c r="F70" s="1451"/>
      <c r="G70" s="1366"/>
      <c r="H70" s="1366"/>
      <c r="I70" s="1488"/>
      <c r="J70" s="1378"/>
      <c r="K70" s="1387"/>
      <c r="L70" s="1395"/>
      <c r="M70" s="1347"/>
      <c r="N70" s="1728"/>
      <c r="O70" s="1334"/>
      <c r="P70" s="1674"/>
      <c r="Q70" s="1674"/>
      <c r="R70" s="1334"/>
      <c r="S70" s="93" t="s">
        <v>117</v>
      </c>
      <c r="T70" s="96">
        <f>AVERAGE([39]Estrutura!$J$5:$J$11)</f>
        <v>1</v>
      </c>
      <c r="U70" s="290">
        <v>0</v>
      </c>
      <c r="V70" s="290">
        <v>0</v>
      </c>
      <c r="W70" s="290">
        <v>0</v>
      </c>
      <c r="X70" s="89">
        <f t="shared" si="29"/>
        <v>0</v>
      </c>
      <c r="Y70" s="869">
        <v>-645.38</v>
      </c>
      <c r="Z70" s="715">
        <v>789.07</v>
      </c>
      <c r="AA70" s="715">
        <v>789.07</v>
      </c>
      <c r="AB70" s="89">
        <f t="shared" si="30"/>
        <v>932.7600000000001</v>
      </c>
      <c r="AC70" s="715">
        <v>789.07</v>
      </c>
      <c r="AD70" s="290" t="s">
        <v>959</v>
      </c>
      <c r="AE70" s="290" t="s">
        <v>959</v>
      </c>
      <c r="AF70" s="89">
        <f t="shared" si="31"/>
        <v>789.07</v>
      </c>
      <c r="AG70" s="290" t="s">
        <v>959</v>
      </c>
      <c r="AH70" s="290" t="s">
        <v>959</v>
      </c>
      <c r="AI70" s="290" t="s">
        <v>959</v>
      </c>
      <c r="AJ70" s="89">
        <f t="shared" si="14"/>
        <v>0</v>
      </c>
      <c r="AK70" s="291">
        <f t="shared" si="32"/>
        <v>1721.8300000000002</v>
      </c>
      <c r="AL70" s="97"/>
      <c r="AM70" s="1407"/>
      <c r="AN70" s="1334"/>
      <c r="AO70" s="1403"/>
      <c r="AP70" s="62" t="str">
        <f>C69</f>
        <v>08 - REDUÇÃO DE CUSTO LOCAÇÃO DE PTA (12METROS)</v>
      </c>
      <c r="AQ70" s="62" t="s">
        <v>313</v>
      </c>
      <c r="AR70" s="508" cm="1">
        <f t="array" aca="1" ref="AR70" ca="1">IF(OR(AP70="",AP70=0),"",IF(SUMPRODUCT(($C$55:$C$142=AP70)*(U$54:$AI$54&lt;EOMONTH(TODAY(),-1)+1)*(ISNUMBER(U$56:$AI$143)),U$56:$AI$143)=0,"",SUMPRODUCT(($C$55:$C$142=AP70)*(U$54:$AI$54&lt;EOMONTH(TODAY(),-1)+1)*(ISNUMBER(U$56:$AI$143)),U$56:$AI$143)))</f>
        <v>1721.8300000000002</v>
      </c>
      <c r="AS70" s="62" t="str">
        <f>A69</f>
        <v>Redução de custo</v>
      </c>
      <c r="AU70" s="1567"/>
      <c r="AV70" s="1567"/>
    </row>
    <row r="71" spans="1:48" ht="40.35" customHeight="1" x14ac:dyDescent="0.3">
      <c r="A71" s="1407" t="s">
        <v>925</v>
      </c>
      <c r="B71" s="1691" t="s">
        <v>97</v>
      </c>
      <c r="C71" s="2314" t="s">
        <v>1877</v>
      </c>
      <c r="D71" s="1356" t="s">
        <v>1878</v>
      </c>
      <c r="E71" s="1449" t="s">
        <v>1879</v>
      </c>
      <c r="F71" s="1451" t="s">
        <v>1880</v>
      </c>
      <c r="G71" s="1366">
        <v>46064</v>
      </c>
      <c r="H71" s="1366">
        <v>46227</v>
      </c>
      <c r="I71" s="2282">
        <v>22050</v>
      </c>
      <c r="J71" s="1749">
        <v>46248</v>
      </c>
      <c r="K71" s="1389">
        <f t="shared" ref="K71" si="47">IF(J71="", "", 12 - MONTH(J71) + 1)</f>
        <v>5</v>
      </c>
      <c r="L71" s="2275"/>
      <c r="M71" s="1352"/>
      <c r="N71" s="1393"/>
      <c r="O71" s="1334" t="s">
        <v>83</v>
      </c>
      <c r="P71" s="2127" t="s">
        <v>1881</v>
      </c>
      <c r="Q71" s="1669">
        <v>46262</v>
      </c>
      <c r="R71" s="1334">
        <v>1</v>
      </c>
      <c r="S71" s="93" t="s">
        <v>116</v>
      </c>
      <c r="T71" s="96">
        <f>AVERAGE([40]Estrutura!$I$5:$I$12)</f>
        <v>0.72587719298245612</v>
      </c>
      <c r="U71" s="498">
        <f>IFERROR(IF(AND(U$54&gt;=EOMONTH($J71,-1)+1,U$54&lt;=EOMONTH(EOMONTH($J71,-1)+1,$K71-1)),IF(NOT(ISBLANK($N71)),$N71/$K71,$I71/$K71),0),0)</f>
        <v>0</v>
      </c>
      <c r="V71" s="498">
        <f>IFERROR(IF(AND(V$54&gt;=EOMONTH($J71,-1)+1,V$54&lt;=EOMONTH(EOMONTH($J71,-1)+1,$K71-1)),IF(NOT(ISBLANK($N71)),$N71/$K71,$I71/$K71),0),0)</f>
        <v>0</v>
      </c>
      <c r="W71" s="498">
        <f>IFERROR(IF(AND(W$54&gt;=EOMONTH($J71,-1)+1,W$54&lt;=EOMONTH(EOMONTH($J71,-1)+1,$K71-1)),IF(NOT(ISBLANK($N71)),$N71/$K71,$I71/$K71),0),0)</f>
        <v>0</v>
      </c>
      <c r="X71" s="89">
        <f t="shared" si="29"/>
        <v>0</v>
      </c>
      <c r="Y71" s="645">
        <f>IFERROR(IF(AND(Y$54&gt;=EOMONTH($J71,-1)+1,Y$54&lt;=EOMONTH(EOMONTH($J71,-1)+1,$K71-1)),IF(NOT(ISBLANK($N71)),$N71/$K71,$I71/$K71),0),0)</f>
        <v>0</v>
      </c>
      <c r="Z71" s="498">
        <f>IFERROR(IF(AND(Z$54&gt;=EOMONTH($J71,-1)+1,Z$54&lt;=EOMONTH(EOMONTH($J71,-1)+1,$K71-1)),IF(NOT(ISBLANK($N71)),$N71/$K71,$I71/$K71),0),0)</f>
        <v>0</v>
      </c>
      <c r="AA71" s="498">
        <f>IFERROR(IF(AND(AA$54&gt;=EOMONTH($J71,-1)+1,AA$54&lt;=EOMONTH(EOMONTH($J71,-1)+1,$K71-1)),IF(NOT(ISBLANK($N71)),$N71/$K71,$I71/$K71),0),0)</f>
        <v>0</v>
      </c>
      <c r="AB71" s="89">
        <f t="shared" si="30"/>
        <v>0</v>
      </c>
      <c r="AC71" s="498">
        <f>IFERROR(IF(AND(AC$54&gt;=EOMONTH($J71,-1)+1,AC$54&lt;=EOMONTH(EOMONTH($J71,-1)+1,$K71-1)),IF(NOT(ISBLANK($N71)),$N71/$K71,$I71/$K71),0),0)</f>
        <v>0</v>
      </c>
      <c r="AD71" s="498">
        <f>IFERROR(IF(AND(AD$54&gt;=EOMONTH($J71,-1)+1,AD$54&lt;=EOMONTH(EOMONTH($J71,-1)+1,$K71-1)),IF(NOT(ISBLANK($N71)),$N71/$K71,$I71/$K71),0),0)</f>
        <v>4410</v>
      </c>
      <c r="AE71" s="498">
        <f>IFERROR(IF(AND(AE$54&gt;=EOMONTH($J71,-1)+1,AE$54&lt;=EOMONTH(EOMONTH($J71,-1)+1,$K71-1)),IF(NOT(ISBLANK($N71)),$N71/$K71,$I71/$K71),0),0)</f>
        <v>4410</v>
      </c>
      <c r="AF71" s="89">
        <f t="shared" si="31"/>
        <v>8820</v>
      </c>
      <c r="AG71" s="498">
        <f>IFERROR(IF(AND(AG$54&gt;=EOMONTH($J71,-1)+1,AG$54&lt;=EOMONTH(EOMONTH($J71,-1)+1,$K71-1)),IF(NOT(ISBLANK($N71)),$N71/$K71,$I71/$K71),0),0)</f>
        <v>4410</v>
      </c>
      <c r="AH71" s="498">
        <f>IFERROR(IF(AND(AH$54&gt;=EOMONTH($J71,-1)+1,AH$54&lt;=EOMONTH(EOMONTH($J71,-1)+1,$K71-1)),IF(NOT(ISBLANK($N71)),$N71/$K71,$I71/$K71),0),0)</f>
        <v>4410</v>
      </c>
      <c r="AI71" s="498">
        <f>IFERROR(IF(AND(AI$54&gt;=EOMONTH($J71,-1)+1,AI$54&lt;=EOMONTH(EOMONTH($J71,-1)+1,$K71-1)),IF(NOT(ISBLANK($N71)),$N71/$K71,$I71/$K71),0),0)</f>
        <v>4410</v>
      </c>
      <c r="AJ71" s="89">
        <f t="shared" si="14"/>
        <v>13230</v>
      </c>
      <c r="AK71" s="95">
        <f t="shared" si="32"/>
        <v>22050</v>
      </c>
      <c r="AL71" s="125" t="s">
        <v>1882</v>
      </c>
      <c r="AM71" s="1407"/>
      <c r="AN71" s="1334"/>
      <c r="AO71" s="1403">
        <f>N71*AN71</f>
        <v>0</v>
      </c>
      <c r="AP71" s="62" t="str">
        <f>C71</f>
        <v>09- Substituíção de Empilhadeiras GPL.</v>
      </c>
      <c r="AQ71" s="62" t="s">
        <v>311</v>
      </c>
      <c r="AR71" s="508" t="str" cm="1">
        <f t="array" aca="1" ref="AR71" ca="1">IF(OR(AP71="",AP71=0),"",IF(SUMPRODUCT(($C$55:$C$142=AP71)*(U$54:$AI$54&lt;EOMONTH(TODAY(),-1)+1)*(ISNUMBER(U$55:$AI$142)),U$55:$AI$142)=0,"",SUMPRODUCT(($C$55:$C$142=AP71)*(U$54:$AI$54&lt;EOMONTH(TODAY(),-1)+1)*(ISNUMBER(U$55:$AI$142)),U$55:$AI$142)))</f>
        <v/>
      </c>
      <c r="AS71" s="62" t="str">
        <f>A71</f>
        <v>Kaizen</v>
      </c>
      <c r="AU71" s="1566">
        <f t="shared" ref="AU71" si="48">IF(OR(I71="",K71=""),0,(I71/12)*K71)</f>
        <v>9187.5</v>
      </c>
      <c r="AV71" s="1566">
        <f t="shared" ref="AV71" si="49">IF(OR(N71="",K71="",K71=0),0,(N71/K71)*12)</f>
        <v>0</v>
      </c>
    </row>
    <row r="72" spans="1:48" ht="72.599999999999994" customHeight="1" x14ac:dyDescent="0.3">
      <c r="A72" s="1407"/>
      <c r="B72" s="1692"/>
      <c r="C72" s="2314"/>
      <c r="D72" s="1356"/>
      <c r="E72" s="1449"/>
      <c r="F72" s="1451"/>
      <c r="G72" s="1366"/>
      <c r="H72" s="1366"/>
      <c r="I72" s="2282"/>
      <c r="J72" s="1749"/>
      <c r="K72" s="1389"/>
      <c r="L72" s="2275"/>
      <c r="M72" s="1352"/>
      <c r="N72" s="1393"/>
      <c r="O72" s="1334"/>
      <c r="P72" s="2128"/>
      <c r="Q72" s="2260"/>
      <c r="R72" s="1334"/>
      <c r="S72" s="93" t="s">
        <v>117</v>
      </c>
      <c r="T72" s="96">
        <f>AVERAGE([40]Estrutura!$J$5:$J$12)</f>
        <v>0.73750000000000004</v>
      </c>
      <c r="U72" s="290" t="s">
        <v>959</v>
      </c>
      <c r="V72" s="290" t="s">
        <v>959</v>
      </c>
      <c r="W72" s="290" t="s">
        <v>959</v>
      </c>
      <c r="X72" s="89">
        <f t="shared" si="29"/>
        <v>0</v>
      </c>
      <c r="Y72" s="670" t="s">
        <v>959</v>
      </c>
      <c r="Z72" s="290" t="s">
        <v>959</v>
      </c>
      <c r="AA72" s="290" t="s">
        <v>959</v>
      </c>
      <c r="AB72" s="89">
        <f t="shared" si="30"/>
        <v>0</v>
      </c>
      <c r="AC72" s="290" t="s">
        <v>959</v>
      </c>
      <c r="AD72" s="290" t="s">
        <v>959</v>
      </c>
      <c r="AE72" s="290" t="s">
        <v>959</v>
      </c>
      <c r="AF72" s="89">
        <f t="shared" si="31"/>
        <v>0</v>
      </c>
      <c r="AG72" s="290" t="s">
        <v>959</v>
      </c>
      <c r="AH72" s="290" t="s">
        <v>959</v>
      </c>
      <c r="AI72" s="290" t="s">
        <v>959</v>
      </c>
      <c r="AJ72" s="89">
        <f t="shared" si="14"/>
        <v>0</v>
      </c>
      <c r="AK72" s="291">
        <f t="shared" si="32"/>
        <v>0</v>
      </c>
      <c r="AL72" s="97"/>
      <c r="AM72" s="1407"/>
      <c r="AN72" s="1334"/>
      <c r="AO72" s="1403"/>
      <c r="AP72" s="62" t="str">
        <f>C71</f>
        <v>09- Substituíção de Empilhadeiras GPL.</v>
      </c>
      <c r="AQ72" s="62" t="s">
        <v>313</v>
      </c>
      <c r="AR72" s="508" t="str" cm="1">
        <f t="array" aca="1" ref="AR72" ca="1">IF(OR(AP72="",AP72=0),"",IF(SUMPRODUCT(($C$55:$C$142=AP72)*(U$54:$AI$54&lt;EOMONTH(TODAY(),-1)+1)*(ISNUMBER(U$56:$AI$143)),U$56:$AI$143)=0,"",SUMPRODUCT(($C$55:$C$142=AP72)*(U$54:$AI$54&lt;EOMONTH(TODAY(),-1)+1)*(ISNUMBER(U$56:$AI$143)),U$56:$AI$143)))</f>
        <v/>
      </c>
      <c r="AS72" s="62" t="str">
        <f>A71</f>
        <v>Kaizen</v>
      </c>
      <c r="AU72" s="1567"/>
      <c r="AV72" s="1567"/>
    </row>
    <row r="73" spans="1:48" ht="29.1" customHeight="1" x14ac:dyDescent="0.3">
      <c r="A73" s="1380" t="s">
        <v>91</v>
      </c>
      <c r="B73" s="1407" t="s">
        <v>95</v>
      </c>
      <c r="C73" s="1482" t="s">
        <v>1883</v>
      </c>
      <c r="D73" s="1486" t="s">
        <v>1884</v>
      </c>
      <c r="E73" s="1368" t="s">
        <v>1885</v>
      </c>
      <c r="F73" s="1370" t="s">
        <v>1851</v>
      </c>
      <c r="G73" s="1372">
        <v>46055</v>
      </c>
      <c r="H73" s="1372">
        <v>46213</v>
      </c>
      <c r="I73" s="1354">
        <v>48730.19</v>
      </c>
      <c r="J73" s="1376">
        <v>46239</v>
      </c>
      <c r="K73" s="1387">
        <f t="shared" ref="K73" si="50">IF(J73="", "", 12 - MONTH(J73) + 1)</f>
        <v>5</v>
      </c>
      <c r="L73" s="1354"/>
      <c r="M73" s="1350" t="s">
        <v>308</v>
      </c>
      <c r="N73" s="1865">
        <v>38005.06</v>
      </c>
      <c r="O73" s="1327" t="s">
        <v>81</v>
      </c>
      <c r="P73" s="2129"/>
      <c r="Q73" s="2115"/>
      <c r="R73" s="1327">
        <v>1</v>
      </c>
      <c r="S73" s="87" t="s">
        <v>116</v>
      </c>
      <c r="T73" s="91">
        <f>AVERAGE([41]Estrutura!$I$5:$I$14)</f>
        <v>1</v>
      </c>
      <c r="U73" s="287">
        <f>IFERROR(IF(AND(U$54&gt;=EOMONTH($J73,-1)+1,U$54&lt;=EOMONTH(EOMONTH($J73,-1)+1,$K73-1)),IF(NOT(ISBLANK($N73)),$N73/$K73,$I73/$K73),0),0)</f>
        <v>0</v>
      </c>
      <c r="V73" s="287">
        <f>IFERROR(IF(AND(V$54&gt;=EOMONTH($J73,-1)+1,V$54&lt;=EOMONTH(EOMONTH($J73,-1)+1,$K73-1)),IF(NOT(ISBLANK($N73)),$N73/$K73,$I73/$K73),0),0)</f>
        <v>0</v>
      </c>
      <c r="W73" s="287">
        <f>IFERROR(IF(AND(W$54&gt;=EOMONTH($J73,-1)+1,W$54&lt;=EOMONTH(EOMONTH($J73,-1)+1,$K73-1)),IF(NOT(ISBLANK($N73)),$N73/$K73,$I73/$K73),0),0)</f>
        <v>0</v>
      </c>
      <c r="X73" s="89">
        <f t="shared" si="29"/>
        <v>0</v>
      </c>
      <c r="Y73" s="287">
        <f>IFERROR(IF(AND(Y$54&gt;=EOMONTH($J73,-1)+1,Y$54&lt;=EOMONTH(EOMONTH($J73,-1)+1,$K73-1)),IF(NOT(ISBLANK($N73)),$N73/$K73,$I73/$K73),0),0)</f>
        <v>0</v>
      </c>
      <c r="Z73" s="887">
        <f>IFERROR(IF(AND(Z$54&gt;=EOMONTH($J73,-1)+1,Z$54&lt;=EOMONTH(EOMONTH($J73,-1)+1,$K73-1)),IF(NOT(ISBLANK($N73)),$N73/$K73,$I73/$K73),0),0)</f>
        <v>0</v>
      </c>
      <c r="AA73" s="287">
        <f>IFERROR(IF(AND(AA$54&gt;=EOMONTH($J73,-1)+1,AA$54&lt;=EOMONTH(EOMONTH($J73,-1)+1,$K73-1)),IF(NOT(ISBLANK($N73)),$N73/$K73,$I73/$K73),0),0)</f>
        <v>0</v>
      </c>
      <c r="AB73" s="89">
        <f t="shared" si="30"/>
        <v>0</v>
      </c>
      <c r="AC73" s="287">
        <f>IFERROR(IF(AND(AC$54&gt;=EOMONTH($J73,-1)+1,AC$54&lt;=EOMONTH(EOMONTH($J73,-1)+1,$K73-1)),IF(NOT(ISBLANK($N73)),$N73/$K73,$I73/$K73),0),0)</f>
        <v>0</v>
      </c>
      <c r="AD73" s="287">
        <f>IFERROR(IF(AND(AD$54&gt;=EOMONTH($J73,-1)+1,AD$54&lt;=EOMONTH(EOMONTH($J73,-1)+1,$K73-1)),IF(NOT(ISBLANK($N73)),$N73/$K73,$I73/$K73),0),0)</f>
        <v>7601.0119999999997</v>
      </c>
      <c r="AE73" s="287">
        <f>IFERROR(IF(AND(AE$54&gt;=EOMONTH($J73,-1)+1,AE$54&lt;=EOMONTH(EOMONTH($J73,-1)+1,$K73-1)),IF(NOT(ISBLANK($N73)),$N73/$K73,$I73/$K73),0),0)</f>
        <v>7601.0119999999997</v>
      </c>
      <c r="AF73" s="89">
        <f t="shared" si="31"/>
        <v>15202.023999999999</v>
      </c>
      <c r="AG73" s="287">
        <f>IFERROR(IF(AND(AG$54&gt;=EOMONTH($J73,-1)+1,AG$54&lt;=EOMONTH(EOMONTH($J73,-1)+1,$K73-1)),IF(NOT(ISBLANK($N73)),$N73/$K73,$I73/$K73),0),0)</f>
        <v>7601.0119999999997</v>
      </c>
      <c r="AH73" s="287">
        <f>IFERROR(IF(AND(AH$54&gt;=EOMONTH($J73,-1)+1,AH$54&lt;=EOMONTH(EOMONTH($J73,-1)+1,$K73-1)),IF(NOT(ISBLANK($N73)),$N73/$K73,$I73/$K73),0),0)</f>
        <v>7601.0119999999997</v>
      </c>
      <c r="AI73" s="287">
        <f>IFERROR(IF(AND(AI$54&gt;=EOMONTH($J73,-1)+1,AI$54&lt;=EOMONTH(EOMONTH($J73,-1)+1,$K73-1)),IF(NOT(ISBLANK($N73)),$N73/$K73,$I73/$K73),0),0)</f>
        <v>7601.0119999999997</v>
      </c>
      <c r="AJ73" s="89">
        <f t="shared" si="14"/>
        <v>22803.036</v>
      </c>
      <c r="AK73" s="90">
        <f>SUM(X73,AB73,AF73,AJ73)</f>
        <v>38005.06</v>
      </c>
      <c r="AL73" s="98"/>
      <c r="AM73" s="1370"/>
      <c r="AN73" s="1411"/>
      <c r="AO73" s="1405">
        <f>N73*AN73</f>
        <v>0</v>
      </c>
      <c r="AP73" s="62" t="str">
        <f>C73</f>
        <v xml:space="preserve">10 -  REDUÇÃO DE PESO BRUTO DD000504/505Z
</v>
      </c>
      <c r="AQ73" s="62" t="s">
        <v>311</v>
      </c>
      <c r="AR73" s="508" t="str" cm="1">
        <f t="array" aca="1" ref="AR73" ca="1">IF(OR(AP73="",AP73=0),"",IF(SUMPRODUCT(($C$55:$C$142=AP73)*(U$54:$AI$54&lt;EOMONTH(TODAY(),-1)+1)*(ISNUMBER(U$55:$AI$142)),U$55:$AI$142)=0,"",SUMPRODUCT(($C$55:$C$142=AP73)*(U$54:$AI$54&lt;EOMONTH(TODAY(),-1)+1)*(ISNUMBER(U$55:$AI$142)),U$55:$AI$142)))</f>
        <v/>
      </c>
      <c r="AS73" s="62" t="str">
        <f>A73</f>
        <v>BSW</v>
      </c>
      <c r="AU73" s="1566">
        <f t="shared" ref="AU73" si="51">IF(OR(I73="",K73=""),0,(I73/12)*K73)</f>
        <v>20304.245833333334</v>
      </c>
      <c r="AV73" s="1566">
        <f t="shared" ref="AV73" si="52">IF(OR(N73="",K73="",K73=0),0,(N73/K73)*12)</f>
        <v>91212.144</v>
      </c>
    </row>
    <row r="74" spans="1:48" ht="38.1" customHeight="1" x14ac:dyDescent="0.3">
      <c r="A74" s="1380"/>
      <c r="B74" s="1408"/>
      <c r="C74" s="1482"/>
      <c r="D74" s="1486"/>
      <c r="E74" s="1368"/>
      <c r="F74" s="1370"/>
      <c r="G74" s="1372"/>
      <c r="H74" s="1372"/>
      <c r="I74" s="1354"/>
      <c r="J74" s="1376"/>
      <c r="K74" s="1387"/>
      <c r="L74" s="1354"/>
      <c r="M74" s="1350"/>
      <c r="N74" s="1865"/>
      <c r="O74" s="1327"/>
      <c r="P74" s="1672"/>
      <c r="Q74" s="2116"/>
      <c r="R74" s="1327"/>
      <c r="S74" s="87" t="s">
        <v>117</v>
      </c>
      <c r="T74" s="91">
        <f>AVERAGE([41]Estrutura!$J$5:$J$14)</f>
        <v>1</v>
      </c>
      <c r="U74" s="287" t="s">
        <v>959</v>
      </c>
      <c r="V74" s="287" t="s">
        <v>959</v>
      </c>
      <c r="W74" s="287" t="s">
        <v>959</v>
      </c>
      <c r="X74" s="89">
        <f t="shared" si="29"/>
        <v>0</v>
      </c>
      <c r="Y74" s="287" t="s">
        <v>959</v>
      </c>
      <c r="Z74" s="287" t="s">
        <v>959</v>
      </c>
      <c r="AA74" s="287" t="s">
        <v>959</v>
      </c>
      <c r="AB74" s="89">
        <f t="shared" si="30"/>
        <v>0</v>
      </c>
      <c r="AC74" s="287" t="s">
        <v>959</v>
      </c>
      <c r="AD74" s="287" t="s">
        <v>959</v>
      </c>
      <c r="AE74" s="287" t="s">
        <v>959</v>
      </c>
      <c r="AF74" s="89">
        <f t="shared" si="31"/>
        <v>0</v>
      </c>
      <c r="AG74" s="287" t="s">
        <v>959</v>
      </c>
      <c r="AH74" s="287" t="s">
        <v>959</v>
      </c>
      <c r="AI74" s="287" t="s">
        <v>959</v>
      </c>
      <c r="AJ74" s="89">
        <f t="shared" si="14"/>
        <v>0</v>
      </c>
      <c r="AK74" s="289">
        <f t="shared" si="32"/>
        <v>0</v>
      </c>
      <c r="AL74" s="337"/>
      <c r="AM74" s="1370"/>
      <c r="AN74" s="1411"/>
      <c r="AO74" s="1405"/>
      <c r="AP74" s="62" t="str">
        <f>C73</f>
        <v xml:space="preserve">10 -  REDUÇÃO DE PESO BRUTO DD000504/505Z
</v>
      </c>
      <c r="AQ74" s="62" t="s">
        <v>313</v>
      </c>
      <c r="AR74" s="508" t="str" cm="1">
        <f t="array" aca="1" ref="AR74" ca="1">IF(OR(AP74="",AP74=0),"",IF(SUMPRODUCT(($C$55:$C$142=AP74)*(U$54:$AI$54&lt;EOMONTH(TODAY(),-1)+1)*(ISNUMBER(U$56:$AI$143)),U$56:$AI$143)=0,"",SUMPRODUCT(($C$55:$C$142=AP74)*(U$54:$AI$54&lt;EOMONTH(TODAY(),-1)+1)*(ISNUMBER(U$56:$AI$143)),U$56:$AI$143)))</f>
        <v/>
      </c>
      <c r="AS74" s="62" t="str">
        <f>A73</f>
        <v>BSW</v>
      </c>
      <c r="AU74" s="1567"/>
      <c r="AV74" s="1567"/>
    </row>
    <row r="75" spans="1:48" ht="40.35" customHeight="1" x14ac:dyDescent="0.3">
      <c r="A75" s="1407" t="s">
        <v>925</v>
      </c>
      <c r="B75" s="1691" t="s">
        <v>97</v>
      </c>
      <c r="C75" s="2314" t="s">
        <v>1886</v>
      </c>
      <c r="D75" s="1486" t="s">
        <v>1887</v>
      </c>
      <c r="E75" s="1740" t="s">
        <v>1888</v>
      </c>
      <c r="F75" s="1742" t="s">
        <v>1876</v>
      </c>
      <c r="G75" s="2165">
        <v>46087</v>
      </c>
      <c r="H75" s="2165">
        <v>46234</v>
      </c>
      <c r="I75" s="1395">
        <v>26400</v>
      </c>
      <c r="J75" s="1378">
        <v>46145</v>
      </c>
      <c r="K75" s="1389">
        <f t="shared" ref="K75" si="53">IF(J75="", "", 12 - MONTH(J75) + 1)</f>
        <v>8</v>
      </c>
      <c r="L75" s="1395"/>
      <c r="M75" s="1347" t="s">
        <v>308</v>
      </c>
      <c r="N75" s="1865">
        <f>7700</f>
        <v>7700</v>
      </c>
      <c r="O75" s="1849" t="s">
        <v>81</v>
      </c>
      <c r="P75" s="1673"/>
      <c r="Q75" s="2125"/>
      <c r="R75" s="1334">
        <v>1</v>
      </c>
      <c r="S75" s="87" t="s">
        <v>116</v>
      </c>
      <c r="T75" s="947">
        <f>AVERAGE([42]Estrutura!$I$5:$I$7)</f>
        <v>0.83333333333333337</v>
      </c>
      <c r="U75" s="498">
        <f>IFERROR(IF(AND(U$54&gt;=EOMONTH($J75,-1)+1,U$54&lt;=EOMONTH(EOMONTH($J75,-1)+1,$K75-1)),IF(NOT(ISBLANK($N75)),$N75/$K75,$I75/$K75),0),0)</f>
        <v>0</v>
      </c>
      <c r="V75" s="498">
        <f>IFERROR(IF(AND(V$54&gt;=EOMONTH($J75,-1)+1,V$54&lt;=EOMONTH(EOMONTH($J75,-1)+1,$K75-1)),IF(NOT(ISBLANK($N75)),$N75/$K75,$I75/$K75),0),0)</f>
        <v>0</v>
      </c>
      <c r="W75" s="498">
        <f>IFERROR(IF(AND(W$54&gt;=EOMONTH($J75,-1)+1,W$54&lt;=EOMONTH(EOMONTH($J75,-1)+1,$K75-1)),IF(NOT(ISBLANK($N75)),$N75/$K75,$I75/$K75),0),0)</f>
        <v>0</v>
      </c>
      <c r="X75" s="89">
        <f t="shared" si="29"/>
        <v>0</v>
      </c>
      <c r="Y75" s="498">
        <f>IFERROR(IF(AND(Y$54&gt;=EOMONTH($J75,-1)+1,Y$54&lt;=EOMONTH(EOMONTH($J75,-1)+1,$K75-1)),IF(NOT(ISBLANK($N75)),$N75/$K75,$I75/$K75),0),0)</f>
        <v>0</v>
      </c>
      <c r="Z75" s="596">
        <f>IFERROR(IF(AND(Z$54&gt;=EOMONTH($J75,-1)+1,Z$54&lt;=EOMONTH(EOMONTH($J75,-1)+1,$K75-1)),IF(NOT(ISBLANK($N75)),$N75/$K75,$I75/$K75),0),0)</f>
        <v>962.5</v>
      </c>
      <c r="AA75" s="498">
        <f>IFERROR(IF(AND(AA$54&gt;=EOMONTH($J75,-1)+1,AA$54&lt;=EOMONTH(EOMONTH($J75,-1)+1,$K75-1)),IF(NOT(ISBLANK($N75)),$N75/$K75,$I75/$K75),0),0)</f>
        <v>962.5</v>
      </c>
      <c r="AB75" s="89">
        <f t="shared" si="30"/>
        <v>1925</v>
      </c>
      <c r="AC75" s="498">
        <f>IFERROR(IF(AND(AC$54&gt;=EOMONTH($J75,-1)+1,AC$54&lt;=EOMONTH(EOMONTH($J75,-1)+1,$K75-1)),IF(NOT(ISBLANK($N75)),$N75/$K75,$I75/$K75),0),0)</f>
        <v>962.5</v>
      </c>
      <c r="AD75" s="498">
        <f>IFERROR(IF(AND(AD$54&gt;=EOMONTH($J75,-1)+1,AD$54&lt;=EOMONTH(EOMONTH($J75,-1)+1,$K75-1)),IF(NOT(ISBLANK($N75)),$N75/$K75,$I75/$K75),0),0)</f>
        <v>962.5</v>
      </c>
      <c r="AE75" s="498">
        <f>IFERROR(IF(AND(AE$54&gt;=EOMONTH($J75,-1)+1,AE$54&lt;=EOMONTH(EOMONTH($J75,-1)+1,$K75-1)),IF(NOT(ISBLANK($N75)),$N75/$K75,$I75/$K75),0),0)</f>
        <v>962.5</v>
      </c>
      <c r="AF75" s="89">
        <f t="shared" si="31"/>
        <v>2887.5</v>
      </c>
      <c r="AG75" s="498">
        <f>IFERROR(IF(AND(AG$54&gt;=EOMONTH($J75,-1)+1,AG$54&lt;=EOMONTH(EOMONTH($J75,-1)+1,$K75-1)),IF(NOT(ISBLANK($N75)),$N75/$K75,$I75/$K75),0),0)</f>
        <v>962.5</v>
      </c>
      <c r="AH75" s="498">
        <f>IFERROR(IF(AND(AH$54&gt;=EOMONTH($J75,-1)+1,AH$54&lt;=EOMONTH(EOMONTH($J75,-1)+1,$K75-1)),IF(NOT(ISBLANK($N75)),$N75/$K75,$I75/$K75),0),0)</f>
        <v>962.5</v>
      </c>
      <c r="AI75" s="498">
        <f>IFERROR(IF(AND(AI$54&gt;=EOMONTH($J75,-1)+1,AI$54&lt;=EOMONTH(EOMONTH($J75,-1)+1,$K75-1)),IF(NOT(ISBLANK($N75)),$N75/$K75,$I75/$K75),0),0)</f>
        <v>962.5</v>
      </c>
      <c r="AJ75" s="89">
        <f t="shared" si="14"/>
        <v>2887.5</v>
      </c>
      <c r="AK75" s="95">
        <f t="shared" si="32"/>
        <v>7700</v>
      </c>
      <c r="AL75" s="97"/>
      <c r="AM75" s="1407"/>
      <c r="AN75" s="1334"/>
      <c r="AO75" s="1403">
        <f>N75*AN75</f>
        <v>0</v>
      </c>
      <c r="AP75" s="62" t="str">
        <f>C75</f>
        <v>11- REDUZIR A QUANTIDADE DE MÁQUINAS DE SOLDA MIG/MAG LOCADAS</v>
      </c>
      <c r="AQ75" s="62" t="s">
        <v>311</v>
      </c>
      <c r="AR75" s="508" cm="1">
        <f t="array" aca="1" ref="AR75" ca="1">IF(OR(AP75="",AP75=0),"",IF(SUMPRODUCT(($C$55:$C$142=AP75)*(U$54:$AI$54&lt;EOMONTH(TODAY(),-1)+1)*(ISNUMBER(U$55:$AI$142)),U$55:$AI$142)=0,"",SUMPRODUCT(($C$55:$C$142=AP75)*(U$54:$AI$54&lt;EOMONTH(TODAY(),-1)+1)*(ISNUMBER(U$55:$AI$142)),U$55:$AI$142)))</f>
        <v>2887.5</v>
      </c>
      <c r="AS75" s="62" t="str">
        <f>A75</f>
        <v>Kaizen</v>
      </c>
      <c r="AU75" s="1566">
        <f t="shared" ref="AU75" si="54">IF(OR(I75="",K75=""),0,(I75/12)*K75)</f>
        <v>17600</v>
      </c>
      <c r="AV75" s="1566">
        <f t="shared" ref="AV75" si="55">IF(OR(N75="",K75="",K75=0),0,(N75/K75)*12)</f>
        <v>11550</v>
      </c>
    </row>
    <row r="76" spans="1:48" ht="42" customHeight="1" x14ac:dyDescent="0.3">
      <c r="A76" s="1407"/>
      <c r="B76" s="1692"/>
      <c r="C76" s="2314"/>
      <c r="D76" s="1486"/>
      <c r="E76" s="1740"/>
      <c r="F76" s="1742"/>
      <c r="G76" s="2165"/>
      <c r="H76" s="2165"/>
      <c r="I76" s="1395"/>
      <c r="J76" s="1378"/>
      <c r="K76" s="1389"/>
      <c r="L76" s="1395"/>
      <c r="M76" s="1347"/>
      <c r="N76" s="1865"/>
      <c r="O76" s="1849"/>
      <c r="P76" s="1674"/>
      <c r="Q76" s="2126"/>
      <c r="R76" s="1334"/>
      <c r="S76" s="87" t="s">
        <v>117</v>
      </c>
      <c r="T76" s="96">
        <f>AVERAGE([42]Estrutura!$J$5:$J$7)</f>
        <v>0.8666666666666667</v>
      </c>
      <c r="U76" s="290" t="s">
        <v>959</v>
      </c>
      <c r="V76" s="290" t="s">
        <v>959</v>
      </c>
      <c r="W76" s="290" t="s">
        <v>959</v>
      </c>
      <c r="X76" s="89">
        <f t="shared" si="29"/>
        <v>0</v>
      </c>
      <c r="Y76" s="290" t="s">
        <v>959</v>
      </c>
      <c r="Z76" s="498">
        <v>1100</v>
      </c>
      <c r="AA76" s="944">
        <v>-8900</v>
      </c>
      <c r="AB76" s="89">
        <f t="shared" si="30"/>
        <v>-7800</v>
      </c>
      <c r="AC76" s="715">
        <v>1100</v>
      </c>
      <c r="AD76" s="290" t="s">
        <v>959</v>
      </c>
      <c r="AE76" s="290" t="s">
        <v>959</v>
      </c>
      <c r="AF76" s="89">
        <f t="shared" si="31"/>
        <v>1100</v>
      </c>
      <c r="AG76" s="290" t="s">
        <v>959</v>
      </c>
      <c r="AH76" s="290" t="s">
        <v>959</v>
      </c>
      <c r="AI76" s="290" t="s">
        <v>959</v>
      </c>
      <c r="AJ76" s="89">
        <f t="shared" si="14"/>
        <v>0</v>
      </c>
      <c r="AK76" s="291">
        <f t="shared" si="32"/>
        <v>-6700</v>
      </c>
      <c r="AL76" s="97"/>
      <c r="AM76" s="1407"/>
      <c r="AN76" s="1334"/>
      <c r="AO76" s="1403"/>
      <c r="AP76" s="62" t="str">
        <f>C75</f>
        <v>11- REDUZIR A QUANTIDADE DE MÁQUINAS DE SOLDA MIG/MAG LOCADAS</v>
      </c>
      <c r="AQ76" s="62" t="s">
        <v>313</v>
      </c>
      <c r="AR76" s="508" cm="1">
        <f t="array" aca="1" ref="AR76" ca="1">IF(OR(AP76="",AP76=0),"",IF(SUMPRODUCT(($C$55:$C$142=AP76)*(U$54:$AI$54&lt;EOMONTH(TODAY(),-1)+1)*(ISNUMBER(U$56:$AI$143)),U$56:$AI$143)=0,"",SUMPRODUCT(($C$55:$C$142=AP76)*(U$54:$AI$54&lt;EOMONTH(TODAY(),-1)+1)*(ISNUMBER(U$56:$AI$143)),U$56:$AI$143)))</f>
        <v>-6700</v>
      </c>
      <c r="AS76" s="62" t="str">
        <f>A75</f>
        <v>Kaizen</v>
      </c>
      <c r="AU76" s="1567"/>
      <c r="AV76" s="1567"/>
    </row>
    <row r="77" spans="1:48" ht="40.35" customHeight="1" x14ac:dyDescent="0.3">
      <c r="A77" s="1380" t="s">
        <v>953</v>
      </c>
      <c r="B77" s="1407" t="s">
        <v>97</v>
      </c>
      <c r="C77" s="2350" t="s">
        <v>1889</v>
      </c>
      <c r="D77" s="1486" t="s">
        <v>1890</v>
      </c>
      <c r="E77" s="1368" t="s">
        <v>1891</v>
      </c>
      <c r="F77" s="1370" t="s">
        <v>1892</v>
      </c>
      <c r="G77" s="1372">
        <v>46027</v>
      </c>
      <c r="H77" s="1372">
        <v>46241</v>
      </c>
      <c r="I77" s="1354">
        <v>18000</v>
      </c>
      <c r="J77" s="1749">
        <v>46266</v>
      </c>
      <c r="K77" s="1387">
        <f t="shared" ref="K77" si="56">IF(J77="", "", 12 - MONTH(J77) + 1)</f>
        <v>4</v>
      </c>
      <c r="L77" s="2275"/>
      <c r="M77" s="1350"/>
      <c r="N77" s="1391"/>
      <c r="O77" s="1327" t="s">
        <v>81</v>
      </c>
      <c r="P77" s="1671"/>
      <c r="Q77" s="2115"/>
      <c r="R77" s="1327">
        <v>1</v>
      </c>
      <c r="S77" s="87" t="s">
        <v>116</v>
      </c>
      <c r="T77" s="91">
        <f>AVERAGE([43]Estrutura!$I$5:$I$7)</f>
        <v>0.9508771929824561</v>
      </c>
      <c r="U77" s="287">
        <f>IFERROR(IF(AND(U$54&gt;=EOMONTH($J77,-1)+1,U$54&lt;=EOMONTH(EOMONTH($J77,-1)+1,$K77-1)),IF(NOT(ISBLANK($N77)),$N77/$K77,$I77/$K77),0),0)</f>
        <v>0</v>
      </c>
      <c r="V77" s="287">
        <f>IFERROR(IF(AND(V$54&gt;=EOMONTH($J77,-1)+1,V$54&lt;=EOMONTH(EOMONTH($J77,-1)+1,$K77-1)),IF(NOT(ISBLANK($N77)),$N77/$K77,$I77/$K77),0),0)</f>
        <v>0</v>
      </c>
      <c r="W77" s="287">
        <f>IFERROR(IF(AND(W$54&gt;=EOMONTH($J77,-1)+1,W$54&lt;=EOMONTH(EOMONTH($J77,-1)+1,$K77-1)),IF(NOT(ISBLANK($N77)),$N77/$K77,$I77/$K77),0),0)</f>
        <v>0</v>
      </c>
      <c r="X77" s="89">
        <f t="shared" si="29"/>
        <v>0</v>
      </c>
      <c r="Y77" s="287">
        <f>IFERROR(IF(AND(Y$54&gt;=EOMONTH($J77,-1)+1,Y$54&lt;=EOMONTH(EOMONTH($J77,-1)+1,$K77-1)),IF(NOT(ISBLANK($N77)),$N77/$K77,$I77/$K77),0),0)</f>
        <v>0</v>
      </c>
      <c r="Z77" s="527">
        <f>IFERROR(IF(AND(Z$54&gt;=EOMONTH($J77,-1)+1,Z$54&lt;=EOMONTH(EOMONTH($J77,-1)+1,$K77-1)),IF(NOT(ISBLANK($N77)),$N77/$K77,$I77/$K77),0),0)</f>
        <v>0</v>
      </c>
      <c r="AA77" s="287">
        <f>IFERROR(IF(AND(AA$54&gt;=EOMONTH($J77,-1)+1,AA$54&lt;=EOMONTH(EOMONTH($J77,-1)+1,$K77-1)),IF(NOT(ISBLANK($N77)),$N77/$K77,$I77/$K77),0),0)</f>
        <v>0</v>
      </c>
      <c r="AB77" s="89">
        <f t="shared" si="30"/>
        <v>0</v>
      </c>
      <c r="AC77" s="287">
        <f>IFERROR(IF(AND(AC$54&gt;=EOMONTH($J77,-1)+1,AC$54&lt;=EOMONTH(EOMONTH($J77,-1)+1,$K77-1)),IF(NOT(ISBLANK($N77)),$N77/$K77,$I77/$K77),0),0)</f>
        <v>0</v>
      </c>
      <c r="AD77" s="287">
        <f>IFERROR(IF(AND(AD$54&gt;=EOMONTH($J77,-1)+1,AD$54&lt;=EOMONTH(EOMONTH($J77,-1)+1,$K77-1)),IF(NOT(ISBLANK($N77)),$N77/$K77,$I77/$K77),0),0)</f>
        <v>0</v>
      </c>
      <c r="AE77" s="287">
        <f>IFERROR(IF(AND(AE$54&gt;=EOMONTH($J77,-1)+1,AE$54&lt;=EOMONTH(EOMONTH($J77,-1)+1,$K77-1)),IF(NOT(ISBLANK($N77)),$N77/$K77,$I77/$K77),0),0)</f>
        <v>4500</v>
      </c>
      <c r="AF77" s="89">
        <f t="shared" si="31"/>
        <v>4500</v>
      </c>
      <c r="AG77" s="287">
        <f>IFERROR(IF(AND(AG$54&gt;=EOMONTH($J77,-1)+1,AG$54&lt;=EOMONTH(EOMONTH($J77,-1)+1,$K77-1)),IF(NOT(ISBLANK($N77)),$N77/$K77,$I77/$K77),0),0)</f>
        <v>4500</v>
      </c>
      <c r="AH77" s="287">
        <f>IFERROR(IF(AND(AH$54&gt;=EOMONTH($J77,-1)+1,AH$54&lt;=EOMONTH(EOMONTH($J77,-1)+1,$K77-1)),IF(NOT(ISBLANK($N77)),$N77/$K77,$I77/$K77),0),0)</f>
        <v>4500</v>
      </c>
      <c r="AI77" s="287">
        <f>IFERROR(IF(AND(AI$54&gt;=EOMONTH($J77,-1)+1,AI$54&lt;=EOMONTH(EOMONTH($J77,-1)+1,$K77-1)),IF(NOT(ISBLANK($N77)),$N77/$K77,$I77/$K77),0),0)</f>
        <v>4500</v>
      </c>
      <c r="AJ77" s="89">
        <f t="shared" si="14"/>
        <v>13500</v>
      </c>
      <c r="AK77" s="90">
        <f>SUM(X77,AB77,AF77,AJ77)</f>
        <v>18000</v>
      </c>
      <c r="AL77" s="98"/>
      <c r="AM77" s="1370"/>
      <c r="AN77" s="1411"/>
      <c r="AO77" s="1405">
        <f>N77*AN77</f>
        <v>0</v>
      </c>
      <c r="AP77" s="62" t="str">
        <f>C77</f>
        <v>12-Adicionar serviços de portaria e limpeza em um único prestador terceirizado com serviços gerais.</v>
      </c>
      <c r="AQ77" s="62" t="s">
        <v>311</v>
      </c>
      <c r="AR77" s="508" t="str" cm="1">
        <f t="array" aca="1" ref="AR77" ca="1">IF(OR(AP77="",AP77=0),"",IF(SUMPRODUCT(($C$55:$C$142=AP77)*(U$54:$AI$54&lt;EOMONTH(TODAY(),-1)+1)*(ISNUMBER(U$55:$AI$142)),U$55:$AI$142)=0,"",SUMPRODUCT(($C$55:$C$142=AP77)*(U$54:$AI$54&lt;EOMONTH(TODAY(),-1)+1)*(ISNUMBER(U$55:$AI$142)),U$55:$AI$142)))</f>
        <v/>
      </c>
      <c r="AS77" s="62" t="str">
        <f>A77</f>
        <v>Redução de custo</v>
      </c>
      <c r="AU77" s="1566">
        <f t="shared" ref="AU77" si="57">IF(OR(I77="",K77=""),0,(I77/12)*K77)</f>
        <v>6000</v>
      </c>
      <c r="AV77" s="1566">
        <f t="shared" ref="AV77" si="58">IF(OR(N77="",K77="",K77=0),0,(N77/K77)*12)</f>
        <v>0</v>
      </c>
    </row>
    <row r="78" spans="1:48" ht="46.35" customHeight="1" x14ac:dyDescent="0.3">
      <c r="A78" s="1380"/>
      <c r="B78" s="1408"/>
      <c r="C78" s="2350"/>
      <c r="D78" s="1486"/>
      <c r="E78" s="1368"/>
      <c r="F78" s="1370"/>
      <c r="G78" s="1372"/>
      <c r="H78" s="1372"/>
      <c r="I78" s="1354"/>
      <c r="J78" s="1750"/>
      <c r="K78" s="1387"/>
      <c r="L78" s="2275"/>
      <c r="M78" s="1350"/>
      <c r="N78" s="1391"/>
      <c r="O78" s="1327"/>
      <c r="P78" s="1672"/>
      <c r="Q78" s="2116"/>
      <c r="R78" s="1327"/>
      <c r="S78" s="87" t="s">
        <v>117</v>
      </c>
      <c r="T78" s="91">
        <f>AVERAGE([43]Estrutura!$J$5:$J$7)</f>
        <v>0.95333333333333325</v>
      </c>
      <c r="U78" s="287" t="s">
        <v>959</v>
      </c>
      <c r="V78" s="287" t="s">
        <v>959</v>
      </c>
      <c r="W78" s="287" t="s">
        <v>959</v>
      </c>
      <c r="X78" s="89">
        <f t="shared" si="29"/>
        <v>0</v>
      </c>
      <c r="Y78" s="287" t="s">
        <v>959</v>
      </c>
      <c r="Z78" s="287" t="s">
        <v>959</v>
      </c>
      <c r="AA78" s="287" t="s">
        <v>959</v>
      </c>
      <c r="AB78" s="89">
        <f t="shared" si="30"/>
        <v>0</v>
      </c>
      <c r="AC78" s="287" t="s">
        <v>959</v>
      </c>
      <c r="AD78" s="287" t="s">
        <v>959</v>
      </c>
      <c r="AE78" s="287" t="s">
        <v>959</v>
      </c>
      <c r="AF78" s="89">
        <f t="shared" si="31"/>
        <v>0</v>
      </c>
      <c r="AG78" s="287" t="s">
        <v>959</v>
      </c>
      <c r="AH78" s="287" t="s">
        <v>959</v>
      </c>
      <c r="AI78" s="287" t="s">
        <v>959</v>
      </c>
      <c r="AJ78" s="89">
        <f t="shared" si="14"/>
        <v>0</v>
      </c>
      <c r="AK78" s="289">
        <f t="shared" si="32"/>
        <v>0</v>
      </c>
      <c r="AL78" s="337"/>
      <c r="AM78" s="1370"/>
      <c r="AN78" s="1411"/>
      <c r="AO78" s="1405"/>
      <c r="AP78" s="62" t="str">
        <f>C77</f>
        <v>12-Adicionar serviços de portaria e limpeza em um único prestador terceirizado com serviços gerais.</v>
      </c>
      <c r="AQ78" s="62" t="s">
        <v>313</v>
      </c>
      <c r="AR78" s="508" t="str" cm="1">
        <f t="array" aca="1" ref="AR78" ca="1">IF(OR(AP78="",AP78=0),"",IF(SUMPRODUCT(($C$55:$C$142=AP78)*(U$54:$AI$54&lt;EOMONTH(TODAY(),-1)+1)*(ISNUMBER(U$56:$AI$143)),U$56:$AI$143)=0,"",SUMPRODUCT(($C$55:$C$142=AP78)*(U$54:$AI$54&lt;EOMONTH(TODAY(),-1)+1)*(ISNUMBER(U$56:$AI$143)),U$56:$AI$143)))</f>
        <v/>
      </c>
      <c r="AS78" s="62" t="str">
        <f>A77</f>
        <v>Redução de custo</v>
      </c>
      <c r="AU78" s="1567"/>
      <c r="AV78" s="1567"/>
    </row>
    <row r="79" spans="1:48" ht="40.35" customHeight="1" x14ac:dyDescent="0.3">
      <c r="A79" s="1407" t="s">
        <v>925</v>
      </c>
      <c r="B79" s="1691" t="s">
        <v>97</v>
      </c>
      <c r="C79" s="1465" t="s">
        <v>1893</v>
      </c>
      <c r="D79" s="1356" t="s">
        <v>1894</v>
      </c>
      <c r="E79" s="1449" t="s">
        <v>1895</v>
      </c>
      <c r="F79" s="1451" t="s">
        <v>1851</v>
      </c>
      <c r="G79" s="1366">
        <v>46104</v>
      </c>
      <c r="H79" s="1366">
        <v>46127</v>
      </c>
      <c r="I79" s="1488">
        <v>82981.320000000007</v>
      </c>
      <c r="J79" s="1378">
        <v>46113</v>
      </c>
      <c r="K79" s="1389">
        <f t="shared" ref="K79" si="59">IF(J79="", "", 12 - MONTH(J79) + 1)</f>
        <v>9</v>
      </c>
      <c r="L79" s="1395"/>
      <c r="M79" s="1347" t="s">
        <v>308</v>
      </c>
      <c r="N79" s="1865">
        <v>55320.88</v>
      </c>
      <c r="O79" s="1849" t="s">
        <v>81</v>
      </c>
      <c r="P79" s="1673"/>
      <c r="Q79" s="2125"/>
      <c r="R79" s="1334">
        <v>1</v>
      </c>
      <c r="S79" s="93" t="s">
        <v>116</v>
      </c>
      <c r="T79" s="96">
        <f>AVERAGE([44]Estrutura!$I$5:$I$7)</f>
        <v>1</v>
      </c>
      <c r="U79" s="498">
        <f>IFERROR(IF(AND(U$54&gt;=EOMONTH($J79,-1)+1,U$54&lt;=EOMONTH(EOMONTH($J79,-1)+1,$K79-1)),IF(NOT(ISBLANK($N79)),$N79/$K79,$I79/$K79),0),0)</f>
        <v>0</v>
      </c>
      <c r="V79" s="498">
        <f>IFERROR(IF(AND(V$54&gt;=EOMONTH($J79,-1)+1,V$54&lt;=EOMONTH(EOMONTH($J79,-1)+1,$K79-1)),IF(NOT(ISBLANK($N79)),$N79/$K79,$I79/$K79),0),0)</f>
        <v>0</v>
      </c>
      <c r="W79" s="498">
        <f>IFERROR(IF(AND(W$54&gt;=EOMONTH($J79,-1)+1,W$54&lt;=EOMONTH(EOMONTH($J79,-1)+1,$K79-1)),IF(NOT(ISBLANK($N79)),$N79/$K79,$I79/$K79),0),0)</f>
        <v>0</v>
      </c>
      <c r="X79" s="89">
        <f t="shared" si="29"/>
        <v>0</v>
      </c>
      <c r="Y79" s="498">
        <f>IFERROR(IF(AND(Y$54&gt;=EOMONTH($J79,-1)+1,Y$54&lt;=EOMONTH(EOMONTH($J79,-1)+1,$K79-1)),IF(NOT(ISBLANK($N79)),$N79/$K79,$I79/$K79),0),0)</f>
        <v>6146.7644444444441</v>
      </c>
      <c r="Z79" s="498">
        <f>IFERROR(IF(AND(Z$54&gt;=EOMONTH($J79,-1)+1,Z$54&lt;=EOMONTH(EOMONTH($J79,-1)+1,$K79-1)),IF(NOT(ISBLANK($N79)),$N79/$K79,$I79/$K79),0),0)</f>
        <v>6146.7644444444441</v>
      </c>
      <c r="AA79" s="498">
        <f>IFERROR(IF(AND(AA$54&gt;=EOMONTH($J79,-1)+1,AA$54&lt;=EOMONTH(EOMONTH($J79,-1)+1,$K79-1)),IF(NOT(ISBLANK($N79)),$N79/$K79,$I79/$K79),0),0)</f>
        <v>6146.7644444444441</v>
      </c>
      <c r="AB79" s="89">
        <f t="shared" si="30"/>
        <v>18440.293333333331</v>
      </c>
      <c r="AC79" s="498">
        <f>IFERROR(IF(AND(AC$54&gt;=EOMONTH($J79,-1)+1,AC$54&lt;=EOMONTH(EOMONTH($J79,-1)+1,$K79-1)),IF(NOT(ISBLANK($N79)),$N79/$K79,$I79/$K79),0),0)</f>
        <v>6146.7644444444441</v>
      </c>
      <c r="AD79" s="498">
        <f>IFERROR(IF(AND(AD$54&gt;=EOMONTH($J79,-1)+1,AD$54&lt;=EOMONTH(EOMONTH($J79,-1)+1,$K79-1)),IF(NOT(ISBLANK($N79)),$N79/$K79,$I79/$K79),0),0)</f>
        <v>6146.7644444444441</v>
      </c>
      <c r="AE79" s="498">
        <f>IFERROR(IF(AND(AE$54&gt;=EOMONTH($J79,-1)+1,AE$54&lt;=EOMONTH(EOMONTH($J79,-1)+1,$K79-1)),IF(NOT(ISBLANK($N79)),$N79/$K79,$I79/$K79),0),0)</f>
        <v>6146.7644444444441</v>
      </c>
      <c r="AF79" s="89">
        <f t="shared" si="31"/>
        <v>18440.293333333331</v>
      </c>
      <c r="AG79" s="498">
        <f>IFERROR(IF(AND(AG$54&gt;=EOMONTH($J79,-1)+1,AG$54&lt;=EOMONTH(EOMONTH($J79,-1)+1,$K79-1)),IF(NOT(ISBLANK($N79)),$N79/$K79,$I79/$K79),0),0)</f>
        <v>6146.7644444444441</v>
      </c>
      <c r="AH79" s="498">
        <f>IFERROR(IF(AND(AH$54&gt;=EOMONTH($J79,-1)+1,AH$54&lt;=EOMONTH(EOMONTH($J79,-1)+1,$K79-1)),IF(NOT(ISBLANK($N79)),$N79/$K79,$I79/$K79),0),0)</f>
        <v>6146.7644444444441</v>
      </c>
      <c r="AI79" s="498">
        <f>IFERROR(IF(AND(AI$54&gt;=EOMONTH($J79,-1)+1,AI$54&lt;=EOMONTH(EOMONTH($J79,-1)+1,$K79-1)),IF(NOT(ISBLANK($N79)),$N79/$K79,$I79/$K79),0),0)</f>
        <v>6146.7644444444441</v>
      </c>
      <c r="AJ79" s="89">
        <f t="shared" si="14"/>
        <v>18440.293333333331</v>
      </c>
      <c r="AK79" s="95">
        <f t="shared" si="32"/>
        <v>55320.87999999999</v>
      </c>
      <c r="AL79" s="97"/>
      <c r="AM79" s="1407"/>
      <c r="AN79" s="1334"/>
      <c r="AO79" s="1403">
        <f>N79*AN79</f>
        <v>0</v>
      </c>
      <c r="AP79" s="62" t="str">
        <f>C79</f>
        <v>13- Redução do custo mensal de empilhadeira locada (LOCAPEX).</v>
      </c>
      <c r="AQ79" s="62" t="s">
        <v>311</v>
      </c>
      <c r="AR79" s="508" cm="1">
        <f t="array" aca="1" ref="AR79" ca="1">IF(OR(AP79="",AP79=0),"",IF(SUMPRODUCT(($C$55:$C$142=AP79)*(U$54:$AI$54&lt;EOMONTH(TODAY(),-1)+1)*(ISNUMBER(U$55:$AI$142)),U$55:$AI$142)=0,"",SUMPRODUCT(($C$55:$C$142=AP79)*(U$54:$AI$54&lt;EOMONTH(TODAY(),-1)+1)*(ISNUMBER(U$55:$AI$142)),U$55:$AI$142)))</f>
        <v>24587.057777777776</v>
      </c>
      <c r="AS79" s="62" t="str">
        <f>A79</f>
        <v>Kaizen</v>
      </c>
      <c r="AU79" s="1566">
        <f t="shared" ref="AU79" si="60">IF(OR(I79="",K79=""),0,(I79/12)*K79)</f>
        <v>62235.990000000005</v>
      </c>
      <c r="AV79" s="1566">
        <f t="shared" ref="AV79" si="61">IF(OR(N79="",K79="",K79=0),0,(N79/K79)*12)</f>
        <v>73761.173333333325</v>
      </c>
    </row>
    <row r="80" spans="1:48" ht="40.35" customHeight="1" x14ac:dyDescent="0.3">
      <c r="A80" s="1407"/>
      <c r="B80" s="1692"/>
      <c r="C80" s="1465"/>
      <c r="D80" s="1356"/>
      <c r="E80" s="1449"/>
      <c r="F80" s="1451"/>
      <c r="G80" s="1366"/>
      <c r="H80" s="1366"/>
      <c r="I80" s="1488"/>
      <c r="J80" s="1378"/>
      <c r="K80" s="1389"/>
      <c r="L80" s="1395"/>
      <c r="M80" s="1347"/>
      <c r="N80" s="1865"/>
      <c r="O80" s="1849"/>
      <c r="P80" s="1674"/>
      <c r="Q80" s="2126"/>
      <c r="R80" s="1334"/>
      <c r="S80" s="93" t="s">
        <v>117</v>
      </c>
      <c r="T80" s="96">
        <f>AVERAGE([44]Estrutura!$J$5:$J$7)</f>
        <v>1</v>
      </c>
      <c r="U80" s="290" t="s">
        <v>959</v>
      </c>
      <c r="V80" s="290" t="s">
        <v>959</v>
      </c>
      <c r="W80" s="290" t="s">
        <v>959</v>
      </c>
      <c r="X80" s="89">
        <f t="shared" si="29"/>
        <v>0</v>
      </c>
      <c r="Y80" s="290">
        <v>3050.01</v>
      </c>
      <c r="Z80" s="457">
        <v>6915.11</v>
      </c>
      <c r="AA80" s="457">
        <v>6915.11</v>
      </c>
      <c r="AB80" s="89">
        <f t="shared" si="30"/>
        <v>16880.23</v>
      </c>
      <c r="AC80" s="457">
        <v>6915.11</v>
      </c>
      <c r="AD80" s="290" t="s">
        <v>959</v>
      </c>
      <c r="AE80" s="290" t="s">
        <v>959</v>
      </c>
      <c r="AF80" s="89">
        <f t="shared" si="31"/>
        <v>6915.11</v>
      </c>
      <c r="AG80" s="290" t="s">
        <v>959</v>
      </c>
      <c r="AH80" s="290" t="s">
        <v>959</v>
      </c>
      <c r="AI80" s="290" t="s">
        <v>959</v>
      </c>
      <c r="AJ80" s="89">
        <f t="shared" si="14"/>
        <v>0</v>
      </c>
      <c r="AK80" s="291">
        <f t="shared" si="32"/>
        <v>23795.34</v>
      </c>
      <c r="AL80" s="97"/>
      <c r="AM80" s="1407"/>
      <c r="AN80" s="1334"/>
      <c r="AO80" s="1403"/>
      <c r="AP80" s="62" t="str">
        <f>C79</f>
        <v>13- Redução do custo mensal de empilhadeira locada (LOCAPEX).</v>
      </c>
      <c r="AQ80" s="62" t="s">
        <v>313</v>
      </c>
      <c r="AR80" s="508" cm="1">
        <f t="array" aca="1" ref="AR80" ca="1">IF(OR(AP80="",AP80=0),"",IF(SUMPRODUCT(($C$55:$C$142=AP80)*(U$54:$AI$54&lt;EOMONTH(TODAY(),-1)+1)*(ISNUMBER(U$56:$AI$143)),U$56:$AI$143)=0,"",SUMPRODUCT(($C$55:$C$142=AP80)*(U$54:$AI$54&lt;EOMONTH(TODAY(),-1)+1)*(ISNUMBER(U$56:$AI$143)),U$56:$AI$143)))</f>
        <v>23795.34</v>
      </c>
      <c r="AS80" s="62" t="str">
        <f>A79</f>
        <v>Kaizen</v>
      </c>
      <c r="AU80" s="1567"/>
      <c r="AV80" s="1567"/>
    </row>
    <row r="81" spans="1:48" ht="40.35" customHeight="1" x14ac:dyDescent="0.3">
      <c r="A81" s="1380" t="s">
        <v>61</v>
      </c>
      <c r="B81" s="1407" t="s">
        <v>97</v>
      </c>
      <c r="C81" s="2300" t="s">
        <v>1896</v>
      </c>
      <c r="D81" s="1486" t="s">
        <v>1897</v>
      </c>
      <c r="E81" s="1368" t="s">
        <v>1898</v>
      </c>
      <c r="F81" s="1370" t="s">
        <v>1876</v>
      </c>
      <c r="G81" s="1366">
        <v>46135</v>
      </c>
      <c r="H81" s="1366">
        <v>46157</v>
      </c>
      <c r="I81" s="1354">
        <v>120860.88</v>
      </c>
      <c r="J81" s="1376">
        <v>46237</v>
      </c>
      <c r="K81" s="1387">
        <f t="shared" ref="K81" si="62">IF(J81="", "", 12 - MONTH(J81) + 1)</f>
        <v>5</v>
      </c>
      <c r="L81" s="1555"/>
      <c r="M81" s="1456"/>
      <c r="N81" s="2130"/>
      <c r="O81" s="1327" t="s">
        <v>81</v>
      </c>
      <c r="P81" s="2129"/>
      <c r="Q81" s="2115"/>
      <c r="R81" s="1327">
        <v>1</v>
      </c>
      <c r="S81" s="87" t="s">
        <v>116</v>
      </c>
      <c r="T81" s="96">
        <f>AVERAGE([45]Estrutura!$I$5:$I$7)</f>
        <v>0.94399999999999995</v>
      </c>
      <c r="U81" s="498">
        <f>IFERROR(IF(AND(U$54&gt;=EOMONTH($J81,-1)+1,U$54&lt;=EOMONTH(EOMONTH($J81,-1)+1,$K81-1)),IF(NOT(ISBLANK($N81)),$N81/$K81,$I81/$K81),0),0)</f>
        <v>0</v>
      </c>
      <c r="V81" s="498">
        <f>IFERROR(IF(AND(V$54&gt;=EOMONTH($J81,-1)+1,V$54&lt;=EOMONTH(EOMONTH($J81,-1)+1,$K81-1)),IF(NOT(ISBLANK($N81)),$N81/$K81,$I81/$K81),0),0)</f>
        <v>0</v>
      </c>
      <c r="W81" s="498">
        <f>IFERROR(IF(AND(W$54&gt;=EOMONTH($J81,-1)+1,W$54&lt;=EOMONTH(EOMONTH($J81,-1)+1,$K81-1)),IF(NOT(ISBLANK($N81)),$N81/$K81,$I81/$K81),0),0)</f>
        <v>0</v>
      </c>
      <c r="X81" s="89">
        <f t="shared" si="29"/>
        <v>0</v>
      </c>
      <c r="Y81" s="287">
        <f>IFERROR(IF(AND(Y$54&gt;=EOMONTH($J81,-1)+1,Y$54&lt;=EOMONTH(EOMONTH($J81,-1)+1,$K81-1)),IF(NOT(ISBLANK($N81)),$N81/$K81,$I81/$K81),0),0)</f>
        <v>0</v>
      </c>
      <c r="Z81" s="287">
        <f>IFERROR(IF(AND(Z$54&gt;=EOMONTH($J81,-1)+1,Z$54&lt;=EOMONTH(EOMONTH($J81,-1)+1,$K81-1)),IF(NOT(ISBLANK($N81)),$N81/$K81,$I81/$K81),0),0)</f>
        <v>0</v>
      </c>
      <c r="AA81" s="287">
        <f>IFERROR(IF(AND(AA$54&gt;=EOMONTH($J81,-1)+1,AA$54&lt;=EOMONTH(EOMONTH($J81,-1)+1,$K81-1)),IF(NOT(ISBLANK($N81)),$N81/$K81,$I81/$K81),0),0)</f>
        <v>0</v>
      </c>
      <c r="AB81" s="89">
        <f t="shared" si="30"/>
        <v>0</v>
      </c>
      <c r="AC81" s="287">
        <f>IFERROR(IF(AND(AC$54&gt;=EOMONTH($J81,-1)+1,AC$54&lt;=EOMONTH(EOMONTH($J81,-1)+1,$K81-1)),IF(NOT(ISBLANK($N81)),$N81/$K81,$I81/$K81),0),0)</f>
        <v>0</v>
      </c>
      <c r="AD81" s="287">
        <f>IFERROR(IF(AND(AD$54&gt;=EOMONTH($J81,-1)+1,AD$54&lt;=EOMONTH(EOMONTH($J81,-1)+1,$K81-1)),IF(NOT(ISBLANK($N81)),$N81/$K81,$I81/$K81),0),0)</f>
        <v>24172.175999999999</v>
      </c>
      <c r="AE81" s="287">
        <f>IFERROR(IF(AND(AE$54&gt;=EOMONTH($J81,-1)+1,AE$54&lt;=EOMONTH(EOMONTH($J81,-1)+1,$K81-1)),IF(NOT(ISBLANK($N81)),$N81/$K81,$I81/$K81),0),0)</f>
        <v>24172.175999999999</v>
      </c>
      <c r="AF81" s="89">
        <f t="shared" si="31"/>
        <v>48344.351999999999</v>
      </c>
      <c r="AG81" s="287">
        <f>IFERROR(IF(AND(AG$54&gt;=EOMONTH($J81,-1)+1,AG$54&lt;=EOMONTH(EOMONTH($J81,-1)+1,$K81-1)),IF(NOT(ISBLANK($N81)),$N81/$K81,$I81/$K81),0),0)</f>
        <v>24172.175999999999</v>
      </c>
      <c r="AH81" s="287">
        <f>IFERROR(IF(AND(AH$54&gt;=EOMONTH($J81,-1)+1,AH$54&lt;=EOMONTH(EOMONTH($J81,-1)+1,$K81-1)),IF(NOT(ISBLANK($N81)),$N81/$K81,$I81/$K81),0),0)</f>
        <v>24172.175999999999</v>
      </c>
      <c r="AI81" s="287">
        <f>IFERROR(IF(AND(AI$54&gt;=EOMONTH($J81,-1)+1,AI$54&lt;=EOMONTH(EOMONTH($J81,-1)+1,$K81-1)),IF(NOT(ISBLANK($N81)),$N81/$K81,$I81/$K81),0),0)</f>
        <v>24172.175999999999</v>
      </c>
      <c r="AJ81" s="89">
        <f t="shared" si="14"/>
        <v>72516.527999999991</v>
      </c>
      <c r="AK81" s="90">
        <f>SUM(X81,AB81,AF81,AJ81)</f>
        <v>120860.87999999999</v>
      </c>
      <c r="AL81" s="98"/>
      <c r="AM81" s="1370"/>
      <c r="AN81" s="1411"/>
      <c r="AO81" s="1405">
        <f>N81*AN81</f>
        <v>0</v>
      </c>
      <c r="AP81" s="62" t="str">
        <f>C81</f>
        <v>14- Redução de gastos com energia elétrica.</v>
      </c>
      <c r="AQ81" s="62" t="s">
        <v>311</v>
      </c>
      <c r="AR81" s="508" t="str" cm="1">
        <f t="array" aca="1" ref="AR81" ca="1">IF(OR(AP81="",AP81=0),"",IF(SUMPRODUCT(($C$55:$C$142=AP81)*(U$54:$AI$54&lt;EOMONTH(TODAY(),-1)+1)*(ISNUMBER(U$55:$AI$142)),U$55:$AI$142)=0,"",SUMPRODUCT(($C$55:$C$142=AP81)*(U$54:$AI$54&lt;EOMONTH(TODAY(),-1)+1)*(ISNUMBER(U$55:$AI$142)),U$55:$AI$142)))</f>
        <v/>
      </c>
      <c r="AS81" s="62" t="str">
        <f>A81</f>
        <v>Kaizen - Custo Evitado</v>
      </c>
      <c r="AU81" s="1566">
        <f t="shared" ref="AU81" si="63">IF(OR(I81="",K81=""),0,(I81/12)*K81)</f>
        <v>50358.7</v>
      </c>
      <c r="AV81" s="1566">
        <f t="shared" ref="AV81" si="64">IF(OR(N81="",K81="",K81=0),0,(N81/K81)*12)</f>
        <v>0</v>
      </c>
    </row>
    <row r="82" spans="1:48" ht="35.85" customHeight="1" x14ac:dyDescent="0.3">
      <c r="A82" s="1381"/>
      <c r="B82" s="1408"/>
      <c r="C82" s="2301"/>
      <c r="D82" s="2306"/>
      <c r="E82" s="2302"/>
      <c r="F82" s="1371"/>
      <c r="G82" s="1513"/>
      <c r="H82" s="1513"/>
      <c r="I82" s="1355"/>
      <c r="J82" s="1377"/>
      <c r="K82" s="1387"/>
      <c r="L82" s="1556"/>
      <c r="M82" s="2281"/>
      <c r="N82" s="1877"/>
      <c r="O82" s="1328"/>
      <c r="P82" s="2150"/>
      <c r="Q82" s="2116"/>
      <c r="R82" s="1328"/>
      <c r="S82" s="87" t="s">
        <v>117</v>
      </c>
      <c r="T82" s="91">
        <f>AVERAGE([45]Estrutura!$J$5:$J$7)</f>
        <v>0.95000000000000007</v>
      </c>
      <c r="U82" s="965" t="s">
        <v>959</v>
      </c>
      <c r="V82" s="965" t="s">
        <v>959</v>
      </c>
      <c r="W82" s="965" t="s">
        <v>959</v>
      </c>
      <c r="X82" s="89">
        <f t="shared" si="29"/>
        <v>0</v>
      </c>
      <c r="Y82" s="965" t="s">
        <v>959</v>
      </c>
      <c r="Z82" s="965" t="s">
        <v>959</v>
      </c>
      <c r="AA82" s="965" t="s">
        <v>959</v>
      </c>
      <c r="AB82" s="89">
        <f t="shared" si="30"/>
        <v>0</v>
      </c>
      <c r="AC82" s="965" t="s">
        <v>959</v>
      </c>
      <c r="AD82" s="965" t="s">
        <v>959</v>
      </c>
      <c r="AE82" s="965" t="s">
        <v>959</v>
      </c>
      <c r="AF82" s="89">
        <f t="shared" si="31"/>
        <v>0</v>
      </c>
      <c r="AG82" s="965" t="s">
        <v>959</v>
      </c>
      <c r="AH82" s="965" t="s">
        <v>959</v>
      </c>
      <c r="AI82" s="965" t="s">
        <v>959</v>
      </c>
      <c r="AJ82" s="89">
        <f t="shared" si="14"/>
        <v>0</v>
      </c>
      <c r="AK82" s="289">
        <f t="shared" si="32"/>
        <v>0</v>
      </c>
      <c r="AL82" s="337"/>
      <c r="AM82" s="1371"/>
      <c r="AN82" s="1412"/>
      <c r="AO82" s="1406"/>
      <c r="AP82" s="62" t="str">
        <f>C81</f>
        <v>14- Redução de gastos com energia elétrica.</v>
      </c>
      <c r="AQ82" s="62" t="s">
        <v>313</v>
      </c>
      <c r="AR82" s="508" t="str" cm="1">
        <f t="array" aca="1" ref="AR82" ca="1">IF(OR(AP82="",AP82=0),"",IF(SUMPRODUCT(($C$55:$C$142=AP82)*(U$54:$AI$54&lt;EOMONTH(TODAY(),-1)+1)*(ISNUMBER(U$56:$AI$143)),U$56:$AI$143)=0,"",SUMPRODUCT(($C$55:$C$142=AP82)*(U$54:$AI$54&lt;EOMONTH(TODAY(),-1)+1)*(ISNUMBER(U$56:$AI$143)),U$56:$AI$143)))</f>
        <v/>
      </c>
      <c r="AS82" s="62" t="str">
        <f>A81</f>
        <v>Kaizen - Custo Evitado</v>
      </c>
      <c r="AU82" s="1567"/>
      <c r="AV82" s="1567"/>
    </row>
    <row r="83" spans="1:48" ht="53.85" customHeight="1" x14ac:dyDescent="0.3">
      <c r="A83" s="1380" t="s">
        <v>91</v>
      </c>
      <c r="B83" s="2303" t="s">
        <v>95</v>
      </c>
      <c r="C83" s="2298" t="s">
        <v>1899</v>
      </c>
      <c r="D83" s="2308" t="s">
        <v>1900</v>
      </c>
      <c r="E83" s="2310" t="s">
        <v>1885</v>
      </c>
      <c r="F83" s="2353" t="s">
        <v>1851</v>
      </c>
      <c r="G83" s="1366">
        <v>46114</v>
      </c>
      <c r="H83" s="1366">
        <v>46300</v>
      </c>
      <c r="I83" s="1395">
        <v>46282.32</v>
      </c>
      <c r="J83" s="1749">
        <v>46327</v>
      </c>
      <c r="K83" s="1389">
        <f t="shared" ref="K83" si="65">IF(J83="", "", 12 - MONTH(J83) + 1)</f>
        <v>2</v>
      </c>
      <c r="L83" s="1354"/>
      <c r="M83" s="1350"/>
      <c r="N83" s="1391"/>
      <c r="O83" s="1327" t="s">
        <v>83</v>
      </c>
      <c r="P83" s="2129" t="s">
        <v>1901</v>
      </c>
      <c r="Q83" s="2115">
        <v>46237</v>
      </c>
      <c r="R83" s="1327"/>
      <c r="S83" s="87" t="s">
        <v>116</v>
      </c>
      <c r="T83" s="91">
        <f>AVERAGE([46]Estrutura!$I$5:$I$14)</f>
        <v>0.57529411764705884</v>
      </c>
      <c r="U83" s="287">
        <f>IFERROR(IF(AND(U$54&gt;=EOMONTH($J83,-1)+1,U$54&lt;=EOMONTH(EOMONTH($J83,-1)+1,$K83-1)),IF(NOT(ISBLANK($N83)),$N83/$K83,$I83/$K83),0),0)</f>
        <v>0</v>
      </c>
      <c r="V83" s="287">
        <f>IFERROR(IF(AND(V$54&gt;=EOMONTH($J83,-1)+1,V$54&lt;=EOMONTH(EOMONTH($J83,-1)+1,$K83-1)),IF(NOT(ISBLANK($N83)),$N83/$K83,$I83/$K83),0),0)</f>
        <v>0</v>
      </c>
      <c r="W83" s="287">
        <f>IFERROR(IF(AND(W$54&gt;=EOMONTH($J83,-1)+1,W$54&lt;=EOMONTH(EOMONTH($J83,-1)+1,$K83-1)),IF(NOT(ISBLANK($N83)),$N83/$K83,$I83/$K83),0),0)</f>
        <v>0</v>
      </c>
      <c r="X83" s="89">
        <f t="shared" si="29"/>
        <v>0</v>
      </c>
      <c r="Y83" s="287">
        <f>IFERROR(IF(AND(Y$54&gt;=EOMONTH($J83,-1)+1,Y$54&lt;=EOMONTH(EOMONTH($J83,-1)+1,$K83-1)),IF(NOT(ISBLANK($N83)),$N83/$K83,$I83/$K83),0),0)</f>
        <v>0</v>
      </c>
      <c r="Z83" s="287">
        <f>IFERROR(IF(AND(Z$54&gt;=EOMONTH($J83,-1)+1,Z$54&lt;=EOMONTH(EOMONTH($J83,-1)+1,$K83-1)),IF(NOT(ISBLANK($N83)),$N83/$K83,$I83/$K83),0),0)</f>
        <v>0</v>
      </c>
      <c r="AA83" s="287">
        <f>IFERROR(IF(AND(AA$54&gt;=EOMONTH($J83,-1)+1,AA$54&lt;=EOMONTH(EOMONTH($J83,-1)+1,$K83-1)),IF(NOT(ISBLANK($N83)),$N83/$K83,$I83/$K83),0),0)</f>
        <v>0</v>
      </c>
      <c r="AB83" s="89">
        <f t="shared" si="30"/>
        <v>0</v>
      </c>
      <c r="AC83" s="287">
        <f>IFERROR(IF(AND(AC$54&gt;=EOMONTH($J83,-1)+1,AC$54&lt;=EOMONTH(EOMONTH($J83,-1)+1,$K83-1)),IF(NOT(ISBLANK($N83)),$N83/$K83,$I83/$K83),0),0)</f>
        <v>0</v>
      </c>
      <c r="AD83" s="287">
        <f>IFERROR(IF(AND(AD$54&gt;=EOMONTH($J83,-1)+1,AD$54&lt;=EOMONTH(EOMONTH($J83,-1)+1,$K83-1)),IF(NOT(ISBLANK($N83)),$N83/$K83,$I83/$K83),0),0)</f>
        <v>0</v>
      </c>
      <c r="AE83" s="287">
        <f>IFERROR(IF(AND(AE$54&gt;=EOMONTH($J83,-1)+1,AE$54&lt;=EOMONTH(EOMONTH($J83,-1)+1,$K83-1)),IF(NOT(ISBLANK($N83)),$N83/$K83,$I83/$K83),0),0)</f>
        <v>0</v>
      </c>
      <c r="AF83" s="89">
        <f t="shared" si="31"/>
        <v>0</v>
      </c>
      <c r="AG83" s="287">
        <f>IFERROR(IF(AND(AG$54&gt;=EOMONTH($J83,-1)+1,AG$54&lt;=EOMONTH(EOMONTH($J83,-1)+1,$K83-1)),IF(NOT(ISBLANK($N83)),$N83/$K83,$I83/$K83),0),0)</f>
        <v>0</v>
      </c>
      <c r="AH83" s="287">
        <f>IFERROR(IF(AND(AH$54&gt;=EOMONTH($J83,-1)+1,AH$54&lt;=EOMONTH(EOMONTH($J83,-1)+1,$K83-1)),IF(NOT(ISBLANK($N83)),$N83/$K83,$I83/$K83),0),0)</f>
        <v>23141.16</v>
      </c>
      <c r="AI83" s="287">
        <f>IFERROR(IF(AND(AI$54&gt;=EOMONTH($J83,-1)+1,AI$54&lt;=EOMONTH(EOMONTH($J83,-1)+1,$K83-1)),IF(NOT(ISBLANK($N83)),$N83/$K83,$I83/$K83),0),0)</f>
        <v>23141.16</v>
      </c>
      <c r="AJ83" s="89">
        <f t="shared" si="14"/>
        <v>46282.32</v>
      </c>
      <c r="AK83" s="90">
        <f>SUM(X83,AB83,AF83,AJ83)</f>
        <v>46282.32</v>
      </c>
      <c r="AL83" s="98"/>
      <c r="AM83" s="1370"/>
      <c r="AN83" s="1411"/>
      <c r="AO83" s="1405">
        <f>N83*AN83</f>
        <v>0</v>
      </c>
      <c r="AP83" s="62" t="str">
        <f>C83</f>
        <v xml:space="preserve">15-  REDUÇÃO DE PESO BRUTO DD000507z
</v>
      </c>
      <c r="AQ83" s="62" t="s">
        <v>311</v>
      </c>
      <c r="AR83" s="508" t="str" cm="1">
        <f t="array" aca="1" ref="AR83" ca="1">IF(OR(AP83="",AP83=0),"",IF(SUMPRODUCT(($C$55:$C$142=AP83)*(U$54:$AI$54&lt;EOMONTH(TODAY(),-1)+1)*(ISNUMBER(U$55:$AI$142)),U$55:$AI$142)=0,"",SUMPRODUCT(($C$55:$C$142=AP83)*(U$54:$AI$54&lt;EOMONTH(TODAY(),-1)+1)*(ISNUMBER(U$55:$AI$142)),U$55:$AI$142)))</f>
        <v/>
      </c>
      <c r="AS83" s="62" t="str">
        <f>A83</f>
        <v>BSW</v>
      </c>
      <c r="AU83" s="1566">
        <f t="shared" ref="AU83" si="66">IF(OR(I83="",K83=""),0,(I83/12)*K83)</f>
        <v>7713.72</v>
      </c>
      <c r="AV83" s="1566">
        <f t="shared" ref="AV83" si="67">IF(OR(N83="",K83="",K83=0),0,(N83/K83)*12)</f>
        <v>0</v>
      </c>
    </row>
    <row r="84" spans="1:48" ht="38.1" customHeight="1" x14ac:dyDescent="0.3">
      <c r="A84" s="1380"/>
      <c r="B84" s="2304"/>
      <c r="C84" s="2299"/>
      <c r="D84" s="2309"/>
      <c r="E84" s="2311"/>
      <c r="F84" s="2353"/>
      <c r="G84" s="1366"/>
      <c r="H84" s="1366"/>
      <c r="I84" s="1395"/>
      <c r="J84" s="1749"/>
      <c r="K84" s="1389"/>
      <c r="L84" s="1354"/>
      <c r="M84" s="1350"/>
      <c r="N84" s="1391"/>
      <c r="O84" s="1327"/>
      <c r="P84" s="2285"/>
      <c r="Q84" s="2280"/>
      <c r="R84" s="1327"/>
      <c r="S84" s="87" t="s">
        <v>117</v>
      </c>
      <c r="T84" s="91">
        <f>AVERAGE([46]Estrutura!$J$5:$J$14)</f>
        <v>0.72499999999999998</v>
      </c>
      <c r="U84" s="287" t="s">
        <v>959</v>
      </c>
      <c r="V84" s="287" t="s">
        <v>959</v>
      </c>
      <c r="W84" s="287" t="s">
        <v>959</v>
      </c>
      <c r="X84" s="89">
        <f t="shared" si="29"/>
        <v>0</v>
      </c>
      <c r="Y84" s="287" t="s">
        <v>959</v>
      </c>
      <c r="Z84" s="287" t="s">
        <v>959</v>
      </c>
      <c r="AA84" s="287" t="s">
        <v>959</v>
      </c>
      <c r="AB84" s="89">
        <f t="shared" si="30"/>
        <v>0</v>
      </c>
      <c r="AC84" s="287" t="s">
        <v>959</v>
      </c>
      <c r="AD84" s="287" t="s">
        <v>959</v>
      </c>
      <c r="AE84" s="287" t="s">
        <v>959</v>
      </c>
      <c r="AF84" s="89">
        <f t="shared" si="31"/>
        <v>0</v>
      </c>
      <c r="AG84" s="287" t="s">
        <v>959</v>
      </c>
      <c r="AH84" s="287" t="s">
        <v>959</v>
      </c>
      <c r="AI84" s="287" t="s">
        <v>959</v>
      </c>
      <c r="AJ84" s="89">
        <f t="shared" si="14"/>
        <v>0</v>
      </c>
      <c r="AK84" s="289">
        <f t="shared" si="32"/>
        <v>0</v>
      </c>
      <c r="AL84" s="337"/>
      <c r="AM84" s="1370"/>
      <c r="AN84" s="1411"/>
      <c r="AO84" s="1405"/>
      <c r="AP84" s="62" t="str">
        <f>C83</f>
        <v xml:space="preserve">15-  REDUÇÃO DE PESO BRUTO DD000507z
</v>
      </c>
      <c r="AQ84" s="62" t="s">
        <v>313</v>
      </c>
      <c r="AR84" s="508" t="str" cm="1">
        <f t="array" aca="1" ref="AR84" ca="1">IF(OR(AP84="",AP84=0),"",IF(SUMPRODUCT(($C$55:$C$142=AP84)*(U$54:$AI$54&lt;EOMONTH(TODAY(),-1)+1)*(ISNUMBER(U$56:$AI$143)),U$56:$AI$143)=0,"",SUMPRODUCT(($C$55:$C$142=AP84)*(U$54:$AI$54&lt;EOMONTH(TODAY(),-1)+1)*(ISNUMBER(U$56:$AI$143)),U$56:$AI$143)))</f>
        <v/>
      </c>
      <c r="AS84" s="62" t="str">
        <f>A83</f>
        <v>BSW</v>
      </c>
      <c r="AU84" s="1567"/>
      <c r="AV84" s="1567"/>
    </row>
    <row r="85" spans="1:48" ht="40.35" customHeight="1" x14ac:dyDescent="0.3">
      <c r="A85" s="2305" t="s">
        <v>925</v>
      </c>
      <c r="B85" s="2343" t="s">
        <v>97</v>
      </c>
      <c r="C85" s="2346" t="s">
        <v>1902</v>
      </c>
      <c r="D85" s="2348" t="s">
        <v>1903</v>
      </c>
      <c r="E85" s="2354" t="s">
        <v>1904</v>
      </c>
      <c r="F85" s="2351" t="s">
        <v>1905</v>
      </c>
      <c r="G85" s="2334">
        <v>46132</v>
      </c>
      <c r="H85" s="2336">
        <v>46248</v>
      </c>
      <c r="I85" s="2338">
        <v>33214.550000000003</v>
      </c>
      <c r="J85" s="2276">
        <v>46266</v>
      </c>
      <c r="K85" s="2326">
        <f t="shared" ref="K85" si="68">IF(J85="", "", 12 - MONTH(J85) + 1)</f>
        <v>4</v>
      </c>
      <c r="L85" s="2328"/>
      <c r="M85" s="2330" t="s">
        <v>308</v>
      </c>
      <c r="N85" s="1865">
        <v>3044.75</v>
      </c>
      <c r="O85" s="2273" t="s">
        <v>81</v>
      </c>
      <c r="P85" s="2278"/>
      <c r="Q85" s="2258"/>
      <c r="R85" s="2333"/>
      <c r="S85" s="87" t="s">
        <v>116</v>
      </c>
      <c r="T85" s="91">
        <f>AVERAGE([47]Estrutura!$I$5:$I$11)</f>
        <v>0.87301587301587291</v>
      </c>
      <c r="U85" s="287">
        <f>IFERROR(IF(AND(U$54&gt;=EOMONTH($J85,-1)+1,U$54&lt;=EOMONTH(EOMONTH($J85,-1)+1,$K85-1)),IF(NOT(ISBLANK($N85)),$N85/$K85,$I85/$K85),0),0)</f>
        <v>0</v>
      </c>
      <c r="V85" s="287">
        <f>IFERROR(IF(AND(V$54&gt;=EOMONTH($J85,-1)+1,V$54&lt;=EOMONTH(EOMONTH($J85,-1)+1,$K85-1)),IF(NOT(ISBLANK($N85)),$N85/$K85,$I85/$K85),0),0)</f>
        <v>0</v>
      </c>
      <c r="W85" s="287">
        <f>IFERROR(IF(AND(W$54&gt;=EOMONTH($J85,-1)+1,W$54&lt;=EOMONTH(EOMONTH($J85,-1)+1,$K85-1)),IF(NOT(ISBLANK($N85)),$N85/$K85,$I85/$K85),0),0)</f>
        <v>0</v>
      </c>
      <c r="X85" s="89">
        <f t="shared" ref="X85:X88" si="69">SUM(U85:W85)</f>
        <v>0</v>
      </c>
      <c r="Y85" s="287">
        <f>IFERROR(IF(AND(Y$54&gt;=EOMONTH($J85,-1)+1,Y$54&lt;=EOMONTH(EOMONTH($J85,-1)+1,$K85-1)),IF(NOT(ISBLANK($N85)),$N85/$K85,$I85/$K85),0),0)</f>
        <v>0</v>
      </c>
      <c r="Z85" s="982">
        <f>IFERROR(IF(AND(Z$54&gt;=EOMONTH($J85,-1)+1,Z$54&lt;=EOMONTH(EOMONTH($J85,-1)+1,$K85-1)),IF(NOT(ISBLANK($N85)),$N85/$K85,$I85/$K85),0),0)</f>
        <v>0</v>
      </c>
      <c r="AA85" s="287">
        <f>IFERROR(IF(AND(AA$54&gt;=EOMONTH($J85,-1)+1,AA$54&lt;=EOMONTH(EOMONTH($J85,-1)+1,$K85-1)),IF(NOT(ISBLANK($N85)),$N85/$K85,$I85/$K85),0),0)</f>
        <v>0</v>
      </c>
      <c r="AB85" s="89">
        <f t="shared" ref="AB85:AB88" si="70">SUM(Y85:AA85)</f>
        <v>0</v>
      </c>
      <c r="AC85" s="287">
        <f>IFERROR(IF(AND(AC$54&gt;=EOMONTH($J85,-1)+1,AC$54&lt;=EOMONTH(EOMONTH($J85,-1)+1,$K85-1)),IF(NOT(ISBLANK($N85)),$N85/$K85,$I85/$K85),0),0)</f>
        <v>0</v>
      </c>
      <c r="AD85" s="287">
        <f>IFERROR(IF(AND(AD$54&gt;=EOMONTH($J85,-1)+1,AD$54&lt;=EOMONTH(EOMONTH($J85,-1)+1,$K85-1)),IF(NOT(ISBLANK($N85)),$N85/$K85,$I85/$K85),0),0)</f>
        <v>0</v>
      </c>
      <c r="AE85" s="287">
        <f>IFERROR(IF(AND(AE$54&gt;=EOMONTH($J85,-1)+1,AE$54&lt;=EOMONTH(EOMONTH($J85,-1)+1,$K85-1)),IF(NOT(ISBLANK($N85)),$N85/$K85,$I85/$K85),0),0)</f>
        <v>761.1875</v>
      </c>
      <c r="AF85" s="89">
        <f t="shared" ref="AF85:AF88" si="71">SUM(AC85:AE85)</f>
        <v>761.1875</v>
      </c>
      <c r="AG85" s="287">
        <f>IFERROR(IF(AND(AG$54&gt;=EOMONTH($J85,-1)+1,AG$54&lt;=EOMONTH(EOMONTH($J85,-1)+1,$K85-1)),IF(NOT(ISBLANK($N85)),$N85/$K85,$I85/$K85),0),0)</f>
        <v>761.1875</v>
      </c>
      <c r="AH85" s="287">
        <f>IFERROR(IF(AND(AH$54&gt;=EOMONTH($J85,-1)+1,AH$54&lt;=EOMONTH(EOMONTH($J85,-1)+1,$K85-1)),IF(NOT(ISBLANK($N85)),$N85/$K85,$I85/$K85),0),0)</f>
        <v>761.1875</v>
      </c>
      <c r="AI85" s="287">
        <f>IFERROR(IF(AND(AI$54&gt;=EOMONTH($J85,-1)+1,AI$54&lt;=EOMONTH(EOMONTH($J85,-1)+1,$K85-1)),IF(NOT(ISBLANK($N85)),$N85/$K85,$I85/$K85),0),0)</f>
        <v>761.1875</v>
      </c>
      <c r="AJ85" s="89">
        <f t="shared" ref="AJ85:AJ88" si="72">SUM(AG85:AI85)</f>
        <v>2283.5625</v>
      </c>
      <c r="AK85" s="90">
        <f>SUM(X85,AB85,AF85,AJ85)</f>
        <v>3044.75</v>
      </c>
      <c r="AL85" s="98"/>
      <c r="AM85" s="1370"/>
      <c r="AN85" s="1411"/>
      <c r="AO85" s="1405"/>
      <c r="AP85" s="62" t="str">
        <f>C85</f>
        <v>22- Eliminar custo com usinagem externa CN 00016/17</v>
      </c>
      <c r="AQ85" s="62" t="s">
        <v>311</v>
      </c>
      <c r="AR85" s="508" t="str" cm="1">
        <f t="array" aca="1" ref="AR85" ca="1">IF(OR(AP85="",AP85=0),"",IF(SUMPRODUCT(($C$55:$C$142=AP85)*(U$54:$AI$54&lt;EOMONTH(TODAY(),-1)+1)*(ISNUMBER(U$55:$AI$142)),U$55:$AI$142)=0,"",SUMPRODUCT(($C$55:$C$142=AP85)*(U$54:$AI$54&lt;EOMONTH(TODAY(),-1)+1)*(ISNUMBER(U$55:$AI$142)),U$55:$AI$142)))</f>
        <v/>
      </c>
      <c r="AS85" s="62" t="str">
        <f>A85</f>
        <v>Kaizen</v>
      </c>
      <c r="AU85" s="1566">
        <f t="shared" ref="AU85" si="73">IF(OR(I85="",K85=""),0,(I85/12)*K85)</f>
        <v>11071.516666666668</v>
      </c>
      <c r="AV85" s="1566">
        <f t="shared" ref="AV85" si="74">IF(OR(N85="",K85="",K85=0),0,(N85/K85)*12)</f>
        <v>9134.25</v>
      </c>
    </row>
    <row r="86" spans="1:48" ht="29.1" customHeight="1" x14ac:dyDescent="0.3">
      <c r="A86" s="2305"/>
      <c r="B86" s="2344"/>
      <c r="C86" s="2347"/>
      <c r="D86" s="2349"/>
      <c r="E86" s="2355"/>
      <c r="F86" s="2352"/>
      <c r="G86" s="2335"/>
      <c r="H86" s="2337"/>
      <c r="I86" s="2339"/>
      <c r="J86" s="2277"/>
      <c r="K86" s="2327"/>
      <c r="L86" s="2329"/>
      <c r="M86" s="2331"/>
      <c r="N86" s="1865"/>
      <c r="O86" s="2274"/>
      <c r="P86" s="2279"/>
      <c r="Q86" s="2259"/>
      <c r="R86" s="2333"/>
      <c r="S86" s="87" t="s">
        <v>117</v>
      </c>
      <c r="T86" s="91">
        <f>AVERAGE([47]Estrutura!$J$5:$J$11)</f>
        <v>0.87857142857142867</v>
      </c>
      <c r="U86" s="287" t="s">
        <v>959</v>
      </c>
      <c r="V86" s="287" t="s">
        <v>959</v>
      </c>
      <c r="W86" s="287" t="s">
        <v>959</v>
      </c>
      <c r="X86" s="89">
        <f t="shared" si="69"/>
        <v>0</v>
      </c>
      <c r="Y86" s="287" t="s">
        <v>959</v>
      </c>
      <c r="Z86" s="287" t="s">
        <v>959</v>
      </c>
      <c r="AA86" s="287" t="s">
        <v>959</v>
      </c>
      <c r="AB86" s="89">
        <f t="shared" si="70"/>
        <v>0</v>
      </c>
      <c r="AC86" s="287" t="s">
        <v>959</v>
      </c>
      <c r="AD86" s="287" t="s">
        <v>959</v>
      </c>
      <c r="AE86" s="287" t="s">
        <v>959</v>
      </c>
      <c r="AF86" s="89">
        <f t="shared" si="71"/>
        <v>0</v>
      </c>
      <c r="AG86" s="287" t="s">
        <v>959</v>
      </c>
      <c r="AH86" s="287" t="s">
        <v>959</v>
      </c>
      <c r="AI86" s="287" t="s">
        <v>959</v>
      </c>
      <c r="AJ86" s="89">
        <f t="shared" si="72"/>
        <v>0</v>
      </c>
      <c r="AK86" s="289">
        <f t="shared" ref="AK86" si="75">SUM(X86,AB86,AF86,AJ86)</f>
        <v>0</v>
      </c>
      <c r="AL86" s="337"/>
      <c r="AM86" s="1370"/>
      <c r="AN86" s="1411"/>
      <c r="AO86" s="1405"/>
      <c r="AP86" s="62" t="str">
        <f>C85</f>
        <v>22- Eliminar custo com usinagem externa CN 00016/17</v>
      </c>
      <c r="AQ86" s="62" t="s">
        <v>313</v>
      </c>
      <c r="AR86" s="508" t="str" cm="1">
        <f t="array" aca="1" ref="AR86" ca="1">IF(OR(AP86="",AP86=0),"",IF(SUMPRODUCT(($C$55:$C$142=AP86)*(U$54:$AI$54&lt;EOMONTH(TODAY(),-1)+1)*(ISNUMBER(U$56:$AI$143)),U$56:$AI$143)=0,"",SUMPRODUCT(($C$55:$C$142=AP86)*(U$54:$AI$54&lt;EOMONTH(TODAY(),-1)+1)*(ISNUMBER(U$56:$AI$143)),U$56:$AI$143)))</f>
        <v/>
      </c>
      <c r="AS86" s="62" t="str">
        <f>A85</f>
        <v>Kaizen</v>
      </c>
      <c r="AU86" s="1567"/>
      <c r="AV86" s="1567"/>
    </row>
    <row r="87" spans="1:48" ht="40.35" customHeight="1" x14ac:dyDescent="0.3">
      <c r="A87" s="1380" t="s">
        <v>925</v>
      </c>
      <c r="B87" s="2340" t="s">
        <v>97</v>
      </c>
      <c r="C87" s="2307" t="s">
        <v>1906</v>
      </c>
      <c r="D87" s="2306" t="s">
        <v>1907</v>
      </c>
      <c r="E87" s="2302" t="s">
        <v>1908</v>
      </c>
      <c r="F87" s="2345" t="s">
        <v>1872</v>
      </c>
      <c r="G87" s="2323">
        <v>46240</v>
      </c>
      <c r="H87" s="2323">
        <v>46269</v>
      </c>
      <c r="I87" s="2320">
        <v>255939.20000000001</v>
      </c>
      <c r="J87" s="2321">
        <v>46296</v>
      </c>
      <c r="K87" s="2325">
        <f t="shared" ref="K87" si="76">IF(J87="", "", 12 - MONTH(J87) + 1)</f>
        <v>3</v>
      </c>
      <c r="L87" s="2332"/>
      <c r="M87" s="2324"/>
      <c r="N87" s="2316"/>
      <c r="O87" s="2318" t="s">
        <v>83</v>
      </c>
      <c r="P87" s="2262" t="s">
        <v>1909</v>
      </c>
      <c r="Q87" s="2322">
        <v>46262</v>
      </c>
      <c r="R87" s="2319"/>
      <c r="S87" s="87" t="s">
        <v>116</v>
      </c>
      <c r="T87" s="91">
        <f>AVERAGE([48]Estrutura!$I$5:$I$9)</f>
        <v>0.76393442622950825</v>
      </c>
      <c r="U87" s="287">
        <f>IFERROR(IF(AND(U$54&gt;=EOMONTH($J87,-1)+1,U$54&lt;=EOMONTH(EOMONTH($J87,-1)+1,$K87-1)),IF(NOT(ISBLANK($N87)),$N87/$K87,$I87/$K87),0),0)</f>
        <v>0</v>
      </c>
      <c r="V87" s="287">
        <f>IFERROR(IF(AND(V$54&gt;=EOMONTH($J87,-1)+1,V$54&lt;=EOMONTH(EOMONTH($J87,-1)+1,$K87-1)),IF(NOT(ISBLANK($N87)),$N87/$K87,$I87/$K87),0),0)</f>
        <v>0</v>
      </c>
      <c r="W87" s="287">
        <f>IFERROR(IF(AND(W$54&gt;=EOMONTH($J87,-1)+1,W$54&lt;=EOMONTH(EOMONTH($J87,-1)+1,$K87-1)),IF(NOT(ISBLANK($N87)),$N87/$K87,$I87/$K87),0),0)</f>
        <v>0</v>
      </c>
      <c r="X87" s="89">
        <f t="shared" si="69"/>
        <v>0</v>
      </c>
      <c r="Y87" s="287">
        <f>IFERROR(IF(AND(Y$54&gt;=EOMONTH($J87,-1)+1,Y$54&lt;=EOMONTH(EOMONTH($J87,-1)+1,$K87-1)),IF(NOT(ISBLANK($N87)),$N87/$K87,$I87/$K87),0),0)</f>
        <v>0</v>
      </c>
      <c r="Z87" s="287">
        <f>IFERROR(IF(AND(Z$54&gt;=EOMONTH($J87,-1)+1,Z$54&lt;=EOMONTH(EOMONTH($J87,-1)+1,$K87-1)),IF(NOT(ISBLANK($N87)),$N87/$K87,$I87/$K87),0),0)</f>
        <v>0</v>
      </c>
      <c r="AA87" s="287">
        <f>IFERROR(IF(AND(AA$54&gt;=EOMONTH($J87,-1)+1,AA$54&lt;=EOMONTH(EOMONTH($J87,-1)+1,$K87-1)),IF(NOT(ISBLANK($N87)),$N87/$K87,$I87/$K87),0),0)</f>
        <v>0</v>
      </c>
      <c r="AB87" s="89">
        <f t="shared" si="70"/>
        <v>0</v>
      </c>
      <c r="AC87" s="287">
        <f>IFERROR(IF(AND(AC$54&gt;=EOMONTH($J87,-1)+1,AC$54&lt;=EOMONTH(EOMONTH($J87,-1)+1,$K87-1)),IF(NOT(ISBLANK($N87)),$N87/$K87,$I87/$K87),0),0)</f>
        <v>0</v>
      </c>
      <c r="AD87" s="287">
        <f>IFERROR(IF(AND(AD$54&gt;=EOMONTH($J87,-1)+1,AD$54&lt;=EOMONTH(EOMONTH($J87,-1)+1,$K87-1)),IF(NOT(ISBLANK($N87)),$N87/$K87,$I87/$K87),0),0)</f>
        <v>0</v>
      </c>
      <c r="AE87" s="287">
        <f>IFERROR(IF(AND(AE$54&gt;=EOMONTH($J87,-1)+1,AE$54&lt;=EOMONTH(EOMONTH($J87,-1)+1,$K87-1)),IF(NOT(ISBLANK($N87)),$N87/$K87,$I87/$K87),0),0)</f>
        <v>0</v>
      </c>
      <c r="AF87" s="89">
        <f t="shared" si="71"/>
        <v>0</v>
      </c>
      <c r="AG87" s="287">
        <f>IFERROR(IF(AND(AG$54&gt;=EOMONTH($J87,-1)+1,AG$54&lt;=EOMONTH(EOMONTH($J87,-1)+1,$K87-1)),IF(NOT(ISBLANK($N87)),$N87/$K87,$I87/$K87),0),0)</f>
        <v>85313.066666666666</v>
      </c>
      <c r="AH87" s="287">
        <f>IFERROR(IF(AND(AH$54&gt;=EOMONTH($J87,-1)+1,AH$54&lt;=EOMONTH(EOMONTH($J87,-1)+1,$K87-1)),IF(NOT(ISBLANK($N87)),$N87/$K87,$I87/$K87),0),0)</f>
        <v>85313.066666666666</v>
      </c>
      <c r="AI87" s="287">
        <f>IFERROR(IF(AND(AI$54&gt;=EOMONTH($J87,-1)+1,AI$54&lt;=EOMONTH(EOMONTH($J87,-1)+1,$K87-1)),IF(NOT(ISBLANK($N87)),$N87/$K87,$I87/$K87),0),0)</f>
        <v>85313.066666666666</v>
      </c>
      <c r="AJ87" s="89">
        <f t="shared" si="72"/>
        <v>255939.20000000001</v>
      </c>
      <c r="AK87" s="90">
        <f>SUM(X87,AB87,AF87,AJ87)</f>
        <v>255939.20000000001</v>
      </c>
      <c r="AL87" s="98"/>
      <c r="AM87" s="1370"/>
      <c r="AN87" s="1411"/>
      <c r="AO87" s="1405"/>
      <c r="AP87" s="62" t="str">
        <f>C87</f>
        <v>26-Aumento de produtividade na LINHA SCHULER</v>
      </c>
      <c r="AQ87" s="62" t="s">
        <v>311</v>
      </c>
      <c r="AR87" s="508" t="str" cm="1">
        <f t="array" aca="1" ref="AR87" ca="1">IF(OR(AP87="",AP87=0),"",IF(SUMPRODUCT(($C$55:$C$142=AP87)*(U$54:$AI$54&lt;EOMONTH(TODAY(),-1)+1)*(ISNUMBER(U$55:$AI$142)),U$55:$AI$142)=0,"",SUMPRODUCT(($C$55:$C$142=AP87)*(U$54:$AI$54&lt;EOMONTH(TODAY(),-1)+1)*(ISNUMBER(U$55:$AI$142)),U$55:$AI$142)))</f>
        <v/>
      </c>
      <c r="AS87" s="62" t="str">
        <f>A87</f>
        <v>Kaizen</v>
      </c>
      <c r="AU87" s="1566">
        <f t="shared" ref="AU87" si="77">IF(OR(I87="",K87=""),0,(I87/12)*K87)</f>
        <v>63984.800000000003</v>
      </c>
      <c r="AV87" s="1566">
        <f t="shared" ref="AV87" si="78">IF(OR(N87="",K87="",K87=0),0,(N87/K87)*12)</f>
        <v>0</v>
      </c>
    </row>
    <row r="88" spans="1:48" ht="57" customHeight="1" x14ac:dyDescent="0.3">
      <c r="A88" s="1380"/>
      <c r="B88" s="1408"/>
      <c r="C88" s="1482"/>
      <c r="D88" s="1486"/>
      <c r="E88" s="1368"/>
      <c r="F88" s="1370"/>
      <c r="G88" s="1372"/>
      <c r="H88" s="1372"/>
      <c r="I88" s="1395"/>
      <c r="J88" s="1749"/>
      <c r="K88" s="1389"/>
      <c r="L88" s="2275"/>
      <c r="M88" s="1350"/>
      <c r="N88" s="2317"/>
      <c r="O88" s="1327"/>
      <c r="P88" s="2150"/>
      <c r="Q88" s="2261"/>
      <c r="R88" s="1327"/>
      <c r="S88" s="87" t="s">
        <v>117</v>
      </c>
      <c r="T88" s="91">
        <f>AVERAGE([48]Estrutura!$J$5:$J$9)</f>
        <v>0.78</v>
      </c>
      <c r="U88" s="287" t="s">
        <v>959</v>
      </c>
      <c r="V88" s="287" t="s">
        <v>959</v>
      </c>
      <c r="W88" s="287" t="s">
        <v>959</v>
      </c>
      <c r="X88" s="89">
        <f t="shared" si="69"/>
        <v>0</v>
      </c>
      <c r="Y88" s="287" t="s">
        <v>959</v>
      </c>
      <c r="Z88" s="287" t="s">
        <v>959</v>
      </c>
      <c r="AA88" s="287" t="s">
        <v>959</v>
      </c>
      <c r="AB88" s="89">
        <f t="shared" si="70"/>
        <v>0</v>
      </c>
      <c r="AC88" s="287" t="s">
        <v>959</v>
      </c>
      <c r="AD88" s="287" t="s">
        <v>959</v>
      </c>
      <c r="AE88" s="287" t="s">
        <v>959</v>
      </c>
      <c r="AF88" s="89">
        <f t="shared" si="71"/>
        <v>0</v>
      </c>
      <c r="AG88" s="287" t="s">
        <v>959</v>
      </c>
      <c r="AH88" s="287" t="s">
        <v>959</v>
      </c>
      <c r="AI88" s="287" t="s">
        <v>959</v>
      </c>
      <c r="AJ88" s="89">
        <f t="shared" si="72"/>
        <v>0</v>
      </c>
      <c r="AK88" s="289">
        <f t="shared" ref="AK88:AK90" si="79">SUM(X88,AB88,AF88,AJ88)</f>
        <v>0</v>
      </c>
      <c r="AL88" s="337"/>
      <c r="AM88" s="1370"/>
      <c r="AN88" s="1411"/>
      <c r="AO88" s="1405"/>
      <c r="AP88" s="62" t="str">
        <f>C87</f>
        <v>26-Aumento de produtividade na LINHA SCHULER</v>
      </c>
      <c r="AQ88" s="62" t="s">
        <v>313</v>
      </c>
      <c r="AR88" s="508" t="str" cm="1">
        <f t="array" aca="1" ref="AR88" ca="1">IF(OR(AP88="",AP88=0),"",IF(SUMPRODUCT(($C$55:$C$142=AP88)*(U$54:$AI$54&lt;EOMONTH(TODAY(),-1)+1)*(ISNUMBER(U$56:$AI$143)),U$56:$AI$143)=0,"",SUMPRODUCT(($C$55:$C$142=AP88)*(U$54:$AI$54&lt;EOMONTH(TODAY(),-1)+1)*(ISNUMBER(U$56:$AI$143)),U$56:$AI$143)))</f>
        <v/>
      </c>
      <c r="AS88" s="62" t="str">
        <f>A87</f>
        <v>Kaizen</v>
      </c>
      <c r="AU88" s="1567"/>
      <c r="AV88" s="1567"/>
    </row>
    <row r="89" spans="1:48" ht="56.1" customHeight="1" x14ac:dyDescent="0.3">
      <c r="A89" s="1809" t="s">
        <v>925</v>
      </c>
      <c r="B89" s="1691" t="s">
        <v>97</v>
      </c>
      <c r="C89" s="1465" t="s">
        <v>1910</v>
      </c>
      <c r="D89" s="1356" t="s">
        <v>1911</v>
      </c>
      <c r="E89" s="1449" t="s">
        <v>1912</v>
      </c>
      <c r="F89" s="1451" t="s">
        <v>1851</v>
      </c>
      <c r="G89" s="1366">
        <v>46185</v>
      </c>
      <c r="H89" s="1366">
        <v>46293</v>
      </c>
      <c r="I89" s="1395">
        <v>296000</v>
      </c>
      <c r="J89" s="1749">
        <v>46296</v>
      </c>
      <c r="K89" s="1387">
        <f t="shared" ref="K89" si="80">IF(J89="", "", 12 - MONTH(J89) + 1)</f>
        <v>3</v>
      </c>
      <c r="L89" s="2275"/>
      <c r="M89" s="1352"/>
      <c r="N89" s="1393"/>
      <c r="O89" s="1327" t="s">
        <v>83</v>
      </c>
      <c r="P89" s="2127" t="s">
        <v>1913</v>
      </c>
      <c r="Q89" s="1667">
        <v>46262</v>
      </c>
      <c r="R89" s="1335"/>
      <c r="S89" s="93" t="s">
        <v>116</v>
      </c>
      <c r="T89" s="96">
        <f>AVERAGE([49]Estrutura!$I$7:$I$11)</f>
        <v>0.4236111111111111</v>
      </c>
      <c r="U89" s="498">
        <f>IFERROR(IF(AND(U$54&gt;=EOMONTH($J89,-1)+1,U$54&lt;=EOMONTH(EOMONTH($J89,-1)+1,$K89-1)),IF(NOT(ISBLANK($N89)),$N89/$K89,$I89/$K89),0),0)</f>
        <v>0</v>
      </c>
      <c r="V89" s="498">
        <f>IFERROR(IF(AND(V$54&gt;=EOMONTH($J89,-1)+1,V$54&lt;=EOMONTH(EOMONTH($J89,-1)+1,$K89-1)),IF(NOT(ISBLANK($N89)),$N89/$K89,$I89/$K89),0),0)</f>
        <v>0</v>
      </c>
      <c r="W89" s="498">
        <f>IFERROR(IF(AND(W$54&gt;=EOMONTH($J89,-1)+1,W$54&lt;=EOMONTH(EOMONTH($J89,-1)+1,$K89-1)),IF(NOT(ISBLANK($N89)),$N89/$K89,$I89/$K89),0),0)</f>
        <v>0</v>
      </c>
      <c r="X89" s="89">
        <f t="shared" ref="X89:X96" si="81">SUM(U89:W89)</f>
        <v>0</v>
      </c>
      <c r="Y89" s="498">
        <f>IFERROR(IF(AND(Y$54&gt;=EOMONTH($J89,-1)+1,Y$54&lt;=EOMONTH(EOMONTH($J89,-1)+1,$K89-1)),IF(NOT(ISBLANK($N89)),$N89/$K89,$I89/$K89),0),0)</f>
        <v>0</v>
      </c>
      <c r="Z89" s="498">
        <f>IFERROR(IF(AND(Z$54&gt;=EOMONTH($J89,-1)+1,Z$54&lt;=EOMONTH(EOMONTH($J89,-1)+1,$K89-1)),IF(NOT(ISBLANK($N89)),$N89/$K89,$I89/$K89),0),0)</f>
        <v>0</v>
      </c>
      <c r="AA89" s="498">
        <f>IFERROR(IF(AND(AA$54&gt;=EOMONTH($J89,-1)+1,AA$54&lt;=EOMONTH(EOMONTH($J89,-1)+1,$K89-1)),IF(NOT(ISBLANK($N89)),$N89/$K89,$I89/$K89),0),0)</f>
        <v>0</v>
      </c>
      <c r="AB89" s="89">
        <f t="shared" ref="AB89:AB96" si="82">SUM(Y89:AA89)</f>
        <v>0</v>
      </c>
      <c r="AC89" s="498">
        <f>IFERROR(IF(AND(AC$54&gt;=EOMONTH($J89,-1)+1,AC$54&lt;=EOMONTH(EOMONTH($J89,-1)+1,$K89-1)),IF(NOT(ISBLANK($N89)),$N89/$K89,$I89/$K89),0),0)</f>
        <v>0</v>
      </c>
      <c r="AD89" s="498">
        <f>IFERROR(IF(AND(AD$54&gt;=EOMONTH($J89,-1)+1,AD$54&lt;=EOMONTH(EOMONTH($J89,-1)+1,$K89-1)),IF(NOT(ISBLANK($N89)),$N89/$K89,$I89/$K89),0),0)</f>
        <v>0</v>
      </c>
      <c r="AE89" s="498">
        <f>IFERROR(IF(AND(AE$54&gt;=EOMONTH($J89,-1)+1,AE$54&lt;=EOMONTH(EOMONTH($J89,-1)+1,$K89-1)),IF(NOT(ISBLANK($N89)),$N89/$K89,$I89/$K89),0),0)</f>
        <v>0</v>
      </c>
      <c r="AF89" s="89">
        <f t="shared" ref="AF89:AF96" si="83">SUM(AC89:AE89)</f>
        <v>0</v>
      </c>
      <c r="AG89" s="498">
        <f>IFERROR(IF(AND(AG$54&gt;=EOMONTH($J89,-1)+1,AG$54&lt;=EOMONTH(EOMONTH($J89,-1)+1,$K89-1)),IF(NOT(ISBLANK($N89)),$N89/$K89,$I89/$K89),0),0)</f>
        <v>98666.666666666672</v>
      </c>
      <c r="AH89" s="498">
        <f>IFERROR(IF(AND(AH$54&gt;=EOMONTH($J89,-1)+1,AH$54&lt;=EOMONTH(EOMONTH($J89,-1)+1,$K89-1)),IF(NOT(ISBLANK($N89)),$N89/$K89,$I89/$K89),0),0)</f>
        <v>98666.666666666672</v>
      </c>
      <c r="AI89" s="498">
        <f>IFERROR(IF(AND(AI$54&gt;=EOMONTH($J89,-1)+1,AI$54&lt;=EOMONTH(EOMONTH($J89,-1)+1,$K89-1)),IF(NOT(ISBLANK($N89)),$N89/$K89,$I89/$K89),0),0)</f>
        <v>98666.666666666672</v>
      </c>
      <c r="AJ89" s="89">
        <f t="shared" ref="AJ89:AJ96" si="84">SUM(AG89:AI89)</f>
        <v>296000</v>
      </c>
      <c r="AK89" s="95">
        <f t="shared" si="79"/>
        <v>296000</v>
      </c>
      <c r="AL89" s="97"/>
      <c r="AM89" s="1407"/>
      <c r="AN89" s="1334"/>
      <c r="AO89" s="1403"/>
      <c r="AP89" s="62" t="str">
        <f>C89</f>
        <v>27-Redução no tempo de setup na Linha Schuler.</v>
      </c>
      <c r="AQ89" s="62" t="s">
        <v>311</v>
      </c>
      <c r="AR89" s="508" t="str" cm="1">
        <f t="array" aca="1" ref="AR89" ca="1">IF(OR(AP89="",AP89=0),"",IF(SUMPRODUCT(($C$55:$C$142=AP89)*(U$54:$AI$54&lt;EOMONTH(TODAY(),-1)+1)*(ISNUMBER(U$55:$AI$142)),U$55:$AI$142)=0,"",SUMPRODUCT(($C$55:$C$142=AP89)*(U$54:$AI$54&lt;EOMONTH(TODAY(),-1)+1)*(ISNUMBER(U$55:$AI$142)),U$55:$AI$142)))</f>
        <v/>
      </c>
      <c r="AS89" s="62" t="str">
        <f>A89</f>
        <v>Kaizen</v>
      </c>
      <c r="AU89" s="1566">
        <f t="shared" ref="AU89" si="85">IF(OR(I89="",K89=""),0,(I89/12)*K89)</f>
        <v>74000</v>
      </c>
      <c r="AV89" s="1566">
        <f t="shared" ref="AV89" si="86">IF(OR(N89="",K89="",K89=0),0,(N89/K89)*12)</f>
        <v>0</v>
      </c>
    </row>
    <row r="90" spans="1:48" ht="65.099999999999994" customHeight="1" x14ac:dyDescent="0.3">
      <c r="A90" s="1809"/>
      <c r="B90" s="1692"/>
      <c r="C90" s="1465"/>
      <c r="D90" s="1356"/>
      <c r="E90" s="1449"/>
      <c r="F90" s="1451"/>
      <c r="G90" s="1366"/>
      <c r="H90" s="1366"/>
      <c r="I90" s="1395"/>
      <c r="J90" s="1749"/>
      <c r="K90" s="1387"/>
      <c r="L90" s="2275"/>
      <c r="M90" s="1352"/>
      <c r="N90" s="1393"/>
      <c r="O90" s="1327"/>
      <c r="P90" s="2128"/>
      <c r="Q90" s="2261"/>
      <c r="R90" s="1334"/>
      <c r="S90" s="93" t="s">
        <v>117</v>
      </c>
      <c r="T90" s="96">
        <f>AVERAGE([49]Estrutura!$J$7:$J$10)</f>
        <v>0.6</v>
      </c>
      <c r="U90" s="290" t="s">
        <v>959</v>
      </c>
      <c r="V90" s="290" t="s">
        <v>959</v>
      </c>
      <c r="W90" s="290" t="s">
        <v>959</v>
      </c>
      <c r="X90" s="89">
        <f t="shared" si="81"/>
        <v>0</v>
      </c>
      <c r="Y90" s="290" t="s">
        <v>959</v>
      </c>
      <c r="Z90" s="290" t="s">
        <v>959</v>
      </c>
      <c r="AA90" s="290" t="s">
        <v>959</v>
      </c>
      <c r="AB90" s="89">
        <f t="shared" si="82"/>
        <v>0</v>
      </c>
      <c r="AC90" s="290" t="s">
        <v>959</v>
      </c>
      <c r="AD90" s="290" t="s">
        <v>959</v>
      </c>
      <c r="AE90" s="290" t="s">
        <v>959</v>
      </c>
      <c r="AF90" s="89">
        <f t="shared" si="83"/>
        <v>0</v>
      </c>
      <c r="AG90" s="290" t="s">
        <v>959</v>
      </c>
      <c r="AH90" s="290" t="s">
        <v>959</v>
      </c>
      <c r="AI90" s="290" t="s">
        <v>959</v>
      </c>
      <c r="AJ90" s="89">
        <f t="shared" si="84"/>
        <v>0</v>
      </c>
      <c r="AK90" s="291">
        <f t="shared" si="79"/>
        <v>0</v>
      </c>
      <c r="AL90" s="97"/>
      <c r="AM90" s="1407"/>
      <c r="AN90" s="1334"/>
      <c r="AO90" s="1403"/>
      <c r="AP90" s="62" t="str">
        <f>C89</f>
        <v>27-Redução no tempo de setup na Linha Schuler.</v>
      </c>
      <c r="AQ90" s="62" t="s">
        <v>313</v>
      </c>
      <c r="AR90" s="508" t="str" cm="1">
        <f t="array" aca="1" ref="AR90" ca="1">IF(OR(AP90="",AP90=0),"",IF(SUMPRODUCT(($C$55:$C$142=AP90)*(U$54:$AI$54&lt;EOMONTH(TODAY(),-1)+1)*(ISNUMBER(U$56:$AI$143)),U$56:$AI$143)=0,"",SUMPRODUCT(($C$55:$C$142=AP90)*(U$54:$AI$54&lt;EOMONTH(TODAY(),-1)+1)*(ISNUMBER(U$56:$AI$143)),U$56:$AI$143)))</f>
        <v/>
      </c>
      <c r="AS90" s="62" t="str">
        <f>A89</f>
        <v>Kaizen</v>
      </c>
      <c r="AU90" s="1567"/>
      <c r="AV90" s="1567"/>
    </row>
    <row r="91" spans="1:48" ht="40.35" customHeight="1" x14ac:dyDescent="0.3">
      <c r="A91" s="1380"/>
      <c r="B91" s="1407"/>
      <c r="C91" s="1482"/>
      <c r="D91" s="1486"/>
      <c r="E91" s="1368"/>
      <c r="F91" s="1370"/>
      <c r="G91" s="1372"/>
      <c r="H91" s="1372"/>
      <c r="I91" s="1354"/>
      <c r="J91" s="1376"/>
      <c r="K91" s="1389"/>
      <c r="L91" s="1395"/>
      <c r="M91" s="1350"/>
      <c r="N91" s="1391"/>
      <c r="O91" s="1327"/>
      <c r="P91" s="1671"/>
      <c r="Q91" s="2115"/>
      <c r="R91" s="1327"/>
      <c r="S91" s="87" t="s">
        <v>116</v>
      </c>
      <c r="T91" s="91" t="str">
        <f ca="1">IF(OR(G91="", H91=""), "", IF(TODAY()&lt;G91, 0, IF(TODAY()&gt;H91, 1, (TODAY()-G91+1)/(H91-G91+1))))</f>
        <v/>
      </c>
      <c r="U91" s="287">
        <f>IFERROR(IF(AND(U$54&gt;=EOMONTH($J91,-1)+1,U$54&lt;=EOMONTH(EOMONTH($J91,-1)+1,$K91-1)),IF(NOT(ISBLANK($N91)),$N91/$K91,$I91/$K91),0),0)</f>
        <v>0</v>
      </c>
      <c r="V91" s="287">
        <f>IFERROR(IF(AND(V$54&gt;=EOMONTH($J91,-1)+1,V$54&lt;=EOMONTH(EOMONTH($J91,-1)+1,$K91-1)),IF(NOT(ISBLANK($N91)),$N91/$K91,$I91/$K91),0),0)</f>
        <v>0</v>
      </c>
      <c r="W91" s="287">
        <f>IFERROR(IF(AND(W$54&gt;=EOMONTH($J91,-1)+1,W$54&lt;=EOMONTH(EOMONTH($J91,-1)+1,$K91-1)),IF(NOT(ISBLANK($N91)),$N91/$K91,$I91/$K91),0),0)</f>
        <v>0</v>
      </c>
      <c r="X91" s="89">
        <f t="shared" si="81"/>
        <v>0</v>
      </c>
      <c r="Y91" s="287">
        <f>IFERROR(IF(AND(Y$54&gt;=EOMONTH($J91,-1)+1,Y$54&lt;=EOMONTH(EOMONTH($J91,-1)+1,$K91-1)),IF(NOT(ISBLANK($N91)),$N91/$K91,$I91/$K91),0),0)</f>
        <v>0</v>
      </c>
      <c r="Z91" s="287">
        <f>IFERROR(IF(AND(Z$54&gt;=EOMONTH($J91,-1)+1,Z$54&lt;=EOMONTH(EOMONTH($J91,-1)+1,$K91-1)),IF(NOT(ISBLANK($N91)),$N91/$K91,$I91/$K91),0),0)</f>
        <v>0</v>
      </c>
      <c r="AA91" s="287">
        <f>IFERROR(IF(AND(AA$54&gt;=EOMONTH($J91,-1)+1,AA$54&lt;=EOMONTH(EOMONTH($J91,-1)+1,$K91-1)),IF(NOT(ISBLANK($N91)),$N91/$K91,$I91/$K91),0),0)</f>
        <v>0</v>
      </c>
      <c r="AB91" s="89">
        <f t="shared" si="82"/>
        <v>0</v>
      </c>
      <c r="AC91" s="287">
        <f>IFERROR(IF(AND(AC$54&gt;=EOMONTH($J91,-1)+1,AC$54&lt;=EOMONTH(EOMONTH($J91,-1)+1,$K91-1)),IF(NOT(ISBLANK($N91)),$N91/$K91,$I91/$K91),0),0)</f>
        <v>0</v>
      </c>
      <c r="AD91" s="287">
        <f>IFERROR(IF(AND(AD$54&gt;=EOMONTH($J91,-1)+1,AD$54&lt;=EOMONTH(EOMONTH($J91,-1)+1,$K91-1)),IF(NOT(ISBLANK($N91)),$N91/$K91,$I91/$K91),0),0)</f>
        <v>0</v>
      </c>
      <c r="AE91" s="287">
        <f>IFERROR(IF(AND(AE$54&gt;=EOMONTH($J91,-1)+1,AE$54&lt;=EOMONTH(EOMONTH($J91,-1)+1,$K91-1)),IF(NOT(ISBLANK($N91)),$N91/$K91,$I91/$K91),0),0)</f>
        <v>0</v>
      </c>
      <c r="AF91" s="89">
        <f t="shared" si="83"/>
        <v>0</v>
      </c>
      <c r="AG91" s="287">
        <f>IFERROR(IF(AND(AG$54&gt;=EOMONTH($J91,-1)+1,AG$54&lt;=EOMONTH(EOMONTH($J91,-1)+1,$K91-1)),IF(NOT(ISBLANK($N91)),$N91/$K91,$I91/$K91),0),0)</f>
        <v>0</v>
      </c>
      <c r="AH91" s="287">
        <f>IFERROR(IF(AND(AH$54&gt;=EOMONTH($J91,-1)+1,AH$54&lt;=EOMONTH(EOMONTH($J91,-1)+1,$K91-1)),IF(NOT(ISBLANK($N91)),$N91/$K91,$I91/$K91),0),0)</f>
        <v>0</v>
      </c>
      <c r="AI91" s="287">
        <f>IFERROR(IF(AND(AI$54&gt;=EOMONTH($J91,-1)+1,AI$54&lt;=EOMONTH(EOMONTH($J91,-1)+1,$K91-1)),IF(NOT(ISBLANK($N91)),$N91/$K91,$I91/$K91),0),0)</f>
        <v>0</v>
      </c>
      <c r="AJ91" s="89">
        <f t="shared" si="84"/>
        <v>0</v>
      </c>
      <c r="AK91" s="90">
        <f>SUM(X91,AB91,AF91,AJ91)</f>
        <v>0</v>
      </c>
      <c r="AL91" s="98"/>
      <c r="AM91" s="1370"/>
      <c r="AN91" s="1411"/>
      <c r="AO91" s="1405"/>
      <c r="AP91" s="62">
        <f>C91</f>
        <v>0</v>
      </c>
      <c r="AQ91" s="62" t="s">
        <v>311</v>
      </c>
      <c r="AR91" s="508" t="str" cm="1">
        <f t="array" aca="1" ref="AR91" ca="1">IF(OR(AP91="",AP91=0),"",IF(SUMPRODUCT(($C$55:$C$142=AP91)*(U$54:$AI$54&lt;EOMONTH(TODAY(),-1)+1)*(ISNUMBER(U$55:$AI$142)),U$55:$AI$142)=0,"",SUMPRODUCT(($C$55:$C$142=AP91)*(U$54:$AI$54&lt;EOMONTH(TODAY(),-1)+1)*(ISNUMBER(U$55:$AI$142)),U$55:$AI$142)))</f>
        <v/>
      </c>
      <c r="AS91" s="62">
        <f>A91</f>
        <v>0</v>
      </c>
      <c r="AU91" s="1566">
        <f t="shared" ref="AU91" si="87">IF(OR(I91="",K91=""),0,(I91/12)*K91)</f>
        <v>0</v>
      </c>
      <c r="AV91" s="1566">
        <f t="shared" ref="AV91" si="88">IF(OR(N91="",K91="",K91=0),0,(N91/K91)*12)</f>
        <v>0</v>
      </c>
    </row>
    <row r="92" spans="1:48" ht="29.1" customHeight="1" x14ac:dyDescent="0.3">
      <c r="A92" s="1380"/>
      <c r="B92" s="1408"/>
      <c r="C92" s="1482"/>
      <c r="D92" s="1486"/>
      <c r="E92" s="1368"/>
      <c r="F92" s="1370"/>
      <c r="G92" s="1372"/>
      <c r="H92" s="1372"/>
      <c r="I92" s="1354"/>
      <c r="J92" s="1376"/>
      <c r="K92" s="1389"/>
      <c r="L92" s="1395"/>
      <c r="M92" s="1350"/>
      <c r="N92" s="1391"/>
      <c r="O92" s="1327"/>
      <c r="P92" s="1672"/>
      <c r="Q92" s="2116"/>
      <c r="R92" s="1327"/>
      <c r="S92" s="87" t="s">
        <v>117</v>
      </c>
      <c r="T92" s="91"/>
      <c r="U92" s="287" t="s">
        <v>959</v>
      </c>
      <c r="V92" s="287" t="s">
        <v>959</v>
      </c>
      <c r="W92" s="287" t="s">
        <v>959</v>
      </c>
      <c r="X92" s="89">
        <f t="shared" si="81"/>
        <v>0</v>
      </c>
      <c r="Y92" s="287" t="s">
        <v>959</v>
      </c>
      <c r="Z92" s="287" t="s">
        <v>959</v>
      </c>
      <c r="AA92" s="287" t="s">
        <v>959</v>
      </c>
      <c r="AB92" s="89">
        <f t="shared" si="82"/>
        <v>0</v>
      </c>
      <c r="AC92" s="287" t="s">
        <v>959</v>
      </c>
      <c r="AD92" s="287" t="s">
        <v>959</v>
      </c>
      <c r="AE92" s="287" t="s">
        <v>959</v>
      </c>
      <c r="AF92" s="89">
        <f t="shared" si="83"/>
        <v>0</v>
      </c>
      <c r="AG92" s="287" t="s">
        <v>959</v>
      </c>
      <c r="AH92" s="287" t="s">
        <v>959</v>
      </c>
      <c r="AI92" s="287" t="s">
        <v>959</v>
      </c>
      <c r="AJ92" s="89">
        <f t="shared" si="84"/>
        <v>0</v>
      </c>
      <c r="AK92" s="289">
        <f t="shared" ref="AK92:AK94" si="89">SUM(X92,AB92,AF92,AJ92)</f>
        <v>0</v>
      </c>
      <c r="AL92" s="337"/>
      <c r="AM92" s="1370"/>
      <c r="AN92" s="1411"/>
      <c r="AO92" s="1405"/>
      <c r="AP92" s="62">
        <f>C91</f>
        <v>0</v>
      </c>
      <c r="AQ92" s="62" t="s">
        <v>313</v>
      </c>
      <c r="AR92" s="508" t="str" cm="1">
        <f t="array" aca="1" ref="AR92" ca="1">IF(OR(AP92="",AP92=0),"",IF(SUMPRODUCT(($C$55:$C$142=AP92)*(U$54:$AI$54&lt;EOMONTH(TODAY(),-1)+1)*(ISNUMBER(U$56:$AI$143)),U$56:$AI$143)=0,"",SUMPRODUCT(($C$55:$C$142=AP92)*(U$54:$AI$54&lt;EOMONTH(TODAY(),-1)+1)*(ISNUMBER(U$56:$AI$143)),U$56:$AI$143)))</f>
        <v/>
      </c>
      <c r="AS92" s="62">
        <f>A91</f>
        <v>0</v>
      </c>
      <c r="AU92" s="1567"/>
      <c r="AV92" s="1567"/>
    </row>
    <row r="93" spans="1:48" ht="56.1" customHeight="1" x14ac:dyDescent="0.3">
      <c r="A93" s="1809"/>
      <c r="B93" s="1691"/>
      <c r="C93" s="1465"/>
      <c r="D93" s="1356"/>
      <c r="E93" s="1449"/>
      <c r="F93" s="1451"/>
      <c r="G93" s="1366"/>
      <c r="H93" s="1366"/>
      <c r="I93" s="1488"/>
      <c r="J93" s="1378"/>
      <c r="K93" s="1387"/>
      <c r="L93" s="1354"/>
      <c r="M93" s="1352"/>
      <c r="N93" s="1393"/>
      <c r="O93" s="1849"/>
      <c r="P93" s="1673"/>
      <c r="Q93" s="2125"/>
      <c r="R93" s="1334"/>
      <c r="S93" s="93" t="s">
        <v>116</v>
      </c>
      <c r="T93" s="96"/>
      <c r="U93" s="498">
        <f>IFERROR(IF(AND(U$54&gt;=EOMONTH($J93,-1)+1,U$54&lt;=EOMONTH(EOMONTH($J93,-1)+1,$K93-1)),IF(NOT(ISBLANK($N93)),$N93/$K93,$I93/$K93),0),0)</f>
        <v>0</v>
      </c>
      <c r="V93" s="498">
        <f>IFERROR(IF(AND(V$54&gt;=EOMONTH($J93,-1)+1,V$54&lt;=EOMONTH(EOMONTH($J93,-1)+1,$K93-1)),IF(NOT(ISBLANK($N93)),$N93/$K93,$I93/$K93),0),0)</f>
        <v>0</v>
      </c>
      <c r="W93" s="498">
        <f>IFERROR(IF(AND(W$54&gt;=EOMONTH($J93,-1)+1,W$54&lt;=EOMONTH(EOMONTH($J93,-1)+1,$K93-1)),IF(NOT(ISBLANK($N93)),$N93/$K93,$I93/$K93),0),0)</f>
        <v>0</v>
      </c>
      <c r="X93" s="89">
        <f t="shared" si="81"/>
        <v>0</v>
      </c>
      <c r="Y93" s="498">
        <f>IFERROR(IF(AND(Y$54&gt;=EOMONTH($J93,-1)+1,Y$54&lt;=EOMONTH(EOMONTH($J93,-1)+1,$K93-1)),IF(NOT(ISBLANK($N93)),$N93/$K93,$I93/$K93),0),0)</f>
        <v>0</v>
      </c>
      <c r="Z93" s="498">
        <f>IFERROR(IF(AND(Z$54&gt;=EOMONTH($J93,-1)+1,Z$54&lt;=EOMONTH(EOMONTH($J93,-1)+1,$K93-1)),IF(NOT(ISBLANK($N93)),$N93/$K93,$I93/$K93),0),0)</f>
        <v>0</v>
      </c>
      <c r="AA93" s="498">
        <f>IFERROR(IF(AND(AA$54&gt;=EOMONTH($J93,-1)+1,AA$54&lt;=EOMONTH(EOMONTH($J93,-1)+1,$K93-1)),IF(NOT(ISBLANK($N93)),$N93/$K93,$I93/$K93),0),0)</f>
        <v>0</v>
      </c>
      <c r="AB93" s="89">
        <f t="shared" si="82"/>
        <v>0</v>
      </c>
      <c r="AC93" s="498">
        <f>IFERROR(IF(AND(AC$54&gt;=EOMONTH($J93,-1)+1,AC$54&lt;=EOMONTH(EOMONTH($J93,-1)+1,$K93-1)),IF(NOT(ISBLANK($N93)),$N93/$K93,$I93/$K93),0),0)</f>
        <v>0</v>
      </c>
      <c r="AD93" s="498">
        <f>IFERROR(IF(AND(AD$54&gt;=EOMONTH($J93,-1)+1,AD$54&lt;=EOMONTH(EOMONTH($J93,-1)+1,$K93-1)),IF(NOT(ISBLANK($N93)),$N93/$K93,$I93/$K93),0),0)</f>
        <v>0</v>
      </c>
      <c r="AE93" s="498">
        <f>IFERROR(IF(AND(AE$54&gt;=EOMONTH($J93,-1)+1,AE$54&lt;=EOMONTH(EOMONTH($J93,-1)+1,$K93-1)),IF(NOT(ISBLANK($N93)),$N93/$K93,$I93/$K93),0),0)</f>
        <v>0</v>
      </c>
      <c r="AF93" s="89">
        <f t="shared" si="83"/>
        <v>0</v>
      </c>
      <c r="AG93" s="498">
        <f>IFERROR(IF(AND(AG$54&gt;=EOMONTH($J93,-1)+1,AG$54&lt;=EOMONTH(EOMONTH($J93,-1)+1,$K93-1)),IF(NOT(ISBLANK($N93)),$N93/$K93,$I93/$K93),0),0)</f>
        <v>0</v>
      </c>
      <c r="AH93" s="498">
        <f>IFERROR(IF(AND(AH$54&gt;=EOMONTH($J93,-1)+1,AH$54&lt;=EOMONTH(EOMONTH($J93,-1)+1,$K93-1)),IF(NOT(ISBLANK($N93)),$N93/$K93,$I93/$K93),0),0)</f>
        <v>0</v>
      </c>
      <c r="AI93" s="498">
        <f>IFERROR(IF(AND(AI$54&gt;=EOMONTH($J93,-1)+1,AI$54&lt;=EOMONTH(EOMONTH($J93,-1)+1,$K93-1)),IF(NOT(ISBLANK($N93)),$N93/$K93,$I93/$K93),0),0)</f>
        <v>0</v>
      </c>
      <c r="AJ93" s="89">
        <f t="shared" si="84"/>
        <v>0</v>
      </c>
      <c r="AK93" s="95">
        <f t="shared" si="89"/>
        <v>0</v>
      </c>
      <c r="AL93" s="97"/>
      <c r="AM93" s="1407"/>
      <c r="AN93" s="1334"/>
      <c r="AO93" s="1403"/>
      <c r="AP93" s="62">
        <f>C93</f>
        <v>0</v>
      </c>
      <c r="AQ93" s="62" t="s">
        <v>311</v>
      </c>
      <c r="AR93" s="508" t="str" cm="1">
        <f t="array" aca="1" ref="AR93" ca="1">IF(OR(AP93="",AP93=0),"",IF(SUMPRODUCT(($C$55:$C$142=AP93)*(U$54:$AI$54&lt;EOMONTH(TODAY(),-1)+1)*(ISNUMBER(U$55:$AI$142)),U$55:$AI$142)=0,"",SUMPRODUCT(($C$55:$C$142=AP93)*(U$54:$AI$54&lt;EOMONTH(TODAY(),-1)+1)*(ISNUMBER(U$55:$AI$142)),U$55:$AI$142)))</f>
        <v/>
      </c>
      <c r="AS93" s="62">
        <f>A93</f>
        <v>0</v>
      </c>
      <c r="AU93" s="1566">
        <f t="shared" ref="AU93" si="90">IF(OR(I93="",K93=""),0,(I93/12)*K93)</f>
        <v>0</v>
      </c>
      <c r="AV93" s="1566">
        <f t="shared" ref="AV93" si="91">IF(OR(N93="",K93="",K93=0),0,(N93/K93)*12)</f>
        <v>0</v>
      </c>
    </row>
    <row r="94" spans="1:48" ht="29.1" customHeight="1" x14ac:dyDescent="0.3">
      <c r="A94" s="1809"/>
      <c r="B94" s="1692"/>
      <c r="C94" s="1465"/>
      <c r="D94" s="1356"/>
      <c r="E94" s="1449"/>
      <c r="F94" s="1451"/>
      <c r="G94" s="1366"/>
      <c r="H94" s="1366"/>
      <c r="I94" s="1488"/>
      <c r="J94" s="1378"/>
      <c r="K94" s="1387"/>
      <c r="L94" s="1354"/>
      <c r="M94" s="1352"/>
      <c r="N94" s="1393"/>
      <c r="O94" s="1849"/>
      <c r="P94" s="1674"/>
      <c r="Q94" s="2126"/>
      <c r="R94" s="1334"/>
      <c r="S94" s="93" t="s">
        <v>117</v>
      </c>
      <c r="T94" s="96"/>
      <c r="U94" s="290" t="s">
        <v>959</v>
      </c>
      <c r="V94" s="290" t="s">
        <v>959</v>
      </c>
      <c r="W94" s="290" t="s">
        <v>959</v>
      </c>
      <c r="X94" s="89">
        <f t="shared" si="81"/>
        <v>0</v>
      </c>
      <c r="Y94" s="290" t="s">
        <v>959</v>
      </c>
      <c r="Z94" s="290" t="s">
        <v>959</v>
      </c>
      <c r="AA94" s="290" t="s">
        <v>959</v>
      </c>
      <c r="AB94" s="89">
        <f t="shared" si="82"/>
        <v>0</v>
      </c>
      <c r="AC94" s="290" t="s">
        <v>959</v>
      </c>
      <c r="AD94" s="290" t="s">
        <v>959</v>
      </c>
      <c r="AE94" s="290" t="s">
        <v>959</v>
      </c>
      <c r="AF94" s="89">
        <f t="shared" si="83"/>
        <v>0</v>
      </c>
      <c r="AG94" s="290" t="s">
        <v>959</v>
      </c>
      <c r="AH94" s="290" t="s">
        <v>959</v>
      </c>
      <c r="AI94" s="290" t="s">
        <v>959</v>
      </c>
      <c r="AJ94" s="89">
        <f t="shared" si="84"/>
        <v>0</v>
      </c>
      <c r="AK94" s="291">
        <f t="shared" si="89"/>
        <v>0</v>
      </c>
      <c r="AL94" s="97"/>
      <c r="AM94" s="1407"/>
      <c r="AN94" s="1334"/>
      <c r="AO94" s="1403"/>
      <c r="AP94" s="62">
        <f>C93</f>
        <v>0</v>
      </c>
      <c r="AQ94" s="62" t="s">
        <v>313</v>
      </c>
      <c r="AR94" s="508" t="str" cm="1">
        <f t="array" aca="1" ref="AR94" ca="1">IF(OR(AP94="",AP94=0),"",IF(SUMPRODUCT(($C$55:$C$142=AP94)*(U$54:$AI$54&lt;EOMONTH(TODAY(),-1)+1)*(ISNUMBER(U$56:$AI$143)),U$56:$AI$143)=0,"",SUMPRODUCT(($C$55:$C$142=AP94)*(U$54:$AI$54&lt;EOMONTH(TODAY(),-1)+1)*(ISNUMBER(U$56:$AI$143)),U$56:$AI$143)))</f>
        <v/>
      </c>
      <c r="AS94" s="62">
        <f>A93</f>
        <v>0</v>
      </c>
      <c r="AU94" s="1567"/>
      <c r="AV94" s="1567"/>
    </row>
    <row r="95" spans="1:48" ht="40.35" customHeight="1" x14ac:dyDescent="0.3">
      <c r="A95" s="1380"/>
      <c r="B95" s="1407"/>
      <c r="C95" s="1482"/>
      <c r="D95" s="1486"/>
      <c r="E95" s="1368"/>
      <c r="F95" s="1370"/>
      <c r="G95" s="1372"/>
      <c r="H95" s="1372"/>
      <c r="I95" s="1354"/>
      <c r="J95" s="1376"/>
      <c r="K95" s="1389"/>
      <c r="L95" s="1395"/>
      <c r="M95" s="1350"/>
      <c r="N95" s="1391"/>
      <c r="O95" s="1327"/>
      <c r="P95" s="1671"/>
      <c r="Q95" s="2115"/>
      <c r="R95" s="1327"/>
      <c r="S95" s="87" t="s">
        <v>116</v>
      </c>
      <c r="T95" s="91" t="str">
        <f ca="1">IF(OR(G95="", H95=""), "", IF(TODAY()&lt;G95, 0, IF(TODAY()&gt;H95, 1, (TODAY()-G95+1)/(H95-G95+1))))</f>
        <v/>
      </c>
      <c r="U95" s="287">
        <f>IFERROR(IF(AND(U$54&gt;=EOMONTH($J95,-1)+1,U$54&lt;=EOMONTH(EOMONTH($J95,-1)+1,$K95-1)),IF(NOT(ISBLANK($N95)),$N95/$K95,$I95/$K95),0),0)</f>
        <v>0</v>
      </c>
      <c r="V95" s="287">
        <f>IFERROR(IF(AND(V$54&gt;=EOMONTH($J95,-1)+1,V$54&lt;=EOMONTH(EOMONTH($J95,-1)+1,$K95-1)),IF(NOT(ISBLANK($N95)),$N95/$K95,$I95/$K95),0),0)</f>
        <v>0</v>
      </c>
      <c r="W95" s="287">
        <f>IFERROR(IF(AND(W$54&gt;=EOMONTH($J95,-1)+1,W$54&lt;=EOMONTH(EOMONTH($J95,-1)+1,$K95-1)),IF(NOT(ISBLANK($N95)),$N95/$K95,$I95/$K95),0),0)</f>
        <v>0</v>
      </c>
      <c r="X95" s="89">
        <f t="shared" si="81"/>
        <v>0</v>
      </c>
      <c r="Y95" s="287">
        <f>IFERROR(IF(AND(Y$54&gt;=EOMONTH($J95,-1)+1,Y$54&lt;=EOMONTH(EOMONTH($J95,-1)+1,$K95-1)),IF(NOT(ISBLANK($N95)),$N95/$K95,$I95/$K95),0),0)</f>
        <v>0</v>
      </c>
      <c r="Z95" s="287">
        <f>IFERROR(IF(AND(Z$54&gt;=EOMONTH($J95,-1)+1,Z$54&lt;=EOMONTH(EOMONTH($J95,-1)+1,$K95-1)),IF(NOT(ISBLANK($N95)),$N95/$K95,$I95/$K95),0),0)</f>
        <v>0</v>
      </c>
      <c r="AA95" s="287">
        <f>IFERROR(IF(AND(AA$54&gt;=EOMONTH($J95,-1)+1,AA$54&lt;=EOMONTH(EOMONTH($J95,-1)+1,$K95-1)),IF(NOT(ISBLANK($N95)),$N95/$K95,$I95/$K95),0),0)</f>
        <v>0</v>
      </c>
      <c r="AB95" s="89">
        <f t="shared" si="82"/>
        <v>0</v>
      </c>
      <c r="AC95" s="287">
        <f>IFERROR(IF(AND(AC$54&gt;=EOMONTH($J95,-1)+1,AC$54&lt;=EOMONTH(EOMONTH($J95,-1)+1,$K95-1)),IF(NOT(ISBLANK($N95)),$N95/$K95,$I95/$K95),0),0)</f>
        <v>0</v>
      </c>
      <c r="AD95" s="287">
        <f>IFERROR(IF(AND(AD$54&gt;=EOMONTH($J95,-1)+1,AD$54&lt;=EOMONTH(EOMONTH($J95,-1)+1,$K95-1)),IF(NOT(ISBLANK($N95)),$N95/$K95,$I95/$K95),0),0)</f>
        <v>0</v>
      </c>
      <c r="AE95" s="287">
        <f>IFERROR(IF(AND(AE$54&gt;=EOMONTH($J95,-1)+1,AE$54&lt;=EOMONTH(EOMONTH($J95,-1)+1,$K95-1)),IF(NOT(ISBLANK($N95)),$N95/$K95,$I95/$K95),0),0)</f>
        <v>0</v>
      </c>
      <c r="AF95" s="89">
        <f t="shared" si="83"/>
        <v>0</v>
      </c>
      <c r="AG95" s="287">
        <f>IFERROR(IF(AND(AG$54&gt;=EOMONTH($J95,-1)+1,AG$54&lt;=EOMONTH(EOMONTH($J95,-1)+1,$K95-1)),IF(NOT(ISBLANK($N95)),$N95/$K95,$I95/$K95),0),0)</f>
        <v>0</v>
      </c>
      <c r="AH95" s="287">
        <f>IFERROR(IF(AND(AH$54&gt;=EOMONTH($J95,-1)+1,AH$54&lt;=EOMONTH(EOMONTH($J95,-1)+1,$K95-1)),IF(NOT(ISBLANK($N95)),$N95/$K95,$I95/$K95),0),0)</f>
        <v>0</v>
      </c>
      <c r="AI95" s="287">
        <f>IFERROR(IF(AND(AI$54&gt;=EOMONTH($J95,-1)+1,AI$54&lt;=EOMONTH(EOMONTH($J95,-1)+1,$K95-1)),IF(NOT(ISBLANK($N95)),$N95/$K95,$I95/$K95),0),0)</f>
        <v>0</v>
      </c>
      <c r="AJ95" s="89">
        <f t="shared" si="84"/>
        <v>0</v>
      </c>
      <c r="AK95" s="90">
        <f>SUM(X95,AB95,AF95,AJ95)</f>
        <v>0</v>
      </c>
      <c r="AL95" s="98"/>
      <c r="AM95" s="1370"/>
      <c r="AN95" s="1411"/>
      <c r="AO95" s="1405"/>
      <c r="AP95" s="62">
        <f>C95</f>
        <v>0</v>
      </c>
      <c r="AQ95" s="62" t="s">
        <v>311</v>
      </c>
      <c r="AR95" s="508" t="str" cm="1">
        <f t="array" aca="1" ref="AR95" ca="1">IF(OR(AP95="",AP95=0),"",IF(SUMPRODUCT(($C$55:$C$142=AP95)*(U$54:$AI$54&lt;EOMONTH(TODAY(),-1)+1)*(ISNUMBER(U$55:$AI$142)),U$55:$AI$142)=0,"",SUMPRODUCT(($C$55:$C$142=AP95)*(U$54:$AI$54&lt;EOMONTH(TODAY(),-1)+1)*(ISNUMBER(U$55:$AI$142)),U$55:$AI$142)))</f>
        <v/>
      </c>
      <c r="AS95" s="62">
        <f>A95</f>
        <v>0</v>
      </c>
      <c r="AU95" s="1566">
        <f t="shared" ref="AU95" si="92">IF(OR(I95="",K95=""),0,(I95/12)*K95)</f>
        <v>0</v>
      </c>
      <c r="AV95" s="1566">
        <f t="shared" ref="AV95" si="93">IF(OR(N95="",K95="",K95=0),0,(N95/K95)*12)</f>
        <v>0</v>
      </c>
    </row>
    <row r="96" spans="1:48" ht="29.1" customHeight="1" x14ac:dyDescent="0.3">
      <c r="A96" s="1380"/>
      <c r="B96" s="1408"/>
      <c r="C96" s="1482"/>
      <c r="D96" s="1486"/>
      <c r="E96" s="1368"/>
      <c r="F96" s="1370"/>
      <c r="G96" s="1372"/>
      <c r="H96" s="1372"/>
      <c r="I96" s="1354"/>
      <c r="J96" s="1376"/>
      <c r="K96" s="1389"/>
      <c r="L96" s="1395"/>
      <c r="M96" s="1350"/>
      <c r="N96" s="1391"/>
      <c r="O96" s="1327"/>
      <c r="P96" s="1672"/>
      <c r="Q96" s="2116"/>
      <c r="R96" s="1327"/>
      <c r="S96" s="87" t="s">
        <v>117</v>
      </c>
      <c r="T96" s="91"/>
      <c r="U96" s="287" t="s">
        <v>959</v>
      </c>
      <c r="V96" s="287" t="s">
        <v>959</v>
      </c>
      <c r="W96" s="287" t="s">
        <v>959</v>
      </c>
      <c r="X96" s="89">
        <f t="shared" si="81"/>
        <v>0</v>
      </c>
      <c r="Y96" s="287" t="s">
        <v>959</v>
      </c>
      <c r="Z96" s="287" t="s">
        <v>959</v>
      </c>
      <c r="AA96" s="287" t="s">
        <v>959</v>
      </c>
      <c r="AB96" s="89">
        <f t="shared" si="82"/>
        <v>0</v>
      </c>
      <c r="AC96" s="287" t="s">
        <v>959</v>
      </c>
      <c r="AD96" s="287" t="s">
        <v>959</v>
      </c>
      <c r="AE96" s="287" t="s">
        <v>959</v>
      </c>
      <c r="AF96" s="89">
        <f t="shared" si="83"/>
        <v>0</v>
      </c>
      <c r="AG96" s="287" t="s">
        <v>959</v>
      </c>
      <c r="AH96" s="287" t="s">
        <v>959</v>
      </c>
      <c r="AI96" s="287" t="s">
        <v>959</v>
      </c>
      <c r="AJ96" s="89">
        <f t="shared" si="84"/>
        <v>0</v>
      </c>
      <c r="AK96" s="289">
        <f t="shared" ref="AK96" si="94">SUM(X96,AB96,AF96,AJ96)</f>
        <v>0</v>
      </c>
      <c r="AL96" s="337"/>
      <c r="AM96" s="1370"/>
      <c r="AN96" s="1411"/>
      <c r="AO96" s="1405"/>
      <c r="AP96" s="62">
        <f>C95</f>
        <v>0</v>
      </c>
      <c r="AQ96" s="62" t="s">
        <v>313</v>
      </c>
      <c r="AR96" s="508" t="str" cm="1">
        <f t="array" aca="1" ref="AR96" ca="1">IF(OR(AP96="",AP96=0),"",IF(SUMPRODUCT(($C$55:$C$142=AP96)*(U$54:$AI$54&lt;EOMONTH(TODAY(),-1)+1)*(ISNUMBER(U$56:$AI$143)),U$56:$AI$143)=0,"",SUMPRODUCT(($C$55:$C$142=AP96)*(U$54:$AI$54&lt;EOMONTH(TODAY(),-1)+1)*(ISNUMBER(U$56:$AI$143)),U$56:$AI$143)))</f>
        <v/>
      </c>
      <c r="AS96" s="62">
        <f>A95</f>
        <v>0</v>
      </c>
      <c r="AU96" s="1567"/>
      <c r="AV96" s="1567"/>
    </row>
    <row r="97" spans="1:48" ht="40.35" customHeight="1" x14ac:dyDescent="0.3">
      <c r="A97" s="1809"/>
      <c r="B97" s="1691"/>
      <c r="C97" s="1465"/>
      <c r="D97" s="1356"/>
      <c r="E97" s="1449"/>
      <c r="F97" s="1451"/>
      <c r="G97" s="1366"/>
      <c r="H97" s="1366"/>
      <c r="I97" s="1488"/>
      <c r="J97" s="1378"/>
      <c r="K97" s="1387"/>
      <c r="L97" s="1395"/>
      <c r="M97" s="1352"/>
      <c r="N97" s="1393"/>
      <c r="O97" s="1849"/>
      <c r="P97" s="1673"/>
      <c r="Q97" s="2125"/>
      <c r="R97" s="1334"/>
      <c r="S97" s="93" t="s">
        <v>116</v>
      </c>
      <c r="T97" s="96" t="str">
        <f ca="1">IF(OR(G97="", H97=""), "", IF(TODAY()&lt;G97, 0, IF(TODAY()&gt;H97, 1, (TODAY()-G97+1)/(H97-G97+1))))</f>
        <v/>
      </c>
      <c r="U97" s="498">
        <f>IFERROR(IF(AND(U$54&gt;=EOMONTH($J97,-1)+1,U$54&lt;=EOMONTH(EOMONTH($J97,-1)+1,$K97-1)),IF(NOT(ISBLANK($N97)),$N97/$K97,$I97/$K97),0),0)</f>
        <v>0</v>
      </c>
      <c r="V97" s="498">
        <f>IFERROR(IF(AND(V$54&gt;=EOMONTH($J97,-1)+1,V$54&lt;=EOMONTH(EOMONTH($J97,-1)+1,$K97-1)),IF(NOT(ISBLANK($N97)),$N97/$K97,$I97/$K97),0),0)</f>
        <v>0</v>
      </c>
      <c r="W97" s="498">
        <f>IFERROR(IF(AND(W$54&gt;=EOMONTH($J97,-1)+1,W$54&lt;=EOMONTH(EOMONTH($J97,-1)+1,$K97-1)),IF(NOT(ISBLANK($N97)),$N97/$K97,$I97/$K97),0),0)</f>
        <v>0</v>
      </c>
      <c r="X97" s="89">
        <f t="shared" si="29"/>
        <v>0</v>
      </c>
      <c r="Y97" s="498">
        <f>IFERROR(IF(AND(Y$54&gt;=EOMONTH($J97,-1)+1,Y$54&lt;=EOMONTH(EOMONTH($J97,-1)+1,$K97-1)),IF(NOT(ISBLANK($N97)),$N97/$K97,$I97/$K97),0),0)</f>
        <v>0</v>
      </c>
      <c r="Z97" s="498">
        <f>IFERROR(IF(AND(Z$54&gt;=EOMONTH($J97,-1)+1,Z$54&lt;=EOMONTH(EOMONTH($J97,-1)+1,$K97-1)),IF(NOT(ISBLANK($N97)),$N97/$K97,$I97/$K97),0),0)</f>
        <v>0</v>
      </c>
      <c r="AA97" s="498">
        <f>IFERROR(IF(AND(AA$54&gt;=EOMONTH($J97,-1)+1,AA$54&lt;=EOMONTH(EOMONTH($J97,-1)+1,$K97-1)),IF(NOT(ISBLANK($N97)),$N97/$K97,$I97/$K97),0),0)</f>
        <v>0</v>
      </c>
      <c r="AB97" s="89">
        <f t="shared" si="30"/>
        <v>0</v>
      </c>
      <c r="AC97" s="498">
        <f>IFERROR(IF(AND(AC$54&gt;=EOMONTH($J97,-1)+1,AC$54&lt;=EOMONTH(EOMONTH($J97,-1)+1,$K97-1)),IF(NOT(ISBLANK($N97)),$N97/$K97,$I97/$K97),0),0)</f>
        <v>0</v>
      </c>
      <c r="AD97" s="498">
        <f>IFERROR(IF(AND(AD$54&gt;=EOMONTH($J97,-1)+1,AD$54&lt;=EOMONTH(EOMONTH($J97,-1)+1,$K97-1)),IF(NOT(ISBLANK($N97)),$N97/$K97,$I97/$K97),0),0)</f>
        <v>0</v>
      </c>
      <c r="AE97" s="498">
        <f>IFERROR(IF(AND(AE$54&gt;=EOMONTH($J97,-1)+1,AE$54&lt;=EOMONTH(EOMONTH($J97,-1)+1,$K97-1)),IF(NOT(ISBLANK($N97)),$N97/$K97,$I97/$K97),0),0)</f>
        <v>0</v>
      </c>
      <c r="AF97" s="89">
        <f t="shared" si="31"/>
        <v>0</v>
      </c>
      <c r="AG97" s="498">
        <f>IFERROR(IF(AND(AG$54&gt;=EOMONTH($J97,-1)+1,AG$54&lt;=EOMONTH(EOMONTH($J97,-1)+1,$K97-1)),IF(NOT(ISBLANK($N97)),$N97/$K97,$I97/$K97),0),0)</f>
        <v>0</v>
      </c>
      <c r="AH97" s="498">
        <f>IFERROR(IF(AND(AH$54&gt;=EOMONTH($J97,-1)+1,AH$54&lt;=EOMONTH(EOMONTH($J97,-1)+1,$K97-1)),IF(NOT(ISBLANK($N97)),$N97/$K97,$I97/$K97),0),0)</f>
        <v>0</v>
      </c>
      <c r="AI97" s="498">
        <f>IFERROR(IF(AND(AI$54&gt;=EOMONTH($J97,-1)+1,AI$54&lt;=EOMONTH(EOMONTH($J97,-1)+1,$K97-1)),IF(NOT(ISBLANK($N97)),$N97/$K97,$I97/$K97),0),0)</f>
        <v>0</v>
      </c>
      <c r="AJ97" s="89">
        <f t="shared" si="14"/>
        <v>0</v>
      </c>
      <c r="AK97" s="95">
        <f t="shared" si="32"/>
        <v>0</v>
      </c>
      <c r="AL97" s="97"/>
      <c r="AM97" s="1407"/>
      <c r="AN97" s="1334"/>
      <c r="AO97" s="1403">
        <f>N97*AN97</f>
        <v>0</v>
      </c>
      <c r="AP97" s="62">
        <f>C97</f>
        <v>0</v>
      </c>
      <c r="AQ97" s="62" t="s">
        <v>311</v>
      </c>
      <c r="AR97" s="508" t="str" cm="1">
        <f t="array" aca="1" ref="AR97" ca="1">IF(OR(AP97="",AP97=0),"",IF(SUMPRODUCT(($C$55:$C$142=AP97)*(U$54:$AI$54&lt;EOMONTH(TODAY(),-1)+1)*(ISNUMBER(U$55:$AI$142)),U$55:$AI$142)=0,"",SUMPRODUCT(($C$55:$C$142=AP97)*(U$54:$AI$54&lt;EOMONTH(TODAY(),-1)+1)*(ISNUMBER(U$55:$AI$142)),U$55:$AI$142)))</f>
        <v/>
      </c>
      <c r="AS97" s="62">
        <f>A97</f>
        <v>0</v>
      </c>
      <c r="AU97" s="1566">
        <f t="shared" ref="AU97" si="95">IF(OR(I97="",K97=""),0,(I97/12)*K97)</f>
        <v>0</v>
      </c>
      <c r="AV97" s="1566">
        <f t="shared" ref="AV97" si="96">IF(OR(N97="",K97="",K97=0),0,(N97/K97)*12)</f>
        <v>0</v>
      </c>
    </row>
    <row r="98" spans="1:48" ht="29.1" customHeight="1" x14ac:dyDescent="0.3">
      <c r="A98" s="1809"/>
      <c r="B98" s="1692"/>
      <c r="C98" s="1465"/>
      <c r="D98" s="1356"/>
      <c r="E98" s="1449"/>
      <c r="F98" s="1451"/>
      <c r="G98" s="1366"/>
      <c r="H98" s="1366"/>
      <c r="I98" s="1488"/>
      <c r="J98" s="1378"/>
      <c r="K98" s="1387"/>
      <c r="L98" s="1395"/>
      <c r="M98" s="1352"/>
      <c r="N98" s="1393"/>
      <c r="O98" s="1849"/>
      <c r="P98" s="1674"/>
      <c r="Q98" s="2126"/>
      <c r="R98" s="1334"/>
      <c r="S98" s="93" t="s">
        <v>117</v>
      </c>
      <c r="T98" s="96"/>
      <c r="U98" s="290" t="s">
        <v>959</v>
      </c>
      <c r="V98" s="290" t="s">
        <v>959</v>
      </c>
      <c r="W98" s="290" t="s">
        <v>959</v>
      </c>
      <c r="X98" s="89">
        <f t="shared" si="29"/>
        <v>0</v>
      </c>
      <c r="Y98" s="290" t="s">
        <v>959</v>
      </c>
      <c r="Z98" s="290" t="s">
        <v>959</v>
      </c>
      <c r="AA98" s="290" t="s">
        <v>959</v>
      </c>
      <c r="AB98" s="89">
        <f t="shared" si="30"/>
        <v>0</v>
      </c>
      <c r="AC98" s="290" t="s">
        <v>959</v>
      </c>
      <c r="AD98" s="290" t="s">
        <v>959</v>
      </c>
      <c r="AE98" s="290" t="s">
        <v>959</v>
      </c>
      <c r="AF98" s="89">
        <f t="shared" si="31"/>
        <v>0</v>
      </c>
      <c r="AG98" s="290" t="s">
        <v>959</v>
      </c>
      <c r="AH98" s="290" t="s">
        <v>959</v>
      </c>
      <c r="AI98" s="290" t="s">
        <v>959</v>
      </c>
      <c r="AJ98" s="89">
        <f t="shared" si="14"/>
        <v>0</v>
      </c>
      <c r="AK98" s="291">
        <f t="shared" si="32"/>
        <v>0</v>
      </c>
      <c r="AL98" s="97"/>
      <c r="AM98" s="1407"/>
      <c r="AN98" s="1334"/>
      <c r="AO98" s="1403"/>
      <c r="AP98" s="62">
        <f>C97</f>
        <v>0</v>
      </c>
      <c r="AQ98" s="62" t="s">
        <v>313</v>
      </c>
      <c r="AR98" s="508" t="str" cm="1">
        <f t="array" aca="1" ref="AR98" ca="1">IF(OR(AP98="",AP98=0),"",IF(SUMPRODUCT(($C$55:$C$142=AP98)*(U$54:$AI$54&lt;EOMONTH(TODAY(),-1)+1)*(ISNUMBER(U$56:$AI$143)),U$56:$AI$143)=0,"",SUMPRODUCT(($C$55:$C$142=AP98)*(U$54:$AI$54&lt;EOMONTH(TODAY(),-1)+1)*(ISNUMBER(U$56:$AI$143)),U$56:$AI$143)))</f>
        <v/>
      </c>
      <c r="AS98" s="62">
        <f>A97</f>
        <v>0</v>
      </c>
      <c r="AU98" s="1567"/>
      <c r="AV98" s="1567"/>
    </row>
    <row r="99" spans="1:48" ht="40.35" customHeight="1" x14ac:dyDescent="0.3">
      <c r="A99" s="1380"/>
      <c r="B99" s="1407"/>
      <c r="C99" s="1482"/>
      <c r="D99" s="1486"/>
      <c r="E99" s="1368"/>
      <c r="F99" s="1370"/>
      <c r="G99" s="1372"/>
      <c r="H99" s="1372"/>
      <c r="I99" s="1354"/>
      <c r="J99" s="1376"/>
      <c r="K99" s="1389"/>
      <c r="L99" s="1354"/>
      <c r="M99" s="1350"/>
      <c r="N99" s="1391"/>
      <c r="O99" s="1327"/>
      <c r="P99" s="1671"/>
      <c r="Q99" s="2115"/>
      <c r="R99" s="1327"/>
      <c r="S99" s="87" t="s">
        <v>116</v>
      </c>
      <c r="T99" s="91"/>
      <c r="U99" s="287">
        <f>IFERROR(IF(AND(U$54&gt;=EOMONTH($J99,-1)+1,U$54&lt;=EOMONTH(EOMONTH($J99,-1)+1,$K99-1)),IF(NOT(ISBLANK($N99)),$N99/$K99,$I99/$K99),0),0)</f>
        <v>0</v>
      </c>
      <c r="V99" s="287">
        <f>IFERROR(IF(AND(V$54&gt;=EOMONTH($J99,-1)+1,V$54&lt;=EOMONTH(EOMONTH($J99,-1)+1,$K99-1)),IF(NOT(ISBLANK($N99)),$N99/$K99,$I99/$K99),0),0)</f>
        <v>0</v>
      </c>
      <c r="W99" s="287">
        <f>IFERROR(IF(AND(W$54&gt;=EOMONTH($J99,-1)+1,W$54&lt;=EOMONTH(EOMONTH($J99,-1)+1,$K99-1)),IF(NOT(ISBLANK($N99)),$N99/$K99,$I99/$K99),0),0)</f>
        <v>0</v>
      </c>
      <c r="X99" s="89">
        <f t="shared" si="29"/>
        <v>0</v>
      </c>
      <c r="Y99" s="287">
        <f>IFERROR(IF(AND(Y$54&gt;=EOMONTH($J99,-1)+1,Y$54&lt;=EOMONTH(EOMONTH($J99,-1)+1,$K99-1)),IF(NOT(ISBLANK($N99)),$N99/$K99,$I99/$K99),0),0)</f>
        <v>0</v>
      </c>
      <c r="Z99" s="287">
        <f>IFERROR(IF(AND(Z$54&gt;=EOMONTH($J99,-1)+1,Z$54&lt;=EOMONTH(EOMONTH($J99,-1)+1,$K99-1)),IF(NOT(ISBLANK($N99)),$N99/$K99,$I99/$K99),0),0)</f>
        <v>0</v>
      </c>
      <c r="AA99" s="287">
        <f>IFERROR(IF(AND(AA$54&gt;=EOMONTH($J99,-1)+1,AA$54&lt;=EOMONTH(EOMONTH($J99,-1)+1,$K99-1)),IF(NOT(ISBLANK($N99)),$N99/$K99,$I99/$K99),0),0)</f>
        <v>0</v>
      </c>
      <c r="AB99" s="89">
        <f t="shared" si="30"/>
        <v>0</v>
      </c>
      <c r="AC99" s="287">
        <f>IFERROR(IF(AND(AC$54&gt;=EOMONTH($J99,-1)+1,AC$54&lt;=EOMONTH(EOMONTH($J99,-1)+1,$K99-1)),IF(NOT(ISBLANK($N99)),$N99/$K99,$I99/$K99),0),0)</f>
        <v>0</v>
      </c>
      <c r="AD99" s="287">
        <f>IFERROR(IF(AND(AD$54&gt;=EOMONTH($J99,-1)+1,AD$54&lt;=EOMONTH(EOMONTH($J99,-1)+1,$K99-1)),IF(NOT(ISBLANK($N99)),$N99/$K99,$I99/$K99),0),0)</f>
        <v>0</v>
      </c>
      <c r="AE99" s="287">
        <f>IFERROR(IF(AND(AE$54&gt;=EOMONTH($J99,-1)+1,AE$54&lt;=EOMONTH(EOMONTH($J99,-1)+1,$K99-1)),IF(NOT(ISBLANK($N99)),$N99/$K99,$I99/$K99),0),0)</f>
        <v>0</v>
      </c>
      <c r="AF99" s="89">
        <f t="shared" si="31"/>
        <v>0</v>
      </c>
      <c r="AG99" s="287">
        <f>IFERROR(IF(AND(AG$54&gt;=EOMONTH($J99,-1)+1,AG$54&lt;=EOMONTH(EOMONTH($J99,-1)+1,$K99-1)),IF(NOT(ISBLANK($N99)),$N99/$K99,$I99/$K99),0),0)</f>
        <v>0</v>
      </c>
      <c r="AH99" s="287">
        <f>IFERROR(IF(AND(AH$54&gt;=EOMONTH($J99,-1)+1,AH$54&lt;=EOMONTH(EOMONTH($J99,-1)+1,$K99-1)),IF(NOT(ISBLANK($N99)),$N99/$K99,$I99/$K99),0),0)</f>
        <v>0</v>
      </c>
      <c r="AI99" s="287">
        <f>IFERROR(IF(AND(AI$54&gt;=EOMONTH($J99,-1)+1,AI$54&lt;=EOMONTH(EOMONTH($J99,-1)+1,$K99-1)),IF(NOT(ISBLANK($N99)),$N99/$K99,$I99/$K99),0),0)</f>
        <v>0</v>
      </c>
      <c r="AJ99" s="89">
        <f t="shared" si="14"/>
        <v>0</v>
      </c>
      <c r="AK99" s="90">
        <f>SUM(X99,AB99,AF99,AJ99)</f>
        <v>0</v>
      </c>
      <c r="AL99" s="98"/>
      <c r="AM99" s="1370"/>
      <c r="AN99" s="1411"/>
      <c r="AO99" s="1405">
        <f>N99*AN99</f>
        <v>0</v>
      </c>
      <c r="AQ99" s="62" t="s">
        <v>311</v>
      </c>
      <c r="AR99" s="508" t="str" cm="1">
        <f t="array" aca="1" ref="AR99" ca="1">IF(OR(AP99="",AP99=0),"",IF(SUMPRODUCT(($C$55:$C$142=AP99)*(U$54:$AI$54&lt;EOMONTH(TODAY(),-1)+1)*(ISNUMBER(U$55:$AI$142)),U$55:$AI$142)=0,"",SUMPRODUCT(($C$55:$C$142=AP99)*(U$54:$AI$54&lt;EOMONTH(TODAY(),-1)+1)*(ISNUMBER(U$55:$AI$142)),U$55:$AI$142)))</f>
        <v/>
      </c>
      <c r="AS99" s="62">
        <f>A99</f>
        <v>0</v>
      </c>
      <c r="AU99" s="1566">
        <f t="shared" ref="AU99" si="97">IF(OR(I99="",K99=""),0,(I99/12)*K99)</f>
        <v>0</v>
      </c>
      <c r="AV99" s="1566">
        <f t="shared" ref="AV99" si="98">IF(OR(N99="",K99="",K99=0),0,(N99/K99)*12)</f>
        <v>0</v>
      </c>
    </row>
    <row r="100" spans="1:48" ht="29.1" customHeight="1" x14ac:dyDescent="0.3">
      <c r="A100" s="1380"/>
      <c r="B100" s="1408"/>
      <c r="C100" s="1482"/>
      <c r="D100" s="1486"/>
      <c r="E100" s="1368"/>
      <c r="F100" s="1370"/>
      <c r="G100" s="1372"/>
      <c r="H100" s="1372"/>
      <c r="I100" s="1354"/>
      <c r="J100" s="1376"/>
      <c r="K100" s="1389"/>
      <c r="L100" s="1354"/>
      <c r="M100" s="1350"/>
      <c r="N100" s="1391"/>
      <c r="O100" s="1327"/>
      <c r="P100" s="1672"/>
      <c r="Q100" s="2116"/>
      <c r="R100" s="1327"/>
      <c r="S100" s="87" t="s">
        <v>117</v>
      </c>
      <c r="T100" s="91"/>
      <c r="U100" s="287" t="s">
        <v>959</v>
      </c>
      <c r="V100" s="287" t="s">
        <v>959</v>
      </c>
      <c r="W100" s="287" t="s">
        <v>959</v>
      </c>
      <c r="X100" s="89">
        <f t="shared" si="29"/>
        <v>0</v>
      </c>
      <c r="Y100" s="287" t="s">
        <v>959</v>
      </c>
      <c r="Z100" s="287" t="s">
        <v>959</v>
      </c>
      <c r="AA100" s="287" t="s">
        <v>959</v>
      </c>
      <c r="AB100" s="89">
        <f t="shared" si="30"/>
        <v>0</v>
      </c>
      <c r="AC100" s="287" t="s">
        <v>959</v>
      </c>
      <c r="AD100" s="287" t="s">
        <v>959</v>
      </c>
      <c r="AE100" s="287" t="s">
        <v>959</v>
      </c>
      <c r="AF100" s="89">
        <f t="shared" si="31"/>
        <v>0</v>
      </c>
      <c r="AG100" s="287" t="s">
        <v>959</v>
      </c>
      <c r="AH100" s="287" t="s">
        <v>959</v>
      </c>
      <c r="AI100" s="287" t="s">
        <v>959</v>
      </c>
      <c r="AJ100" s="89">
        <f t="shared" si="14"/>
        <v>0</v>
      </c>
      <c r="AK100" s="289">
        <f t="shared" si="32"/>
        <v>0</v>
      </c>
      <c r="AL100" s="337"/>
      <c r="AM100" s="1370"/>
      <c r="AN100" s="1411"/>
      <c r="AO100" s="1405"/>
      <c r="AQ100" s="62" t="s">
        <v>313</v>
      </c>
      <c r="AR100" s="508" t="str" cm="1">
        <f t="array" aca="1" ref="AR100" ca="1">IF(OR(AP100="",AP100=0),"",IF(SUMPRODUCT(($C$55:$C$142=AP100)*(U$54:$AI$54&lt;EOMONTH(TODAY(),-1)+1)*(ISNUMBER(U$56:$AI$143)),U$56:$AI$143)=0,"",SUMPRODUCT(($C$55:$C$142=AP100)*(U$54:$AI$54&lt;EOMONTH(TODAY(),-1)+1)*(ISNUMBER(U$56:$AI$143)),U$56:$AI$143)))</f>
        <v/>
      </c>
      <c r="AS100" s="62">
        <f>A99</f>
        <v>0</v>
      </c>
      <c r="AU100" s="1567"/>
      <c r="AV100" s="1567"/>
    </row>
    <row r="101" spans="1:48" ht="40.35" customHeight="1" x14ac:dyDescent="0.3">
      <c r="A101" s="1407"/>
      <c r="B101" s="1691"/>
      <c r="C101" s="2314"/>
      <c r="D101" s="1356"/>
      <c r="E101" s="1449"/>
      <c r="F101" s="1451"/>
      <c r="G101" s="1366"/>
      <c r="H101" s="1366"/>
      <c r="I101" s="2282"/>
      <c r="J101" s="1378"/>
      <c r="K101" s="1387"/>
      <c r="L101" s="1395"/>
      <c r="M101" s="1352"/>
      <c r="N101" s="1393"/>
      <c r="O101" s="1849"/>
      <c r="P101" s="1673"/>
      <c r="Q101" s="2125"/>
      <c r="R101" s="1334"/>
      <c r="S101" s="93" t="s">
        <v>116</v>
      </c>
      <c r="T101" s="96"/>
      <c r="U101" s="498">
        <f>IFERROR(IF(AND(U$54&gt;=EOMONTH($J101,-1)+1,U$54&lt;=EOMONTH(EOMONTH($J101,-1)+1,$K101-1)),IF(NOT(ISBLANK($N101)),$N101/$K101,$I101/$K101),0),0)</f>
        <v>0</v>
      </c>
      <c r="V101" s="498">
        <f>IFERROR(IF(AND(V$54&gt;=EOMONTH($J101,-1)+1,V$54&lt;=EOMONTH(EOMONTH($J101,-1)+1,$K101-1)),IF(NOT(ISBLANK($N101)),$N101/$K101,$I101/$K101),0),0)</f>
        <v>0</v>
      </c>
      <c r="W101" s="498">
        <f>IFERROR(IF(AND(W$54&gt;=EOMONTH($J101,-1)+1,W$54&lt;=EOMONTH(EOMONTH($J101,-1)+1,$K101-1)),IF(NOT(ISBLANK($N101)),$N101/$K101,$I101/$K101),0),0)</f>
        <v>0</v>
      </c>
      <c r="X101" s="89">
        <f t="shared" ref="X101:X106" si="99">SUM(U101:W101)</f>
        <v>0</v>
      </c>
      <c r="Y101" s="498">
        <f>IFERROR(IF(AND(Y$54&gt;=EOMONTH($J101,-1)+1,Y$54&lt;=EOMONTH(EOMONTH($J101,-1)+1,$K101-1)),IF(NOT(ISBLANK($N101)),$N101/$K101,$I101/$K101),0),0)</f>
        <v>0</v>
      </c>
      <c r="Z101" s="498">
        <f>IFERROR(IF(AND(Z$54&gt;=EOMONTH($J101,-1)+1,Z$54&lt;=EOMONTH(EOMONTH($J101,-1)+1,$K101-1)),IF(NOT(ISBLANK($N101)),$N101/$K101,$I101/$K101),0),0)</f>
        <v>0</v>
      </c>
      <c r="AA101" s="498">
        <f>IFERROR(IF(AND(AA$54&gt;=EOMONTH($J101,-1)+1,AA$54&lt;=EOMONTH(EOMONTH($J101,-1)+1,$K101-1)),IF(NOT(ISBLANK($N101)),$N101/$K101,$I101/$K101),0),0)</f>
        <v>0</v>
      </c>
      <c r="AB101" s="89">
        <f t="shared" ref="AB101:AB106" si="100">SUM(Y101:AA101)</f>
        <v>0</v>
      </c>
      <c r="AC101" s="498">
        <f>IFERROR(IF(AND(AC$54&gt;=EOMONTH($J101,-1)+1,AC$54&lt;=EOMONTH(EOMONTH($J101,-1)+1,$K101-1)),IF(NOT(ISBLANK($N101)),$N101/$K101,$I101/$K101),0),0)</f>
        <v>0</v>
      </c>
      <c r="AD101" s="498">
        <f>IFERROR(IF(AND(AD$54&gt;=EOMONTH($J101,-1)+1,AD$54&lt;=EOMONTH(EOMONTH($J101,-1)+1,$K101-1)),IF(NOT(ISBLANK($N101)),$N101/$K101,$I101/$K101),0),0)</f>
        <v>0</v>
      </c>
      <c r="AE101" s="498">
        <f>IFERROR(IF(AND(AE$54&gt;=EOMONTH($J101,-1)+1,AE$54&lt;=EOMONTH(EOMONTH($J101,-1)+1,$K101-1)),IF(NOT(ISBLANK($N101)),$N101/$K101,$I101/$K101),0),0)</f>
        <v>0</v>
      </c>
      <c r="AF101" s="89">
        <f t="shared" ref="AF101:AF106" si="101">SUM(AC101:AE101)</f>
        <v>0</v>
      </c>
      <c r="AG101" s="498">
        <f>IFERROR(IF(AND(AG$54&gt;=EOMONTH($J101,-1)+1,AG$54&lt;=EOMONTH(EOMONTH($J101,-1)+1,$K101-1)),IF(NOT(ISBLANK($N101)),$N101/$K101,$I101/$K101),0),0)</f>
        <v>0</v>
      </c>
      <c r="AH101" s="498">
        <f>IFERROR(IF(AND(AH$54&gt;=EOMONTH($J101,-1)+1,AH$54&lt;=EOMONTH(EOMONTH($J101,-1)+1,$K101-1)),IF(NOT(ISBLANK($N101)),$N101/$K101,$I101/$K101),0),0)</f>
        <v>0</v>
      </c>
      <c r="AI101" s="498">
        <f>IFERROR(IF(AND(AI$54&gt;=EOMONTH($J101,-1)+1,AI$54&lt;=EOMONTH(EOMONTH($J101,-1)+1,$K101-1)),IF(NOT(ISBLANK($N101)),$N101/$K101,$I101/$K101),0),0)</f>
        <v>0</v>
      </c>
      <c r="AJ101" s="89">
        <f t="shared" ref="AJ101:AJ106" si="102">SUM(AG101:AI101)</f>
        <v>0</v>
      </c>
      <c r="AK101" s="95">
        <f t="shared" ref="AK101:AK102" si="103">SUM(X101,AB101,AF101,AJ101)</f>
        <v>0</v>
      </c>
      <c r="AL101" s="125" t="s">
        <v>1882</v>
      </c>
      <c r="AM101" s="1407"/>
      <c r="AN101" s="1334"/>
      <c r="AO101" s="1403">
        <f>N101*AN101</f>
        <v>0</v>
      </c>
      <c r="AP101" s="62">
        <f>C101</f>
        <v>0</v>
      </c>
      <c r="AQ101" s="62" t="s">
        <v>311</v>
      </c>
      <c r="AR101" s="508" t="str" cm="1">
        <f t="array" aca="1" ref="AR101" ca="1">IF(OR(AP101="",AP101=0),"",IF(SUMPRODUCT(($C$55:$C$142=AP101)*(U$54:$AI$54&lt;EOMONTH(TODAY(),-1)+1)*(ISNUMBER(U$55:$AI$142)),U$55:$AI$142)=0,"",SUMPRODUCT(($C$55:$C$142=AP101)*(U$54:$AI$54&lt;EOMONTH(TODAY(),-1)+1)*(ISNUMBER(U$55:$AI$142)),U$55:$AI$142)))</f>
        <v/>
      </c>
      <c r="AS101" s="62">
        <f>A101</f>
        <v>0</v>
      </c>
      <c r="AU101" s="1566">
        <f t="shared" ref="AU101" si="104">IF(OR(I101="",K101=""),0,(I101/12)*K101)</f>
        <v>0</v>
      </c>
      <c r="AV101" s="1566">
        <f t="shared" ref="AV101" si="105">IF(OR(N101="",K101="",K101=0),0,(N101/K101)*12)</f>
        <v>0</v>
      </c>
    </row>
    <row r="102" spans="1:48" ht="29.1" customHeight="1" x14ac:dyDescent="0.3">
      <c r="A102" s="1407"/>
      <c r="B102" s="1692"/>
      <c r="C102" s="2314"/>
      <c r="D102" s="1356"/>
      <c r="E102" s="1449"/>
      <c r="F102" s="1451"/>
      <c r="G102" s="1366"/>
      <c r="H102" s="1366"/>
      <c r="I102" s="2282"/>
      <c r="J102" s="1378"/>
      <c r="K102" s="1387"/>
      <c r="L102" s="1395"/>
      <c r="M102" s="1352"/>
      <c r="N102" s="1393"/>
      <c r="O102" s="1849"/>
      <c r="P102" s="1674"/>
      <c r="Q102" s="2126"/>
      <c r="R102" s="1334"/>
      <c r="S102" s="93" t="s">
        <v>117</v>
      </c>
      <c r="T102" s="96"/>
      <c r="U102" s="290" t="s">
        <v>959</v>
      </c>
      <c r="V102" s="290" t="s">
        <v>959</v>
      </c>
      <c r="W102" s="290" t="s">
        <v>959</v>
      </c>
      <c r="X102" s="89">
        <f t="shared" si="99"/>
        <v>0</v>
      </c>
      <c r="Y102" s="290" t="s">
        <v>959</v>
      </c>
      <c r="Z102" s="290" t="s">
        <v>959</v>
      </c>
      <c r="AA102" s="290" t="s">
        <v>959</v>
      </c>
      <c r="AB102" s="89">
        <f t="shared" si="100"/>
        <v>0</v>
      </c>
      <c r="AC102" s="290" t="s">
        <v>959</v>
      </c>
      <c r="AD102" s="290" t="s">
        <v>959</v>
      </c>
      <c r="AE102" s="290" t="s">
        <v>959</v>
      </c>
      <c r="AF102" s="89">
        <f t="shared" si="101"/>
        <v>0</v>
      </c>
      <c r="AG102" s="290" t="s">
        <v>959</v>
      </c>
      <c r="AH102" s="290" t="s">
        <v>959</v>
      </c>
      <c r="AI102" s="290" t="s">
        <v>959</v>
      </c>
      <c r="AJ102" s="89">
        <f t="shared" si="102"/>
        <v>0</v>
      </c>
      <c r="AK102" s="291">
        <f t="shared" si="103"/>
        <v>0</v>
      </c>
      <c r="AL102" s="97"/>
      <c r="AM102" s="1407"/>
      <c r="AN102" s="1334"/>
      <c r="AO102" s="1403"/>
      <c r="AP102" s="62">
        <f>C101</f>
        <v>0</v>
      </c>
      <c r="AQ102" s="62" t="s">
        <v>313</v>
      </c>
      <c r="AR102" s="508" t="str" cm="1">
        <f t="array" aca="1" ref="AR102" ca="1">IF(OR(AP102="",AP102=0),"",IF(SUMPRODUCT(($C$55:$C$142=AP102)*(U$54:$AI$54&lt;EOMONTH(TODAY(),-1)+1)*(ISNUMBER(U$56:$AI$143)),U$56:$AI$143)=0,"",SUMPRODUCT(($C$55:$C$142=AP102)*(U$54:$AI$54&lt;EOMONTH(TODAY(),-1)+1)*(ISNUMBER(U$56:$AI$143)),U$56:$AI$143)))</f>
        <v/>
      </c>
      <c r="AS102" s="62">
        <f>A101</f>
        <v>0</v>
      </c>
      <c r="AU102" s="1567"/>
      <c r="AV102" s="1567"/>
    </row>
    <row r="103" spans="1:48" ht="40.35" customHeight="1" x14ac:dyDescent="0.3">
      <c r="A103" s="1380"/>
      <c r="B103" s="1407"/>
      <c r="C103" s="1482"/>
      <c r="D103" s="1486"/>
      <c r="E103" s="1368"/>
      <c r="F103" s="1370"/>
      <c r="G103" s="1372"/>
      <c r="H103" s="1372"/>
      <c r="I103" s="1354"/>
      <c r="J103" s="1376"/>
      <c r="K103" s="1389"/>
      <c r="L103" s="1354"/>
      <c r="M103" s="1350"/>
      <c r="N103" s="1391"/>
      <c r="O103" s="1327"/>
      <c r="P103" s="1671"/>
      <c r="Q103" s="2115"/>
      <c r="R103" s="1327"/>
      <c r="S103" s="87" t="s">
        <v>116</v>
      </c>
      <c r="T103" s="91"/>
      <c r="U103" s="287">
        <f>IFERROR(IF(AND(U$54&gt;=EOMONTH($J103,-1)+1,U$54&lt;=EOMONTH(EOMONTH($J103,-1)+1,$K103-1)),IF(NOT(ISBLANK($N103)),$N103/$K103,$I103/$K103),0),0)</f>
        <v>0</v>
      </c>
      <c r="V103" s="287">
        <f>IFERROR(IF(AND(V$54&gt;=EOMONTH($J103,-1)+1,V$54&lt;=EOMONTH(EOMONTH($J103,-1)+1,$K103-1)),IF(NOT(ISBLANK($N103)),$N103/$K103,$I103/$K103),0),0)</f>
        <v>0</v>
      </c>
      <c r="W103" s="287">
        <f>IFERROR(IF(AND(W$54&gt;=EOMONTH($J103,-1)+1,W$54&lt;=EOMONTH(EOMONTH($J103,-1)+1,$K103-1)),IF(NOT(ISBLANK($N103)),$N103/$K103,$I103/$K103),0),0)</f>
        <v>0</v>
      </c>
      <c r="X103" s="89">
        <f t="shared" si="99"/>
        <v>0</v>
      </c>
      <c r="Y103" s="287">
        <f>IFERROR(IF(AND(Y$54&gt;=EOMONTH($J103,-1)+1,Y$54&lt;=EOMONTH(EOMONTH($J103,-1)+1,$K103-1)),IF(NOT(ISBLANK($N103)),$N103/$K103,$I103/$K103),0),0)</f>
        <v>0</v>
      </c>
      <c r="Z103" s="287">
        <f>IFERROR(IF(AND(Z$54&gt;=EOMONTH($J103,-1)+1,Z$54&lt;=EOMONTH(EOMONTH($J103,-1)+1,$K103-1)),IF(NOT(ISBLANK($N103)),$N103/$K103,$I103/$K103),0),0)</f>
        <v>0</v>
      </c>
      <c r="AA103" s="287">
        <f>IFERROR(IF(AND(AA$54&gt;=EOMONTH($J103,-1)+1,AA$54&lt;=EOMONTH(EOMONTH($J103,-1)+1,$K103-1)),IF(NOT(ISBLANK($N103)),$N103/$K103,$I103/$K103),0),0)</f>
        <v>0</v>
      </c>
      <c r="AB103" s="89">
        <f t="shared" si="100"/>
        <v>0</v>
      </c>
      <c r="AC103" s="287">
        <f>IFERROR(IF(AND(AC$54&gt;=EOMONTH($J103,-1)+1,AC$54&lt;=EOMONTH(EOMONTH($J103,-1)+1,$K103-1)),IF(NOT(ISBLANK($N103)),$N103/$K103,$I103/$K103),0),0)</f>
        <v>0</v>
      </c>
      <c r="AD103" s="287">
        <f>IFERROR(IF(AND(AD$54&gt;=EOMONTH($J103,-1)+1,AD$54&lt;=EOMONTH(EOMONTH($J103,-1)+1,$K103-1)),IF(NOT(ISBLANK($N103)),$N103/$K103,$I103/$K103),0),0)</f>
        <v>0</v>
      </c>
      <c r="AE103" s="287">
        <f>IFERROR(IF(AND(AE$54&gt;=EOMONTH($J103,-1)+1,AE$54&lt;=EOMONTH(EOMONTH($J103,-1)+1,$K103-1)),IF(NOT(ISBLANK($N103)),$N103/$K103,$I103/$K103),0),0)</f>
        <v>0</v>
      </c>
      <c r="AF103" s="89">
        <f t="shared" si="101"/>
        <v>0</v>
      </c>
      <c r="AG103" s="287">
        <f>IFERROR(IF(AND(AG$54&gt;=EOMONTH($J103,-1)+1,AG$54&lt;=EOMONTH(EOMONTH($J103,-1)+1,$K103-1)),IF(NOT(ISBLANK($N103)),$N103/$K103,$I103/$K103),0),0)</f>
        <v>0</v>
      </c>
      <c r="AH103" s="287">
        <f>IFERROR(IF(AND(AH$54&gt;=EOMONTH($J103,-1)+1,AH$54&lt;=EOMONTH(EOMONTH($J103,-1)+1,$K103-1)),IF(NOT(ISBLANK($N103)),$N103/$K103,$I103/$K103),0),0)</f>
        <v>0</v>
      </c>
      <c r="AI103" s="287">
        <f>IFERROR(IF(AND(AI$54&gt;=EOMONTH($J103,-1)+1,AI$54&lt;=EOMONTH(EOMONTH($J103,-1)+1,$K103-1)),IF(NOT(ISBLANK($N103)),$N103/$K103,$I103/$K103),0),0)</f>
        <v>0</v>
      </c>
      <c r="AJ103" s="89">
        <f t="shared" si="102"/>
        <v>0</v>
      </c>
      <c r="AK103" s="90">
        <f>SUM(X103,AB103,AF103,AJ103)</f>
        <v>0</v>
      </c>
      <c r="AL103" s="98"/>
      <c r="AM103" s="1370"/>
      <c r="AN103" s="1411"/>
      <c r="AO103" s="1405">
        <f>N103*AN103</f>
        <v>0</v>
      </c>
      <c r="AP103" s="62">
        <f>C103</f>
        <v>0</v>
      </c>
      <c r="AQ103" s="62" t="s">
        <v>311</v>
      </c>
      <c r="AR103" s="508" t="str" cm="1">
        <f t="array" aca="1" ref="AR103" ca="1">IF(OR(AP103="",AP103=0),"",IF(SUMPRODUCT(($C$55:$C$142=AP103)*(U$54:$AI$54&lt;EOMONTH(TODAY(),-1)+1)*(ISNUMBER(U$55:$AI$142)),U$55:$AI$142)=0,"",SUMPRODUCT(($C$55:$C$142=AP103)*(U$54:$AI$54&lt;EOMONTH(TODAY(),-1)+1)*(ISNUMBER(U$55:$AI$142)),U$55:$AI$142)))</f>
        <v/>
      </c>
      <c r="AS103" s="62">
        <f>A103</f>
        <v>0</v>
      </c>
      <c r="AU103" s="1566">
        <f t="shared" ref="AU103" si="106">IF(OR(I103="",K103=""),0,(I103/12)*K103)</f>
        <v>0</v>
      </c>
      <c r="AV103" s="1566">
        <f t="shared" ref="AV103" si="107">IF(OR(N103="",K103="",K103=0),0,(N103/K103)*12)</f>
        <v>0</v>
      </c>
    </row>
    <row r="104" spans="1:48" ht="38.1" customHeight="1" x14ac:dyDescent="0.3">
      <c r="A104" s="1380"/>
      <c r="B104" s="1408"/>
      <c r="C104" s="1482"/>
      <c r="D104" s="1486"/>
      <c r="E104" s="1368"/>
      <c r="F104" s="1370"/>
      <c r="G104" s="1372"/>
      <c r="H104" s="1372"/>
      <c r="I104" s="1354"/>
      <c r="J104" s="1376"/>
      <c r="K104" s="1389"/>
      <c r="L104" s="1354"/>
      <c r="M104" s="1350"/>
      <c r="N104" s="1391"/>
      <c r="O104" s="1327"/>
      <c r="P104" s="1672"/>
      <c r="Q104" s="2116"/>
      <c r="R104" s="1327"/>
      <c r="S104" s="87" t="s">
        <v>117</v>
      </c>
      <c r="T104" s="91"/>
      <c r="U104" s="287" t="s">
        <v>959</v>
      </c>
      <c r="V104" s="287" t="s">
        <v>959</v>
      </c>
      <c r="W104" s="287" t="s">
        <v>959</v>
      </c>
      <c r="X104" s="89">
        <f t="shared" si="99"/>
        <v>0</v>
      </c>
      <c r="Y104" s="287" t="s">
        <v>959</v>
      </c>
      <c r="Z104" s="287" t="s">
        <v>959</v>
      </c>
      <c r="AA104" s="287" t="s">
        <v>959</v>
      </c>
      <c r="AB104" s="89">
        <f t="shared" si="100"/>
        <v>0</v>
      </c>
      <c r="AC104" s="287" t="s">
        <v>959</v>
      </c>
      <c r="AD104" s="287" t="s">
        <v>959</v>
      </c>
      <c r="AE104" s="287" t="s">
        <v>959</v>
      </c>
      <c r="AF104" s="89">
        <f t="shared" si="101"/>
        <v>0</v>
      </c>
      <c r="AG104" s="287" t="s">
        <v>959</v>
      </c>
      <c r="AH104" s="287" t="s">
        <v>959</v>
      </c>
      <c r="AI104" s="287" t="s">
        <v>959</v>
      </c>
      <c r="AJ104" s="89">
        <f t="shared" si="102"/>
        <v>0</v>
      </c>
      <c r="AK104" s="289">
        <f t="shared" ref="AK104:AK106" si="108">SUM(X104,AB104,AF104,AJ104)</f>
        <v>0</v>
      </c>
      <c r="AL104" s="337"/>
      <c r="AM104" s="1370"/>
      <c r="AN104" s="1411"/>
      <c r="AO104" s="1405"/>
      <c r="AP104" s="62">
        <f>C103</f>
        <v>0</v>
      </c>
      <c r="AQ104" s="62" t="s">
        <v>313</v>
      </c>
      <c r="AR104" s="508" t="str" cm="1">
        <f t="array" aca="1" ref="AR104" ca="1">IF(OR(AP104="",AP104=0),"",IF(SUMPRODUCT(($C$55:$C$142=AP104)*(U$54:$AI$54&lt;EOMONTH(TODAY(),-1)+1)*(ISNUMBER(U$56:$AI$143)),U$56:$AI$143)=0,"",SUMPRODUCT(($C$55:$C$142=AP104)*(U$54:$AI$54&lt;EOMONTH(TODAY(),-1)+1)*(ISNUMBER(U$56:$AI$143)),U$56:$AI$143)))</f>
        <v/>
      </c>
      <c r="AS104" s="62">
        <f>A103</f>
        <v>0</v>
      </c>
      <c r="AU104" s="1567"/>
      <c r="AV104" s="1567"/>
    </row>
    <row r="105" spans="1:48" ht="40.35" customHeight="1" x14ac:dyDescent="0.3">
      <c r="A105" s="1407"/>
      <c r="B105" s="1691"/>
      <c r="C105" s="1817"/>
      <c r="D105" s="1486"/>
      <c r="E105" s="1740"/>
      <c r="F105" s="1742"/>
      <c r="G105" s="1372"/>
      <c r="H105" s="1372"/>
      <c r="I105" s="1395"/>
      <c r="J105" s="1749"/>
      <c r="K105" s="1387"/>
      <c r="L105" s="1395"/>
      <c r="M105" s="1352"/>
      <c r="N105" s="1393"/>
      <c r="O105" s="1327"/>
      <c r="P105" s="1673"/>
      <c r="Q105" s="2125"/>
      <c r="R105" s="1334"/>
      <c r="S105" s="87" t="s">
        <v>116</v>
      </c>
      <c r="T105" s="96"/>
      <c r="U105" s="498">
        <f>IFERROR(IF(AND(U$54&gt;=EOMONTH($J105,-1)+1,U$54&lt;=EOMONTH(EOMONTH($J105,-1)+1,$K105-1)),IF(NOT(ISBLANK($N105)),$N105/$K105,$I105/$K105),0),0)</f>
        <v>0</v>
      </c>
      <c r="V105" s="498">
        <f>IFERROR(IF(AND(V$54&gt;=EOMONTH($J105,-1)+1,V$54&lt;=EOMONTH(EOMONTH($J105,-1)+1,$K105-1)),IF(NOT(ISBLANK($N105)),$N105/$K105,$I105/$K105),0),0)</f>
        <v>0</v>
      </c>
      <c r="W105" s="498">
        <f>IFERROR(IF(AND(W$54&gt;=EOMONTH($J105,-1)+1,W$54&lt;=EOMONTH(EOMONTH($J105,-1)+1,$K105-1)),IF(NOT(ISBLANK($N105)),$N105/$K105,$I105/$K105),0),0)</f>
        <v>0</v>
      </c>
      <c r="X105" s="89">
        <f t="shared" si="99"/>
        <v>0</v>
      </c>
      <c r="Y105" s="498">
        <f>IFERROR(IF(AND(Y$54&gt;=EOMONTH($J105,-1)+1,Y$54&lt;=EOMONTH(EOMONTH($J105,-1)+1,$K105-1)),IF(NOT(ISBLANK($N105)),$N105/$K105,$I105/$K105),0),0)</f>
        <v>0</v>
      </c>
      <c r="Z105" s="498">
        <f>IFERROR(IF(AND(Z$54&gt;=EOMONTH($J105,-1)+1,Z$54&lt;=EOMONTH(EOMONTH($J105,-1)+1,$K105-1)),IF(NOT(ISBLANK($N105)),$N105/$K105,$I105/$K105),0),0)</f>
        <v>0</v>
      </c>
      <c r="AA105" s="498">
        <f>IFERROR(IF(AND(AA$54&gt;=EOMONTH($J105,-1)+1,AA$54&lt;=EOMONTH(EOMONTH($J105,-1)+1,$K105-1)),IF(NOT(ISBLANK($N105)),$N105/$K105,$I105/$K105),0),0)</f>
        <v>0</v>
      </c>
      <c r="AB105" s="89">
        <f t="shared" si="100"/>
        <v>0</v>
      </c>
      <c r="AC105" s="498">
        <f>IFERROR(IF(AND(AC$54&gt;=EOMONTH($J105,-1)+1,AC$54&lt;=EOMONTH(EOMONTH($J105,-1)+1,$K105-1)),IF(NOT(ISBLANK($N105)),$N105/$K105,$I105/$K105),0),0)</f>
        <v>0</v>
      </c>
      <c r="AD105" s="498">
        <f>IFERROR(IF(AND(AD$54&gt;=EOMONTH($J105,-1)+1,AD$54&lt;=EOMONTH(EOMONTH($J105,-1)+1,$K105-1)),IF(NOT(ISBLANK($N105)),$N105/$K105,$I105/$K105),0),0)</f>
        <v>0</v>
      </c>
      <c r="AE105" s="498">
        <f>IFERROR(IF(AND(AE$54&gt;=EOMONTH($J105,-1)+1,AE$54&lt;=EOMONTH(EOMONTH($J105,-1)+1,$K105-1)),IF(NOT(ISBLANK($N105)),$N105/$K105,$I105/$K105),0),0)</f>
        <v>0</v>
      </c>
      <c r="AF105" s="89">
        <f t="shared" si="101"/>
        <v>0</v>
      </c>
      <c r="AG105" s="498">
        <f>IFERROR(IF(AND(AG$54&gt;=EOMONTH($J105,-1)+1,AG$54&lt;=EOMONTH(EOMONTH($J105,-1)+1,$K105-1)),IF(NOT(ISBLANK($N105)),$N105/$K105,$I105/$K105),0),0)</f>
        <v>0</v>
      </c>
      <c r="AH105" s="498">
        <f>IFERROR(IF(AND(AH$54&gt;=EOMONTH($J105,-1)+1,AH$54&lt;=EOMONTH(EOMONTH($J105,-1)+1,$K105-1)),IF(NOT(ISBLANK($N105)),$N105/$K105,$I105/$K105),0),0)</f>
        <v>0</v>
      </c>
      <c r="AI105" s="498">
        <f>IFERROR(IF(AND(AI$54&gt;=EOMONTH($J105,-1)+1,AI$54&lt;=EOMONTH(EOMONTH($J105,-1)+1,$K105-1)),IF(NOT(ISBLANK($N105)),$N105/$K105,$I105/$K105),0),0)</f>
        <v>0</v>
      </c>
      <c r="AJ105" s="89">
        <f t="shared" si="102"/>
        <v>0</v>
      </c>
      <c r="AK105" s="95">
        <f t="shared" si="108"/>
        <v>0</v>
      </c>
      <c r="AL105" s="97"/>
      <c r="AM105" s="1407"/>
      <c r="AN105" s="1334"/>
      <c r="AO105" s="1403">
        <f>N105*AN105</f>
        <v>0</v>
      </c>
      <c r="AP105" s="62">
        <f>C105</f>
        <v>0</v>
      </c>
      <c r="AQ105" s="62" t="s">
        <v>311</v>
      </c>
      <c r="AR105" s="508" t="str" cm="1">
        <f t="array" aca="1" ref="AR105" ca="1">IF(OR(AP105="",AP105=0),"",IF(SUMPRODUCT(($C$55:$C$142=AP105)*(U$54:$AI$54&lt;EOMONTH(TODAY(),-1)+1)*(ISNUMBER(U$55:$AI$142)),U$55:$AI$142)=0,"",SUMPRODUCT(($C$55:$C$142=AP105)*(U$54:$AI$54&lt;EOMONTH(TODAY(),-1)+1)*(ISNUMBER(U$55:$AI$142)),U$55:$AI$142)))</f>
        <v/>
      </c>
      <c r="AS105" s="62">
        <f>A105</f>
        <v>0</v>
      </c>
      <c r="AU105" s="1566">
        <f t="shared" ref="AU105" si="109">IF(OR(I105="",K105=""),0,(I105/12)*K105)</f>
        <v>0</v>
      </c>
      <c r="AV105" s="1566">
        <f t="shared" ref="AV105" si="110">IF(OR(N105="",K105="",K105=0),0,(N105/K105)*12)</f>
        <v>0</v>
      </c>
    </row>
    <row r="106" spans="1:48" ht="42" customHeight="1" x14ac:dyDescent="0.3">
      <c r="A106" s="1407"/>
      <c r="B106" s="1692"/>
      <c r="C106" s="1817"/>
      <c r="D106" s="1486"/>
      <c r="E106" s="1740"/>
      <c r="F106" s="1742"/>
      <c r="G106" s="1372"/>
      <c r="H106" s="1372"/>
      <c r="I106" s="1395"/>
      <c r="J106" s="1749"/>
      <c r="K106" s="1387"/>
      <c r="L106" s="1395"/>
      <c r="M106" s="1352"/>
      <c r="N106" s="1393"/>
      <c r="O106" s="1327"/>
      <c r="P106" s="1674"/>
      <c r="Q106" s="2126"/>
      <c r="R106" s="1334"/>
      <c r="S106" s="87" t="s">
        <v>117</v>
      </c>
      <c r="T106" s="96"/>
      <c r="U106" s="290" t="s">
        <v>959</v>
      </c>
      <c r="V106" s="290" t="s">
        <v>959</v>
      </c>
      <c r="W106" s="290" t="s">
        <v>959</v>
      </c>
      <c r="X106" s="89">
        <f t="shared" si="99"/>
        <v>0</v>
      </c>
      <c r="Y106" s="290" t="s">
        <v>959</v>
      </c>
      <c r="Z106" s="290" t="s">
        <v>959</v>
      </c>
      <c r="AA106" s="290" t="s">
        <v>959</v>
      </c>
      <c r="AB106" s="89">
        <f t="shared" si="100"/>
        <v>0</v>
      </c>
      <c r="AC106" s="290" t="s">
        <v>959</v>
      </c>
      <c r="AD106" s="290" t="s">
        <v>959</v>
      </c>
      <c r="AE106" s="290" t="s">
        <v>959</v>
      </c>
      <c r="AF106" s="89">
        <f t="shared" si="101"/>
        <v>0</v>
      </c>
      <c r="AG106" s="290" t="s">
        <v>959</v>
      </c>
      <c r="AH106" s="290" t="s">
        <v>959</v>
      </c>
      <c r="AI106" s="290" t="s">
        <v>959</v>
      </c>
      <c r="AJ106" s="89">
        <f t="shared" si="102"/>
        <v>0</v>
      </c>
      <c r="AK106" s="291">
        <f t="shared" si="108"/>
        <v>0</v>
      </c>
      <c r="AL106" s="97"/>
      <c r="AM106" s="1407"/>
      <c r="AN106" s="1334"/>
      <c r="AO106" s="1403"/>
      <c r="AP106" s="62">
        <f>C105</f>
        <v>0</v>
      </c>
      <c r="AQ106" s="62" t="s">
        <v>313</v>
      </c>
      <c r="AR106" s="508" t="str" cm="1">
        <f t="array" aca="1" ref="AR106" ca="1">IF(OR(AP106="",AP106=0),"",IF(SUMPRODUCT(($C$55:$C$142=AP106)*(U$54:$AI$54&lt;EOMONTH(TODAY(),-1)+1)*(ISNUMBER(U$56:$AI$143)),U$56:$AI$143)=0,"",SUMPRODUCT(($C$55:$C$142=AP106)*(U$54:$AI$54&lt;EOMONTH(TODAY(),-1)+1)*(ISNUMBER(U$56:$AI$143)),U$56:$AI$143)))</f>
        <v/>
      </c>
      <c r="AS106" s="62">
        <f>A105</f>
        <v>0</v>
      </c>
      <c r="AU106" s="1567"/>
      <c r="AV106" s="1567"/>
    </row>
    <row r="107" spans="1:48" x14ac:dyDescent="0.3">
      <c r="A107" s="47"/>
      <c r="B107" s="47"/>
      <c r="C107" s="47"/>
      <c r="D107" s="47"/>
      <c r="E107" s="47"/>
      <c r="F107" s="47"/>
      <c r="G107" s="47"/>
      <c r="H107" s="47"/>
      <c r="I107" s="47"/>
      <c r="J107" s="47"/>
      <c r="K107" s="47"/>
      <c r="L107" s="47"/>
      <c r="M107" s="47"/>
      <c r="N107" s="832"/>
      <c r="O107" s="47"/>
      <c r="P107" s="47"/>
      <c r="Q107" s="47"/>
      <c r="R107" s="47"/>
      <c r="S107" s="47"/>
      <c r="T107" s="47"/>
      <c r="U107" s="47"/>
      <c r="V107" s="47"/>
      <c r="W107" s="47"/>
      <c r="X107" s="47"/>
      <c r="Y107" s="47"/>
      <c r="Z107" s="47"/>
      <c r="AA107" s="47"/>
      <c r="AB107" s="47"/>
      <c r="AC107" s="47"/>
      <c r="AD107" s="47"/>
      <c r="AE107" s="47"/>
      <c r="AF107" s="47"/>
      <c r="AG107" s="47"/>
    </row>
    <row r="108" spans="1:48" ht="15.6" x14ac:dyDescent="0.3">
      <c r="A108" s="100" t="s">
        <v>572</v>
      </c>
      <c r="B108" s="100"/>
      <c r="C108" s="100"/>
      <c r="D108" s="99" t="s">
        <v>573</v>
      </c>
      <c r="E108" s="99" t="s">
        <v>78</v>
      </c>
      <c r="F108" s="99" t="s">
        <v>79</v>
      </c>
      <c r="G108" s="47"/>
      <c r="H108" s="1384" t="s">
        <v>1095</v>
      </c>
      <c r="I108" s="1384"/>
      <c r="J108" s="1384"/>
      <c r="K108" s="1384"/>
      <c r="L108" s="1384"/>
      <c r="M108" s="548"/>
      <c r="N108" s="996"/>
      <c r="O108" s="782"/>
      <c r="P108" s="782"/>
      <c r="Q108" s="47"/>
      <c r="R108" s="151"/>
      <c r="S108" s="85">
        <v>46023</v>
      </c>
      <c r="T108" s="151">
        <v>46054</v>
      </c>
      <c r="U108" s="151">
        <v>46082</v>
      </c>
      <c r="V108" s="151">
        <v>46113</v>
      </c>
      <c r="W108" s="151">
        <v>46143</v>
      </c>
      <c r="X108" s="151">
        <v>46174</v>
      </c>
      <c r="Y108" s="151">
        <v>46204</v>
      </c>
      <c r="Z108" s="151">
        <v>46235</v>
      </c>
      <c r="AA108" s="151">
        <v>46266</v>
      </c>
      <c r="AB108" s="151">
        <v>46296</v>
      </c>
      <c r="AC108" s="151">
        <v>46327</v>
      </c>
      <c r="AD108" s="151">
        <v>46357</v>
      </c>
      <c r="AE108" s="151" t="s">
        <v>115</v>
      </c>
      <c r="AF108" s="47"/>
      <c r="AG108" s="47"/>
      <c r="AH108" s="47"/>
    </row>
    <row r="109" spans="1:48" ht="15.6" x14ac:dyDescent="0.3">
      <c r="A109" s="112" t="s">
        <v>575</v>
      </c>
      <c r="B109" s="112" t="s">
        <v>576</v>
      </c>
      <c r="C109" s="310"/>
      <c r="D109" s="649" t="s">
        <v>577</v>
      </c>
      <c r="E109" s="894">
        <v>1</v>
      </c>
      <c r="F109" s="894">
        <v>1</v>
      </c>
      <c r="G109" s="47"/>
      <c r="H109" s="180" t="s">
        <v>578</v>
      </c>
      <c r="I109" s="180" t="s">
        <v>1914</v>
      </c>
      <c r="J109" s="180" t="s">
        <v>580</v>
      </c>
      <c r="K109" s="180" t="s">
        <v>581</v>
      </c>
      <c r="L109" s="443" t="s">
        <v>183</v>
      </c>
      <c r="M109" s="548" t="s">
        <v>582</v>
      </c>
      <c r="N109" s="996"/>
      <c r="O109" s="104" t="s">
        <v>583</v>
      </c>
      <c r="P109" s="777" t="s">
        <v>584</v>
      </c>
      <c r="Q109" s="777" t="s">
        <v>1915</v>
      </c>
      <c r="R109" s="471" t="s">
        <v>116</v>
      </c>
      <c r="S109" s="152">
        <f>SUMIF($S$55:$S$106,$R$109,U55:U106)</f>
        <v>0</v>
      </c>
      <c r="T109" s="152">
        <f>SUMIF($S$55:$S$106,$R$109,V55:V106)</f>
        <v>19884.252727272727</v>
      </c>
      <c r="U109" s="152">
        <f>SUMIF($S$55:$S$106,$R$109,W55:W106)</f>
        <v>193545.9957272727</v>
      </c>
      <c r="V109" s="152">
        <f>SUMIF($S$55:$S$106,$R$109,Y55:Y106)</f>
        <v>206473.16017171717</v>
      </c>
      <c r="W109" s="152">
        <f>SUMIF($S$55:$S$106,$R$109,Z55:Z106)</f>
        <v>208224.73017171718</v>
      </c>
      <c r="X109" s="152">
        <f>SUMIF($S$55:$S$106,$R$109,AA55:AA106)</f>
        <v>208224.73017171718</v>
      </c>
      <c r="Y109" s="152">
        <f>SUMIF($S$55:$S$106,$R$109,AC55:AC106)</f>
        <v>208224.73017171718</v>
      </c>
      <c r="Z109" s="152">
        <f>SUMIF($S$55:$S$106,$R$109,AD55:AD106)</f>
        <v>244407.91817171717</v>
      </c>
      <c r="AA109" s="152">
        <f>SUMIF($S$55:$S$106,$R$109,AE55:AE106)</f>
        <v>267084.69067171717</v>
      </c>
      <c r="AB109" s="152">
        <f>SUMIF($S$55:$S$106,$R$109,AG55:AG106)</f>
        <v>487731.09067171713</v>
      </c>
      <c r="AC109" s="152">
        <f>SUMIF($S$55:$S$106,$R$109,AH55:AH106)</f>
        <v>549550.45567171706</v>
      </c>
      <c r="AD109" s="152">
        <f>SUMIF($S$55:$S$106,$R$109,AI55:AI106)</f>
        <v>549550.45567171706</v>
      </c>
      <c r="AE109" s="152">
        <f>SUM(S109:AD109)</f>
        <v>3142902.2099999995</v>
      </c>
      <c r="AF109" s="47"/>
      <c r="AG109" s="47"/>
      <c r="AH109" s="47"/>
    </row>
    <row r="110" spans="1:48" x14ac:dyDescent="0.3">
      <c r="A110" s="679" t="s">
        <v>585</v>
      </c>
      <c r="B110" s="679" t="s">
        <v>586</v>
      </c>
      <c r="C110" s="678"/>
      <c r="D110" s="680" t="s">
        <v>577</v>
      </c>
      <c r="E110" s="895">
        <v>1</v>
      </c>
      <c r="F110" s="895">
        <v>1</v>
      </c>
      <c r="G110" s="47"/>
      <c r="H110" t="s">
        <v>1916</v>
      </c>
      <c r="I110" s="960" t="s">
        <v>308</v>
      </c>
      <c r="J110" s="106" t="s">
        <v>363</v>
      </c>
      <c r="K110" s="106" t="s">
        <v>363</v>
      </c>
      <c r="L110" s="107">
        <f t="shared" ref="L110:L119" si="111">(COUNTIF(I110:K110,"OK"))*33.333333/100</f>
        <v>0.33333333000000004</v>
      </c>
      <c r="M110" s="1563" t="s">
        <v>1917</v>
      </c>
      <c r="N110" s="1565"/>
      <c r="O110" s="107"/>
      <c r="P110" s="107"/>
      <c r="Q110" s="107"/>
      <c r="R110" s="472" t="s">
        <v>117</v>
      </c>
      <c r="S110" s="154">
        <f>SUMIF($S$55:$S$106,$R$110,U55:U106)</f>
        <v>7696.79</v>
      </c>
      <c r="T110" s="154">
        <f>SUMIF($S$55:$S$106,$R$110,V55:V106)</f>
        <v>38554.160000000003</v>
      </c>
      <c r="U110" s="154">
        <f>SUMIF($S$55:$S$106,$R$110,W55:W106)</f>
        <v>273426.12</v>
      </c>
      <c r="V110" s="154">
        <f>SUMIF($S$55:$S$106,$R$110,Y55:Y106)</f>
        <v>275746.09000000003</v>
      </c>
      <c r="W110" s="154">
        <f>SUMIF($S$55:$S$106,$R$110,Z55:Z106)</f>
        <v>278735.28999999998</v>
      </c>
      <c r="X110" s="154">
        <f>SUMIF($S$55:$S$106,$R$110,AA55:AA106)</f>
        <v>259250.71</v>
      </c>
      <c r="Y110" s="154">
        <f>SUMIF($S$55:$S$106,$R$110,AC55:AC106)</f>
        <v>25291.52</v>
      </c>
      <c r="Z110" s="154">
        <f>SUMIF($S$55:$S$106,$R$110,AD55:AD106)</f>
        <v>0</v>
      </c>
      <c r="AA110" s="154">
        <f>SUMIF($S$55:$S$106,$R$110,AE55:AE106)</f>
        <v>0</v>
      </c>
      <c r="AB110" s="154">
        <f>SUMIF($S$55:$S$106,$R$110,AG55:AG106)</f>
        <v>0</v>
      </c>
      <c r="AC110" s="154">
        <f>SUMIF($S$55:$S$106,$R$110,AH55:AH106)</f>
        <v>0</v>
      </c>
      <c r="AD110" s="154">
        <f>SUMIF($S$55:$S$106,$R$110,AI55:AI106)</f>
        <v>0</v>
      </c>
      <c r="AE110" s="154">
        <f>SUM(S110:AD110)</f>
        <v>1158700.68</v>
      </c>
      <c r="AF110" s="47"/>
      <c r="AG110" s="47"/>
      <c r="AH110" s="47"/>
    </row>
    <row r="111" spans="1:48" x14ac:dyDescent="0.3">
      <c r="A111" s="112" t="s">
        <v>590</v>
      </c>
      <c r="B111" s="112" t="s">
        <v>591</v>
      </c>
      <c r="C111" s="310"/>
      <c r="D111" s="649" t="s">
        <v>577</v>
      </c>
      <c r="E111" s="894">
        <v>1</v>
      </c>
      <c r="F111" s="894">
        <v>1</v>
      </c>
      <c r="G111" s="47"/>
      <c r="H111" s="108" t="s">
        <v>1918</v>
      </c>
      <c r="I111" s="109" t="s">
        <v>363</v>
      </c>
      <c r="J111" s="109" t="s">
        <v>363</v>
      </c>
      <c r="K111" s="109" t="s">
        <v>363</v>
      </c>
      <c r="L111" s="110">
        <f t="shared" si="111"/>
        <v>0</v>
      </c>
      <c r="M111" s="2249" t="s">
        <v>1919</v>
      </c>
      <c r="N111" s="2251"/>
      <c r="O111" s="110"/>
      <c r="P111" s="110"/>
      <c r="Q111" s="110"/>
      <c r="R111" s="473" t="s">
        <v>118</v>
      </c>
      <c r="S111" s="160" cm="1">
        <f t="array" ref="S111">SUMPRODUCT(
($G$55:$G$106&lt;&gt;"")*
($G$55:$G$106&lt;=S$108)*
(($H$55:$H$106="")+($H$55:$H$106&gt;=S$108))
)</f>
        <v>2</v>
      </c>
      <c r="T111" s="160" cm="1">
        <f t="array" ref="T111">SUMPRODUCT(
($G$55:$G$106&lt;&gt;"")*
($G$55:$G$106&lt;=T$108)*
(($H$55:$H$106="")+($H$55:$H$106&gt;=T$108))
)</f>
        <v>4</v>
      </c>
      <c r="U111" s="160" cm="1">
        <f t="array" ref="U111">SUMPRODUCT(
($G$55:$G$106&lt;&gt;"")*
($G$55:$G$106&lt;=U$108)*
(($H$55:$H$106="")+($H$55:$H$106&gt;=U$108))
)</f>
        <v>7</v>
      </c>
      <c r="V111" s="160" cm="1">
        <f t="array" ref="V111">SUMPRODUCT(
($G$55:$G$106&lt;&gt;"")*
($G$55:$G$106&lt;=V$108)*
(($H$55:$H$106="")+($H$55:$H$106&gt;=V$108))
)</f>
        <v>9</v>
      </c>
      <c r="W111" s="160" cm="1">
        <f t="array" ref="W111">SUMPRODUCT(
($G$55:$G$106&lt;&gt;"")*
($G$55:$G$106&lt;=W$108)*
(($H$55:$H$106="")+($H$55:$H$106&gt;=W$108))
)</f>
        <v>10</v>
      </c>
      <c r="X111" s="160" cm="1">
        <f t="array" ref="X111">SUMPRODUCT(
($G$55:$G$106&lt;&gt;"")*
($G$55:$G$106&lt;=X$108)*
(($H$55:$H$106="")+($H$55:$H$106&gt;=X$108))
)</f>
        <v>10</v>
      </c>
      <c r="Y111" s="160" cm="1">
        <f t="array" ref="Y111">SUMPRODUCT(
($G$55:$G$106&lt;&gt;"")*
($G$55:$G$106&lt;=Y$108)*
(($H$55:$H$106="")+($H$55:$H$106&gt;=Y$108))
)</f>
        <v>11</v>
      </c>
      <c r="Z111" s="160" cm="1">
        <f t="array" ref="Z111">SUMPRODUCT(
($G$55:$G$106&lt;&gt;"")*
($G$55:$G$106&lt;=Z$108)*
(($H$55:$H$106="")+($H$55:$H$106&gt;=Z$108))
)</f>
        <v>7</v>
      </c>
      <c r="AA111" s="160" cm="1">
        <f t="array" ref="AA111">SUMPRODUCT(
($G$55:$G$106&lt;&gt;"")*
($G$55:$G$106&lt;=AA$108)*
(($H$55:$H$106="")+($H$55:$H$106&gt;=AA$108))
)</f>
        <v>6</v>
      </c>
      <c r="AB111" s="160" cm="1">
        <f t="array" ref="AB111">SUMPRODUCT(
($G$55:$G$106&lt;&gt;"")*
($G$55:$G$106&lt;=AB$108)*
(($H$55:$H$106="")+($H$55:$H$106&gt;=AB$108))
)</f>
        <v>3</v>
      </c>
      <c r="AC111" s="160" cm="1">
        <f t="array" ref="AC111">SUMPRODUCT(
($G$55:$G$106&lt;&gt;"")*
($G$55:$G$106&lt;=AC$108)*
(($H$55:$H$106="")+($H$55:$H$106&gt;=AC$108))
)</f>
        <v>0</v>
      </c>
      <c r="AD111" s="160" cm="1">
        <f t="array" ref="AD111">SUMPRODUCT(
($G$55:$G$106&lt;&gt;"")*
($G$55:$G$106&lt;=AD$108)*
(($H$55:$H$106="")+($H$55:$H$106&gt;=AD$108))
)</f>
        <v>0</v>
      </c>
      <c r="AE111" s="160"/>
      <c r="AF111" s="47"/>
      <c r="AG111" s="47"/>
      <c r="AH111" s="47"/>
    </row>
    <row r="112" spans="1:48" x14ac:dyDescent="0.3">
      <c r="A112" s="679" t="s">
        <v>594</v>
      </c>
      <c r="B112" s="679" t="s">
        <v>595</v>
      </c>
      <c r="C112" s="678"/>
      <c r="D112" s="680" t="s">
        <v>596</v>
      </c>
      <c r="E112" s="895">
        <v>1</v>
      </c>
      <c r="F112" s="895">
        <v>0.75</v>
      </c>
      <c r="G112" s="47"/>
      <c r="H112" s="949" t="s">
        <v>1920</v>
      </c>
      <c r="I112" s="433" t="s">
        <v>308</v>
      </c>
      <c r="J112" s="106" t="s">
        <v>363</v>
      </c>
      <c r="K112" s="106" t="s">
        <v>363</v>
      </c>
      <c r="L112" s="107">
        <f t="shared" si="111"/>
        <v>0.33333333000000004</v>
      </c>
      <c r="M112" s="1563" t="s">
        <v>1921</v>
      </c>
      <c r="N112" s="1565"/>
      <c r="O112" s="107"/>
      <c r="P112" s="107"/>
      <c r="Q112" s="107"/>
      <c r="R112" s="472" t="s">
        <v>119</v>
      </c>
      <c r="S112" s="154">
        <f>S109</f>
        <v>0</v>
      </c>
      <c r="T112" s="154">
        <f>S112+T109</f>
        <v>19884.252727272727</v>
      </c>
      <c r="U112" s="154">
        <f t="shared" ref="U112:AD113" si="112">T112+U109</f>
        <v>213430.24845454542</v>
      </c>
      <c r="V112" s="154">
        <f t="shared" si="112"/>
        <v>419903.40862626256</v>
      </c>
      <c r="W112" s="154">
        <f t="shared" si="112"/>
        <v>628128.1387979798</v>
      </c>
      <c r="X112" s="154">
        <f t="shared" si="112"/>
        <v>836352.86896969704</v>
      </c>
      <c r="Y112" s="154">
        <f t="shared" si="112"/>
        <v>1044577.5991414143</v>
      </c>
      <c r="Z112" s="154">
        <f t="shared" si="112"/>
        <v>1288985.5173131314</v>
      </c>
      <c r="AA112" s="154">
        <f t="shared" si="112"/>
        <v>1556070.2079848484</v>
      </c>
      <c r="AB112" s="154">
        <f t="shared" si="112"/>
        <v>2043801.2986565656</v>
      </c>
      <c r="AC112" s="154">
        <f t="shared" si="112"/>
        <v>2593351.7543282825</v>
      </c>
      <c r="AD112" s="154">
        <f t="shared" si="112"/>
        <v>3142902.2099999995</v>
      </c>
      <c r="AE112" s="154"/>
      <c r="AF112" s="47"/>
      <c r="AG112" s="47"/>
      <c r="AH112" s="47"/>
    </row>
    <row r="113" spans="1:34" ht="14.85" customHeight="1" x14ac:dyDescent="0.3">
      <c r="A113" s="112" t="s">
        <v>594</v>
      </c>
      <c r="B113" s="112" t="s">
        <v>599</v>
      </c>
      <c r="C113" s="310"/>
      <c r="D113" s="649" t="s">
        <v>596</v>
      </c>
      <c r="E113" s="894">
        <v>1</v>
      </c>
      <c r="F113" s="894">
        <v>1</v>
      </c>
      <c r="G113" s="47"/>
      <c r="H113" s="108" t="s">
        <v>1922</v>
      </c>
      <c r="I113" s="109" t="s">
        <v>363</v>
      </c>
      <c r="J113" s="109" t="s">
        <v>363</v>
      </c>
      <c r="K113" s="109" t="s">
        <v>363</v>
      </c>
      <c r="L113" s="110">
        <f t="shared" si="111"/>
        <v>0</v>
      </c>
      <c r="M113" s="2249" t="s">
        <v>1923</v>
      </c>
      <c r="N113" s="2251"/>
      <c r="O113" s="110"/>
      <c r="P113" s="110"/>
      <c r="Q113" s="110"/>
      <c r="R113" s="473" t="s">
        <v>120</v>
      </c>
      <c r="S113" s="474">
        <f>S110</f>
        <v>7696.79</v>
      </c>
      <c r="T113" s="474">
        <f>S113+T110</f>
        <v>46250.950000000004</v>
      </c>
      <c r="U113" s="474">
        <f t="shared" si="112"/>
        <v>319677.07</v>
      </c>
      <c r="V113" s="474">
        <f t="shared" si="112"/>
        <v>595423.16</v>
      </c>
      <c r="W113" s="474">
        <f t="shared" si="112"/>
        <v>874158.45</v>
      </c>
      <c r="X113" s="474">
        <f t="shared" si="112"/>
        <v>1133409.1599999999</v>
      </c>
      <c r="Y113" s="474">
        <f t="shared" si="112"/>
        <v>1158700.68</v>
      </c>
      <c r="Z113" s="474">
        <f t="shared" si="112"/>
        <v>1158700.68</v>
      </c>
      <c r="AA113" s="474">
        <f t="shared" si="112"/>
        <v>1158700.68</v>
      </c>
      <c r="AB113" s="474">
        <f t="shared" si="112"/>
        <v>1158700.68</v>
      </c>
      <c r="AC113" s="474">
        <f t="shared" si="112"/>
        <v>1158700.68</v>
      </c>
      <c r="AD113" s="474">
        <f t="shared" si="112"/>
        <v>1158700.68</v>
      </c>
      <c r="AE113" s="474"/>
      <c r="AF113" s="47"/>
      <c r="AG113" s="47"/>
      <c r="AH113" s="47"/>
    </row>
    <row r="114" spans="1:34" ht="14.85" customHeight="1" x14ac:dyDescent="0.3">
      <c r="A114" s="679" t="s">
        <v>594</v>
      </c>
      <c r="B114" s="679" t="s">
        <v>602</v>
      </c>
      <c r="C114" s="678"/>
      <c r="D114" s="680" t="s">
        <v>596</v>
      </c>
      <c r="E114" s="895">
        <v>1</v>
      </c>
      <c r="F114" s="895">
        <v>1</v>
      </c>
      <c r="G114" s="47"/>
      <c r="H114" s="105" t="s">
        <v>1924</v>
      </c>
      <c r="I114" s="106" t="s">
        <v>363</v>
      </c>
      <c r="J114" s="106" t="s">
        <v>363</v>
      </c>
      <c r="K114" s="106" t="s">
        <v>363</v>
      </c>
      <c r="L114" s="107">
        <f t="shared" si="111"/>
        <v>0</v>
      </c>
      <c r="M114" s="1563" t="s">
        <v>1925</v>
      </c>
      <c r="N114" s="1565"/>
      <c r="O114" s="107"/>
      <c r="P114" s="107"/>
      <c r="Q114" s="107"/>
      <c r="R114" s="472" t="s">
        <v>121</v>
      </c>
      <c r="S114" s="502">
        <f>S113</f>
        <v>7696.79</v>
      </c>
      <c r="T114" s="502">
        <f t="shared" ref="T114:AD114" si="113">IF(AND(ISNUMBER(T109),T109&lt;&gt;0), T112, IF(N(S113)=0, MAX($S$112:$AD$112), N(S112)) + (($A$5 - MAX($S$112:$AD$112)) / (12 - COUNTIF($S$109:$AD$109,"&gt;0"))))</f>
        <v>19884.252727272727</v>
      </c>
      <c r="U114" s="502">
        <f t="shared" si="113"/>
        <v>213430.24845454542</v>
      </c>
      <c r="V114" s="502">
        <f t="shared" si="113"/>
        <v>419903.40862626256</v>
      </c>
      <c r="W114" s="502">
        <f t="shared" si="113"/>
        <v>628128.1387979798</v>
      </c>
      <c r="X114" s="502">
        <f t="shared" si="113"/>
        <v>836352.86896969704</v>
      </c>
      <c r="Y114" s="502">
        <f t="shared" si="113"/>
        <v>1044577.5991414143</v>
      </c>
      <c r="Z114" s="502">
        <f t="shared" si="113"/>
        <v>1288985.5173131314</v>
      </c>
      <c r="AA114" s="502">
        <f t="shared" si="113"/>
        <v>1556070.2079848484</v>
      </c>
      <c r="AB114" s="502">
        <f t="shared" si="113"/>
        <v>2043801.2986565656</v>
      </c>
      <c r="AC114" s="502">
        <f t="shared" si="113"/>
        <v>2593351.7543282825</v>
      </c>
      <c r="AD114" s="502">
        <f t="shared" si="113"/>
        <v>3142902.2099999995</v>
      </c>
      <c r="AE114" s="47"/>
      <c r="AF114" s="47"/>
      <c r="AG114" s="47"/>
      <c r="AH114" s="47"/>
    </row>
    <row r="115" spans="1:34" x14ac:dyDescent="0.3">
      <c r="A115" s="112"/>
      <c r="B115" s="112"/>
      <c r="C115" s="310"/>
      <c r="D115" s="649"/>
      <c r="E115" s="109"/>
      <c r="F115" s="109"/>
      <c r="G115" s="47"/>
      <c r="H115" s="340" t="s">
        <v>1926</v>
      </c>
      <c r="I115" s="431" t="s">
        <v>308</v>
      </c>
      <c r="J115" s="109" t="s">
        <v>363</v>
      </c>
      <c r="K115" s="109" t="s">
        <v>363</v>
      </c>
      <c r="L115" s="110">
        <f t="shared" si="111"/>
        <v>0.33333333000000004</v>
      </c>
      <c r="M115" s="2249" t="s">
        <v>1927</v>
      </c>
      <c r="N115" s="2251"/>
      <c r="O115" s="110"/>
      <c r="P115" s="110"/>
      <c r="Q115" s="110"/>
      <c r="R115" s="62" t="s">
        <v>122</v>
      </c>
      <c r="S115" s="1003">
        <f>SUMIFS(U55:U106,$S$55:$S$106,$S$55,$M$55:$M$106,"ok")</f>
        <v>0</v>
      </c>
      <c r="T115" s="1003">
        <f t="shared" ref="T115:U115" si="114">SUMIFS(V55:V106,$S$55:$S$106,$S$55,$M$55:$M$106,"ok")</f>
        <v>19884.252727272727</v>
      </c>
      <c r="U115" s="1003">
        <f t="shared" si="114"/>
        <v>193545.9957272727</v>
      </c>
      <c r="V115" s="1003">
        <f>SUMIFS(Y55:Y106,$S$55:$S$106,$S$55,$M$55:$M$106,"ok")</f>
        <v>206473.16017171717</v>
      </c>
      <c r="W115" s="1003">
        <f t="shared" ref="W115:X115" si="115">SUMIFS(Z55:Z106,$S$55:$S$106,$S$55,$M$55:$M$106,"ok")</f>
        <v>208224.73017171718</v>
      </c>
      <c r="X115" s="1003">
        <f t="shared" si="115"/>
        <v>208224.73017171718</v>
      </c>
      <c r="Y115" s="1003">
        <f>SUMIFS(AC55:AC106,$S$55:$S$106,$S$55,$M$55:$M$106,"ok")</f>
        <v>208224.73017171718</v>
      </c>
      <c r="Z115" s="1003">
        <f t="shared" ref="Z115:AA115" si="116">SUMIFS(AD55:AD106,$S$55:$S$106,$S$55,$M$55:$M$106,"ok")</f>
        <v>215825.74217171717</v>
      </c>
      <c r="AA115" s="1003">
        <f t="shared" si="116"/>
        <v>234002.51467171716</v>
      </c>
      <c r="AB115" s="1003">
        <f>SUMIFS(AG55:AG106,$S$55:$S$106,$S$55,$M$55:$M$106,"ok")</f>
        <v>234002.51467171716</v>
      </c>
      <c r="AC115" s="1003">
        <f t="shared" ref="AC115:AD115" si="117">SUMIFS(AH55:AH106,$S$55:$S$106,$S$55,$M$55:$M$106,"ok")</f>
        <v>234002.51467171716</v>
      </c>
      <c r="AD115" s="1003">
        <f t="shared" si="117"/>
        <v>234002.51467171716</v>
      </c>
      <c r="AE115" s="154">
        <f>SUM(S115:AD115)</f>
        <v>2196413.4</v>
      </c>
      <c r="AF115" s="47"/>
      <c r="AG115" s="47"/>
      <c r="AH115" s="47"/>
    </row>
    <row r="116" spans="1:34" x14ac:dyDescent="0.3">
      <c r="A116" s="679"/>
      <c r="B116" s="679"/>
      <c r="C116" s="678"/>
      <c r="D116" s="680"/>
      <c r="E116" s="732"/>
      <c r="F116" s="732"/>
      <c r="G116" s="47"/>
      <c r="H116" s="949" t="s">
        <v>1928</v>
      </c>
      <c r="I116" s="433" t="s">
        <v>308</v>
      </c>
      <c r="J116" s="106" t="s">
        <v>363</v>
      </c>
      <c r="K116" s="106" t="s">
        <v>363</v>
      </c>
      <c r="L116" s="107">
        <f t="shared" si="111"/>
        <v>0.33333333000000004</v>
      </c>
      <c r="M116" s="1563" t="s">
        <v>1929</v>
      </c>
      <c r="N116" s="1565"/>
      <c r="O116" s="107"/>
      <c r="P116" s="107"/>
      <c r="Q116" s="107"/>
      <c r="R116" s="47"/>
      <c r="S116" s="47"/>
      <c r="T116" s="47"/>
      <c r="U116" s="47"/>
      <c r="V116" s="47"/>
      <c r="W116" s="47"/>
      <c r="X116" s="47"/>
      <c r="Y116" s="47"/>
      <c r="Z116" s="47"/>
      <c r="AA116" s="47"/>
      <c r="AB116" s="47"/>
      <c r="AC116" s="47"/>
      <c r="AD116" s="47"/>
      <c r="AE116" s="47"/>
      <c r="AF116" s="47"/>
      <c r="AG116" s="47"/>
      <c r="AH116" s="47"/>
    </row>
    <row r="117" spans="1:34" x14ac:dyDescent="0.3">
      <c r="A117" s="112"/>
      <c r="B117" s="112"/>
      <c r="C117" s="310"/>
      <c r="D117" s="649"/>
      <c r="E117" s="712"/>
      <c r="F117" s="712"/>
      <c r="G117" s="59"/>
      <c r="H117" s="108" t="s">
        <v>1930</v>
      </c>
      <c r="I117" s="109" t="s">
        <v>363</v>
      </c>
      <c r="J117" s="109" t="s">
        <v>363</v>
      </c>
      <c r="K117" s="109" t="s">
        <v>363</v>
      </c>
      <c r="L117" s="110">
        <f t="shared" si="111"/>
        <v>0</v>
      </c>
      <c r="M117" s="2249" t="s">
        <v>1931</v>
      </c>
      <c r="N117" s="2251"/>
      <c r="O117" s="110"/>
      <c r="P117" s="110"/>
      <c r="Q117" s="110"/>
      <c r="R117" s="47"/>
      <c r="S117" s="47"/>
      <c r="T117" s="47"/>
      <c r="U117" s="47"/>
      <c r="V117" s="47"/>
      <c r="W117" s="47"/>
      <c r="X117" s="47"/>
      <c r="Y117" s="47"/>
      <c r="Z117" s="47"/>
      <c r="AA117" s="47"/>
      <c r="AB117" s="47"/>
      <c r="AC117" s="47"/>
      <c r="AD117" s="47"/>
      <c r="AE117" s="47"/>
      <c r="AF117" s="47"/>
      <c r="AG117" s="47"/>
      <c r="AH117" s="47"/>
    </row>
    <row r="118" spans="1:34" ht="14.85" customHeight="1" x14ac:dyDescent="0.3">
      <c r="A118" s="679"/>
      <c r="B118" s="679"/>
      <c r="C118" s="678"/>
      <c r="D118" s="680"/>
      <c r="E118" s="711"/>
      <c r="F118" s="711"/>
      <c r="G118" s="59"/>
      <c r="H118" s="105" t="s">
        <v>1932</v>
      </c>
      <c r="I118" s="106" t="s">
        <v>363</v>
      </c>
      <c r="J118" s="106" t="s">
        <v>363</v>
      </c>
      <c r="K118" s="106" t="s">
        <v>363</v>
      </c>
      <c r="L118" s="107">
        <f t="shared" si="111"/>
        <v>0</v>
      </c>
      <c r="M118" s="1563" t="e">
        <v>#N/A</v>
      </c>
      <c r="N118" s="1565"/>
      <c r="O118" s="107"/>
      <c r="P118" s="107"/>
      <c r="Q118" s="107"/>
      <c r="R118" s="47"/>
      <c r="S118" s="47"/>
      <c r="T118" s="47"/>
      <c r="U118" s="47"/>
      <c r="V118" s="47"/>
      <c r="W118" s="47"/>
      <c r="X118" s="47"/>
      <c r="Y118" s="47"/>
      <c r="Z118" s="47"/>
      <c r="AA118" s="47"/>
      <c r="AB118" s="47"/>
      <c r="AC118" s="47"/>
      <c r="AD118" s="47"/>
      <c r="AE118" s="47"/>
      <c r="AF118" s="47"/>
      <c r="AG118" s="47"/>
      <c r="AH118" s="47"/>
    </row>
    <row r="119" spans="1:34" ht="14.85" customHeight="1" x14ac:dyDescent="0.3">
      <c r="A119" s="112"/>
      <c r="B119" s="112"/>
      <c r="C119" s="310"/>
      <c r="D119" s="649"/>
      <c r="E119" s="109"/>
      <c r="F119" s="109"/>
      <c r="G119" s="59"/>
      <c r="H119" s="108" t="s">
        <v>1933</v>
      </c>
      <c r="I119" s="109" t="s">
        <v>363</v>
      </c>
      <c r="J119" s="109" t="s">
        <v>363</v>
      </c>
      <c r="K119" s="109" t="s">
        <v>363</v>
      </c>
      <c r="L119" s="110">
        <f t="shared" si="111"/>
        <v>0</v>
      </c>
      <c r="M119" s="2249" t="s">
        <v>1934</v>
      </c>
      <c r="N119" s="2251"/>
      <c r="O119" s="110"/>
      <c r="P119" s="110"/>
      <c r="Q119" s="110"/>
      <c r="R119" s="47"/>
      <c r="S119" s="47"/>
      <c r="T119" s="47"/>
      <c r="U119" s="47"/>
      <c r="V119" s="47"/>
      <c r="W119" s="47"/>
      <c r="X119" s="47"/>
      <c r="Y119" s="47"/>
      <c r="Z119" s="47"/>
      <c r="AA119" s="47"/>
      <c r="AB119" s="47"/>
      <c r="AC119" s="47"/>
      <c r="AD119" s="47"/>
      <c r="AE119" s="47"/>
      <c r="AF119" s="47"/>
      <c r="AG119" s="47"/>
      <c r="AH119" s="47"/>
    </row>
    <row r="120" spans="1:34" x14ac:dyDescent="0.3">
      <c r="A120" s="679"/>
      <c r="B120" s="679"/>
      <c r="C120" s="678"/>
      <c r="D120" s="680"/>
      <c r="E120" s="738"/>
      <c r="F120" s="732"/>
      <c r="G120" s="59"/>
      <c r="H120" s="833" t="s">
        <v>1935</v>
      </c>
      <c r="I120" s="834" t="s">
        <v>363</v>
      </c>
      <c r="J120" s="834" t="s">
        <v>363</v>
      </c>
      <c r="K120" s="834" t="s">
        <v>363</v>
      </c>
      <c r="L120" s="835">
        <f>(COUNTIF(I120:K120,"OK"))*33.333333/100</f>
        <v>0</v>
      </c>
      <c r="M120" s="836" t="s">
        <v>606</v>
      </c>
      <c r="N120" s="997"/>
      <c r="O120" s="835" t="s">
        <v>1936</v>
      </c>
      <c r="P120" s="835" t="s">
        <v>1937</v>
      </c>
      <c r="Q120" s="835"/>
      <c r="R120" s="47"/>
      <c r="S120" s="47"/>
      <c r="T120" s="47"/>
      <c r="U120" s="47"/>
      <c r="V120" s="47"/>
      <c r="W120" s="47"/>
      <c r="X120" s="47"/>
      <c r="Y120" s="47"/>
      <c r="Z120" s="47"/>
      <c r="AA120" s="47"/>
      <c r="AB120" s="47"/>
      <c r="AC120" s="47"/>
      <c r="AD120" s="47"/>
      <c r="AE120" s="47"/>
      <c r="AF120" s="47"/>
      <c r="AG120" s="47"/>
      <c r="AH120" s="47"/>
    </row>
    <row r="121" spans="1:34" x14ac:dyDescent="0.3">
      <c r="A121" s="112"/>
      <c r="B121" s="112"/>
      <c r="C121" s="310"/>
      <c r="D121" s="649"/>
      <c r="E121" s="109"/>
      <c r="F121" s="109"/>
      <c r="G121" s="59"/>
      <c r="H121" s="837" t="s">
        <v>1938</v>
      </c>
      <c r="I121" s="838" t="s">
        <v>363</v>
      </c>
      <c r="J121" s="838" t="s">
        <v>363</v>
      </c>
      <c r="K121" s="838" t="s">
        <v>363</v>
      </c>
      <c r="L121" s="839">
        <f t="shared" ref="L121:L122" si="118">(COUNTIF(I121:K121,"OK"))*33.333333/100</f>
        <v>0</v>
      </c>
      <c r="M121" s="836" t="s">
        <v>609</v>
      </c>
      <c r="N121" s="997"/>
      <c r="O121" s="839" t="s">
        <v>1936</v>
      </c>
      <c r="P121" s="839" t="s">
        <v>1937</v>
      </c>
      <c r="Q121" s="839"/>
      <c r="R121" s="47"/>
      <c r="S121" s="47"/>
      <c r="T121" s="47"/>
      <c r="U121" s="47"/>
      <c r="V121" s="47"/>
      <c r="W121" s="47"/>
      <c r="X121" s="47"/>
      <c r="Y121" s="47"/>
      <c r="Z121" s="47"/>
      <c r="AA121" s="47"/>
      <c r="AB121" s="47"/>
      <c r="AC121" s="47"/>
      <c r="AD121" s="47"/>
      <c r="AE121" s="47"/>
      <c r="AF121" s="47"/>
      <c r="AG121" s="47"/>
      <c r="AH121" s="47"/>
    </row>
    <row r="122" spans="1:34" x14ac:dyDescent="0.3">
      <c r="A122" s="679"/>
      <c r="B122" s="679"/>
      <c r="C122" s="678"/>
      <c r="D122" s="680"/>
      <c r="E122" s="711"/>
      <c r="F122" s="711"/>
      <c r="G122" s="59"/>
      <c r="H122" s="837" t="s">
        <v>1939</v>
      </c>
      <c r="I122" s="838" t="s">
        <v>363</v>
      </c>
      <c r="J122" s="838" t="s">
        <v>363</v>
      </c>
      <c r="K122" s="838" t="s">
        <v>363</v>
      </c>
      <c r="L122" s="839">
        <f t="shared" si="118"/>
        <v>0</v>
      </c>
      <c r="M122" s="2269" t="s">
        <v>128</v>
      </c>
      <c r="N122" s="2270"/>
      <c r="O122" s="839" t="s">
        <v>1940</v>
      </c>
      <c r="P122" s="839" t="s">
        <v>1937</v>
      </c>
      <c r="Q122" s="839"/>
      <c r="R122" s="47"/>
      <c r="S122" s="47"/>
      <c r="T122" s="47"/>
      <c r="U122" s="47"/>
      <c r="V122" s="47"/>
      <c r="W122" s="47"/>
      <c r="X122" s="47"/>
      <c r="Y122" s="47"/>
      <c r="Z122" s="47"/>
      <c r="AA122" s="47"/>
      <c r="AB122" s="47"/>
      <c r="AC122" s="47"/>
      <c r="AD122" s="47"/>
      <c r="AE122" s="47"/>
      <c r="AF122" s="47"/>
      <c r="AG122" s="47"/>
      <c r="AH122" s="47"/>
    </row>
    <row r="123" spans="1:34" x14ac:dyDescent="0.3">
      <c r="A123" s="112"/>
      <c r="B123" s="112"/>
      <c r="C123" s="310"/>
      <c r="D123" s="649"/>
      <c r="E123" s="109"/>
      <c r="F123" s="109"/>
      <c r="G123" s="59"/>
      <c r="H123" s="108"/>
      <c r="I123" s="109"/>
      <c r="J123" s="109"/>
      <c r="K123" s="109"/>
      <c r="L123" s="110"/>
      <c r="M123" s="2267" t="s">
        <v>128</v>
      </c>
      <c r="N123" s="2268"/>
      <c r="O123" s="110"/>
      <c r="P123" s="110"/>
      <c r="Q123" s="110"/>
      <c r="R123" s="47"/>
      <c r="S123" s="47"/>
      <c r="T123" s="47"/>
      <c r="U123" s="47"/>
      <c r="V123" s="47"/>
      <c r="W123" s="47"/>
      <c r="X123" s="47"/>
      <c r="Y123" s="47"/>
      <c r="Z123" s="47"/>
      <c r="AA123" s="47"/>
      <c r="AB123" s="47"/>
      <c r="AC123" s="47"/>
      <c r="AD123" s="47"/>
      <c r="AE123" s="47"/>
      <c r="AF123" s="47"/>
      <c r="AG123" s="47"/>
      <c r="AH123" s="47"/>
    </row>
    <row r="124" spans="1:34" x14ac:dyDescent="0.3">
      <c r="A124" s="679"/>
      <c r="B124" s="679"/>
      <c r="C124" s="678"/>
      <c r="D124" s="680"/>
      <c r="E124" s="711"/>
      <c r="F124" s="711"/>
      <c r="G124" s="59"/>
      <c r="H124" s="105"/>
      <c r="I124" s="106"/>
      <c r="J124" s="106"/>
      <c r="K124" s="106"/>
      <c r="L124" s="107"/>
      <c r="M124" s="2271" t="s">
        <v>128</v>
      </c>
      <c r="N124" s="2272"/>
      <c r="O124" s="107"/>
      <c r="P124" s="107"/>
      <c r="Q124" s="107"/>
      <c r="R124" s="47"/>
      <c r="S124" s="47"/>
      <c r="T124" s="47"/>
      <c r="U124" s="47"/>
      <c r="V124" s="47"/>
      <c r="W124" s="47"/>
      <c r="X124" s="47"/>
      <c r="Y124" s="47"/>
      <c r="Z124" s="47"/>
      <c r="AA124" s="47"/>
      <c r="AB124" s="47"/>
      <c r="AC124" s="47"/>
      <c r="AD124" s="47"/>
      <c r="AE124" s="47"/>
      <c r="AF124" s="47"/>
      <c r="AG124" s="47"/>
      <c r="AH124" s="47"/>
    </row>
    <row r="125" spans="1:34" x14ac:dyDescent="0.3">
      <c r="A125" s="112"/>
      <c r="B125" s="112"/>
      <c r="C125" s="310"/>
      <c r="D125" s="649"/>
      <c r="E125" s="109"/>
      <c r="F125" s="109"/>
      <c r="G125" s="59"/>
      <c r="H125" s="108"/>
      <c r="I125" s="109"/>
      <c r="J125" s="109"/>
      <c r="K125" s="109"/>
      <c r="L125" s="110"/>
      <c r="M125" s="2267" t="s">
        <v>128</v>
      </c>
      <c r="N125" s="2268"/>
      <c r="O125" s="110"/>
      <c r="P125" s="110"/>
      <c r="Q125" s="110"/>
      <c r="R125" s="47"/>
      <c r="S125" s="47"/>
      <c r="T125" s="47"/>
      <c r="U125" s="47"/>
      <c r="V125" s="47"/>
      <c r="W125" s="47"/>
      <c r="X125" s="47"/>
      <c r="Y125" s="47"/>
      <c r="Z125" s="47"/>
      <c r="AA125" s="47"/>
      <c r="AB125" s="47"/>
      <c r="AC125" s="47"/>
      <c r="AD125" s="47"/>
      <c r="AE125" s="47"/>
      <c r="AF125" s="47"/>
      <c r="AG125" s="47"/>
      <c r="AH125" s="47"/>
    </row>
    <row r="126" spans="1:34" x14ac:dyDescent="0.3">
      <c r="A126" s="679"/>
      <c r="B126" s="679"/>
      <c r="C126" s="678"/>
      <c r="D126" s="680"/>
      <c r="E126" s="711"/>
      <c r="F126" s="711"/>
      <c r="G126" s="59"/>
      <c r="H126" s="105"/>
      <c r="I126" s="106"/>
      <c r="J126" s="106"/>
      <c r="K126" s="106"/>
      <c r="L126" s="107"/>
      <c r="M126" s="2271" t="s">
        <v>128</v>
      </c>
      <c r="N126" s="2272"/>
      <c r="O126" s="107"/>
      <c r="P126" s="107"/>
      <c r="Q126" s="107"/>
      <c r="R126" s="47"/>
      <c r="S126" s="47"/>
      <c r="T126" s="47"/>
      <c r="U126" s="47"/>
      <c r="V126" s="47"/>
      <c r="W126" s="47"/>
      <c r="X126" s="47"/>
      <c r="Y126" s="47"/>
      <c r="Z126" s="47"/>
      <c r="AA126" s="47"/>
      <c r="AB126" s="47"/>
      <c r="AC126" s="47"/>
      <c r="AD126" s="47"/>
      <c r="AE126" s="47"/>
      <c r="AF126" s="47"/>
      <c r="AG126" s="47"/>
      <c r="AH126" s="47"/>
    </row>
    <row r="127" spans="1:34" x14ac:dyDescent="0.3">
      <c r="A127" s="112"/>
      <c r="B127" s="112"/>
      <c r="C127" s="310"/>
      <c r="D127" s="649"/>
      <c r="E127" s="109"/>
      <c r="F127" s="109"/>
      <c r="G127" s="59"/>
      <c r="H127" s="108"/>
      <c r="I127" s="109"/>
      <c r="J127" s="109"/>
      <c r="K127" s="109"/>
      <c r="L127" s="110"/>
      <c r="M127" s="2267" t="s">
        <v>128</v>
      </c>
      <c r="N127" s="2268"/>
      <c r="O127" s="110"/>
      <c r="P127" s="110"/>
      <c r="Q127" s="110"/>
      <c r="R127" s="47"/>
      <c r="S127" s="47"/>
      <c r="T127" s="47"/>
      <c r="U127" s="47"/>
      <c r="V127" s="47"/>
      <c r="W127" s="47"/>
      <c r="X127" s="47"/>
      <c r="Y127" s="47"/>
      <c r="Z127" s="47"/>
      <c r="AA127" s="47"/>
      <c r="AB127" s="47"/>
      <c r="AC127" s="47"/>
      <c r="AD127" s="47"/>
      <c r="AE127" s="47"/>
      <c r="AF127" s="47"/>
      <c r="AG127" s="47"/>
      <c r="AH127" s="47"/>
    </row>
    <row r="128" spans="1:34" x14ac:dyDescent="0.3">
      <c r="A128" s="679"/>
      <c r="B128" s="679"/>
      <c r="C128" s="678"/>
      <c r="D128" s="680"/>
      <c r="E128" s="711"/>
      <c r="F128" s="711"/>
      <c r="G128" s="59"/>
      <c r="H128" s="105"/>
      <c r="I128" s="106"/>
      <c r="J128" s="106"/>
      <c r="K128" s="106"/>
      <c r="L128" s="107"/>
      <c r="M128" s="2271" t="s">
        <v>128</v>
      </c>
      <c r="N128" s="2272"/>
      <c r="O128" s="107"/>
      <c r="P128" s="107"/>
      <c r="Q128" s="107"/>
      <c r="R128" s="47"/>
      <c r="S128" s="47"/>
      <c r="T128" s="47"/>
      <c r="U128" s="47"/>
      <c r="V128" s="47"/>
      <c r="W128" s="47"/>
      <c r="X128" s="47"/>
      <c r="Y128" s="47"/>
      <c r="Z128" s="47"/>
      <c r="AA128" s="47"/>
      <c r="AB128" s="47"/>
      <c r="AC128" s="47"/>
      <c r="AD128" s="47"/>
      <c r="AE128" s="47"/>
      <c r="AF128" s="47"/>
      <c r="AG128" s="47"/>
      <c r="AH128" s="47"/>
    </row>
    <row r="129" spans="1:34" x14ac:dyDescent="0.3">
      <c r="A129" s="112"/>
      <c r="B129" s="112"/>
      <c r="C129" s="310"/>
      <c r="D129" s="649"/>
      <c r="E129" s="109"/>
      <c r="F129" s="109"/>
      <c r="G129" s="59"/>
      <c r="H129" s="108"/>
      <c r="I129" s="109"/>
      <c r="J129" s="109"/>
      <c r="K129" s="109"/>
      <c r="L129" s="110"/>
      <c r="M129" s="2267" t="s">
        <v>128</v>
      </c>
      <c r="N129" s="2268"/>
      <c r="O129" s="110"/>
      <c r="P129" s="110"/>
      <c r="Q129" s="110"/>
      <c r="R129" s="47"/>
      <c r="S129" s="47"/>
      <c r="T129" s="47"/>
      <c r="U129" s="47"/>
      <c r="V129" s="47"/>
      <c r="W129" s="47"/>
      <c r="X129" s="47"/>
      <c r="Y129" s="47"/>
      <c r="Z129" s="47"/>
      <c r="AA129" s="47"/>
      <c r="AB129" s="47"/>
      <c r="AC129" s="47"/>
      <c r="AD129" s="47"/>
      <c r="AE129" s="47"/>
      <c r="AF129" s="47"/>
      <c r="AG129" s="47"/>
      <c r="AH129" s="47"/>
    </row>
    <row r="130" spans="1:34" ht="15.6" x14ac:dyDescent="0.3">
      <c r="A130" s="679"/>
      <c r="B130" s="679"/>
      <c r="C130" s="678"/>
      <c r="D130" s="680"/>
      <c r="E130" s="711"/>
      <c r="F130" s="711"/>
      <c r="G130" s="59"/>
      <c r="H130" s="155"/>
      <c r="I130" s="104">
        <f>COUNTIF(I110:I129,"OK")/(COUNTIF(I110:I129,"OK")+COUNTIF(I110:I129,"Não OK"))</f>
        <v>0.30769230769230771</v>
      </c>
      <c r="J130" s="443">
        <f>COUNTIF(J110:J129,"OK")/(COUNTIF(J110:J129,"OK")+COUNTIF(J110:J129,"Não OK"))</f>
        <v>0</v>
      </c>
      <c r="K130" s="443">
        <f>COUNTIF(K110:K129,"OK")/(COUNTIF(K110:K129,"OK")+COUNTIF(K110:K129,"Não OK"))</f>
        <v>0</v>
      </c>
      <c r="L130" s="104">
        <f>AVERAGE(L110:L129)</f>
        <v>0.10256410153846154</v>
      </c>
      <c r="M130" s="548"/>
      <c r="N130" s="996"/>
      <c r="O130" s="104"/>
      <c r="P130" s="104"/>
      <c r="Q130" s="47"/>
      <c r="R130" s="47"/>
      <c r="S130" s="47"/>
      <c r="T130" s="47"/>
      <c r="U130" s="47"/>
      <c r="V130" s="47"/>
      <c r="W130" s="47"/>
      <c r="X130" s="47"/>
      <c r="Y130" s="47"/>
      <c r="Z130" s="47"/>
      <c r="AA130" s="47"/>
      <c r="AB130" s="47"/>
      <c r="AC130" s="47"/>
      <c r="AD130" s="47"/>
      <c r="AE130" s="47"/>
      <c r="AF130" s="47"/>
      <c r="AG130" s="47"/>
      <c r="AH130" s="47"/>
    </row>
    <row r="131" spans="1:34" x14ac:dyDescent="0.3">
      <c r="A131" s="112"/>
      <c r="B131" s="112"/>
      <c r="C131" s="310"/>
      <c r="D131" s="649"/>
      <c r="E131" s="109"/>
      <c r="F131" s="109"/>
      <c r="G131" s="59"/>
      <c r="H131" s="47"/>
      <c r="I131" s="47"/>
      <c r="J131" s="47"/>
      <c r="K131" s="47"/>
      <c r="L131" s="47"/>
      <c r="M131" s="47"/>
      <c r="N131" s="832"/>
      <c r="O131" s="47"/>
      <c r="P131" s="47"/>
      <c r="Q131" s="47"/>
      <c r="R131" s="47"/>
      <c r="S131" s="47"/>
      <c r="T131" s="47"/>
      <c r="U131" s="47"/>
      <c r="V131" s="47"/>
      <c r="W131" s="47"/>
      <c r="X131" s="47"/>
      <c r="Y131" s="47"/>
      <c r="Z131" s="47"/>
      <c r="AA131" s="47"/>
      <c r="AB131" s="47"/>
      <c r="AC131" s="47"/>
      <c r="AD131" s="47"/>
      <c r="AE131" s="47"/>
      <c r="AF131" s="47"/>
      <c r="AG131" s="47"/>
      <c r="AH131" s="47"/>
    </row>
    <row r="132" spans="1:34" ht="14.85" customHeight="1" x14ac:dyDescent="0.3">
      <c r="A132" s="679"/>
      <c r="B132" s="679"/>
      <c r="C132" s="678"/>
      <c r="D132" s="680"/>
      <c r="E132" s="711"/>
      <c r="F132" s="711"/>
      <c r="G132" s="59"/>
      <c r="H132" s="368" t="s">
        <v>675</v>
      </c>
      <c r="I132" s="368"/>
      <c r="J132" s="368"/>
      <c r="K132" s="368"/>
      <c r="L132" s="99"/>
      <c r="M132" s="99"/>
      <c r="N132" s="998"/>
      <c r="O132" s="369"/>
      <c r="P132" s="47"/>
      <c r="Q132" s="47"/>
      <c r="R132" s="47"/>
      <c r="S132" s="47"/>
      <c r="T132" s="47"/>
      <c r="U132" s="47"/>
      <c r="V132" s="47"/>
      <c r="W132" s="47"/>
      <c r="X132" s="47"/>
      <c r="Y132" s="47"/>
      <c r="Z132" s="47"/>
      <c r="AA132" s="47"/>
      <c r="AB132" s="47"/>
      <c r="AC132" s="47"/>
      <c r="AD132" s="47"/>
      <c r="AE132" s="47"/>
      <c r="AF132" s="47"/>
      <c r="AG132" s="47"/>
      <c r="AH132" s="47"/>
    </row>
    <row r="133" spans="1:34" ht="14.85" customHeight="1" x14ac:dyDescent="0.3">
      <c r="A133" s="112"/>
      <c r="B133" s="112"/>
      <c r="C133" s="310"/>
      <c r="D133" s="649"/>
      <c r="E133" s="109"/>
      <c r="F133" s="109"/>
      <c r="G133" s="47"/>
      <c r="H133" s="312" t="s">
        <v>77</v>
      </c>
      <c r="I133" s="312" t="s">
        <v>78</v>
      </c>
      <c r="J133" s="312" t="s">
        <v>80</v>
      </c>
      <c r="K133" s="312" t="s">
        <v>79</v>
      </c>
      <c r="L133" s="312" t="s">
        <v>78</v>
      </c>
      <c r="M133" s="312" t="s">
        <v>79</v>
      </c>
      <c r="N133" s="999" t="s">
        <v>80</v>
      </c>
      <c r="O133" s="369"/>
      <c r="P133" s="47"/>
      <c r="Q133" s="47"/>
      <c r="R133" s="47"/>
      <c r="S133" s="47"/>
      <c r="T133" s="47"/>
      <c r="U133" s="47"/>
      <c r="V133" s="47"/>
      <c r="W133" s="47"/>
      <c r="X133" s="47"/>
      <c r="Y133" s="47"/>
      <c r="Z133" s="47"/>
      <c r="AA133" s="47"/>
      <c r="AB133" s="47"/>
      <c r="AC133" s="47"/>
      <c r="AD133" s="47"/>
      <c r="AE133" s="47"/>
      <c r="AF133" s="47"/>
      <c r="AG133" s="47"/>
      <c r="AH133" s="47"/>
    </row>
    <row r="134" spans="1:34" x14ac:dyDescent="0.3">
      <c r="A134" s="679"/>
      <c r="B134" s="679"/>
      <c r="C134" s="678"/>
      <c r="D134" s="680"/>
      <c r="E134" s="711"/>
      <c r="F134" s="711"/>
      <c r="G134" s="47"/>
      <c r="H134" s="677" t="s">
        <v>82</v>
      </c>
      <c r="I134" s="319">
        <f>E109</f>
        <v>1</v>
      </c>
      <c r="J134" s="299">
        <v>1</v>
      </c>
      <c r="K134" s="297"/>
      <c r="L134" s="299">
        <f>IF(I134=0,"0",I134/J134)</f>
        <v>1</v>
      </c>
      <c r="M134" s="319">
        <f>F109</f>
        <v>1</v>
      </c>
      <c r="N134" s="1000">
        <v>1</v>
      </c>
      <c r="O134" s="369"/>
      <c r="P134" s="47"/>
      <c r="Q134" s="47"/>
      <c r="R134" s="47"/>
      <c r="S134" s="47"/>
      <c r="T134" s="47"/>
      <c r="U134" s="47"/>
      <c r="V134" s="47"/>
      <c r="W134" s="47"/>
      <c r="X134" s="47"/>
      <c r="Y134" s="47"/>
      <c r="Z134" s="47"/>
      <c r="AA134" s="47"/>
      <c r="AB134" s="47"/>
      <c r="AC134" s="47"/>
      <c r="AD134" s="47"/>
      <c r="AE134" s="47"/>
      <c r="AF134" s="47"/>
      <c r="AG134" s="47"/>
      <c r="AH134" s="47"/>
    </row>
    <row r="135" spans="1:34" x14ac:dyDescent="0.3">
      <c r="A135" s="112"/>
      <c r="B135" s="112"/>
      <c r="C135" s="310"/>
      <c r="D135" s="649"/>
      <c r="E135" s="109"/>
      <c r="F135" s="109"/>
      <c r="G135" s="47"/>
      <c r="H135" s="681" t="s">
        <v>84</v>
      </c>
      <c r="I135" s="695">
        <f>E110</f>
        <v>1</v>
      </c>
      <c r="J135" s="694">
        <v>1</v>
      </c>
      <c r="K135" s="693"/>
      <c r="L135" s="694">
        <f>IF(I135=0,"0",I135/J135)</f>
        <v>1</v>
      </c>
      <c r="M135" s="695">
        <f>F110</f>
        <v>1</v>
      </c>
      <c r="N135" s="1001">
        <v>1</v>
      </c>
      <c r="O135" s="369"/>
      <c r="P135" s="47"/>
      <c r="Q135" s="47"/>
      <c r="R135" s="47"/>
      <c r="S135" s="47"/>
      <c r="T135" s="47"/>
      <c r="U135" s="47"/>
      <c r="V135" s="47"/>
      <c r="W135" s="47"/>
      <c r="X135" s="47"/>
      <c r="Y135" s="47"/>
      <c r="Z135" s="47"/>
      <c r="AA135" s="47"/>
      <c r="AB135" s="47"/>
      <c r="AC135" s="47"/>
      <c r="AD135" s="47"/>
      <c r="AE135" s="47"/>
      <c r="AF135" s="47"/>
      <c r="AG135" s="47"/>
      <c r="AH135" s="47"/>
    </row>
    <row r="136" spans="1:34" ht="14.85" customHeight="1" x14ac:dyDescent="0.3">
      <c r="A136" s="679"/>
      <c r="B136" s="679"/>
      <c r="C136" s="678"/>
      <c r="D136" s="680"/>
      <c r="E136" s="711"/>
      <c r="F136" s="711"/>
      <c r="G136" s="47"/>
      <c r="H136" s="329" t="s">
        <v>86</v>
      </c>
      <c r="I136" s="319">
        <f>AVERAGE(E112:E114)</f>
        <v>1</v>
      </c>
      <c r="J136" s="299">
        <v>1</v>
      </c>
      <c r="K136" s="297"/>
      <c r="L136" s="299">
        <f>IF(I136=0,"0",I136/J136)</f>
        <v>1</v>
      </c>
      <c r="M136" s="319">
        <f>AVERAGE(F112:F114)</f>
        <v>0.91666666666666663</v>
      </c>
      <c r="N136" s="1000">
        <v>1</v>
      </c>
      <c r="O136" s="369"/>
      <c r="P136" s="47"/>
      <c r="Q136" s="47"/>
      <c r="R136" s="47"/>
      <c r="S136" s="47"/>
      <c r="T136" s="47"/>
      <c r="U136" s="47"/>
      <c r="V136" s="47"/>
      <c r="W136" s="47"/>
      <c r="X136" s="47"/>
      <c r="Y136" s="47"/>
      <c r="Z136" s="47"/>
      <c r="AA136" s="47"/>
      <c r="AB136" s="47"/>
      <c r="AC136" s="47"/>
      <c r="AD136" s="47"/>
      <c r="AE136" s="47"/>
      <c r="AF136" s="47"/>
      <c r="AG136" s="47"/>
      <c r="AH136" s="47"/>
    </row>
    <row r="137" spans="1:34" ht="21" x14ac:dyDescent="0.3">
      <c r="A137" s="100"/>
      <c r="B137" s="100"/>
      <c r="C137" s="100"/>
      <c r="D137" s="113"/>
      <c r="E137" s="113">
        <f>AVERAGE(E109:E114)</f>
        <v>1</v>
      </c>
      <c r="F137" s="113">
        <f>AVERAGE(F109:F114)</f>
        <v>0.95833333333333337</v>
      </c>
      <c r="G137" s="47"/>
      <c r="H137" s="681" t="s">
        <v>88</v>
      </c>
      <c r="I137" s="695">
        <f>E111</f>
        <v>1</v>
      </c>
      <c r="J137" s="694">
        <v>1</v>
      </c>
      <c r="K137" s="693"/>
      <c r="L137" s="694">
        <f>IF(I137=0,"0",I137/J137)</f>
        <v>1</v>
      </c>
      <c r="M137" s="695">
        <f>F111</f>
        <v>1</v>
      </c>
      <c r="N137" s="1001">
        <v>1</v>
      </c>
      <c r="O137" s="369"/>
      <c r="P137" s="47"/>
      <c r="Q137" s="47"/>
      <c r="R137" s="47"/>
      <c r="S137" s="47"/>
      <c r="T137" s="47"/>
      <c r="U137" s="47"/>
      <c r="V137" s="47"/>
      <c r="W137" s="47"/>
      <c r="X137" s="47"/>
      <c r="Y137" s="47"/>
      <c r="Z137" s="47"/>
      <c r="AA137" s="47"/>
      <c r="AB137" s="47"/>
      <c r="AC137" s="47"/>
      <c r="AD137" s="47"/>
      <c r="AE137" s="47"/>
      <c r="AF137" s="47"/>
      <c r="AG137" s="47"/>
      <c r="AH137" s="47"/>
    </row>
    <row r="138" spans="1:34" x14ac:dyDescent="0.3">
      <c r="G138" s="47"/>
      <c r="H138" s="517"/>
      <c r="I138" s="369"/>
      <c r="J138" s="369"/>
      <c r="K138" s="369"/>
      <c r="L138" s="369"/>
      <c r="M138" s="369"/>
      <c r="N138" s="1002"/>
      <c r="O138" s="369"/>
      <c r="P138" s="47"/>
      <c r="Q138" s="47"/>
      <c r="R138" s="47"/>
      <c r="S138" s="47"/>
      <c r="T138" s="47"/>
      <c r="U138" s="47"/>
      <c r="V138" s="47"/>
      <c r="W138" s="47"/>
      <c r="X138" s="47"/>
      <c r="Y138" s="47"/>
      <c r="Z138" s="47"/>
      <c r="AA138" s="47"/>
      <c r="AB138" s="47"/>
      <c r="AC138" s="47"/>
      <c r="AD138" s="47"/>
      <c r="AE138" s="47"/>
      <c r="AF138" s="47"/>
      <c r="AG138" s="47"/>
      <c r="AH138" s="47"/>
    </row>
    <row r="139" spans="1:34" x14ac:dyDescent="0.3">
      <c r="G139" s="47"/>
      <c r="H139" s="312" t="s">
        <v>666</v>
      </c>
      <c r="I139" s="312" t="s">
        <v>667</v>
      </c>
      <c r="J139" s="312" t="s">
        <v>668</v>
      </c>
      <c r="K139" s="312" t="s">
        <v>669</v>
      </c>
      <c r="L139" s="312" t="s">
        <v>670</v>
      </c>
      <c r="M139" s="312" t="s">
        <v>671</v>
      </c>
      <c r="N139" s="999" t="s">
        <v>672</v>
      </c>
      <c r="O139" s="312" t="s">
        <v>673</v>
      </c>
      <c r="P139" s="312" t="s">
        <v>674</v>
      </c>
      <c r="Q139" s="47"/>
      <c r="R139" s="47"/>
      <c r="S139" s="47"/>
      <c r="T139" s="47"/>
      <c r="U139" s="47"/>
      <c r="V139" s="47"/>
      <c r="W139" s="47"/>
      <c r="X139" s="47"/>
      <c r="Y139" s="47"/>
      <c r="Z139" s="47"/>
      <c r="AA139" s="47"/>
      <c r="AB139" s="47"/>
      <c r="AC139" s="47"/>
      <c r="AD139" s="47"/>
      <c r="AE139" s="47"/>
      <c r="AF139" s="47"/>
      <c r="AG139" s="47"/>
      <c r="AH139" s="47"/>
    </row>
    <row r="140" spans="1:34" x14ac:dyDescent="0.3">
      <c r="G140" s="47"/>
      <c r="H140" s="297">
        <v>1</v>
      </c>
      <c r="I140" s="297">
        <v>3</v>
      </c>
      <c r="J140" s="297"/>
      <c r="K140" s="300"/>
      <c r="L140" s="299">
        <f>AVERAGE(E109:E111)</f>
        <v>1</v>
      </c>
      <c r="M140" s="297"/>
      <c r="N140" s="1000"/>
      <c r="O140" s="299">
        <f>AVERAGE(F109:F111)</f>
        <v>1</v>
      </c>
      <c r="P140" s="298"/>
      <c r="Q140" s="47"/>
      <c r="R140" s="47"/>
      <c r="S140" s="47"/>
      <c r="T140" s="47"/>
      <c r="U140" s="47"/>
      <c r="V140" s="47"/>
      <c r="W140" s="47"/>
      <c r="X140" s="47"/>
      <c r="Y140" s="47"/>
      <c r="Z140" s="47"/>
      <c r="AA140" s="47"/>
      <c r="AB140" s="47"/>
      <c r="AC140" s="47"/>
      <c r="AD140" s="47"/>
      <c r="AE140" s="47"/>
      <c r="AF140" s="47"/>
      <c r="AG140" s="47"/>
      <c r="AH140" s="47"/>
    </row>
    <row r="141" spans="1:34" x14ac:dyDescent="0.3">
      <c r="G141" s="47"/>
      <c r="H141" s="693">
        <v>2</v>
      </c>
      <c r="I141" s="693">
        <v>3</v>
      </c>
      <c r="J141" s="693"/>
      <c r="K141" s="693"/>
      <c r="L141" s="694">
        <f>AVERAGE(E112:E114)</f>
        <v>1</v>
      </c>
      <c r="M141" s="693"/>
      <c r="N141" s="1001"/>
      <c r="O141" s="694">
        <f>AVERAGE(F112:F114)</f>
        <v>0.91666666666666663</v>
      </c>
      <c r="P141" s="336"/>
      <c r="Q141" s="47"/>
      <c r="R141" s="47"/>
      <c r="S141" s="47"/>
      <c r="T141" s="47"/>
      <c r="U141" s="47"/>
      <c r="V141" s="47"/>
      <c r="W141" s="47"/>
      <c r="X141" s="47"/>
      <c r="Y141" s="47"/>
      <c r="Z141" s="47"/>
      <c r="AA141" s="47"/>
      <c r="AB141" s="47"/>
      <c r="AC141" s="47"/>
      <c r="AD141" s="47"/>
      <c r="AE141" s="47"/>
      <c r="AF141" s="47"/>
      <c r="AG141" s="47"/>
      <c r="AH141" s="47"/>
    </row>
    <row r="142" spans="1:34" x14ac:dyDescent="0.3">
      <c r="G142" s="47"/>
      <c r="H142" s="297">
        <v>3</v>
      </c>
      <c r="I142" s="297">
        <f>COUNTIF($D$109:$D$136,H142)</f>
        <v>0</v>
      </c>
      <c r="J142" s="297"/>
      <c r="K142" s="300"/>
      <c r="L142" s="299" t="e">
        <f>COUNTIFS(E111:E157,"OK",D111:D157,H142)/I142</f>
        <v>#DIV/0!</v>
      </c>
      <c r="M142" s="297"/>
      <c r="N142" s="1000"/>
      <c r="O142" s="299" t="e">
        <f>J142/I142</f>
        <v>#DIV/0!</v>
      </c>
      <c r="P142" s="298"/>
      <c r="Q142" s="47"/>
      <c r="R142" s="47"/>
      <c r="S142" s="47"/>
      <c r="T142" s="47"/>
      <c r="U142" s="47"/>
      <c r="V142" s="47"/>
      <c r="W142" s="47"/>
      <c r="X142" s="47"/>
      <c r="Y142" s="47"/>
      <c r="Z142" s="47"/>
      <c r="AA142" s="47"/>
      <c r="AB142" s="47"/>
      <c r="AC142" s="47"/>
      <c r="AD142" s="47"/>
      <c r="AE142" s="47"/>
      <c r="AF142" s="47"/>
      <c r="AG142" s="47"/>
      <c r="AH142" s="47"/>
    </row>
    <row r="143" spans="1:34" x14ac:dyDescent="0.3">
      <c r="G143" s="47"/>
      <c r="H143" s="312" t="s">
        <v>149</v>
      </c>
      <c r="I143" s="312">
        <f>SUM(I140:I142)</f>
        <v>6</v>
      </c>
      <c r="J143" s="312"/>
      <c r="K143" s="312"/>
      <c r="L143" s="312"/>
      <c r="M143" s="312"/>
      <c r="N143" s="999"/>
      <c r="O143" s="312"/>
      <c r="P143" s="312"/>
      <c r="Q143" s="47"/>
      <c r="R143" s="47"/>
      <c r="S143" s="47"/>
      <c r="T143" s="47"/>
      <c r="U143" s="47"/>
      <c r="V143" s="47"/>
      <c r="W143" s="47"/>
      <c r="X143" s="47"/>
      <c r="Y143" s="47"/>
      <c r="Z143" s="47"/>
      <c r="AA143" s="47"/>
      <c r="AB143" s="47"/>
      <c r="AC143" s="47"/>
      <c r="AD143" s="47"/>
      <c r="AE143" s="47"/>
      <c r="AF143" s="47"/>
      <c r="AG143" s="47"/>
      <c r="AH143" s="47"/>
    </row>
    <row r="144" spans="1:34" x14ac:dyDescent="0.3">
      <c r="G144" s="47"/>
      <c r="H144" s="609" t="s">
        <v>1536</v>
      </c>
      <c r="P144" s="47"/>
      <c r="Q144" s="47"/>
      <c r="R144" s="47"/>
      <c r="S144" s="47"/>
      <c r="T144" s="47"/>
      <c r="U144" s="47"/>
      <c r="V144" s="47"/>
      <c r="W144" s="47"/>
      <c r="X144" s="47"/>
      <c r="Y144" s="47"/>
      <c r="Z144" s="47"/>
      <c r="AA144" s="47"/>
      <c r="AB144" s="47"/>
      <c r="AC144" s="47"/>
      <c r="AD144" s="47"/>
      <c r="AE144" s="47"/>
      <c r="AF144" s="47"/>
      <c r="AG144" s="47"/>
      <c r="AH144" s="47"/>
    </row>
    <row r="145" spans="1:34" x14ac:dyDescent="0.3">
      <c r="G145" s="47"/>
      <c r="H145" s="47"/>
      <c r="I145" s="47"/>
      <c r="J145" s="47"/>
      <c r="K145" s="47"/>
      <c r="L145" s="47"/>
      <c r="M145" s="47"/>
      <c r="N145" s="832"/>
      <c r="O145" s="47"/>
      <c r="P145" s="47"/>
      <c r="Q145" s="47"/>
      <c r="R145" s="47"/>
      <c r="S145" s="47"/>
      <c r="T145" s="47"/>
      <c r="U145" s="47"/>
      <c r="V145" s="47"/>
      <c r="W145" s="47"/>
      <c r="X145" s="47"/>
      <c r="Y145" s="47"/>
      <c r="Z145" s="47"/>
      <c r="AA145" s="47"/>
      <c r="AB145" s="47"/>
      <c r="AC145" s="47"/>
      <c r="AD145" s="47"/>
      <c r="AE145" s="47"/>
      <c r="AF145" s="47"/>
      <c r="AG145" s="47"/>
      <c r="AH145" s="47"/>
    </row>
    <row r="146" spans="1:34" x14ac:dyDescent="0.3">
      <c r="G146" s="47"/>
      <c r="H146" s="47"/>
      <c r="I146" s="47"/>
      <c r="J146" s="47"/>
      <c r="K146" s="47"/>
      <c r="L146" s="47"/>
      <c r="M146" s="47"/>
      <c r="N146" s="832"/>
      <c r="O146" s="47"/>
      <c r="P146" s="47"/>
      <c r="Q146" s="47"/>
      <c r="R146" s="47"/>
      <c r="S146" s="47"/>
      <c r="T146" s="47"/>
      <c r="U146" s="47"/>
      <c r="V146" s="47"/>
      <c r="W146" s="47"/>
      <c r="X146" s="47"/>
      <c r="Y146" s="47"/>
      <c r="Z146" s="47"/>
      <c r="AA146" s="47"/>
      <c r="AB146" s="47"/>
      <c r="AC146" s="47"/>
      <c r="AD146" s="47"/>
      <c r="AE146" s="47"/>
      <c r="AF146" s="47"/>
      <c r="AG146" s="47"/>
      <c r="AH146" s="47"/>
    </row>
    <row r="147" spans="1:34" x14ac:dyDescent="0.3">
      <c r="G147" s="47"/>
      <c r="H147" s="47"/>
      <c r="I147" s="47"/>
      <c r="J147" s="47"/>
      <c r="K147" s="47"/>
      <c r="L147" s="47"/>
      <c r="M147" s="47"/>
      <c r="N147" s="832"/>
      <c r="O147" s="47"/>
      <c r="P147" s="47"/>
      <c r="Q147" s="47"/>
      <c r="R147" s="47"/>
      <c r="S147" s="47"/>
      <c r="T147" s="47"/>
      <c r="U147" s="47"/>
      <c r="V147" s="47"/>
      <c r="W147" s="47"/>
      <c r="X147" s="47"/>
      <c r="Y147" s="47"/>
      <c r="Z147" s="47"/>
      <c r="AA147" s="47"/>
      <c r="AB147" s="47"/>
      <c r="AC147" s="47"/>
      <c r="AD147" s="47"/>
      <c r="AE147" s="47"/>
      <c r="AF147" s="47"/>
      <c r="AG147" s="47"/>
      <c r="AH147" s="47"/>
    </row>
    <row r="148" spans="1:34" x14ac:dyDescent="0.3">
      <c r="G148" s="47"/>
      <c r="H148" s="47"/>
      <c r="I148" s="47"/>
      <c r="J148" s="47"/>
      <c r="K148" s="47"/>
      <c r="L148" s="47"/>
      <c r="M148" s="47"/>
      <c r="N148" s="832"/>
      <c r="O148" s="47"/>
      <c r="P148" s="47"/>
      <c r="Q148" s="47"/>
      <c r="R148" s="47"/>
      <c r="S148" s="47"/>
      <c r="T148" s="47"/>
      <c r="U148" s="47"/>
      <c r="V148" s="47"/>
      <c r="W148" s="47"/>
      <c r="X148" s="47"/>
      <c r="Y148" s="47"/>
      <c r="Z148" s="47"/>
      <c r="AA148" s="47"/>
      <c r="AB148" s="47"/>
      <c r="AC148" s="47"/>
      <c r="AD148" s="47"/>
      <c r="AE148" s="47"/>
      <c r="AF148" s="47"/>
      <c r="AG148" s="47"/>
      <c r="AH148" s="47"/>
    </row>
    <row r="149" spans="1:34" x14ac:dyDescent="0.3">
      <c r="G149" s="47"/>
      <c r="H149" s="47"/>
      <c r="I149" s="47"/>
      <c r="J149" s="47"/>
      <c r="K149" s="47"/>
      <c r="L149" s="47"/>
      <c r="M149" s="47"/>
      <c r="N149" s="832"/>
      <c r="O149" s="47"/>
      <c r="P149" s="47"/>
      <c r="Q149" s="47"/>
      <c r="R149" s="47"/>
      <c r="S149" s="47"/>
      <c r="T149" s="47"/>
      <c r="U149" s="47"/>
      <c r="V149" s="47"/>
      <c r="W149" s="47"/>
      <c r="X149" s="47"/>
      <c r="Y149" s="47"/>
      <c r="Z149" s="47"/>
      <c r="AA149" s="47"/>
      <c r="AB149" s="47"/>
      <c r="AC149" s="47"/>
      <c r="AD149" s="47"/>
      <c r="AE149" s="47"/>
      <c r="AF149" s="47"/>
      <c r="AG149" s="47"/>
      <c r="AH149" s="47"/>
    </row>
    <row r="150" spans="1:34" x14ac:dyDescent="0.3">
      <c r="G150" s="47"/>
      <c r="H150" s="47"/>
      <c r="I150" s="47"/>
      <c r="J150" s="47"/>
      <c r="K150" s="47"/>
      <c r="L150" s="47"/>
      <c r="M150" s="47"/>
      <c r="N150" s="832"/>
      <c r="O150" s="47"/>
      <c r="P150" s="47"/>
      <c r="Q150" s="47"/>
      <c r="R150" s="47"/>
      <c r="S150" s="47"/>
      <c r="T150" s="47"/>
      <c r="U150" s="47"/>
      <c r="V150" s="47"/>
      <c r="W150" s="47"/>
      <c r="X150" s="47"/>
      <c r="Y150" s="47"/>
      <c r="Z150" s="47"/>
      <c r="AA150" s="47"/>
      <c r="AB150" s="47"/>
      <c r="AC150" s="47"/>
      <c r="AD150" s="47"/>
      <c r="AE150" s="47"/>
      <c r="AF150" s="47"/>
      <c r="AG150" s="47"/>
      <c r="AH150" s="47"/>
    </row>
    <row r="151" spans="1:34" x14ac:dyDescent="0.3">
      <c r="G151" s="47"/>
      <c r="H151" s="47"/>
      <c r="I151" s="47"/>
      <c r="J151" s="47"/>
      <c r="K151" s="47"/>
      <c r="L151" s="47"/>
      <c r="M151" s="47"/>
      <c r="N151" s="832"/>
      <c r="O151" s="47"/>
      <c r="P151" s="47"/>
      <c r="Q151" s="47"/>
      <c r="R151" s="47"/>
      <c r="S151" s="47"/>
      <c r="T151" s="47"/>
      <c r="U151" s="47"/>
      <c r="V151" s="47"/>
      <c r="W151" s="47"/>
      <c r="X151" s="47"/>
      <c r="Y151" s="47"/>
      <c r="Z151" s="47"/>
      <c r="AA151" s="47"/>
      <c r="AB151" s="47"/>
      <c r="AC151" s="47"/>
      <c r="AD151" s="47"/>
      <c r="AE151" s="47"/>
      <c r="AF151" s="47"/>
      <c r="AG151" s="47"/>
      <c r="AH151" s="47"/>
    </row>
    <row r="152" spans="1:34" x14ac:dyDescent="0.3">
      <c r="G152" s="47"/>
      <c r="H152" s="47"/>
      <c r="I152" s="47"/>
      <c r="J152" s="47"/>
      <c r="K152" s="47"/>
      <c r="L152" s="47"/>
      <c r="M152" s="47"/>
      <c r="N152" s="832"/>
      <c r="O152" s="47"/>
      <c r="P152" s="47"/>
      <c r="Q152" s="47"/>
      <c r="R152" s="47"/>
      <c r="S152" s="47"/>
      <c r="T152" s="47"/>
      <c r="U152" s="47"/>
      <c r="V152" s="47"/>
      <c r="W152" s="47"/>
      <c r="X152" s="47"/>
      <c r="Y152" s="47"/>
      <c r="Z152" s="47"/>
      <c r="AA152" s="47"/>
      <c r="AB152" s="47"/>
      <c r="AC152" s="47"/>
      <c r="AD152" s="47"/>
      <c r="AE152" s="47"/>
      <c r="AF152" s="47"/>
      <c r="AG152" s="47"/>
      <c r="AH152" s="47"/>
    </row>
    <row r="153" spans="1:34" x14ac:dyDescent="0.3">
      <c r="G153" s="47"/>
      <c r="H153" s="47"/>
      <c r="I153" s="47"/>
      <c r="J153" s="47"/>
      <c r="K153" s="47"/>
      <c r="L153" s="47"/>
      <c r="M153" s="47"/>
      <c r="N153" s="832"/>
      <c r="O153" s="47"/>
      <c r="P153" s="47"/>
      <c r="Q153" s="47"/>
      <c r="R153" s="47"/>
      <c r="S153" s="47"/>
      <c r="T153" s="47"/>
      <c r="U153" s="47"/>
      <c r="V153" s="47"/>
      <c r="W153" s="47"/>
      <c r="X153" s="47"/>
      <c r="Y153" s="47"/>
      <c r="Z153" s="47"/>
      <c r="AA153" s="47"/>
      <c r="AB153" s="47"/>
      <c r="AC153" s="47"/>
      <c r="AD153" s="47"/>
      <c r="AE153" s="47"/>
      <c r="AF153" s="47"/>
      <c r="AG153" s="47"/>
      <c r="AH153" s="47"/>
    </row>
    <row r="154" spans="1:34" x14ac:dyDescent="0.3">
      <c r="G154" s="47"/>
      <c r="H154" s="47"/>
      <c r="I154" s="47"/>
      <c r="J154" s="47"/>
      <c r="K154" s="47"/>
      <c r="L154" s="47"/>
      <c r="M154" s="47"/>
      <c r="N154" s="832"/>
      <c r="O154" s="47"/>
      <c r="P154" s="47"/>
      <c r="Q154" s="47"/>
      <c r="R154" s="47"/>
      <c r="S154" s="47"/>
      <c r="T154" s="47"/>
      <c r="U154" s="47"/>
      <c r="V154" s="47"/>
      <c r="W154" s="47"/>
      <c r="X154" s="47"/>
      <c r="Y154" s="47"/>
      <c r="Z154" s="47"/>
      <c r="AA154" s="47"/>
      <c r="AB154" s="47"/>
      <c r="AC154" s="47"/>
      <c r="AD154" s="47"/>
      <c r="AE154" s="47"/>
      <c r="AF154" s="47"/>
      <c r="AG154" s="47"/>
      <c r="AH154" s="47"/>
    </row>
    <row r="155" spans="1:34" x14ac:dyDescent="0.3">
      <c r="G155" s="47"/>
      <c r="H155" s="47"/>
      <c r="I155" s="47"/>
      <c r="J155" s="47"/>
      <c r="K155" s="47"/>
      <c r="L155" s="47"/>
      <c r="M155" s="47"/>
      <c r="N155" s="832"/>
      <c r="O155" s="47"/>
      <c r="P155" s="47"/>
      <c r="Q155" s="47"/>
      <c r="R155" s="47"/>
      <c r="S155" s="47"/>
      <c r="T155" s="47"/>
      <c r="U155" s="47"/>
      <c r="V155" s="47"/>
      <c r="W155" s="47"/>
      <c r="X155" s="47"/>
      <c r="Y155" s="47"/>
      <c r="Z155" s="47"/>
      <c r="AA155" s="47"/>
      <c r="AB155" s="47"/>
      <c r="AC155" s="47"/>
      <c r="AD155" s="47"/>
      <c r="AE155" s="47"/>
      <c r="AF155" s="47"/>
      <c r="AG155" s="47"/>
      <c r="AH155" s="47"/>
    </row>
    <row r="156" spans="1:34" x14ac:dyDescent="0.3">
      <c r="G156" s="47"/>
      <c r="H156" s="47"/>
      <c r="I156" s="47"/>
      <c r="J156" s="47"/>
      <c r="K156" s="47"/>
      <c r="L156" s="47"/>
      <c r="M156" s="47"/>
      <c r="N156" s="832"/>
      <c r="O156" s="47"/>
      <c r="P156" s="47"/>
      <c r="Q156" s="47"/>
      <c r="R156" s="47"/>
      <c r="S156" s="47"/>
      <c r="T156" s="47"/>
      <c r="U156" s="47"/>
      <c r="V156" s="47"/>
      <c r="W156" s="47"/>
      <c r="X156" s="47"/>
      <c r="Y156" s="47"/>
      <c r="Z156" s="47"/>
      <c r="AA156" s="47"/>
      <c r="AB156" s="47"/>
      <c r="AC156" s="47"/>
      <c r="AD156" s="47"/>
      <c r="AE156" s="47"/>
      <c r="AF156" s="47"/>
      <c r="AG156" s="47"/>
      <c r="AH156" s="47"/>
    </row>
    <row r="157" spans="1:34" x14ac:dyDescent="0.3">
      <c r="A157" s="47"/>
      <c r="B157" s="47"/>
      <c r="C157" s="47"/>
      <c r="D157" s="47"/>
      <c r="E157" s="47"/>
      <c r="F157" s="47"/>
      <c r="G157" s="47"/>
      <c r="H157" s="47"/>
      <c r="I157" s="47"/>
      <c r="J157" s="47"/>
      <c r="K157" s="47"/>
      <c r="L157" s="47"/>
      <c r="M157" s="47"/>
      <c r="N157" s="832"/>
      <c r="O157" s="47"/>
      <c r="P157" s="47"/>
      <c r="Q157" s="47"/>
      <c r="R157" s="47"/>
      <c r="S157" s="47"/>
      <c r="T157" s="47"/>
      <c r="U157" s="47"/>
      <c r="V157" s="47"/>
      <c r="W157" s="47"/>
      <c r="X157" s="47"/>
      <c r="Y157" s="47"/>
      <c r="Z157" s="47"/>
      <c r="AA157" s="47"/>
      <c r="AB157" s="47"/>
      <c r="AC157" s="47"/>
      <c r="AD157" s="47"/>
      <c r="AE157" s="47"/>
      <c r="AF157" s="47"/>
      <c r="AG157" s="47"/>
    </row>
    <row r="158" spans="1:34" ht="21" x14ac:dyDescent="0.3">
      <c r="A158" s="513" t="s">
        <v>676</v>
      </c>
      <c r="B158" s="513" t="s">
        <v>677</v>
      </c>
      <c r="C158" s="513" t="s">
        <v>678</v>
      </c>
      <c r="D158" s="513" t="s">
        <v>679</v>
      </c>
      <c r="E158" s="513" t="s">
        <v>680</v>
      </c>
      <c r="F158" s="523"/>
      <c r="G158" s="47"/>
      <c r="H158" s="47"/>
      <c r="I158" s="47"/>
      <c r="J158" s="47"/>
      <c r="K158" s="47"/>
      <c r="L158" s="47"/>
      <c r="M158" s="47"/>
      <c r="N158" s="832"/>
      <c r="O158" s="47"/>
      <c r="P158" s="47"/>
      <c r="Q158" s="47"/>
      <c r="R158" s="47"/>
      <c r="S158" s="47"/>
      <c r="T158" s="47"/>
      <c r="U158" s="47"/>
      <c r="V158" s="47"/>
      <c r="W158" s="47"/>
      <c r="X158" s="47"/>
      <c r="Y158" s="47"/>
      <c r="Z158" s="47"/>
      <c r="AA158" s="47"/>
      <c r="AB158" s="47"/>
      <c r="AC158" s="47"/>
      <c r="AD158" s="47"/>
      <c r="AE158" s="47"/>
      <c r="AF158" s="47"/>
      <c r="AG158" s="47"/>
    </row>
    <row r="159" spans="1:34" x14ac:dyDescent="0.3">
      <c r="A159" s="515" t="s">
        <v>1662</v>
      </c>
      <c r="B159" s="515" t="s">
        <v>1941</v>
      </c>
      <c r="C159" s="515" t="s">
        <v>1942</v>
      </c>
      <c r="D159" s="515" t="s">
        <v>1943</v>
      </c>
      <c r="E159" s="512"/>
      <c r="F159" s="47"/>
      <c r="G159" s="47"/>
      <c r="H159" s="47"/>
      <c r="I159" s="47"/>
      <c r="J159" s="47"/>
      <c r="K159" s="47"/>
      <c r="L159" s="47"/>
      <c r="M159" s="47"/>
      <c r="N159" s="832"/>
      <c r="O159" s="47"/>
      <c r="P159" s="47"/>
      <c r="Q159" s="47"/>
      <c r="R159" s="47"/>
      <c r="S159" s="47"/>
      <c r="T159" s="47"/>
      <c r="U159" s="47"/>
      <c r="V159" s="47"/>
      <c r="W159" s="47"/>
      <c r="X159" s="47"/>
      <c r="Y159" s="47"/>
      <c r="Z159" s="47"/>
      <c r="AA159" s="47"/>
      <c r="AB159" s="47"/>
      <c r="AC159" s="47"/>
      <c r="AD159" s="47"/>
      <c r="AE159" s="47"/>
      <c r="AF159" s="47"/>
      <c r="AG159" s="47"/>
    </row>
    <row r="160" spans="1:34" x14ac:dyDescent="0.3">
      <c r="A160" s="516" t="s">
        <v>1662</v>
      </c>
      <c r="B160" s="516" t="s">
        <v>1944</v>
      </c>
      <c r="C160" s="516" t="s">
        <v>1945</v>
      </c>
      <c r="D160" s="516" t="s">
        <v>1943</v>
      </c>
      <c r="E160" s="514"/>
      <c r="F160" s="47"/>
      <c r="G160" s="47"/>
      <c r="H160" s="47"/>
      <c r="I160" s="47"/>
      <c r="J160" s="47"/>
      <c r="K160" s="47"/>
      <c r="L160" s="47"/>
      <c r="M160" s="47"/>
      <c r="N160" s="832"/>
      <c r="O160" s="47"/>
      <c r="P160" s="47"/>
      <c r="Q160" s="47"/>
      <c r="R160" s="47"/>
      <c r="S160" s="47"/>
      <c r="T160" s="47"/>
      <c r="U160" s="47"/>
      <c r="V160" s="47"/>
      <c r="W160" s="47"/>
      <c r="X160" s="47"/>
      <c r="Y160" s="47"/>
      <c r="Z160" s="47"/>
      <c r="AA160" s="47"/>
      <c r="AB160" s="47"/>
      <c r="AC160" s="47"/>
      <c r="AD160" s="47"/>
      <c r="AE160" s="47"/>
      <c r="AF160" s="47"/>
      <c r="AG160" s="47"/>
    </row>
    <row r="161" spans="1:33" x14ac:dyDescent="0.3">
      <c r="A161" s="515" t="s">
        <v>1662</v>
      </c>
      <c r="B161" s="515" t="s">
        <v>1946</v>
      </c>
      <c r="C161" s="515" t="s">
        <v>1947</v>
      </c>
      <c r="D161" s="515" t="s">
        <v>1665</v>
      </c>
      <c r="E161" s="512"/>
      <c r="F161" s="47"/>
      <c r="G161" s="47"/>
      <c r="H161" s="47"/>
      <c r="I161" s="47"/>
      <c r="J161" s="47"/>
      <c r="K161" s="47"/>
      <c r="L161" s="47"/>
      <c r="M161" s="47"/>
      <c r="N161" s="832"/>
      <c r="O161" s="47"/>
      <c r="P161" s="47"/>
      <c r="Q161" s="47"/>
      <c r="R161" s="47"/>
      <c r="S161" s="47"/>
      <c r="T161" s="47"/>
      <c r="U161" s="47"/>
      <c r="V161" s="47"/>
      <c r="W161" s="47"/>
      <c r="X161" s="47"/>
      <c r="Y161" s="47"/>
      <c r="Z161" s="47"/>
      <c r="AA161" s="47"/>
      <c r="AB161" s="47"/>
      <c r="AC161" s="47"/>
      <c r="AD161" s="47"/>
      <c r="AE161" s="47"/>
      <c r="AF161" s="47"/>
      <c r="AG161" s="47"/>
    </row>
    <row r="162" spans="1:33" x14ac:dyDescent="0.3">
      <c r="A162" s="516" t="s">
        <v>1662</v>
      </c>
      <c r="B162" s="516" t="s">
        <v>1948</v>
      </c>
      <c r="C162" s="516" t="s">
        <v>1949</v>
      </c>
      <c r="D162" s="516" t="s">
        <v>1943</v>
      </c>
      <c r="E162" s="514"/>
      <c r="F162" s="47"/>
      <c r="G162" s="47"/>
      <c r="H162" s="47"/>
      <c r="I162" s="47"/>
      <c r="J162" s="47"/>
      <c r="K162" s="47"/>
      <c r="L162" s="47"/>
      <c r="M162" s="47"/>
      <c r="N162" s="832"/>
      <c r="O162" s="47"/>
      <c r="P162" s="47"/>
      <c r="Q162" s="47"/>
      <c r="R162" s="47"/>
      <c r="S162" s="47"/>
      <c r="T162" s="47"/>
      <c r="U162" s="47"/>
      <c r="V162" s="47"/>
      <c r="W162" s="47"/>
      <c r="X162" s="47"/>
      <c r="Y162" s="47"/>
      <c r="Z162" s="47"/>
      <c r="AA162" s="47"/>
      <c r="AB162" s="47"/>
      <c r="AC162" s="47"/>
      <c r="AD162" s="47"/>
      <c r="AE162" s="47"/>
      <c r="AF162" s="47"/>
      <c r="AG162" s="47"/>
    </row>
    <row r="163" spans="1:33" x14ac:dyDescent="0.3">
      <c r="A163" s="515" t="s">
        <v>1662</v>
      </c>
      <c r="B163" s="515" t="s">
        <v>1950</v>
      </c>
      <c r="C163" s="515" t="s">
        <v>1951</v>
      </c>
      <c r="D163" s="515" t="s">
        <v>1943</v>
      </c>
      <c r="E163" s="512"/>
      <c r="F163" s="47"/>
      <c r="G163" s="47"/>
      <c r="H163" s="47"/>
      <c r="I163" s="47"/>
      <c r="J163" s="47"/>
      <c r="K163" s="47"/>
      <c r="L163" s="47"/>
      <c r="M163" s="47"/>
      <c r="N163" s="832"/>
      <c r="O163" s="47"/>
      <c r="P163" s="47"/>
      <c r="Q163" s="47"/>
      <c r="R163" s="47"/>
      <c r="S163" s="47"/>
      <c r="T163" s="47"/>
      <c r="U163" s="47"/>
      <c r="V163" s="47"/>
      <c r="W163" s="47"/>
      <c r="X163" s="47"/>
      <c r="Y163" s="47"/>
      <c r="Z163" s="47"/>
      <c r="AA163" s="47"/>
      <c r="AB163" s="47"/>
      <c r="AC163" s="47"/>
      <c r="AD163" s="47"/>
      <c r="AE163" s="47"/>
      <c r="AF163" s="47"/>
      <c r="AG163" s="47"/>
    </row>
    <row r="164" spans="1:33" x14ac:dyDescent="0.3">
      <c r="A164" s="516" t="s">
        <v>1662</v>
      </c>
      <c r="B164" s="516" t="s">
        <v>1952</v>
      </c>
      <c r="C164" s="516" t="s">
        <v>1953</v>
      </c>
      <c r="D164" s="516" t="s">
        <v>1943</v>
      </c>
      <c r="E164" s="514"/>
      <c r="F164" s="47"/>
      <c r="G164" s="47"/>
      <c r="H164" s="47"/>
      <c r="I164" s="47"/>
      <c r="J164" s="47"/>
      <c r="K164" s="47"/>
      <c r="L164" s="47"/>
      <c r="M164" s="47"/>
      <c r="N164" s="832"/>
      <c r="O164" s="47"/>
      <c r="P164" s="47"/>
      <c r="Q164" s="47"/>
      <c r="R164" s="47"/>
      <c r="S164" s="47"/>
      <c r="T164" s="47"/>
      <c r="U164" s="47"/>
      <c r="V164" s="47"/>
      <c r="W164" s="47"/>
      <c r="X164" s="47"/>
      <c r="Y164" s="47"/>
      <c r="Z164" s="47"/>
      <c r="AA164" s="47"/>
      <c r="AB164" s="47"/>
      <c r="AC164" s="47"/>
      <c r="AD164" s="47"/>
      <c r="AE164" s="47"/>
      <c r="AF164" s="47"/>
      <c r="AG164" s="47"/>
    </row>
    <row r="165" spans="1:33" x14ac:dyDescent="0.3">
      <c r="A165" s="515" t="s">
        <v>1662</v>
      </c>
      <c r="B165" s="515" t="s">
        <v>1954</v>
      </c>
      <c r="C165" s="515" t="s">
        <v>1955</v>
      </c>
      <c r="D165" s="515" t="s">
        <v>1665</v>
      </c>
      <c r="E165" s="512"/>
      <c r="F165" s="47"/>
      <c r="G165" s="47"/>
      <c r="H165" s="47"/>
      <c r="I165" s="47"/>
      <c r="J165" s="47"/>
      <c r="K165" s="47"/>
      <c r="L165" s="47"/>
      <c r="M165" s="47"/>
      <c r="N165" s="832"/>
      <c r="O165" s="47"/>
      <c r="P165" s="47"/>
      <c r="Q165" s="47"/>
      <c r="R165" s="47"/>
      <c r="S165" s="47"/>
      <c r="T165" s="47"/>
      <c r="U165" s="47"/>
      <c r="V165" s="47"/>
      <c r="W165" s="47"/>
      <c r="X165" s="47"/>
      <c r="Y165" s="47"/>
      <c r="Z165" s="47"/>
      <c r="AA165" s="47"/>
      <c r="AB165" s="47"/>
      <c r="AC165" s="47"/>
      <c r="AD165" s="47"/>
      <c r="AE165" s="47"/>
      <c r="AF165" s="47"/>
      <c r="AG165" s="47"/>
    </row>
    <row r="166" spans="1:33" x14ac:dyDescent="0.3">
      <c r="A166" s="516" t="s">
        <v>1662</v>
      </c>
      <c r="B166" s="516" t="s">
        <v>1956</v>
      </c>
      <c r="C166" s="516" t="s">
        <v>1957</v>
      </c>
      <c r="D166" s="516" t="s">
        <v>1943</v>
      </c>
      <c r="E166" s="514"/>
      <c r="F166" s="47"/>
      <c r="G166" s="47"/>
      <c r="H166" s="47"/>
      <c r="I166" s="47"/>
      <c r="J166" s="47"/>
      <c r="K166" s="47"/>
      <c r="L166" s="47"/>
      <c r="M166" s="47"/>
      <c r="N166" s="832"/>
      <c r="O166" s="47"/>
      <c r="P166" s="47"/>
      <c r="Q166" s="47"/>
      <c r="R166" s="47"/>
      <c r="S166" s="47"/>
      <c r="T166" s="47"/>
      <c r="U166" s="47"/>
      <c r="V166" s="47"/>
      <c r="W166" s="47"/>
      <c r="X166" s="47"/>
      <c r="Y166" s="47"/>
      <c r="Z166" s="47"/>
      <c r="AA166" s="47"/>
      <c r="AB166" s="47"/>
      <c r="AC166" s="47"/>
      <c r="AD166" s="47"/>
      <c r="AE166" s="47"/>
      <c r="AF166" s="47"/>
      <c r="AG166" s="47"/>
    </row>
    <row r="167" spans="1:33" x14ac:dyDescent="0.3">
      <c r="A167" s="515" t="s">
        <v>1662</v>
      </c>
      <c r="B167" s="515" t="s">
        <v>1958</v>
      </c>
      <c r="C167" s="515" t="s">
        <v>1959</v>
      </c>
      <c r="D167" s="515" t="s">
        <v>1943</v>
      </c>
      <c r="E167" s="512"/>
      <c r="F167" s="47"/>
      <c r="G167" s="47"/>
      <c r="H167" s="47"/>
      <c r="I167" s="47"/>
      <c r="J167" s="47"/>
      <c r="K167" s="47"/>
      <c r="L167" s="47"/>
      <c r="M167" s="47"/>
      <c r="N167" s="832"/>
      <c r="O167" s="47"/>
      <c r="P167" s="47"/>
      <c r="Q167" s="47"/>
      <c r="R167" s="47"/>
      <c r="S167" s="47"/>
      <c r="T167" s="47"/>
      <c r="U167" s="47"/>
      <c r="V167" s="47"/>
      <c r="W167" s="47"/>
      <c r="X167" s="47"/>
      <c r="Y167" s="47"/>
      <c r="Z167" s="47"/>
      <c r="AA167" s="47"/>
      <c r="AB167" s="47"/>
      <c r="AC167" s="47"/>
      <c r="AD167" s="47"/>
      <c r="AE167" s="47"/>
      <c r="AF167" s="47"/>
      <c r="AG167" s="47"/>
    </row>
    <row r="168" spans="1:33" x14ac:dyDescent="0.3">
      <c r="A168" s="516" t="s">
        <v>1662</v>
      </c>
      <c r="B168" s="516" t="s">
        <v>1960</v>
      </c>
      <c r="C168" s="516" t="s">
        <v>1961</v>
      </c>
      <c r="D168" s="516" t="s">
        <v>1943</v>
      </c>
      <c r="E168" s="514"/>
      <c r="F168" s="47"/>
      <c r="G168" s="47"/>
      <c r="H168" s="47"/>
      <c r="I168" s="47"/>
      <c r="J168" s="47"/>
      <c r="K168" s="47"/>
      <c r="L168" s="47"/>
      <c r="M168" s="47"/>
      <c r="N168" s="832"/>
      <c r="O168" s="47"/>
      <c r="P168" s="47"/>
      <c r="Q168" s="47"/>
      <c r="R168" s="47"/>
      <c r="S168" s="47"/>
      <c r="T168" s="47"/>
      <c r="U168" s="47"/>
      <c r="V168" s="47"/>
      <c r="W168" s="47"/>
      <c r="X168" s="47"/>
      <c r="Y168" s="47"/>
      <c r="Z168" s="47"/>
      <c r="AA168" s="47"/>
      <c r="AB168" s="47"/>
      <c r="AC168" s="47"/>
      <c r="AD168" s="47"/>
      <c r="AE168" s="47"/>
      <c r="AF168" s="47"/>
      <c r="AG168" s="47"/>
    </row>
    <row r="169" spans="1:33" x14ac:dyDescent="0.3">
      <c r="A169" s="515" t="s">
        <v>1662</v>
      </c>
      <c r="B169" s="515" t="s">
        <v>1962</v>
      </c>
      <c r="C169" s="515" t="s">
        <v>1963</v>
      </c>
      <c r="D169" s="515" t="s">
        <v>1665</v>
      </c>
      <c r="E169" s="512"/>
      <c r="F169" s="47"/>
      <c r="G169" s="47"/>
      <c r="H169" s="47"/>
      <c r="I169" s="47"/>
      <c r="J169" s="47"/>
      <c r="K169" s="47"/>
      <c r="L169" s="47"/>
      <c r="M169" s="47"/>
      <c r="N169" s="832"/>
      <c r="O169" s="47"/>
      <c r="P169" s="47"/>
      <c r="Q169" s="47"/>
      <c r="R169" s="47"/>
      <c r="S169" s="47"/>
      <c r="T169" s="47"/>
      <c r="U169" s="47"/>
      <c r="V169" s="47"/>
      <c r="W169" s="47"/>
      <c r="X169" s="47"/>
      <c r="Y169" s="47"/>
      <c r="Z169" s="47"/>
      <c r="AA169" s="47"/>
      <c r="AB169" s="47"/>
      <c r="AC169" s="47"/>
      <c r="AD169" s="47"/>
      <c r="AE169" s="47"/>
      <c r="AF169" s="47"/>
      <c r="AG169" s="47"/>
    </row>
    <row r="170" spans="1:33" x14ac:dyDescent="0.3">
      <c r="A170" s="516" t="s">
        <v>1662</v>
      </c>
      <c r="B170" s="516" t="s">
        <v>1916</v>
      </c>
      <c r="C170" s="516" t="s">
        <v>1917</v>
      </c>
      <c r="D170" s="516" t="s">
        <v>1665</v>
      </c>
      <c r="E170" s="514"/>
      <c r="F170" s="47"/>
      <c r="G170" s="47"/>
      <c r="H170" s="47"/>
      <c r="I170" s="47"/>
      <c r="J170" s="47"/>
      <c r="K170" s="47"/>
      <c r="L170" s="47"/>
      <c r="M170" s="47"/>
      <c r="N170" s="832"/>
      <c r="O170" s="47"/>
      <c r="P170" s="47"/>
      <c r="Q170" s="47"/>
      <c r="R170" s="47"/>
      <c r="S170" s="47"/>
      <c r="T170" s="47"/>
      <c r="U170" s="47"/>
      <c r="V170" s="47"/>
      <c r="W170" s="47"/>
      <c r="X170" s="47"/>
      <c r="Y170" s="47"/>
      <c r="Z170" s="47"/>
      <c r="AA170" s="47"/>
      <c r="AB170" s="47"/>
      <c r="AC170" s="47"/>
      <c r="AD170" s="47"/>
      <c r="AE170" s="47"/>
      <c r="AF170" s="47"/>
      <c r="AG170" s="47"/>
    </row>
    <row r="171" spans="1:33" x14ac:dyDescent="0.3">
      <c r="A171" s="515" t="s">
        <v>1662</v>
      </c>
      <c r="B171" s="515" t="s">
        <v>1918</v>
      </c>
      <c r="C171" s="515" t="s">
        <v>1919</v>
      </c>
      <c r="D171" s="515" t="s">
        <v>1943</v>
      </c>
      <c r="E171" s="512"/>
      <c r="F171" s="47"/>
      <c r="G171" s="47"/>
      <c r="H171" s="47"/>
      <c r="I171" s="47"/>
      <c r="J171" s="47"/>
      <c r="K171" s="47"/>
      <c r="L171" s="47"/>
      <c r="M171" s="47"/>
      <c r="N171" s="832"/>
      <c r="O171" s="47"/>
      <c r="P171" s="47"/>
      <c r="Q171" s="47"/>
      <c r="R171" s="47"/>
      <c r="S171" s="47"/>
      <c r="T171" s="47"/>
      <c r="U171" s="47"/>
      <c r="V171" s="47"/>
      <c r="W171" s="47"/>
      <c r="X171" s="47"/>
      <c r="Y171" s="47"/>
      <c r="Z171" s="47"/>
      <c r="AA171" s="47"/>
      <c r="AB171" s="47"/>
      <c r="AC171" s="47"/>
      <c r="AD171" s="47"/>
      <c r="AE171" s="47"/>
      <c r="AF171" s="47"/>
      <c r="AG171" s="47"/>
    </row>
    <row r="172" spans="1:33" x14ac:dyDescent="0.3">
      <c r="A172" s="516" t="s">
        <v>1662</v>
      </c>
      <c r="B172" s="516" t="s">
        <v>1964</v>
      </c>
      <c r="C172" s="516" t="s">
        <v>1965</v>
      </c>
      <c r="D172" s="516" t="s">
        <v>1943</v>
      </c>
      <c r="E172" s="514"/>
      <c r="F172" s="47"/>
      <c r="G172" s="47"/>
      <c r="H172" s="47"/>
      <c r="I172" s="47"/>
      <c r="J172" s="47"/>
      <c r="K172" s="47"/>
      <c r="L172" s="47"/>
      <c r="M172" s="47"/>
      <c r="N172" s="832"/>
      <c r="O172" s="47"/>
      <c r="P172" s="47"/>
      <c r="Q172" s="47"/>
      <c r="R172" s="47"/>
      <c r="S172" s="47"/>
      <c r="T172" s="47"/>
      <c r="U172" s="47"/>
      <c r="V172" s="47"/>
      <c r="W172" s="47"/>
      <c r="X172" s="47"/>
      <c r="Y172" s="47"/>
      <c r="Z172" s="47"/>
      <c r="AA172" s="47"/>
      <c r="AB172" s="47"/>
      <c r="AC172" s="47"/>
      <c r="AD172" s="47"/>
      <c r="AE172" s="47"/>
      <c r="AF172" s="47"/>
      <c r="AG172" s="47"/>
    </row>
    <row r="173" spans="1:33" x14ac:dyDescent="0.3">
      <c r="A173" s="515" t="s">
        <v>1662</v>
      </c>
      <c r="B173" s="515" t="s">
        <v>1922</v>
      </c>
      <c r="C173" s="515" t="s">
        <v>1923</v>
      </c>
      <c r="D173" s="515" t="s">
        <v>1665</v>
      </c>
      <c r="E173" s="512"/>
      <c r="F173" s="47"/>
      <c r="G173" s="47"/>
      <c r="H173" s="47"/>
      <c r="I173" s="47"/>
      <c r="J173" s="47"/>
      <c r="Q173" s="47"/>
      <c r="R173" s="47"/>
      <c r="S173" s="47"/>
      <c r="T173" s="47"/>
      <c r="U173" s="47"/>
      <c r="V173" s="47"/>
      <c r="W173" s="47"/>
      <c r="X173" s="47"/>
      <c r="Y173" s="47"/>
      <c r="Z173" s="47"/>
      <c r="AA173" s="47"/>
      <c r="AB173" s="47"/>
      <c r="AC173" s="47"/>
      <c r="AD173" s="47"/>
      <c r="AE173" s="47"/>
      <c r="AF173" s="47"/>
      <c r="AG173" s="47"/>
    </row>
    <row r="174" spans="1:33" x14ac:dyDescent="0.3">
      <c r="A174" s="516" t="s">
        <v>1662</v>
      </c>
      <c r="B174" s="516" t="s">
        <v>1932</v>
      </c>
      <c r="C174" s="516" t="s">
        <v>1966</v>
      </c>
      <c r="D174" s="516" t="s">
        <v>1665</v>
      </c>
      <c r="E174" s="514"/>
      <c r="F174" s="47"/>
      <c r="G174" s="47"/>
      <c r="H174" s="47"/>
      <c r="I174" s="47"/>
      <c r="J174" s="47"/>
      <c r="Q174" s="47"/>
      <c r="R174" s="47"/>
      <c r="S174" s="47"/>
      <c r="T174" s="47"/>
      <c r="U174" s="47"/>
      <c r="V174" s="47"/>
      <c r="W174" s="47"/>
      <c r="X174" s="47"/>
      <c r="Y174" s="47"/>
      <c r="Z174" s="47"/>
      <c r="AA174" s="47"/>
      <c r="AB174" s="47"/>
      <c r="AC174" s="47"/>
      <c r="AD174" s="47"/>
      <c r="AE174" s="47"/>
      <c r="AF174" s="47"/>
      <c r="AG174" s="47"/>
    </row>
    <row r="175" spans="1:33" x14ac:dyDescent="0.3">
      <c r="A175" s="515" t="s">
        <v>1662</v>
      </c>
      <c r="B175" s="515" t="s">
        <v>1967</v>
      </c>
      <c r="C175" s="515" t="s">
        <v>1968</v>
      </c>
      <c r="D175" s="515" t="s">
        <v>1943</v>
      </c>
      <c r="E175" s="512"/>
      <c r="F175" s="47"/>
      <c r="G175" s="47"/>
      <c r="H175" s="47"/>
      <c r="I175" s="47"/>
      <c r="J175" s="47"/>
      <c r="AG175" s="47"/>
    </row>
    <row r="176" spans="1:33" x14ac:dyDescent="0.3">
      <c r="A176" s="516" t="s">
        <v>1662</v>
      </c>
      <c r="B176" s="516" t="s">
        <v>1969</v>
      </c>
      <c r="C176" s="516" t="s">
        <v>1970</v>
      </c>
      <c r="D176" s="516" t="s">
        <v>1665</v>
      </c>
      <c r="E176" s="514"/>
      <c r="F176" s="47"/>
      <c r="G176" s="47"/>
      <c r="H176" s="47"/>
      <c r="I176" s="47"/>
      <c r="J176" s="47"/>
    </row>
    <row r="177" spans="1:10" x14ac:dyDescent="0.3">
      <c r="A177" s="515" t="s">
        <v>1662</v>
      </c>
      <c r="B177" s="515" t="s">
        <v>1971</v>
      </c>
      <c r="C177" s="515" t="s">
        <v>1972</v>
      </c>
      <c r="D177" s="515" t="s">
        <v>1943</v>
      </c>
      <c r="E177" s="512"/>
      <c r="F177" s="47"/>
      <c r="G177" s="47"/>
      <c r="H177" s="47"/>
      <c r="I177" s="47"/>
      <c r="J177" s="47"/>
    </row>
    <row r="178" spans="1:10" x14ac:dyDescent="0.3">
      <c r="A178" s="516" t="s">
        <v>1662</v>
      </c>
      <c r="B178" s="516" t="s">
        <v>1973</v>
      </c>
      <c r="C178" s="516" t="s">
        <v>1974</v>
      </c>
      <c r="D178" s="516" t="s">
        <v>1943</v>
      </c>
      <c r="E178" s="514"/>
      <c r="F178" s="47"/>
      <c r="G178" s="47"/>
      <c r="H178" s="47"/>
      <c r="I178" s="47"/>
      <c r="J178" s="47"/>
    </row>
    <row r="179" spans="1:10" x14ac:dyDescent="0.3">
      <c r="A179" s="515" t="s">
        <v>1662</v>
      </c>
      <c r="B179" s="515" t="s">
        <v>1975</v>
      </c>
      <c r="C179" s="515" t="s">
        <v>1976</v>
      </c>
      <c r="D179" s="515" t="s">
        <v>1943</v>
      </c>
      <c r="E179" s="512"/>
      <c r="F179" s="47"/>
      <c r="G179" s="47"/>
      <c r="H179" s="47"/>
      <c r="I179" s="47"/>
      <c r="J179" s="47"/>
    </row>
    <row r="180" spans="1:10" x14ac:dyDescent="0.3">
      <c r="A180" s="516" t="s">
        <v>1662</v>
      </c>
      <c r="B180" s="516" t="s">
        <v>1977</v>
      </c>
      <c r="C180" s="516" t="s">
        <v>1978</v>
      </c>
      <c r="D180" s="516" t="s">
        <v>1943</v>
      </c>
      <c r="E180" s="514"/>
      <c r="F180" s="47"/>
      <c r="G180" s="47"/>
      <c r="H180" s="47"/>
      <c r="I180" s="47"/>
      <c r="J180" s="47"/>
    </row>
    <row r="181" spans="1:10" x14ac:dyDescent="0.3">
      <c r="A181" s="515" t="s">
        <v>1662</v>
      </c>
      <c r="B181" s="515" t="s">
        <v>1979</v>
      </c>
      <c r="C181" s="515" t="s">
        <v>1980</v>
      </c>
      <c r="D181" s="515" t="s">
        <v>1943</v>
      </c>
      <c r="E181" s="512"/>
      <c r="F181" s="47"/>
      <c r="G181" s="47"/>
      <c r="H181" s="47"/>
      <c r="I181" s="47"/>
      <c r="J181" s="47"/>
    </row>
    <row r="182" spans="1:10" x14ac:dyDescent="0.3">
      <c r="A182" s="516" t="s">
        <v>1662</v>
      </c>
      <c r="B182" s="516" t="s">
        <v>1981</v>
      </c>
      <c r="C182" s="516" t="s">
        <v>1982</v>
      </c>
      <c r="D182" s="516" t="s">
        <v>1943</v>
      </c>
      <c r="E182" s="514"/>
      <c r="F182" s="47"/>
      <c r="G182" s="47"/>
      <c r="H182" s="47"/>
      <c r="I182" s="47"/>
      <c r="J182" s="47"/>
    </row>
    <row r="183" spans="1:10" x14ac:dyDescent="0.3">
      <c r="A183" s="515" t="s">
        <v>1662</v>
      </c>
      <c r="B183" s="515" t="s">
        <v>1983</v>
      </c>
      <c r="C183" s="515" t="s">
        <v>1984</v>
      </c>
      <c r="D183" s="515" t="s">
        <v>1943</v>
      </c>
      <c r="E183" s="512"/>
      <c r="F183" s="47"/>
      <c r="G183" s="47"/>
      <c r="H183" s="47"/>
      <c r="I183" s="47"/>
      <c r="J183" s="47"/>
    </row>
    <row r="184" spans="1:10" x14ac:dyDescent="0.3">
      <c r="A184" s="516" t="s">
        <v>1662</v>
      </c>
      <c r="B184" s="516" t="s">
        <v>1985</v>
      </c>
      <c r="C184" s="516" t="s">
        <v>1986</v>
      </c>
      <c r="D184" s="516" t="s">
        <v>1943</v>
      </c>
      <c r="E184" s="514"/>
      <c r="F184" s="47"/>
      <c r="G184" s="47"/>
      <c r="H184" s="47"/>
      <c r="I184" s="47"/>
      <c r="J184" s="47"/>
    </row>
    <row r="185" spans="1:10" x14ac:dyDescent="0.3">
      <c r="A185" s="515" t="s">
        <v>1662</v>
      </c>
      <c r="B185" s="515" t="s">
        <v>1987</v>
      </c>
      <c r="C185" s="515" t="s">
        <v>1988</v>
      </c>
      <c r="D185" s="515" t="s">
        <v>1943</v>
      </c>
      <c r="E185" s="512"/>
      <c r="F185" s="47"/>
      <c r="G185" s="47"/>
      <c r="H185" s="47"/>
      <c r="I185" s="47"/>
      <c r="J185" s="47"/>
    </row>
    <row r="186" spans="1:10" x14ac:dyDescent="0.3">
      <c r="A186" s="516" t="s">
        <v>1662</v>
      </c>
      <c r="B186" s="516" t="s">
        <v>1989</v>
      </c>
      <c r="C186" s="516" t="s">
        <v>1990</v>
      </c>
      <c r="D186" s="516" t="s">
        <v>1943</v>
      </c>
      <c r="E186" s="514"/>
      <c r="F186" s="47"/>
      <c r="G186" s="47"/>
      <c r="H186" s="47"/>
      <c r="I186" s="47"/>
      <c r="J186" s="47"/>
    </row>
    <row r="187" spans="1:10" x14ac:dyDescent="0.3">
      <c r="A187" s="515" t="s">
        <v>1662</v>
      </c>
      <c r="B187" s="515" t="s">
        <v>1991</v>
      </c>
      <c r="C187" s="515" t="s">
        <v>1992</v>
      </c>
      <c r="D187" s="515" t="s">
        <v>1943</v>
      </c>
      <c r="E187" s="512"/>
      <c r="F187" s="47"/>
      <c r="G187" s="47"/>
      <c r="H187" s="47"/>
      <c r="I187" s="47"/>
      <c r="J187" s="47"/>
    </row>
    <row r="188" spans="1:10" x14ac:dyDescent="0.3">
      <c r="A188" s="516" t="s">
        <v>1662</v>
      </c>
      <c r="B188" s="516" t="s">
        <v>1993</v>
      </c>
      <c r="C188" s="516" t="s">
        <v>1994</v>
      </c>
      <c r="D188" s="516" t="s">
        <v>1943</v>
      </c>
      <c r="E188" s="514"/>
      <c r="F188" s="47"/>
      <c r="G188" s="47"/>
      <c r="H188" s="47"/>
      <c r="I188" s="47"/>
      <c r="J188" s="47"/>
    </row>
    <row r="189" spans="1:10" x14ac:dyDescent="0.3">
      <c r="A189" s="515" t="s">
        <v>1662</v>
      </c>
      <c r="B189" s="515" t="s">
        <v>1995</v>
      </c>
      <c r="C189" s="515" t="s">
        <v>1996</v>
      </c>
      <c r="D189" s="515" t="s">
        <v>1943</v>
      </c>
      <c r="E189" s="512"/>
      <c r="F189" s="47"/>
      <c r="G189" s="47"/>
      <c r="H189" s="47"/>
      <c r="I189" s="47"/>
      <c r="J189" s="47"/>
    </row>
    <row r="190" spans="1:10" x14ac:dyDescent="0.3">
      <c r="A190" s="516" t="s">
        <v>1662</v>
      </c>
      <c r="B190" s="516" t="s">
        <v>1997</v>
      </c>
      <c r="C190" s="516" t="s">
        <v>1998</v>
      </c>
      <c r="D190" s="516" t="s">
        <v>1665</v>
      </c>
      <c r="E190" s="514"/>
      <c r="F190" s="47"/>
      <c r="G190" s="47"/>
      <c r="H190" s="47"/>
      <c r="I190" s="47"/>
      <c r="J190" s="47"/>
    </row>
    <row r="191" spans="1:10" x14ac:dyDescent="0.3">
      <c r="A191" s="515" t="s">
        <v>1662</v>
      </c>
      <c r="B191" s="515" t="s">
        <v>1999</v>
      </c>
      <c r="C191" s="515" t="s">
        <v>2000</v>
      </c>
      <c r="D191" s="515" t="s">
        <v>1943</v>
      </c>
      <c r="E191" s="512"/>
      <c r="F191" s="47"/>
      <c r="G191" s="47"/>
      <c r="H191" s="47"/>
      <c r="I191" s="47"/>
      <c r="J191" s="47"/>
    </row>
    <row r="192" spans="1:10" x14ac:dyDescent="0.3">
      <c r="A192" s="516" t="s">
        <v>1662</v>
      </c>
      <c r="B192" s="516" t="s">
        <v>2001</v>
      </c>
      <c r="C192" s="516" t="s">
        <v>2002</v>
      </c>
      <c r="D192" s="516" t="s">
        <v>1943</v>
      </c>
      <c r="E192" s="514"/>
      <c r="F192" s="47"/>
      <c r="G192" s="47"/>
      <c r="H192" s="47"/>
      <c r="I192" s="47"/>
      <c r="J192" s="47"/>
    </row>
    <row r="193" spans="1:10" x14ac:dyDescent="0.3">
      <c r="A193" s="515" t="s">
        <v>1662</v>
      </c>
      <c r="B193" s="515" t="s">
        <v>2003</v>
      </c>
      <c r="C193" s="515" t="s">
        <v>2004</v>
      </c>
      <c r="D193" s="515" t="s">
        <v>1943</v>
      </c>
      <c r="E193" s="512"/>
      <c r="F193" s="47"/>
      <c r="G193" s="47"/>
      <c r="H193" s="47"/>
      <c r="I193" s="47"/>
      <c r="J193" s="47"/>
    </row>
    <row r="194" spans="1:10" x14ac:dyDescent="0.3">
      <c r="A194" s="516" t="s">
        <v>1662</v>
      </c>
      <c r="B194" s="516" t="s">
        <v>2005</v>
      </c>
      <c r="C194" s="516" t="s">
        <v>2006</v>
      </c>
      <c r="D194" s="516" t="s">
        <v>1665</v>
      </c>
      <c r="E194" s="514"/>
      <c r="F194" s="47"/>
      <c r="G194" s="47"/>
      <c r="H194" s="47"/>
      <c r="I194" s="47"/>
      <c r="J194" s="47"/>
    </row>
    <row r="195" spans="1:10" x14ac:dyDescent="0.3">
      <c r="A195" s="515" t="s">
        <v>1662</v>
      </c>
      <c r="B195" s="515" t="s">
        <v>2007</v>
      </c>
      <c r="C195" s="515" t="s">
        <v>2008</v>
      </c>
      <c r="D195" s="515" t="s">
        <v>1943</v>
      </c>
      <c r="E195" s="512"/>
      <c r="F195" s="47"/>
      <c r="G195" s="47"/>
      <c r="H195" s="47"/>
      <c r="I195" s="47"/>
      <c r="J195" s="47"/>
    </row>
    <row r="196" spans="1:10" x14ac:dyDescent="0.3">
      <c r="A196" s="516" t="s">
        <v>1662</v>
      </c>
      <c r="B196" s="516" t="s">
        <v>2009</v>
      </c>
      <c r="C196" s="516" t="s">
        <v>2010</v>
      </c>
      <c r="D196" s="516" t="s">
        <v>1943</v>
      </c>
      <c r="E196" s="514"/>
      <c r="F196" s="47"/>
      <c r="G196" s="47"/>
      <c r="H196" s="47"/>
      <c r="I196" s="47"/>
      <c r="J196" s="47"/>
    </row>
    <row r="197" spans="1:10" x14ac:dyDescent="0.3">
      <c r="A197" s="515" t="s">
        <v>1662</v>
      </c>
      <c r="B197" s="515" t="s">
        <v>2011</v>
      </c>
      <c r="C197" s="515" t="s">
        <v>2012</v>
      </c>
      <c r="D197" s="515" t="s">
        <v>1943</v>
      </c>
      <c r="E197" s="512"/>
      <c r="F197" s="47"/>
      <c r="G197" s="47"/>
      <c r="H197" s="47"/>
      <c r="I197" s="47"/>
      <c r="J197" s="47"/>
    </row>
    <row r="198" spans="1:10" x14ac:dyDescent="0.3">
      <c r="A198" s="516" t="s">
        <v>1662</v>
      </c>
      <c r="B198" s="516" t="s">
        <v>2013</v>
      </c>
      <c r="C198" s="516" t="s">
        <v>2014</v>
      </c>
      <c r="D198" s="516" t="s">
        <v>1943</v>
      </c>
      <c r="E198" s="514"/>
      <c r="F198" s="47"/>
      <c r="G198" s="47"/>
      <c r="H198" s="47"/>
      <c r="I198" s="47"/>
      <c r="J198" s="47"/>
    </row>
    <row r="199" spans="1:10" x14ac:dyDescent="0.3">
      <c r="A199" s="515" t="s">
        <v>1662</v>
      </c>
      <c r="B199" s="515" t="s">
        <v>2015</v>
      </c>
      <c r="C199" s="515" t="s">
        <v>2016</v>
      </c>
      <c r="D199" s="515" t="s">
        <v>1943</v>
      </c>
      <c r="E199" s="512"/>
      <c r="F199" s="47"/>
      <c r="G199" s="47"/>
      <c r="H199" s="47"/>
      <c r="I199" s="47"/>
      <c r="J199" s="47"/>
    </row>
    <row r="200" spans="1:10" x14ac:dyDescent="0.3">
      <c r="A200" s="516" t="s">
        <v>1662</v>
      </c>
      <c r="B200" s="516" t="s">
        <v>2017</v>
      </c>
      <c r="C200" s="516" t="s">
        <v>2018</v>
      </c>
      <c r="D200" s="516" t="s">
        <v>1943</v>
      </c>
      <c r="E200" s="514"/>
      <c r="F200" s="47"/>
      <c r="G200" s="47"/>
      <c r="H200" s="47"/>
      <c r="I200" s="47"/>
      <c r="J200" s="47"/>
    </row>
    <row r="201" spans="1:10" x14ac:dyDescent="0.3">
      <c r="A201" s="515" t="s">
        <v>1662</v>
      </c>
      <c r="B201" s="515" t="s">
        <v>2019</v>
      </c>
      <c r="C201" s="515" t="s">
        <v>2020</v>
      </c>
      <c r="D201" s="515" t="s">
        <v>1943</v>
      </c>
      <c r="E201" s="512"/>
      <c r="F201" s="47"/>
      <c r="G201" s="47"/>
      <c r="H201" s="47"/>
      <c r="I201" s="47"/>
      <c r="J201" s="47"/>
    </row>
    <row r="202" spans="1:10" x14ac:dyDescent="0.3">
      <c r="A202" s="516" t="s">
        <v>1662</v>
      </c>
      <c r="B202" s="516" t="s">
        <v>2021</v>
      </c>
      <c r="C202" s="516" t="s">
        <v>2022</v>
      </c>
      <c r="D202" s="516" t="s">
        <v>1943</v>
      </c>
      <c r="E202" s="514"/>
      <c r="F202" s="47"/>
      <c r="G202" s="47"/>
      <c r="H202" s="47"/>
      <c r="I202" s="47"/>
      <c r="J202" s="47"/>
    </row>
    <row r="203" spans="1:10" x14ac:dyDescent="0.3">
      <c r="A203" s="515" t="s">
        <v>1662</v>
      </c>
      <c r="B203" s="515" t="s">
        <v>2023</v>
      </c>
      <c r="C203" s="515" t="s">
        <v>2024</v>
      </c>
      <c r="D203" s="515" t="s">
        <v>1943</v>
      </c>
      <c r="E203" s="512"/>
      <c r="F203" s="47"/>
      <c r="G203" s="47"/>
      <c r="H203" s="47"/>
      <c r="I203" s="47"/>
      <c r="J203" s="47"/>
    </row>
    <row r="204" spans="1:10" x14ac:dyDescent="0.3">
      <c r="A204" s="516" t="s">
        <v>1662</v>
      </c>
      <c r="B204" s="516" t="s">
        <v>2025</v>
      </c>
      <c r="C204" s="516" t="s">
        <v>2026</v>
      </c>
      <c r="D204" s="516" t="s">
        <v>1943</v>
      </c>
      <c r="E204" s="514"/>
      <c r="F204" s="47"/>
      <c r="G204" s="47"/>
      <c r="H204" s="47"/>
      <c r="I204" s="47"/>
      <c r="J204" s="47"/>
    </row>
    <row r="205" spans="1:10" x14ac:dyDescent="0.3">
      <c r="A205" s="515" t="s">
        <v>1662</v>
      </c>
      <c r="B205" s="515" t="s">
        <v>2027</v>
      </c>
      <c r="C205" s="515" t="s">
        <v>2028</v>
      </c>
      <c r="D205" s="515" t="s">
        <v>1943</v>
      </c>
      <c r="E205" s="512"/>
      <c r="F205" s="47"/>
      <c r="G205" s="47"/>
      <c r="H205" s="47"/>
      <c r="I205" s="47"/>
      <c r="J205" s="47"/>
    </row>
    <row r="206" spans="1:10" x14ac:dyDescent="0.3">
      <c r="A206" s="516" t="s">
        <v>1662</v>
      </c>
      <c r="B206" s="516" t="s">
        <v>2029</v>
      </c>
      <c r="C206" s="516" t="s">
        <v>2030</v>
      </c>
      <c r="D206" s="516" t="s">
        <v>1943</v>
      </c>
      <c r="E206" s="514"/>
      <c r="F206" s="47"/>
      <c r="G206" s="47"/>
      <c r="H206" s="47"/>
      <c r="I206" s="47"/>
      <c r="J206" s="47"/>
    </row>
    <row r="207" spans="1:10" x14ac:dyDescent="0.3">
      <c r="A207" s="515" t="s">
        <v>1662</v>
      </c>
      <c r="B207" s="515" t="s">
        <v>2031</v>
      </c>
      <c r="C207" s="515" t="s">
        <v>2032</v>
      </c>
      <c r="D207" s="515" t="s">
        <v>1943</v>
      </c>
      <c r="E207" s="512"/>
      <c r="F207" s="47"/>
      <c r="G207" s="47"/>
      <c r="H207" s="47"/>
      <c r="I207" s="47"/>
      <c r="J207" s="47"/>
    </row>
    <row r="208" spans="1:10" x14ac:dyDescent="0.3">
      <c r="A208" s="516" t="s">
        <v>1662</v>
      </c>
      <c r="B208" s="516" t="s">
        <v>2033</v>
      </c>
      <c r="C208" s="516" t="s">
        <v>2034</v>
      </c>
      <c r="D208" s="516" t="s">
        <v>1943</v>
      </c>
      <c r="E208" s="514"/>
      <c r="F208" s="47"/>
      <c r="G208" s="47"/>
      <c r="H208" s="47"/>
      <c r="I208" s="47"/>
      <c r="J208" s="47"/>
    </row>
    <row r="209" spans="1:10" x14ac:dyDescent="0.3">
      <c r="A209" s="515" t="s">
        <v>1662</v>
      </c>
      <c r="B209" s="515" t="s">
        <v>2035</v>
      </c>
      <c r="C209" s="515" t="s">
        <v>2036</v>
      </c>
      <c r="D209" s="515" t="s">
        <v>1943</v>
      </c>
      <c r="E209" s="512"/>
      <c r="F209" s="47"/>
      <c r="G209" s="47"/>
      <c r="H209" s="47"/>
      <c r="I209" s="47"/>
      <c r="J209" s="47"/>
    </row>
    <row r="210" spans="1:10" x14ac:dyDescent="0.3">
      <c r="A210" s="516" t="s">
        <v>1662</v>
      </c>
      <c r="B210" s="516" t="s">
        <v>2037</v>
      </c>
      <c r="C210" s="516" t="s">
        <v>2038</v>
      </c>
      <c r="D210" s="516" t="s">
        <v>1943</v>
      </c>
      <c r="E210" s="514"/>
      <c r="F210" s="47"/>
      <c r="G210" s="47"/>
      <c r="H210" s="47"/>
      <c r="I210" s="47"/>
      <c r="J210" s="47"/>
    </row>
    <row r="211" spans="1:10" x14ac:dyDescent="0.3">
      <c r="A211" s="515" t="s">
        <v>1662</v>
      </c>
      <c r="B211" s="515" t="s">
        <v>2039</v>
      </c>
      <c r="C211" s="515" t="s">
        <v>2040</v>
      </c>
      <c r="D211" s="515" t="s">
        <v>1943</v>
      </c>
      <c r="E211" s="512"/>
      <c r="F211" s="47"/>
      <c r="G211" s="47"/>
      <c r="H211" s="47"/>
      <c r="I211" s="47"/>
      <c r="J211" s="47"/>
    </row>
    <row r="212" spans="1:10" x14ac:dyDescent="0.3">
      <c r="A212" s="516" t="s">
        <v>1662</v>
      </c>
      <c r="B212" s="516" t="s">
        <v>2041</v>
      </c>
      <c r="C212" s="516" t="s">
        <v>2042</v>
      </c>
      <c r="D212" s="516" t="s">
        <v>1943</v>
      </c>
      <c r="E212" s="514"/>
      <c r="F212" s="47"/>
      <c r="G212" s="47"/>
      <c r="H212" s="47"/>
      <c r="I212" s="47"/>
      <c r="J212" s="47"/>
    </row>
    <row r="213" spans="1:10" x14ac:dyDescent="0.3">
      <c r="A213" s="515" t="s">
        <v>1662</v>
      </c>
      <c r="B213" s="515" t="s">
        <v>2043</v>
      </c>
      <c r="C213" s="515" t="s">
        <v>2044</v>
      </c>
      <c r="D213" s="515" t="s">
        <v>1943</v>
      </c>
      <c r="E213" s="512"/>
      <c r="F213" s="47"/>
      <c r="G213" s="47"/>
      <c r="H213" s="47"/>
      <c r="I213" s="47"/>
      <c r="J213" s="47"/>
    </row>
    <row r="214" spans="1:10" x14ac:dyDescent="0.3">
      <c r="A214" s="516" t="s">
        <v>1662</v>
      </c>
      <c r="B214" s="516" t="s">
        <v>2045</v>
      </c>
      <c r="C214" s="516" t="s">
        <v>2046</v>
      </c>
      <c r="D214" s="516" t="s">
        <v>1943</v>
      </c>
      <c r="E214" s="514"/>
      <c r="F214" s="47"/>
      <c r="G214" s="47"/>
      <c r="H214" s="47"/>
      <c r="I214" s="47"/>
      <c r="J214" s="47"/>
    </row>
    <row r="215" spans="1:10" x14ac:dyDescent="0.3">
      <c r="A215" s="515" t="s">
        <v>1662</v>
      </c>
      <c r="B215" s="515" t="s">
        <v>2047</v>
      </c>
      <c r="C215" s="515" t="s">
        <v>2048</v>
      </c>
      <c r="D215" s="515" t="s">
        <v>1665</v>
      </c>
      <c r="E215" s="512"/>
      <c r="F215" s="47"/>
      <c r="G215" s="47"/>
      <c r="H215" s="47"/>
      <c r="I215" s="47"/>
      <c r="J215" s="47"/>
    </row>
    <row r="216" spans="1:10" x14ac:dyDescent="0.3">
      <c r="A216" s="516" t="s">
        <v>1662</v>
      </c>
      <c r="B216" s="516" t="s">
        <v>2049</v>
      </c>
      <c r="C216" s="516" t="s">
        <v>2050</v>
      </c>
      <c r="D216" s="516" t="s">
        <v>1943</v>
      </c>
      <c r="E216" s="514"/>
      <c r="F216" s="47"/>
      <c r="G216" s="47"/>
      <c r="H216" s="47"/>
      <c r="I216" s="47"/>
      <c r="J216" s="47"/>
    </row>
    <row r="217" spans="1:10" x14ac:dyDescent="0.3">
      <c r="A217" s="515" t="s">
        <v>1662</v>
      </c>
      <c r="B217" s="515" t="s">
        <v>2051</v>
      </c>
      <c r="C217" s="515" t="s">
        <v>2052</v>
      </c>
      <c r="D217" s="515" t="s">
        <v>1943</v>
      </c>
      <c r="E217" s="512"/>
      <c r="F217" s="47"/>
      <c r="G217" s="47"/>
      <c r="H217" s="47"/>
      <c r="I217" s="47"/>
      <c r="J217" s="47"/>
    </row>
    <row r="218" spans="1:10" x14ac:dyDescent="0.3">
      <c r="A218" s="516" t="s">
        <v>1662</v>
      </c>
      <c r="B218" s="516" t="s">
        <v>2053</v>
      </c>
      <c r="C218" s="516" t="s">
        <v>2054</v>
      </c>
      <c r="D218" s="516" t="s">
        <v>1943</v>
      </c>
      <c r="E218" s="514"/>
      <c r="F218" s="47"/>
      <c r="G218" s="47"/>
      <c r="H218" s="47"/>
      <c r="I218" s="47"/>
      <c r="J218" s="47"/>
    </row>
    <row r="219" spans="1:10" x14ac:dyDescent="0.3">
      <c r="A219" s="515" t="s">
        <v>1662</v>
      </c>
      <c r="B219" s="515" t="s">
        <v>2055</v>
      </c>
      <c r="C219" s="515" t="s">
        <v>2056</v>
      </c>
      <c r="D219" s="515" t="s">
        <v>1943</v>
      </c>
      <c r="E219" s="512"/>
      <c r="F219" s="47"/>
      <c r="G219" s="47"/>
      <c r="H219" s="47"/>
      <c r="I219" s="47"/>
      <c r="J219" s="47"/>
    </row>
    <row r="220" spans="1:10" x14ac:dyDescent="0.3">
      <c r="A220" s="516" t="s">
        <v>1662</v>
      </c>
      <c r="B220" s="516" t="s">
        <v>2057</v>
      </c>
      <c r="C220" s="516" t="s">
        <v>2058</v>
      </c>
      <c r="D220" s="516" t="s">
        <v>1943</v>
      </c>
      <c r="E220" s="514"/>
      <c r="F220" s="47"/>
      <c r="G220" s="47"/>
      <c r="H220" s="47"/>
      <c r="I220" s="47"/>
      <c r="J220" s="47"/>
    </row>
    <row r="221" spans="1:10" x14ac:dyDescent="0.3">
      <c r="A221" s="515" t="s">
        <v>1662</v>
      </c>
      <c r="B221" s="515" t="s">
        <v>2059</v>
      </c>
      <c r="C221" s="515" t="s">
        <v>2060</v>
      </c>
      <c r="D221" s="515" t="s">
        <v>1943</v>
      </c>
      <c r="E221" s="512"/>
      <c r="F221" s="47"/>
      <c r="G221" s="47"/>
      <c r="H221" s="47"/>
      <c r="I221" s="47"/>
      <c r="J221" s="47"/>
    </row>
    <row r="222" spans="1:10" x14ac:dyDescent="0.3">
      <c r="A222" s="516" t="s">
        <v>1662</v>
      </c>
      <c r="B222" s="516" t="s">
        <v>2061</v>
      </c>
      <c r="C222" s="516" t="s">
        <v>2062</v>
      </c>
      <c r="D222" s="516" t="s">
        <v>1665</v>
      </c>
      <c r="E222" s="514"/>
      <c r="F222" s="47"/>
      <c r="G222" s="47"/>
      <c r="H222" s="47"/>
      <c r="I222" s="47"/>
      <c r="J222" s="47"/>
    </row>
    <row r="223" spans="1:10" x14ac:dyDescent="0.3">
      <c r="A223" s="515" t="s">
        <v>1662</v>
      </c>
      <c r="B223" s="515" t="s">
        <v>2063</v>
      </c>
      <c r="C223" s="515" t="s">
        <v>2064</v>
      </c>
      <c r="D223" s="515" t="s">
        <v>1665</v>
      </c>
      <c r="E223" s="512"/>
      <c r="F223" s="47"/>
      <c r="G223" s="47"/>
      <c r="H223" s="47"/>
      <c r="I223" s="47"/>
      <c r="J223" s="47"/>
    </row>
    <row r="224" spans="1:10" x14ac:dyDescent="0.3">
      <c r="A224" s="516" t="s">
        <v>1662</v>
      </c>
      <c r="B224" s="516" t="s">
        <v>2065</v>
      </c>
      <c r="C224" s="516" t="s">
        <v>2066</v>
      </c>
      <c r="D224" s="516" t="s">
        <v>1943</v>
      </c>
      <c r="E224" s="514"/>
      <c r="F224" s="47"/>
      <c r="G224" s="47"/>
      <c r="H224" s="47"/>
      <c r="I224" s="47"/>
      <c r="J224" s="47"/>
    </row>
    <row r="225" spans="1:10" x14ac:dyDescent="0.3">
      <c r="A225" s="515" t="s">
        <v>1662</v>
      </c>
      <c r="B225" s="515" t="s">
        <v>2067</v>
      </c>
      <c r="C225" s="515" t="s">
        <v>2068</v>
      </c>
      <c r="D225" s="515" t="s">
        <v>1665</v>
      </c>
      <c r="E225" s="512"/>
      <c r="F225" s="47"/>
      <c r="G225" s="47"/>
      <c r="H225" s="47"/>
      <c r="I225" s="47"/>
      <c r="J225" s="47"/>
    </row>
    <row r="226" spans="1:10" x14ac:dyDescent="0.3">
      <c r="A226" s="516" t="s">
        <v>1662</v>
      </c>
      <c r="B226" s="516" t="s">
        <v>2069</v>
      </c>
      <c r="C226" s="516" t="s">
        <v>2070</v>
      </c>
      <c r="D226" s="516" t="s">
        <v>1665</v>
      </c>
      <c r="E226" s="514"/>
      <c r="F226" s="47"/>
      <c r="G226" s="47"/>
      <c r="H226" s="47"/>
      <c r="I226" s="47"/>
      <c r="J226" s="47"/>
    </row>
    <row r="227" spans="1:10" x14ac:dyDescent="0.3">
      <c r="A227" s="515" t="s">
        <v>1662</v>
      </c>
      <c r="B227" s="515" t="s">
        <v>2071</v>
      </c>
      <c r="C227" s="515" t="s">
        <v>2072</v>
      </c>
      <c r="D227" s="515" t="s">
        <v>1665</v>
      </c>
      <c r="E227" s="512"/>
      <c r="F227" s="47"/>
      <c r="G227" s="47"/>
      <c r="H227" s="47"/>
      <c r="I227" s="47"/>
      <c r="J227" s="47"/>
    </row>
    <row r="228" spans="1:10" x14ac:dyDescent="0.3">
      <c r="A228" s="516" t="s">
        <v>1662</v>
      </c>
      <c r="B228" s="516" t="s">
        <v>2073</v>
      </c>
      <c r="C228" s="516" t="s">
        <v>2074</v>
      </c>
      <c r="D228" s="516" t="s">
        <v>1665</v>
      </c>
      <c r="E228" s="514"/>
      <c r="F228" s="47"/>
      <c r="G228" s="47"/>
      <c r="H228" s="47"/>
      <c r="I228" s="47"/>
      <c r="J228" s="47"/>
    </row>
    <row r="229" spans="1:10" x14ac:dyDescent="0.3">
      <c r="A229" s="515" t="s">
        <v>1662</v>
      </c>
      <c r="B229" s="515" t="s">
        <v>2075</v>
      </c>
      <c r="C229" s="515" t="s">
        <v>2076</v>
      </c>
      <c r="D229" s="515" t="s">
        <v>1665</v>
      </c>
      <c r="E229" s="512"/>
      <c r="F229" s="47"/>
      <c r="G229" s="47"/>
      <c r="H229" s="47"/>
      <c r="I229" s="47"/>
      <c r="J229" s="47"/>
    </row>
    <row r="230" spans="1:10" x14ac:dyDescent="0.3">
      <c r="A230" s="516" t="s">
        <v>1662</v>
      </c>
      <c r="B230" s="516" t="s">
        <v>2077</v>
      </c>
      <c r="C230" s="516" t="s">
        <v>2078</v>
      </c>
      <c r="D230" s="516" t="s">
        <v>1665</v>
      </c>
      <c r="E230" s="514"/>
      <c r="F230" s="47"/>
      <c r="G230" s="47"/>
      <c r="H230" s="47"/>
      <c r="I230" s="47"/>
      <c r="J230" s="47"/>
    </row>
    <row r="231" spans="1:10" x14ac:dyDescent="0.3">
      <c r="A231" s="515" t="s">
        <v>1662</v>
      </c>
      <c r="B231" s="515" t="s">
        <v>2079</v>
      </c>
      <c r="C231" s="515" t="s">
        <v>2080</v>
      </c>
      <c r="D231" s="515" t="s">
        <v>1665</v>
      </c>
      <c r="E231" s="512"/>
      <c r="F231" s="47"/>
      <c r="G231" s="47"/>
      <c r="H231" s="47"/>
      <c r="I231" s="47"/>
      <c r="J231" s="47"/>
    </row>
    <row r="232" spans="1:10" x14ac:dyDescent="0.3">
      <c r="A232" s="516" t="s">
        <v>1662</v>
      </c>
      <c r="B232" s="516" t="s">
        <v>2081</v>
      </c>
      <c r="C232" s="516" t="s">
        <v>2082</v>
      </c>
      <c r="D232" s="516" t="s">
        <v>1665</v>
      </c>
      <c r="E232" s="514"/>
      <c r="F232" s="47"/>
      <c r="G232" s="47"/>
      <c r="H232" s="47"/>
      <c r="I232" s="47"/>
      <c r="J232" s="47"/>
    </row>
    <row r="233" spans="1:10" x14ac:dyDescent="0.3">
      <c r="A233" s="515" t="s">
        <v>1662</v>
      </c>
      <c r="B233" s="515" t="s">
        <v>2083</v>
      </c>
      <c r="C233" s="515" t="s">
        <v>2084</v>
      </c>
      <c r="D233" s="515" t="s">
        <v>1665</v>
      </c>
      <c r="E233" s="512"/>
      <c r="F233" s="47"/>
      <c r="G233" s="47"/>
      <c r="H233" s="47"/>
      <c r="I233" s="47"/>
      <c r="J233" s="47"/>
    </row>
    <row r="234" spans="1:10" x14ac:dyDescent="0.3">
      <c r="A234" s="516" t="s">
        <v>1662</v>
      </c>
      <c r="B234" s="516" t="s">
        <v>2085</v>
      </c>
      <c r="C234" s="516" t="s">
        <v>2086</v>
      </c>
      <c r="D234" s="516" t="s">
        <v>1665</v>
      </c>
      <c r="E234" s="514"/>
      <c r="F234" s="47"/>
      <c r="G234" s="47"/>
      <c r="H234" s="47"/>
      <c r="I234" s="47"/>
      <c r="J234" s="47"/>
    </row>
    <row r="235" spans="1:10" x14ac:dyDescent="0.3">
      <c r="A235" s="515" t="s">
        <v>1662</v>
      </c>
      <c r="B235" s="515" t="s">
        <v>2087</v>
      </c>
      <c r="C235" s="515" t="s">
        <v>2088</v>
      </c>
      <c r="D235" s="515" t="s">
        <v>1665</v>
      </c>
      <c r="E235" s="512"/>
      <c r="F235" s="47"/>
      <c r="G235" s="47"/>
      <c r="H235" s="47"/>
      <c r="I235" s="47"/>
      <c r="J235" s="47"/>
    </row>
    <row r="236" spans="1:10" ht="21" x14ac:dyDescent="0.3">
      <c r="A236" s="113"/>
      <c r="B236" s="113"/>
      <c r="C236" s="113"/>
      <c r="D236" s="113"/>
      <c r="E236" s="341">
        <f>(COUNTIF(E159:E235,"Sim")/(COUNTA(B159:B235)))</f>
        <v>0</v>
      </c>
      <c r="F236" s="47"/>
      <c r="G236" s="47"/>
    </row>
    <row r="237" spans="1:10" x14ac:dyDescent="0.3">
      <c r="F237" s="47"/>
      <c r="G237" s="47"/>
    </row>
    <row r="238" spans="1:10" ht="11.25" customHeight="1" x14ac:dyDescent="0.3"/>
    <row r="239" spans="1:10" ht="28.5" customHeight="1" x14ac:dyDescent="0.5">
      <c r="A239" s="2313" t="s">
        <v>572</v>
      </c>
      <c r="B239" s="2313"/>
      <c r="C239" s="2313"/>
      <c r="D239" s="739" t="s">
        <v>573</v>
      </c>
      <c r="E239" s="739" t="s">
        <v>78</v>
      </c>
      <c r="F239" s="739" t="s">
        <v>79</v>
      </c>
    </row>
    <row r="240" spans="1:10" ht="25.8" x14ac:dyDescent="0.5">
      <c r="A240" s="740" t="s">
        <v>871</v>
      </c>
      <c r="B240" s="740" t="s">
        <v>872</v>
      </c>
      <c r="C240" s="741"/>
      <c r="D240" s="742">
        <v>1</v>
      </c>
      <c r="E240" s="743" t="s">
        <v>308</v>
      </c>
      <c r="F240" s="743" t="s">
        <v>363</v>
      </c>
    </row>
    <row r="241" spans="1:6" ht="25.8" x14ac:dyDescent="0.5">
      <c r="A241" s="744" t="s">
        <v>871</v>
      </c>
      <c r="B241" s="745" t="s">
        <v>874</v>
      </c>
      <c r="C241" s="746"/>
      <c r="D241" s="747">
        <v>1</v>
      </c>
      <c r="E241" s="748" t="s">
        <v>308</v>
      </c>
      <c r="F241" s="748" t="s">
        <v>308</v>
      </c>
    </row>
    <row r="242" spans="1:6" ht="25.8" x14ac:dyDescent="0.5">
      <c r="A242" s="740" t="s">
        <v>871</v>
      </c>
      <c r="B242" s="740" t="s">
        <v>875</v>
      </c>
      <c r="C242" s="741"/>
      <c r="D242" s="742">
        <v>1</v>
      </c>
      <c r="E242" s="743" t="s">
        <v>589</v>
      </c>
      <c r="F242" s="743" t="s">
        <v>589</v>
      </c>
    </row>
    <row r="243" spans="1:6" ht="25.8" x14ac:dyDescent="0.5">
      <c r="A243" s="744" t="s">
        <v>871</v>
      </c>
      <c r="B243" s="745" t="s">
        <v>876</v>
      </c>
      <c r="C243" s="746"/>
      <c r="D243" s="747">
        <v>1</v>
      </c>
      <c r="E243" s="748" t="s">
        <v>308</v>
      </c>
      <c r="F243" s="748" t="s">
        <v>363</v>
      </c>
    </row>
    <row r="244" spans="1:6" ht="25.8" x14ac:dyDescent="0.5">
      <c r="A244" s="740" t="s">
        <v>871</v>
      </c>
      <c r="B244" s="740" t="s">
        <v>877</v>
      </c>
      <c r="C244" s="741"/>
      <c r="D244" s="742">
        <v>1</v>
      </c>
      <c r="E244" s="743" t="s">
        <v>308</v>
      </c>
      <c r="F244" s="743" t="s">
        <v>363</v>
      </c>
    </row>
    <row r="245" spans="1:6" ht="25.8" x14ac:dyDescent="0.5">
      <c r="A245" s="744" t="s">
        <v>878</v>
      </c>
      <c r="B245" s="745" t="s">
        <v>879</v>
      </c>
      <c r="C245" s="746"/>
      <c r="D245" s="747">
        <v>1</v>
      </c>
      <c r="E245" s="748" t="s">
        <v>308</v>
      </c>
      <c r="F245" s="748" t="s">
        <v>363</v>
      </c>
    </row>
    <row r="246" spans="1:6" ht="25.8" x14ac:dyDescent="0.5">
      <c r="A246" s="740" t="s">
        <v>878</v>
      </c>
      <c r="B246" s="740" t="s">
        <v>880</v>
      </c>
      <c r="C246" s="741"/>
      <c r="D246" s="742">
        <v>1</v>
      </c>
      <c r="E246" s="743" t="s">
        <v>308</v>
      </c>
      <c r="F246" s="743" t="s">
        <v>363</v>
      </c>
    </row>
    <row r="247" spans="1:6" ht="25.8" x14ac:dyDescent="0.5">
      <c r="A247" s="744" t="s">
        <v>878</v>
      </c>
      <c r="B247" s="745" t="s">
        <v>881</v>
      </c>
      <c r="C247" s="746"/>
      <c r="D247" s="747">
        <v>1</v>
      </c>
      <c r="E247" s="748" t="s">
        <v>308</v>
      </c>
      <c r="F247" s="748" t="s">
        <v>363</v>
      </c>
    </row>
    <row r="248" spans="1:6" ht="25.8" x14ac:dyDescent="0.5">
      <c r="A248" s="740" t="s">
        <v>878</v>
      </c>
      <c r="B248" s="740" t="s">
        <v>882</v>
      </c>
      <c r="C248" s="741"/>
      <c r="D248" s="742">
        <v>1</v>
      </c>
      <c r="E248" s="743" t="s">
        <v>308</v>
      </c>
      <c r="F248" s="743" t="s">
        <v>308</v>
      </c>
    </row>
    <row r="249" spans="1:6" ht="25.8" x14ac:dyDescent="0.5">
      <c r="A249" s="744" t="s">
        <v>878</v>
      </c>
      <c r="B249" s="745" t="s">
        <v>883</v>
      </c>
      <c r="C249" s="746"/>
      <c r="D249" s="747">
        <v>1</v>
      </c>
      <c r="E249" s="748" t="s">
        <v>589</v>
      </c>
      <c r="F249" s="748" t="s">
        <v>363</v>
      </c>
    </row>
    <row r="250" spans="1:6" ht="25.8" x14ac:dyDescent="0.5">
      <c r="A250" s="740" t="s">
        <v>884</v>
      </c>
      <c r="B250" s="740" t="s">
        <v>885</v>
      </c>
      <c r="C250" s="741"/>
      <c r="D250" s="742">
        <v>1</v>
      </c>
      <c r="E250" s="743" t="s">
        <v>308</v>
      </c>
      <c r="F250" s="743" t="s">
        <v>308</v>
      </c>
    </row>
    <row r="251" spans="1:6" ht="25.8" x14ac:dyDescent="0.5">
      <c r="A251" s="744" t="s">
        <v>884</v>
      </c>
      <c r="B251" s="745" t="s">
        <v>886</v>
      </c>
      <c r="C251" s="746"/>
      <c r="D251" s="747">
        <v>1</v>
      </c>
      <c r="E251" s="748" t="s">
        <v>363</v>
      </c>
      <c r="F251" s="748" t="s">
        <v>363</v>
      </c>
    </row>
    <row r="252" spans="1:6" ht="25.8" x14ac:dyDescent="0.5">
      <c r="A252" s="740" t="s">
        <v>884</v>
      </c>
      <c r="B252" s="740" t="s">
        <v>887</v>
      </c>
      <c r="C252" s="741"/>
      <c r="D252" s="742">
        <v>1</v>
      </c>
      <c r="E252" s="743" t="s">
        <v>308</v>
      </c>
      <c r="F252" s="743" t="s">
        <v>308</v>
      </c>
    </row>
    <row r="253" spans="1:6" ht="25.8" x14ac:dyDescent="0.5">
      <c r="A253" s="744" t="s">
        <v>884</v>
      </c>
      <c r="B253" s="745" t="s">
        <v>888</v>
      </c>
      <c r="C253" s="746"/>
      <c r="D253" s="747">
        <v>1</v>
      </c>
      <c r="E253" s="748" t="s">
        <v>308</v>
      </c>
      <c r="F253" s="748" t="s">
        <v>363</v>
      </c>
    </row>
    <row r="254" spans="1:6" ht="25.8" x14ac:dyDescent="0.5">
      <c r="A254" s="740" t="s">
        <v>884</v>
      </c>
      <c r="B254" s="740" t="s">
        <v>889</v>
      </c>
      <c r="C254" s="741"/>
      <c r="D254" s="742">
        <v>1</v>
      </c>
      <c r="E254" s="743" t="s">
        <v>308</v>
      </c>
      <c r="F254" s="743" t="s">
        <v>363</v>
      </c>
    </row>
    <row r="255" spans="1:6" ht="25.8" x14ac:dyDescent="0.5">
      <c r="A255" s="744" t="s">
        <v>884</v>
      </c>
      <c r="B255" s="745" t="s">
        <v>890</v>
      </c>
      <c r="C255" s="746"/>
      <c r="D255" s="747">
        <v>1</v>
      </c>
      <c r="E255" s="748" t="s">
        <v>363</v>
      </c>
      <c r="F255" s="748" t="s">
        <v>363</v>
      </c>
    </row>
    <row r="256" spans="1:6" ht="25.8" x14ac:dyDescent="0.5">
      <c r="A256" s="740" t="s">
        <v>884</v>
      </c>
      <c r="B256" s="740" t="s">
        <v>891</v>
      </c>
      <c r="C256" s="741"/>
      <c r="D256" s="742">
        <v>1</v>
      </c>
      <c r="E256" s="743" t="s">
        <v>363</v>
      </c>
      <c r="F256" s="743" t="s">
        <v>363</v>
      </c>
    </row>
    <row r="257" spans="1:6" ht="25.8" x14ac:dyDescent="0.5">
      <c r="A257" s="744" t="s">
        <v>892</v>
      </c>
      <c r="B257" s="745" t="s">
        <v>893</v>
      </c>
      <c r="C257" s="746"/>
      <c r="D257" s="747">
        <v>1</v>
      </c>
      <c r="E257" s="748" t="s">
        <v>308</v>
      </c>
      <c r="F257" s="748" t="s">
        <v>308</v>
      </c>
    </row>
    <row r="258" spans="1:6" ht="25.8" x14ac:dyDescent="0.5">
      <c r="A258" s="740" t="s">
        <v>892</v>
      </c>
      <c r="B258" s="740" t="s">
        <v>894</v>
      </c>
      <c r="C258" s="741"/>
      <c r="D258" s="742">
        <v>1</v>
      </c>
      <c r="E258" s="743" t="s">
        <v>308</v>
      </c>
      <c r="F258" s="743" t="s">
        <v>363</v>
      </c>
    </row>
    <row r="259" spans="1:6" ht="25.8" x14ac:dyDescent="0.5">
      <c r="A259" s="744" t="s">
        <v>892</v>
      </c>
      <c r="B259" s="745" t="s">
        <v>895</v>
      </c>
      <c r="C259" s="746"/>
      <c r="D259" s="747">
        <v>1</v>
      </c>
      <c r="E259" s="748" t="s">
        <v>308</v>
      </c>
      <c r="F259" s="748" t="s">
        <v>363</v>
      </c>
    </row>
    <row r="260" spans="1:6" ht="25.8" x14ac:dyDescent="0.5">
      <c r="A260" s="740" t="s">
        <v>892</v>
      </c>
      <c r="B260" s="740" t="s">
        <v>896</v>
      </c>
      <c r="C260" s="741"/>
      <c r="D260" s="742">
        <v>1</v>
      </c>
      <c r="E260" s="743" t="s">
        <v>308</v>
      </c>
      <c r="F260" s="743" t="s">
        <v>363</v>
      </c>
    </row>
    <row r="261" spans="1:6" ht="25.8" x14ac:dyDescent="0.5">
      <c r="A261" s="744" t="s">
        <v>892</v>
      </c>
      <c r="B261" s="745" t="s">
        <v>897</v>
      </c>
      <c r="C261" s="746"/>
      <c r="D261" s="747">
        <v>1</v>
      </c>
      <c r="E261" s="748" t="s">
        <v>363</v>
      </c>
      <c r="F261" s="748" t="s">
        <v>363</v>
      </c>
    </row>
    <row r="262" spans="1:6" ht="25.8" x14ac:dyDescent="0.5">
      <c r="A262" s="740" t="s">
        <v>892</v>
      </c>
      <c r="B262" s="740" t="s">
        <v>898</v>
      </c>
      <c r="C262" s="741"/>
      <c r="D262" s="742">
        <v>1</v>
      </c>
      <c r="E262" s="743" t="s">
        <v>363</v>
      </c>
      <c r="F262" s="743" t="s">
        <v>363</v>
      </c>
    </row>
    <row r="263" spans="1:6" ht="25.8" x14ac:dyDescent="0.5">
      <c r="A263" s="744" t="s">
        <v>892</v>
      </c>
      <c r="B263" s="745" t="s">
        <v>899</v>
      </c>
      <c r="C263" s="746"/>
      <c r="D263" s="747">
        <v>1</v>
      </c>
      <c r="E263" s="748" t="s">
        <v>363</v>
      </c>
      <c r="F263" s="748" t="s">
        <v>363</v>
      </c>
    </row>
    <row r="264" spans="1:6" ht="25.8" x14ac:dyDescent="0.5">
      <c r="A264" s="740" t="s">
        <v>892</v>
      </c>
      <c r="B264" s="740" t="s">
        <v>900</v>
      </c>
      <c r="C264" s="741"/>
      <c r="D264" s="742">
        <v>1</v>
      </c>
      <c r="E264" s="743" t="s">
        <v>308</v>
      </c>
      <c r="F264" s="743" t="s">
        <v>363</v>
      </c>
    </row>
    <row r="265" spans="1:6" ht="25.8" x14ac:dyDescent="0.5">
      <c r="A265" s="744" t="s">
        <v>892</v>
      </c>
      <c r="B265" s="745" t="s">
        <v>901</v>
      </c>
      <c r="C265" s="746"/>
      <c r="D265" s="747">
        <v>1</v>
      </c>
      <c r="E265" s="748" t="s">
        <v>363</v>
      </c>
      <c r="F265" s="748" t="s">
        <v>363</v>
      </c>
    </row>
    <row r="266" spans="1:6" ht="25.8" x14ac:dyDescent="0.5">
      <c r="A266" s="740" t="s">
        <v>892</v>
      </c>
      <c r="B266" s="740" t="s">
        <v>902</v>
      </c>
      <c r="C266" s="741"/>
      <c r="D266" s="742">
        <v>1</v>
      </c>
      <c r="E266" s="743" t="s">
        <v>363</v>
      </c>
      <c r="F266" s="743" t="s">
        <v>363</v>
      </c>
    </row>
    <row r="267" spans="1:6" ht="25.8" x14ac:dyDescent="0.5">
      <c r="A267" s="744" t="s">
        <v>892</v>
      </c>
      <c r="B267" s="745" t="s">
        <v>903</v>
      </c>
      <c r="C267" s="746"/>
      <c r="D267" s="747">
        <v>1</v>
      </c>
      <c r="E267" s="748" t="s">
        <v>308</v>
      </c>
      <c r="F267" s="748" t="s">
        <v>308</v>
      </c>
    </row>
    <row r="268" spans="1:6" ht="25.8" x14ac:dyDescent="0.5">
      <c r="A268" s="740" t="s">
        <v>892</v>
      </c>
      <c r="B268" s="740" t="s">
        <v>904</v>
      </c>
      <c r="C268" s="741"/>
      <c r="D268" s="742">
        <v>1</v>
      </c>
      <c r="E268" s="743" t="s">
        <v>308</v>
      </c>
      <c r="F268" s="743" t="s">
        <v>308</v>
      </c>
    </row>
    <row r="269" spans="1:6" ht="25.8" x14ac:dyDescent="0.5">
      <c r="A269" s="744" t="s">
        <v>892</v>
      </c>
      <c r="B269" s="745" t="s">
        <v>905</v>
      </c>
      <c r="C269" s="746"/>
      <c r="D269" s="747">
        <v>1</v>
      </c>
      <c r="E269" s="748" t="s">
        <v>308</v>
      </c>
      <c r="F269" s="748" t="s">
        <v>308</v>
      </c>
    </row>
    <row r="270" spans="1:6" ht="25.8" x14ac:dyDescent="0.5">
      <c r="A270" s="740" t="s">
        <v>892</v>
      </c>
      <c r="B270" s="740" t="s">
        <v>906</v>
      </c>
      <c r="C270" s="741"/>
      <c r="D270" s="742">
        <v>1</v>
      </c>
      <c r="E270" s="743" t="s">
        <v>308</v>
      </c>
      <c r="F270" s="743" t="s">
        <v>363</v>
      </c>
    </row>
    <row r="271" spans="1:6" ht="25.8" x14ac:dyDescent="0.5">
      <c r="A271" s="744" t="s">
        <v>884</v>
      </c>
      <c r="B271" s="745" t="s">
        <v>907</v>
      </c>
      <c r="C271" s="746"/>
      <c r="D271" s="747">
        <v>2</v>
      </c>
      <c r="E271" s="748" t="s">
        <v>308</v>
      </c>
      <c r="F271" s="748" t="s">
        <v>308</v>
      </c>
    </row>
    <row r="272" spans="1:6" ht="25.8" x14ac:dyDescent="0.5">
      <c r="A272" s="740" t="s">
        <v>884</v>
      </c>
      <c r="B272" s="740" t="s">
        <v>908</v>
      </c>
      <c r="C272" s="741"/>
      <c r="D272" s="742">
        <v>2</v>
      </c>
      <c r="E272" s="743" t="s">
        <v>308</v>
      </c>
      <c r="F272" s="743" t="s">
        <v>308</v>
      </c>
    </row>
    <row r="273" spans="1:6" ht="25.8" x14ac:dyDescent="0.5">
      <c r="A273" s="744" t="s">
        <v>884</v>
      </c>
      <c r="B273" s="745" t="s">
        <v>909</v>
      </c>
      <c r="C273" s="746"/>
      <c r="D273" s="747">
        <v>2</v>
      </c>
      <c r="E273" s="748" t="s">
        <v>308</v>
      </c>
      <c r="F273" s="748" t="s">
        <v>308</v>
      </c>
    </row>
    <row r="274" spans="1:6" ht="25.8" x14ac:dyDescent="0.5">
      <c r="A274" s="740" t="s">
        <v>884</v>
      </c>
      <c r="B274" s="740" t="s">
        <v>910</v>
      </c>
      <c r="C274" s="741"/>
      <c r="D274" s="742">
        <v>2</v>
      </c>
      <c r="E274" s="743" t="s">
        <v>308</v>
      </c>
      <c r="F274" s="743" t="s">
        <v>363</v>
      </c>
    </row>
    <row r="275" spans="1:6" ht="25.8" x14ac:dyDescent="0.5">
      <c r="A275" s="744" t="s">
        <v>884</v>
      </c>
      <c r="B275" s="745" t="s">
        <v>911</v>
      </c>
      <c r="C275" s="746"/>
      <c r="D275" s="747">
        <v>2</v>
      </c>
      <c r="E275" s="748" t="s">
        <v>308</v>
      </c>
      <c r="F275" s="748" t="s">
        <v>363</v>
      </c>
    </row>
    <row r="276" spans="1:6" ht="25.8" x14ac:dyDescent="0.5">
      <c r="A276" s="740" t="s">
        <v>892</v>
      </c>
      <c r="B276" s="740" t="s">
        <v>912</v>
      </c>
      <c r="C276" s="741"/>
      <c r="D276" s="742">
        <v>2</v>
      </c>
      <c r="E276" s="743" t="s">
        <v>308</v>
      </c>
      <c r="F276" s="743" t="s">
        <v>308</v>
      </c>
    </row>
    <row r="277" spans="1:6" ht="25.8" x14ac:dyDescent="0.5">
      <c r="A277" s="744" t="s">
        <v>892</v>
      </c>
      <c r="B277" s="745" t="s">
        <v>913</v>
      </c>
      <c r="C277" s="746"/>
      <c r="D277" s="747">
        <v>2</v>
      </c>
      <c r="E277" s="748" t="s">
        <v>363</v>
      </c>
      <c r="F277" s="748" t="s">
        <v>363</v>
      </c>
    </row>
    <row r="278" spans="1:6" ht="25.8" x14ac:dyDescent="0.5">
      <c r="A278" s="740" t="s">
        <v>892</v>
      </c>
      <c r="B278" s="740" t="s">
        <v>914</v>
      </c>
      <c r="C278" s="741"/>
      <c r="D278" s="742">
        <v>2</v>
      </c>
      <c r="E278" s="743" t="s">
        <v>308</v>
      </c>
      <c r="F278" s="743" t="s">
        <v>308</v>
      </c>
    </row>
    <row r="279" spans="1:6" ht="25.8" x14ac:dyDescent="0.5">
      <c r="A279" s="744" t="s">
        <v>892</v>
      </c>
      <c r="B279" s="745" t="s">
        <v>915</v>
      </c>
      <c r="C279" s="746"/>
      <c r="D279" s="747">
        <v>2</v>
      </c>
      <c r="E279" s="748" t="s">
        <v>363</v>
      </c>
      <c r="F279" s="748" t="s">
        <v>363</v>
      </c>
    </row>
    <row r="280" spans="1:6" ht="25.8" x14ac:dyDescent="0.5">
      <c r="A280" s="740" t="s">
        <v>892</v>
      </c>
      <c r="B280" s="740" t="s">
        <v>916</v>
      </c>
      <c r="C280" s="741"/>
      <c r="D280" s="742">
        <v>2</v>
      </c>
      <c r="E280" s="743" t="s">
        <v>363</v>
      </c>
      <c r="F280" s="743" t="s">
        <v>363</v>
      </c>
    </row>
    <row r="281" spans="1:6" ht="25.8" x14ac:dyDescent="0.5">
      <c r="A281" s="744" t="s">
        <v>892</v>
      </c>
      <c r="B281" s="745" t="s">
        <v>917</v>
      </c>
      <c r="C281" s="746"/>
      <c r="D281" s="747">
        <v>2</v>
      </c>
      <c r="E281" s="748" t="s">
        <v>308</v>
      </c>
      <c r="F281" s="748" t="s">
        <v>308</v>
      </c>
    </row>
    <row r="282" spans="1:6" ht="25.8" x14ac:dyDescent="0.5">
      <c r="A282" s="740" t="s">
        <v>884</v>
      </c>
      <c r="B282" s="740" t="s">
        <v>918</v>
      </c>
      <c r="C282" s="741"/>
      <c r="D282" s="742">
        <v>3</v>
      </c>
      <c r="E282" s="743" t="s">
        <v>363</v>
      </c>
      <c r="F282" s="743" t="s">
        <v>363</v>
      </c>
    </row>
    <row r="283" spans="1:6" ht="25.8" x14ac:dyDescent="0.5">
      <c r="A283" s="744" t="s">
        <v>884</v>
      </c>
      <c r="B283" s="745" t="s">
        <v>919</v>
      </c>
      <c r="C283" s="746"/>
      <c r="D283" s="747">
        <v>3</v>
      </c>
      <c r="E283" s="748" t="s">
        <v>308</v>
      </c>
      <c r="F283" s="748" t="s">
        <v>308</v>
      </c>
    </row>
    <row r="284" spans="1:6" ht="25.8" x14ac:dyDescent="0.5">
      <c r="A284" s="740" t="s">
        <v>892</v>
      </c>
      <c r="B284" s="740" t="s">
        <v>920</v>
      </c>
      <c r="C284" s="741"/>
      <c r="D284" s="742">
        <v>3</v>
      </c>
      <c r="E284" s="743" t="s">
        <v>363</v>
      </c>
      <c r="F284" s="743" t="s">
        <v>363</v>
      </c>
    </row>
    <row r="285" spans="1:6" ht="25.8" x14ac:dyDescent="0.5">
      <c r="A285" s="740" t="s">
        <v>892</v>
      </c>
      <c r="B285" s="740" t="s">
        <v>1388</v>
      </c>
      <c r="C285" s="741"/>
      <c r="D285" s="742">
        <v>3</v>
      </c>
      <c r="E285" s="743" t="s">
        <v>363</v>
      </c>
      <c r="F285" s="743" t="s">
        <v>363</v>
      </c>
    </row>
    <row r="286" spans="1:6" ht="25.8" x14ac:dyDescent="0.5">
      <c r="A286" s="744" t="s">
        <v>892</v>
      </c>
      <c r="B286" s="745" t="s">
        <v>922</v>
      </c>
      <c r="C286" s="746"/>
      <c r="D286" s="747">
        <v>3</v>
      </c>
      <c r="E286" s="748" t="s">
        <v>308</v>
      </c>
      <c r="F286" s="748" t="s">
        <v>363</v>
      </c>
    </row>
    <row r="287" spans="1:6" ht="25.8" x14ac:dyDescent="0.5">
      <c r="A287" s="2312"/>
      <c r="B287" s="2312"/>
      <c r="C287" s="2312"/>
      <c r="D287" s="749"/>
      <c r="E287" s="750">
        <f>(COUNTIF(E240:E286,"OK")+COUNTIF(E240:E286,"N/A"))/47</f>
        <v>0.7021276595744681</v>
      </c>
      <c r="F287" s="750">
        <f>(COUNTIF(F240:F286,"OK")+COUNTIF(F240:F286,"N/A"))/47</f>
        <v>0.34042553191489361</v>
      </c>
    </row>
  </sheetData>
  <sheetProtection formatCells="0" formatColumns="0" formatRows="0" insertHyperlinks="0"/>
  <autoFilter ref="A54:AO106" xr:uid="{20DCD16A-4F46-4AA3-8504-88D8B8E9E833}"/>
  <mergeCells count="645">
    <mergeCell ref="AU105:AU106"/>
    <mergeCell ref="AV105:AV106"/>
    <mergeCell ref="AU95:AU96"/>
    <mergeCell ref="AV95:AV96"/>
    <mergeCell ref="AU97:AU98"/>
    <mergeCell ref="AV97:AV98"/>
    <mergeCell ref="AU99:AU100"/>
    <mergeCell ref="AV99:AV100"/>
    <mergeCell ref="AU101:AU102"/>
    <mergeCell ref="AV101:AV102"/>
    <mergeCell ref="AU103:AU104"/>
    <mergeCell ref="AV103:AV104"/>
    <mergeCell ref="AU85:AU86"/>
    <mergeCell ref="AV85:AV86"/>
    <mergeCell ref="AU87:AU88"/>
    <mergeCell ref="AV87:AV88"/>
    <mergeCell ref="AU89:AU90"/>
    <mergeCell ref="AV89:AV90"/>
    <mergeCell ref="AU91:AU92"/>
    <mergeCell ref="AV91:AV92"/>
    <mergeCell ref="AU93:AU94"/>
    <mergeCell ref="AV93:AV94"/>
    <mergeCell ref="AU75:AU76"/>
    <mergeCell ref="AV75:AV76"/>
    <mergeCell ref="AU77:AU78"/>
    <mergeCell ref="AV77:AV78"/>
    <mergeCell ref="AU79:AU80"/>
    <mergeCell ref="AV79:AV80"/>
    <mergeCell ref="AU81:AU82"/>
    <mergeCell ref="AV81:AV82"/>
    <mergeCell ref="AU83:AU84"/>
    <mergeCell ref="AV83:AV84"/>
    <mergeCell ref="AU65:AU66"/>
    <mergeCell ref="AV65:AV66"/>
    <mergeCell ref="AU67:AU68"/>
    <mergeCell ref="AV67:AV68"/>
    <mergeCell ref="AU69:AU70"/>
    <mergeCell ref="AV69:AV70"/>
    <mergeCell ref="AU71:AU72"/>
    <mergeCell ref="AV71:AV72"/>
    <mergeCell ref="AU73:AU74"/>
    <mergeCell ref="AV73:AV74"/>
    <mergeCell ref="AU55:AU56"/>
    <mergeCell ref="AV55:AV56"/>
    <mergeCell ref="AU57:AU58"/>
    <mergeCell ref="AV57:AV58"/>
    <mergeCell ref="AU59:AU60"/>
    <mergeCell ref="AV59:AV60"/>
    <mergeCell ref="AU61:AU62"/>
    <mergeCell ref="AV61:AV62"/>
    <mergeCell ref="AU63:AU64"/>
    <mergeCell ref="AV63:AV64"/>
    <mergeCell ref="F93:F94"/>
    <mergeCell ref="B101:B102"/>
    <mergeCell ref="B87:B88"/>
    <mergeCell ref="B89:B90"/>
    <mergeCell ref="B55:B56"/>
    <mergeCell ref="B57:B58"/>
    <mergeCell ref="B59:B60"/>
    <mergeCell ref="B61:B62"/>
    <mergeCell ref="B63:B64"/>
    <mergeCell ref="B65:B66"/>
    <mergeCell ref="B67:B68"/>
    <mergeCell ref="B69:B70"/>
    <mergeCell ref="B85:B86"/>
    <mergeCell ref="D99:D100"/>
    <mergeCell ref="F87:F88"/>
    <mergeCell ref="C85:C86"/>
    <mergeCell ref="D85:D86"/>
    <mergeCell ref="D79:D80"/>
    <mergeCell ref="C77:C78"/>
    <mergeCell ref="F85:F86"/>
    <mergeCell ref="F81:F82"/>
    <mergeCell ref="F83:F84"/>
    <mergeCell ref="E85:E86"/>
    <mergeCell ref="A91:A92"/>
    <mergeCell ref="A95:A96"/>
    <mergeCell ref="A93:A94"/>
    <mergeCell ref="C95:C96"/>
    <mergeCell ref="D95:D96"/>
    <mergeCell ref="E95:E96"/>
    <mergeCell ref="D93:D94"/>
    <mergeCell ref="E97:E98"/>
    <mergeCell ref="E91:E92"/>
    <mergeCell ref="D91:D92"/>
    <mergeCell ref="E93:E94"/>
    <mergeCell ref="A71:A72"/>
    <mergeCell ref="C71:C72"/>
    <mergeCell ref="B71:B72"/>
    <mergeCell ref="B73:B74"/>
    <mergeCell ref="F73:F74"/>
    <mergeCell ref="E73:E74"/>
    <mergeCell ref="A75:A76"/>
    <mergeCell ref="C75:C76"/>
    <mergeCell ref="B75:B76"/>
    <mergeCell ref="D75:D76"/>
    <mergeCell ref="F75:F76"/>
    <mergeCell ref="E75:E76"/>
    <mergeCell ref="C73:C74"/>
    <mergeCell ref="R97:R98"/>
    <mergeCell ref="N87:N88"/>
    <mergeCell ref="O87:O88"/>
    <mergeCell ref="R87:R88"/>
    <mergeCell ref="G91:G92"/>
    <mergeCell ref="H91:H92"/>
    <mergeCell ref="N85:N86"/>
    <mergeCell ref="R89:R90"/>
    <mergeCell ref="I87:I88"/>
    <mergeCell ref="J87:J88"/>
    <mergeCell ref="P89:P90"/>
    <mergeCell ref="Q87:Q88"/>
    <mergeCell ref="G87:G88"/>
    <mergeCell ref="H87:H88"/>
    <mergeCell ref="M87:M88"/>
    <mergeCell ref="K87:K88"/>
    <mergeCell ref="K85:K86"/>
    <mergeCell ref="L85:L86"/>
    <mergeCell ref="M85:M86"/>
    <mergeCell ref="L87:L88"/>
    <mergeCell ref="R85:R86"/>
    <mergeCell ref="G85:G86"/>
    <mergeCell ref="H85:H86"/>
    <mergeCell ref="I85:I86"/>
    <mergeCell ref="G67:G68"/>
    <mergeCell ref="D67:D68"/>
    <mergeCell ref="D69:D70"/>
    <mergeCell ref="G69:G70"/>
    <mergeCell ref="E71:E72"/>
    <mergeCell ref="F71:F72"/>
    <mergeCell ref="D73:D74"/>
    <mergeCell ref="D71:D72"/>
    <mergeCell ref="E77:E78"/>
    <mergeCell ref="F67:F68"/>
    <mergeCell ref="F77:F78"/>
    <mergeCell ref="D77:D78"/>
    <mergeCell ref="A287:C287"/>
    <mergeCell ref="A239:C239"/>
    <mergeCell ref="A101:A102"/>
    <mergeCell ref="C101:C102"/>
    <mergeCell ref="D101:D102"/>
    <mergeCell ref="E101:E102"/>
    <mergeCell ref="F101:F102"/>
    <mergeCell ref="D97:D98"/>
    <mergeCell ref="B91:B92"/>
    <mergeCell ref="B93:B94"/>
    <mergeCell ref="B95:B96"/>
    <mergeCell ref="B97:B98"/>
    <mergeCell ref="C93:C94"/>
    <mergeCell ref="C91:C92"/>
    <mergeCell ref="A99:A100"/>
    <mergeCell ref="C99:C100"/>
    <mergeCell ref="F99:F100"/>
    <mergeCell ref="F91:F92"/>
    <mergeCell ref="F95:F96"/>
    <mergeCell ref="B99:B100"/>
    <mergeCell ref="E99:E100"/>
    <mergeCell ref="A97:A98"/>
    <mergeCell ref="C97:C98"/>
    <mergeCell ref="F97:F98"/>
    <mergeCell ref="A89:A90"/>
    <mergeCell ref="C89:C90"/>
    <mergeCell ref="D89:D90"/>
    <mergeCell ref="E89:E90"/>
    <mergeCell ref="C83:C84"/>
    <mergeCell ref="C81:C82"/>
    <mergeCell ref="E81:E82"/>
    <mergeCell ref="A77:A78"/>
    <mergeCell ref="A83:A84"/>
    <mergeCell ref="B77:B78"/>
    <mergeCell ref="B79:B80"/>
    <mergeCell ref="B81:B82"/>
    <mergeCell ref="B83:B84"/>
    <mergeCell ref="A85:A86"/>
    <mergeCell ref="D87:D88"/>
    <mergeCell ref="E87:E88"/>
    <mergeCell ref="C87:C88"/>
    <mergeCell ref="A87:A88"/>
    <mergeCell ref="A81:A82"/>
    <mergeCell ref="D83:D84"/>
    <mergeCell ref="E83:E84"/>
    <mergeCell ref="D81:D82"/>
    <mergeCell ref="E5:F5"/>
    <mergeCell ref="A79:A80"/>
    <mergeCell ref="C79:C80"/>
    <mergeCell ref="E79:E80"/>
    <mergeCell ref="E4:F4"/>
    <mergeCell ref="A55:A56"/>
    <mergeCell ref="C55:C56"/>
    <mergeCell ref="E55:E56"/>
    <mergeCell ref="F55:F56"/>
    <mergeCell ref="D65:D66"/>
    <mergeCell ref="F79:F80"/>
    <mergeCell ref="E65:E66"/>
    <mergeCell ref="F65:F66"/>
    <mergeCell ref="A59:A60"/>
    <mergeCell ref="C59:C60"/>
    <mergeCell ref="E59:E60"/>
    <mergeCell ref="F59:F60"/>
    <mergeCell ref="D61:D62"/>
    <mergeCell ref="D63:D64"/>
    <mergeCell ref="E61:E62"/>
    <mergeCell ref="F61:F62"/>
    <mergeCell ref="A69:A70"/>
    <mergeCell ref="A65:A66"/>
    <mergeCell ref="A73:A74"/>
    <mergeCell ref="G55:G56"/>
    <mergeCell ref="A61:A62"/>
    <mergeCell ref="C61:C62"/>
    <mergeCell ref="C65:C66"/>
    <mergeCell ref="D59:D60"/>
    <mergeCell ref="A63:A64"/>
    <mergeCell ref="C63:C64"/>
    <mergeCell ref="G73:G74"/>
    <mergeCell ref="G71:G72"/>
    <mergeCell ref="A57:A58"/>
    <mergeCell ref="C57:C58"/>
    <mergeCell ref="E57:E58"/>
    <mergeCell ref="F57:F58"/>
    <mergeCell ref="G57:G58"/>
    <mergeCell ref="G63:G64"/>
    <mergeCell ref="G65:G66"/>
    <mergeCell ref="G59:G60"/>
    <mergeCell ref="G61:G62"/>
    <mergeCell ref="C69:C70"/>
    <mergeCell ref="E69:E70"/>
    <mergeCell ref="F69:F70"/>
    <mergeCell ref="A67:A68"/>
    <mergeCell ref="C67:C68"/>
    <mergeCell ref="E67:E68"/>
    <mergeCell ref="I75:I76"/>
    <mergeCell ref="H75:H76"/>
    <mergeCell ref="G75:G76"/>
    <mergeCell ref="K77:K78"/>
    <mergeCell ref="I97:I98"/>
    <mergeCell ref="I99:I100"/>
    <mergeCell ref="I93:I94"/>
    <mergeCell ref="I95:I96"/>
    <mergeCell ref="H83:H84"/>
    <mergeCell ref="I83:I84"/>
    <mergeCell ref="I81:I82"/>
    <mergeCell ref="H79:H80"/>
    <mergeCell ref="G79:G80"/>
    <mergeCell ref="H77:H78"/>
    <mergeCell ref="I77:I78"/>
    <mergeCell ref="K75:K76"/>
    <mergeCell ref="J97:J98"/>
    <mergeCell ref="K97:K98"/>
    <mergeCell ref="J79:J80"/>
    <mergeCell ref="I79:I80"/>
    <mergeCell ref="K79:K80"/>
    <mergeCell ref="G77:G78"/>
    <mergeCell ref="K99:K100"/>
    <mergeCell ref="G95:G96"/>
    <mergeCell ref="N69:N70"/>
    <mergeCell ref="M67:M68"/>
    <mergeCell ref="M69:M70"/>
    <mergeCell ref="N67:N68"/>
    <mergeCell ref="L67:L68"/>
    <mergeCell ref="M83:M84"/>
    <mergeCell ref="J81:J82"/>
    <mergeCell ref="J83:J84"/>
    <mergeCell ref="K83:K84"/>
    <mergeCell ref="L83:L84"/>
    <mergeCell ref="L79:L80"/>
    <mergeCell ref="M71:M72"/>
    <mergeCell ref="M75:M76"/>
    <mergeCell ref="N79:N80"/>
    <mergeCell ref="N75:N76"/>
    <mergeCell ref="N73:N74"/>
    <mergeCell ref="K71:K72"/>
    <mergeCell ref="K73:K74"/>
    <mergeCell ref="N77:N78"/>
    <mergeCell ref="H71:H72"/>
    <mergeCell ref="I71:I72"/>
    <mergeCell ref="I73:I74"/>
    <mergeCell ref="H65:H66"/>
    <mergeCell ref="I65:I66"/>
    <mergeCell ref="H63:H64"/>
    <mergeCell ref="H67:H68"/>
    <mergeCell ref="J61:J62"/>
    <mergeCell ref="H73:H74"/>
    <mergeCell ref="I63:I64"/>
    <mergeCell ref="H61:H62"/>
    <mergeCell ref="U5:Y5"/>
    <mergeCell ref="O4:AF4"/>
    <mergeCell ref="J9:J10"/>
    <mergeCell ref="K55:K56"/>
    <mergeCell ref="K9:K10"/>
    <mergeCell ref="U21:Y21"/>
    <mergeCell ref="U22:Y22"/>
    <mergeCell ref="O26:P26"/>
    <mergeCell ref="N55:N56"/>
    <mergeCell ref="R55:R56"/>
    <mergeCell ref="U53:W53"/>
    <mergeCell ref="Q55:Q56"/>
    <mergeCell ref="I6:K6"/>
    <mergeCell ref="I9:I10"/>
    <mergeCell ref="Q63:Q64"/>
    <mergeCell ref="Q65:Q66"/>
    <mergeCell ref="K65:K66"/>
    <mergeCell ref="L65:L66"/>
    <mergeCell ref="M65:M66"/>
    <mergeCell ref="N61:N62"/>
    <mergeCell ref="O65:O66"/>
    <mergeCell ref="N65:N66"/>
    <mergeCell ref="L63:L64"/>
    <mergeCell ref="K61:K62"/>
    <mergeCell ref="K63:K64"/>
    <mergeCell ref="A1:AF1"/>
    <mergeCell ref="J65:J66"/>
    <mergeCell ref="J67:J68"/>
    <mergeCell ref="J69:J70"/>
    <mergeCell ref="J71:J72"/>
    <mergeCell ref="J73:J74"/>
    <mergeCell ref="J75:J76"/>
    <mergeCell ref="J77:J78"/>
    <mergeCell ref="H59:H60"/>
    <mergeCell ref="L71:L72"/>
    <mergeCell ref="L73:L74"/>
    <mergeCell ref="L75:L76"/>
    <mergeCell ref="L77:L78"/>
    <mergeCell ref="L55:L56"/>
    <mergeCell ref="A2:AF2"/>
    <mergeCell ref="N57:N58"/>
    <mergeCell ref="D55:D56"/>
    <mergeCell ref="J4:K4"/>
    <mergeCell ref="J7:J8"/>
    <mergeCell ref="K7:K8"/>
    <mergeCell ref="U23:Y23"/>
    <mergeCell ref="U24:Y24"/>
    <mergeCell ref="U25:Y25"/>
    <mergeCell ref="Q59:Q60"/>
    <mergeCell ref="R67:R68"/>
    <mergeCell ref="O67:O68"/>
    <mergeCell ref="O61:O62"/>
    <mergeCell ref="O63:O64"/>
    <mergeCell ref="R79:R80"/>
    <mergeCell ref="O73:O74"/>
    <mergeCell ref="O69:O70"/>
    <mergeCell ref="O71:O72"/>
    <mergeCell ref="P83:P84"/>
    <mergeCell ref="Q79:Q80"/>
    <mergeCell ref="Q81:Q82"/>
    <mergeCell ref="O81:O82"/>
    <mergeCell ref="O79:O80"/>
    <mergeCell ref="O75:O76"/>
    <mergeCell ref="O77:O78"/>
    <mergeCell ref="R69:R70"/>
    <mergeCell ref="R71:R72"/>
    <mergeCell ref="R73:R74"/>
    <mergeCell ref="R77:R78"/>
    <mergeCell ref="R75:R76"/>
    <mergeCell ref="R83:R84"/>
    <mergeCell ref="R81:R82"/>
    <mergeCell ref="Q67:Q68"/>
    <mergeCell ref="Q61:Q62"/>
    <mergeCell ref="J57:J58"/>
    <mergeCell ref="I57:I58"/>
    <mergeCell ref="L57:L58"/>
    <mergeCell ref="K57:K58"/>
    <mergeCell ref="I59:I60"/>
    <mergeCell ref="J59:J60"/>
    <mergeCell ref="K59:K60"/>
    <mergeCell ref="J63:J64"/>
    <mergeCell ref="L61:L62"/>
    <mergeCell ref="I61:I62"/>
    <mergeCell ref="R57:R58"/>
    <mergeCell ref="D57:D58"/>
    <mergeCell ref="O57:O58"/>
    <mergeCell ref="P57:P58"/>
    <mergeCell ref="P59:P60"/>
    <mergeCell ref="P61:P62"/>
    <mergeCell ref="P63:P64"/>
    <mergeCell ref="P65:P66"/>
    <mergeCell ref="Q57:Q58"/>
    <mergeCell ref="N59:N60"/>
    <mergeCell ref="M61:M62"/>
    <mergeCell ref="M59:M60"/>
    <mergeCell ref="M63:M64"/>
    <mergeCell ref="N63:N64"/>
    <mergeCell ref="R59:R60"/>
    <mergeCell ref="O59:O60"/>
    <mergeCell ref="L59:L60"/>
    <mergeCell ref="E63:E64"/>
    <mergeCell ref="F63:F64"/>
    <mergeCell ref="H57:H58"/>
    <mergeCell ref="M57:M58"/>
    <mergeCell ref="R61:R62"/>
    <mergeCell ref="R63:R64"/>
    <mergeCell ref="R65:R66"/>
    <mergeCell ref="AJ45:AK45"/>
    <mergeCell ref="AM53:AO53"/>
    <mergeCell ref="AM55:AM56"/>
    <mergeCell ref="AN55:AN56"/>
    <mergeCell ref="AO55:AO56"/>
    <mergeCell ref="AM57:AM58"/>
    <mergeCell ref="AN57:AN58"/>
    <mergeCell ref="AO57:AO58"/>
    <mergeCell ref="AN61:AN62"/>
    <mergeCell ref="AO61:AO62"/>
    <mergeCell ref="AN63:AN64"/>
    <mergeCell ref="AO63:AO64"/>
    <mergeCell ref="AM61:AM62"/>
    <mergeCell ref="AM63:AM64"/>
    <mergeCell ref="AM65:AM66"/>
    <mergeCell ref="AM59:AM60"/>
    <mergeCell ref="AN59:AN60"/>
    <mergeCell ref="AM69:AM70"/>
    <mergeCell ref="AO67:AO68"/>
    <mergeCell ref="AO59:AO60"/>
    <mergeCell ref="AO65:AO66"/>
    <mergeCell ref="AO69:AO70"/>
    <mergeCell ref="AN65:AN66"/>
    <mergeCell ref="AM67:AM68"/>
    <mergeCell ref="AN67:AN68"/>
    <mergeCell ref="AO71:AO72"/>
    <mergeCell ref="AM73:AM74"/>
    <mergeCell ref="AN73:AN74"/>
    <mergeCell ref="AO73:AO74"/>
    <mergeCell ref="AM75:AM76"/>
    <mergeCell ref="AN75:AN76"/>
    <mergeCell ref="AN69:AN70"/>
    <mergeCell ref="AO81:AO82"/>
    <mergeCell ref="AM71:AM72"/>
    <mergeCell ref="AM79:AM80"/>
    <mergeCell ref="AM81:AM82"/>
    <mergeCell ref="AN77:AN78"/>
    <mergeCell ref="AM77:AM78"/>
    <mergeCell ref="AN79:AN80"/>
    <mergeCell ref="AN81:AN82"/>
    <mergeCell ref="AO75:AO76"/>
    <mergeCell ref="AO77:AO78"/>
    <mergeCell ref="AN71:AN72"/>
    <mergeCell ref="AO79:AO80"/>
    <mergeCell ref="AN83:AN84"/>
    <mergeCell ref="AO83:AO84"/>
    <mergeCell ref="AM83:AM84"/>
    <mergeCell ref="AN89:AN90"/>
    <mergeCell ref="AO89:AO90"/>
    <mergeCell ref="AN87:AN88"/>
    <mergeCell ref="AO87:AO88"/>
    <mergeCell ref="AM91:AM92"/>
    <mergeCell ref="AN91:AN92"/>
    <mergeCell ref="AO91:AO92"/>
    <mergeCell ref="AM99:AM100"/>
    <mergeCell ref="AN99:AN100"/>
    <mergeCell ref="AO99:AO100"/>
    <mergeCell ref="AN97:AN98"/>
    <mergeCell ref="AN85:AN86"/>
    <mergeCell ref="AO85:AO86"/>
    <mergeCell ref="AM85:AM86"/>
    <mergeCell ref="AM95:AM96"/>
    <mergeCell ref="AN95:AN96"/>
    <mergeCell ref="AO95:AO96"/>
    <mergeCell ref="AM87:AM88"/>
    <mergeCell ref="AM89:AM90"/>
    <mergeCell ref="AM97:AM98"/>
    <mergeCell ref="AO97:AO98"/>
    <mergeCell ref="B103:B104"/>
    <mergeCell ref="B105:B106"/>
    <mergeCell ref="P85:P86"/>
    <mergeCell ref="Q83:Q84"/>
    <mergeCell ref="G81:G82"/>
    <mergeCell ref="H81:H82"/>
    <mergeCell ref="G83:G84"/>
    <mergeCell ref="K81:K82"/>
    <mergeCell ref="O83:O84"/>
    <mergeCell ref="M81:M82"/>
    <mergeCell ref="L81:L82"/>
    <mergeCell ref="N81:N82"/>
    <mergeCell ref="K95:K96"/>
    <mergeCell ref="G101:G102"/>
    <mergeCell ref="H101:H102"/>
    <mergeCell ref="I101:I102"/>
    <mergeCell ref="J101:J102"/>
    <mergeCell ref="H95:H96"/>
    <mergeCell ref="G97:G98"/>
    <mergeCell ref="H97:H98"/>
    <mergeCell ref="G99:G100"/>
    <mergeCell ref="H99:H100"/>
    <mergeCell ref="J99:J100"/>
    <mergeCell ref="L95:L96"/>
    <mergeCell ref="J85:J86"/>
    <mergeCell ref="A105:A106"/>
    <mergeCell ref="C105:C106"/>
    <mergeCell ref="D105:D106"/>
    <mergeCell ref="E105:E106"/>
    <mergeCell ref="F105:F106"/>
    <mergeCell ref="K103:K104"/>
    <mergeCell ref="A103:A104"/>
    <mergeCell ref="C103:C104"/>
    <mergeCell ref="D103:D104"/>
    <mergeCell ref="E103:E104"/>
    <mergeCell ref="F103:F104"/>
    <mergeCell ref="G103:G104"/>
    <mergeCell ref="H103:H104"/>
    <mergeCell ref="I103:I104"/>
    <mergeCell ref="J103:J104"/>
    <mergeCell ref="G105:G106"/>
    <mergeCell ref="H105:H106"/>
    <mergeCell ref="I105:I106"/>
    <mergeCell ref="J105:J106"/>
    <mergeCell ref="F89:F90"/>
    <mergeCell ref="G89:G90"/>
    <mergeCell ref="H89:H90"/>
    <mergeCell ref="I89:I90"/>
    <mergeCell ref="R91:R92"/>
    <mergeCell ref="K91:K92"/>
    <mergeCell ref="L89:L90"/>
    <mergeCell ref="M89:M90"/>
    <mergeCell ref="N89:N90"/>
    <mergeCell ref="J91:J92"/>
    <mergeCell ref="G93:G94"/>
    <mergeCell ref="H93:H94"/>
    <mergeCell ref="P91:P92"/>
    <mergeCell ref="Q91:Q92"/>
    <mergeCell ref="Q93:Q94"/>
    <mergeCell ref="M93:M94"/>
    <mergeCell ref="N93:N94"/>
    <mergeCell ref="O93:O94"/>
    <mergeCell ref="M91:M92"/>
    <mergeCell ref="N91:N92"/>
    <mergeCell ref="O91:O92"/>
    <mergeCell ref="I91:I92"/>
    <mergeCell ref="L91:L92"/>
    <mergeCell ref="K93:K94"/>
    <mergeCell ref="L93:L94"/>
    <mergeCell ref="J93:J94"/>
    <mergeCell ref="AM105:AM106"/>
    <mergeCell ref="AN105:AN106"/>
    <mergeCell ref="AO105:AO106"/>
    <mergeCell ref="O103:O104"/>
    <mergeCell ref="AM101:AM102"/>
    <mergeCell ref="AN101:AN102"/>
    <mergeCell ref="AO101:AO102"/>
    <mergeCell ref="R101:R102"/>
    <mergeCell ref="R93:R94"/>
    <mergeCell ref="AM93:AM94"/>
    <mergeCell ref="AN93:AN94"/>
    <mergeCell ref="AO93:AO94"/>
    <mergeCell ref="R99:R100"/>
    <mergeCell ref="O101:O102"/>
    <mergeCell ref="O99:O100"/>
    <mergeCell ref="R103:R104"/>
    <mergeCell ref="AM103:AM104"/>
    <mergeCell ref="AN103:AN104"/>
    <mergeCell ref="AO103:AO104"/>
    <mergeCell ref="O95:O96"/>
    <mergeCell ref="R95:R96"/>
    <mergeCell ref="O105:O106"/>
    <mergeCell ref="P93:P94"/>
    <mergeCell ref="P95:P96"/>
    <mergeCell ref="R105:R106"/>
    <mergeCell ref="M118:N118"/>
    <mergeCell ref="M126:N126"/>
    <mergeCell ref="M127:N127"/>
    <mergeCell ref="M112:N112"/>
    <mergeCell ref="M113:N113"/>
    <mergeCell ref="M114:N114"/>
    <mergeCell ref="M115:N115"/>
    <mergeCell ref="M116:N116"/>
    <mergeCell ref="P105:P106"/>
    <mergeCell ref="Q105:Q106"/>
    <mergeCell ref="H108:L108"/>
    <mergeCell ref="L103:L104"/>
    <mergeCell ref="L105:L106"/>
    <mergeCell ref="M105:M106"/>
    <mergeCell ref="N105:N106"/>
    <mergeCell ref="K105:K106"/>
    <mergeCell ref="N101:N102"/>
    <mergeCell ref="O89:O90"/>
    <mergeCell ref="O97:O98"/>
    <mergeCell ref="M101:M102"/>
    <mergeCell ref="K101:K102"/>
    <mergeCell ref="L101:L102"/>
    <mergeCell ref="J95:J96"/>
    <mergeCell ref="M99:M100"/>
    <mergeCell ref="L99:L100"/>
    <mergeCell ref="L97:L98"/>
    <mergeCell ref="J89:J90"/>
    <mergeCell ref="K89:K90"/>
    <mergeCell ref="O85:O86"/>
    <mergeCell ref="N99:N100"/>
    <mergeCell ref="M95:M96"/>
    <mergeCell ref="N95:N96"/>
    <mergeCell ref="M128:N128"/>
    <mergeCell ref="M117:N117"/>
    <mergeCell ref="M110:N110"/>
    <mergeCell ref="M111:N111"/>
    <mergeCell ref="N83:N84"/>
    <mergeCell ref="N97:N98"/>
    <mergeCell ref="M97:M98"/>
    <mergeCell ref="M129:N129"/>
    <mergeCell ref="M119:N119"/>
    <mergeCell ref="M122:N122"/>
    <mergeCell ref="M123:N123"/>
    <mergeCell ref="M124:N124"/>
    <mergeCell ref="M125:N125"/>
    <mergeCell ref="M103:M104"/>
    <mergeCell ref="N103:N104"/>
    <mergeCell ref="M77:M78"/>
    <mergeCell ref="M79:M80"/>
    <mergeCell ref="G4:H4"/>
    <mergeCell ref="G5:H5"/>
    <mergeCell ref="L5:L10"/>
    <mergeCell ref="P71:P72"/>
    <mergeCell ref="P73:P74"/>
    <mergeCell ref="P75:P76"/>
    <mergeCell ref="P77:P78"/>
    <mergeCell ref="P79:P80"/>
    <mergeCell ref="H55:H56"/>
    <mergeCell ref="I55:I56"/>
    <mergeCell ref="M55:M56"/>
    <mergeCell ref="O55:O56"/>
    <mergeCell ref="J55:J56"/>
    <mergeCell ref="P55:P56"/>
    <mergeCell ref="K69:K70"/>
    <mergeCell ref="L69:L70"/>
    <mergeCell ref="I67:I68"/>
    <mergeCell ref="K67:K68"/>
    <mergeCell ref="J5:K5"/>
    <mergeCell ref="M73:M74"/>
    <mergeCell ref="P67:P68"/>
    <mergeCell ref="H69:H70"/>
    <mergeCell ref="I69:I70"/>
    <mergeCell ref="N71:N72"/>
    <mergeCell ref="P99:P100"/>
    <mergeCell ref="P101:P102"/>
    <mergeCell ref="P103:P104"/>
    <mergeCell ref="P69:P70"/>
    <mergeCell ref="Q95:Q96"/>
    <mergeCell ref="Q97:Q98"/>
    <mergeCell ref="Q99:Q100"/>
    <mergeCell ref="Q101:Q102"/>
    <mergeCell ref="Q103:Q104"/>
    <mergeCell ref="Q85:Q86"/>
    <mergeCell ref="P81:P82"/>
    <mergeCell ref="Q69:Q70"/>
    <mergeCell ref="Q71:Q72"/>
    <mergeCell ref="Q73:Q74"/>
    <mergeCell ref="Q75:Q76"/>
    <mergeCell ref="Q77:Q78"/>
    <mergeCell ref="P97:P98"/>
    <mergeCell ref="Q89:Q90"/>
    <mergeCell ref="P87:P88"/>
  </mergeCells>
  <conditionalFormatting sqref="G5 J5:K5">
    <cfRule type="cellIs" dxfId="69" priority="2" operator="lessThanOrEqual">
      <formula>0</formula>
    </cfRule>
  </conditionalFormatting>
  <conditionalFormatting sqref="R6:R25">
    <cfRule type="cellIs" dxfId="68" priority="16" operator="between">
      <formula>$Q$6</formula>
      <formula>0.01</formula>
    </cfRule>
    <cfRule type="cellIs" dxfId="67" priority="17" operator="greaterThanOrEqual">
      <formula>$Q$6</formula>
    </cfRule>
    <cfRule type="cellIs" dxfId="66" priority="18" operator="equal">
      <formula>0</formula>
    </cfRule>
  </conditionalFormatting>
  <conditionalFormatting sqref="S6:S25">
    <cfRule type="containsText" dxfId="65" priority="12" operator="containsText" text="Concluído">
      <formula>NOT(ISERROR(SEARCH("Concluído",S6)))</formula>
    </cfRule>
    <cfRule type="containsText" dxfId="64" priority="13" operator="containsText" text="Conforme Planejado">
      <formula>NOT(ISERROR(SEARCH("Conforme Planejado",S6)))</formula>
    </cfRule>
    <cfRule type="containsText" dxfId="63" priority="14" operator="containsText" text="FALTA PLANEJAMENTO">
      <formula>NOT(ISERROR(SEARCH("FALTA PLANEJAMENTO",S6)))</formula>
    </cfRule>
    <cfRule type="containsText" dxfId="62" priority="15" operator="containsText" text="Atraso">
      <formula>NOT(ISERROR(SEARCH("Atraso",S6)))</formula>
    </cfRule>
  </conditionalFormatting>
  <conditionalFormatting sqref="T6:T25 AR55:AR106">
    <cfRule type="cellIs" dxfId="61" priority="5" operator="lessThan">
      <formula>0</formula>
    </cfRule>
  </conditionalFormatting>
  <conditionalFormatting sqref="AA6:AA25">
    <cfRule type="cellIs" dxfId="60" priority="42" operator="lessThanOrEqual">
      <formula>0.81</formula>
    </cfRule>
  </conditionalFormatting>
  <conditionalFormatting sqref="AD6:AD25">
    <cfRule type="containsText" dxfId="59" priority="6" operator="containsText" text="ADIANTADO">
      <formula>NOT(ISERROR(SEARCH("ADIANTADO",AD6)))</formula>
    </cfRule>
    <cfRule type="containsText" dxfId="58" priority="7" operator="containsText" text="FALTA DE ACOMPANHAMENTO">
      <formula>NOT(ISERROR(SEARCH("FALTA DE ACOMPANHAMENTO",AD6)))</formula>
    </cfRule>
    <cfRule type="containsText" dxfId="57" priority="8" operator="containsText" text="Concluído">
      <formula>NOT(ISERROR(SEARCH("Concluído",AD6)))</formula>
    </cfRule>
    <cfRule type="containsText" dxfId="56" priority="9" operator="containsText" text="Conforme Planejado">
      <formula>NOT(ISERROR(SEARCH("Conforme Planejado",AD6)))</formula>
    </cfRule>
    <cfRule type="containsText" dxfId="55" priority="10" operator="containsText" text="PROJETO NÃO INICIADO">
      <formula>NOT(ISERROR(SEARCH("PROJETO NÃO INICIADO",AD6)))</formula>
    </cfRule>
    <cfRule type="containsText" dxfId="54" priority="11" operator="containsText" text="Atraso">
      <formula>NOT(ISERROR(SEARCH("Atraso",AD6)))</formula>
    </cfRule>
  </conditionalFormatting>
  <dataValidations disablePrompts="1" count="5">
    <dataValidation type="list" allowBlank="1" showInputMessage="1" showErrorMessage="1" sqref="E159:E235" xr:uid="{A82E44C7-FEEB-473C-ADBE-4250DE06A88F}">
      <formula1>"Sim,Não"</formula1>
    </dataValidation>
    <dataValidation type="list" allowBlank="1" showInputMessage="1" showErrorMessage="1" sqref="D108:D111 D116:D122 D130 D132 D134:D136" xr:uid="{C2FCE047-D61B-4825-ABA4-48907AC56A3D}">
      <formula1>"1,2,3"</formula1>
    </dataValidation>
    <dataValidation type="list" allowBlank="1" showInputMessage="1" showErrorMessage="1" sqref="E109:F136" xr:uid="{D3164C66-660B-4BD4-8CA6-B5066572D70C}">
      <formula1>"0%,25%,50%,75%,100%"</formula1>
    </dataValidation>
    <dataValidation type="list" allowBlank="1" showInputMessage="1" showErrorMessage="1" sqref="AM55:AM106" xr:uid="{E522747F-C592-4046-A5BB-5BF9FEF00A63}">
      <formula1>$AJ$47:$AJ$51</formula1>
    </dataValidation>
    <dataValidation type="list" allowBlank="1" showInputMessage="1" showErrorMessage="1" sqref="B55:B106" xr:uid="{2A893DAD-DE6A-4CD3-9B05-6B4AC0C51393}">
      <formula1>"VA,GGF,MA,Outros"</formula1>
    </dataValidation>
  </dataValidations>
  <hyperlinks>
    <hyperlink ref="D67" r:id="rId1" xr:uid="{9CD774DB-DB4A-4477-89CC-1419582CE2AB}"/>
    <hyperlink ref="D67:D68" r:id="rId2" display="\\192.168.3.20\Departamentos\Engenharia\Planejamento Estratégico\A3_11 - Término turno da noite.xlsx" xr:uid="{0AC1F0A2-4D01-43D3-9A4B-D660E5519522}"/>
    <hyperlink ref="D63:D64" r:id="rId3" display="\\192.168.3.20\Departamentos\Engenharia\Planejamento Estratégico\A3_09-ACABAMENTO CAPO CNH.xlsx" xr:uid="{DE8D7F38-6EB7-4480-80B9-7A1683C17E74}"/>
    <hyperlink ref="D55" r:id="rId4" xr:uid="{410EE783-04EA-49B9-8417-5D63077BA39B}"/>
    <hyperlink ref="D57" r:id="rId5" xr:uid="{1D41A05E-7E65-4AD6-AD26-18CFC15C7ED0}"/>
    <hyperlink ref="D59" r:id="rId6" xr:uid="{6C57F31E-DF69-4099-8B95-F0F8E550E81D}"/>
    <hyperlink ref="D61" r:id="rId7" xr:uid="{33841038-0A65-455D-89EC-A35946827A1C}"/>
    <hyperlink ref="D71" r:id="rId8" xr:uid="{40D34A96-41B6-4676-8097-9D62BB849472}"/>
    <hyperlink ref="D73" r:id="rId9" xr:uid="{6824B89C-2E66-4D38-AADC-4DFFC13E40F6}"/>
    <hyperlink ref="D73:D74" r:id="rId10" display="\\192.168.3.20\Departamentos\Engenharia\Planejamento Estratégico\A3_15 - Redução de matéria-prima DD000504-DD000505.xlsx" xr:uid="{B60FCC7E-8E21-4686-83E0-A63AFE403135}"/>
    <hyperlink ref="D57:D58" r:id="rId11" display="\\192.168.3.20\Departamentos\Engenharia\Planejamento Estratégico\A3_02 - Redução de matéria-prima DD000506Z.xlsx" xr:uid="{A13D35F3-BCDE-4E34-93B1-5226A31A3107}"/>
    <hyperlink ref="D55:D56" r:id="rId12" display="\\192.168.3.20\Departamentos\Engenharia\Planejamento Estratégico\A3_01-Refugo.xlsx" xr:uid="{47608E95-1704-4113-9BB0-75A22DA7DD0E}"/>
    <hyperlink ref="D69" r:id="rId13" xr:uid="{DA6D8A48-6999-4F35-8AD0-A57FD5F456B5}"/>
    <hyperlink ref="D65" r:id="rId14" xr:uid="{6A4126CF-25ED-4D3A-ADDD-8329FAD82789}"/>
    <hyperlink ref="D77" r:id="rId15" xr:uid="{338A4A90-D2DE-401F-8CEE-A6C232CEAF30}"/>
    <hyperlink ref="D79" r:id="rId16" xr:uid="{A7031FA2-E876-4439-AFE2-C3990B95F4BF}"/>
    <hyperlink ref="D75" r:id="rId17" xr:uid="{42F62316-5607-41EA-801E-94165EF7F3EB}"/>
    <hyperlink ref="D83" r:id="rId18" xr:uid="{F375BBD4-E07F-4B9E-8EC6-BF9AEEB02752}"/>
    <hyperlink ref="D85" r:id="rId19" xr:uid="{77C452E4-D1CC-4868-AFBA-2DF5B896AA78}"/>
    <hyperlink ref="D81" r:id="rId20" xr:uid="{73493D4D-CE63-49C3-9012-D1A8B3C2B69C}"/>
    <hyperlink ref="D63" r:id="rId21" xr:uid="{E62B04CD-9E26-45FC-9A05-78798765F654}"/>
    <hyperlink ref="D87" r:id="rId22" xr:uid="{CCA22197-898A-42A9-B531-818BFB49FA6C}"/>
    <hyperlink ref="D89" r:id="rId23" xr:uid="{BAFC1AF4-81D2-4294-B272-A6212854C340}"/>
    <hyperlink ref="D87:D88" r:id="rId24" display="\\192.168.3.20\Departamentos\Engenharia\Planejamento Estratégico\A3_26 - Aumento de produtividade linha schuler.xlsx" xr:uid="{415DF257-5DC4-49AC-83F6-9E37B41992B8}"/>
  </hyperlinks>
  <pageMargins left="0.75" right="0.75" top="1" bottom="1" header="0.5" footer="0.5"/>
  <pageSetup paperSize="9" orientation="portrait" r:id="rId25"/>
  <drawing r:id="rId26"/>
  <legacyDrawing r:id="rId27"/>
  <mc:AlternateContent xmlns:mc="http://schemas.openxmlformats.org/markup-compatibility/2006">
    <mc:Choice Requires="x14">
      <controls>
        <mc:AlternateContent xmlns:mc="http://schemas.openxmlformats.org/markup-compatibility/2006">
          <mc:Choice Requires="x14">
            <control shapeId="5215" r:id="rId28" name="Check Box 95">
              <controlPr defaultSize="0" autoFill="0" autoLine="0" autoPict="0">
                <anchor moveWithCells="1">
                  <from>
                    <xdr:col>11</xdr:col>
                    <xdr:colOff>0</xdr:colOff>
                    <xdr:row>54</xdr:row>
                    <xdr:rowOff>266700</xdr:rowOff>
                  </from>
                  <to>
                    <xdr:col>11</xdr:col>
                    <xdr:colOff>1821180</xdr:colOff>
                    <xdr:row>55</xdr:row>
                    <xdr:rowOff>0</xdr:rowOff>
                  </to>
                </anchor>
              </controlPr>
            </control>
          </mc:Choice>
        </mc:AlternateContent>
        <mc:AlternateContent xmlns:mc="http://schemas.openxmlformats.org/markup-compatibility/2006">
          <mc:Choice Requires="x14">
            <control shapeId="5216" r:id="rId29" name="Check Box 96">
              <controlPr defaultSize="0" autoFill="0" autoLine="0" autoPict="0">
                <anchor moveWithCells="1">
                  <from>
                    <xdr:col>11</xdr:col>
                    <xdr:colOff>0</xdr:colOff>
                    <xdr:row>55</xdr:row>
                    <xdr:rowOff>144780</xdr:rowOff>
                  </from>
                  <to>
                    <xdr:col>11</xdr:col>
                    <xdr:colOff>1821180</xdr:colOff>
                    <xdr:row>55</xdr:row>
                    <xdr:rowOff>342900</xdr:rowOff>
                  </to>
                </anchor>
              </controlPr>
            </control>
          </mc:Choice>
        </mc:AlternateContent>
        <mc:AlternateContent xmlns:mc="http://schemas.openxmlformats.org/markup-compatibility/2006">
          <mc:Choice Requires="x14">
            <control shapeId="5217" r:id="rId30" name="Check Box 97">
              <controlPr defaultSize="0" autoFill="0" autoLine="0" autoPict="0">
                <anchor moveWithCells="1">
                  <from>
                    <xdr:col>11</xdr:col>
                    <xdr:colOff>0</xdr:colOff>
                    <xdr:row>54</xdr:row>
                    <xdr:rowOff>30480</xdr:rowOff>
                  </from>
                  <to>
                    <xdr:col>11</xdr:col>
                    <xdr:colOff>1821180</xdr:colOff>
                    <xdr:row>54</xdr:row>
                    <xdr:rowOff>297180</xdr:rowOff>
                  </to>
                </anchor>
              </controlPr>
            </control>
          </mc:Choice>
        </mc:AlternateContent>
        <mc:AlternateContent xmlns:mc="http://schemas.openxmlformats.org/markup-compatibility/2006">
          <mc:Choice Requires="x14">
            <control shapeId="5218" r:id="rId31" name="Check Box 98">
              <controlPr defaultSize="0" autoFill="0" autoLine="0" autoPict="0">
                <anchor moveWithCells="1">
                  <from>
                    <xdr:col>11</xdr:col>
                    <xdr:colOff>0</xdr:colOff>
                    <xdr:row>56</xdr:row>
                    <xdr:rowOff>266700</xdr:rowOff>
                  </from>
                  <to>
                    <xdr:col>11</xdr:col>
                    <xdr:colOff>1821180</xdr:colOff>
                    <xdr:row>57</xdr:row>
                    <xdr:rowOff>152400</xdr:rowOff>
                  </to>
                </anchor>
              </controlPr>
            </control>
          </mc:Choice>
        </mc:AlternateContent>
        <mc:AlternateContent xmlns:mc="http://schemas.openxmlformats.org/markup-compatibility/2006">
          <mc:Choice Requires="x14">
            <control shapeId="5219" r:id="rId32" name="Check Box 99">
              <controlPr defaultSize="0" autoFill="0" autoLine="0" autoPict="0">
                <anchor moveWithCells="1">
                  <from>
                    <xdr:col>11</xdr:col>
                    <xdr:colOff>0</xdr:colOff>
                    <xdr:row>57</xdr:row>
                    <xdr:rowOff>144780</xdr:rowOff>
                  </from>
                  <to>
                    <xdr:col>11</xdr:col>
                    <xdr:colOff>1821180</xdr:colOff>
                    <xdr:row>57</xdr:row>
                    <xdr:rowOff>342900</xdr:rowOff>
                  </to>
                </anchor>
              </controlPr>
            </control>
          </mc:Choice>
        </mc:AlternateContent>
        <mc:AlternateContent xmlns:mc="http://schemas.openxmlformats.org/markup-compatibility/2006">
          <mc:Choice Requires="x14">
            <control shapeId="5220" r:id="rId33" name="Check Box 100">
              <controlPr defaultSize="0" autoFill="0" autoLine="0" autoPict="0">
                <anchor moveWithCells="1">
                  <from>
                    <xdr:col>11</xdr:col>
                    <xdr:colOff>0</xdr:colOff>
                    <xdr:row>56</xdr:row>
                    <xdr:rowOff>30480</xdr:rowOff>
                  </from>
                  <to>
                    <xdr:col>11</xdr:col>
                    <xdr:colOff>1821180</xdr:colOff>
                    <xdr:row>56</xdr:row>
                    <xdr:rowOff>297180</xdr:rowOff>
                  </to>
                </anchor>
              </controlPr>
            </control>
          </mc:Choice>
        </mc:AlternateContent>
        <mc:AlternateContent xmlns:mc="http://schemas.openxmlformats.org/markup-compatibility/2006">
          <mc:Choice Requires="x14">
            <control shapeId="5221" r:id="rId34" name="Check Box 101">
              <controlPr defaultSize="0" autoFill="0" autoLine="0" autoPict="0">
                <anchor moveWithCells="1">
                  <from>
                    <xdr:col>11</xdr:col>
                    <xdr:colOff>0</xdr:colOff>
                    <xdr:row>58</xdr:row>
                    <xdr:rowOff>266700</xdr:rowOff>
                  </from>
                  <to>
                    <xdr:col>11</xdr:col>
                    <xdr:colOff>1821180</xdr:colOff>
                    <xdr:row>58</xdr:row>
                    <xdr:rowOff>533400</xdr:rowOff>
                  </to>
                </anchor>
              </controlPr>
            </control>
          </mc:Choice>
        </mc:AlternateContent>
        <mc:AlternateContent xmlns:mc="http://schemas.openxmlformats.org/markup-compatibility/2006">
          <mc:Choice Requires="x14">
            <control shapeId="5222" r:id="rId35" name="Check Box 102">
              <controlPr defaultSize="0" autoFill="0" autoLine="0" autoPict="0">
                <anchor moveWithCells="1">
                  <from>
                    <xdr:col>11</xdr:col>
                    <xdr:colOff>0</xdr:colOff>
                    <xdr:row>59</xdr:row>
                    <xdr:rowOff>144780</xdr:rowOff>
                  </from>
                  <to>
                    <xdr:col>11</xdr:col>
                    <xdr:colOff>1821180</xdr:colOff>
                    <xdr:row>59</xdr:row>
                    <xdr:rowOff>342900</xdr:rowOff>
                  </to>
                </anchor>
              </controlPr>
            </control>
          </mc:Choice>
        </mc:AlternateContent>
        <mc:AlternateContent xmlns:mc="http://schemas.openxmlformats.org/markup-compatibility/2006">
          <mc:Choice Requires="x14">
            <control shapeId="5223" r:id="rId36" name="Check Box 103">
              <controlPr defaultSize="0" autoFill="0" autoLine="0" autoPict="0">
                <anchor moveWithCells="1">
                  <from>
                    <xdr:col>11</xdr:col>
                    <xdr:colOff>0</xdr:colOff>
                    <xdr:row>58</xdr:row>
                    <xdr:rowOff>30480</xdr:rowOff>
                  </from>
                  <to>
                    <xdr:col>11</xdr:col>
                    <xdr:colOff>1821180</xdr:colOff>
                    <xdr:row>58</xdr:row>
                    <xdr:rowOff>297180</xdr:rowOff>
                  </to>
                </anchor>
              </controlPr>
            </control>
          </mc:Choice>
        </mc:AlternateContent>
        <mc:AlternateContent xmlns:mc="http://schemas.openxmlformats.org/markup-compatibility/2006">
          <mc:Choice Requires="x14">
            <control shapeId="5224" r:id="rId37" name="Check Box 104">
              <controlPr defaultSize="0" autoFill="0" autoLine="0" autoPict="0">
                <anchor moveWithCells="1">
                  <from>
                    <xdr:col>11</xdr:col>
                    <xdr:colOff>0</xdr:colOff>
                    <xdr:row>60</xdr:row>
                    <xdr:rowOff>0</xdr:rowOff>
                  </from>
                  <to>
                    <xdr:col>11</xdr:col>
                    <xdr:colOff>1821180</xdr:colOff>
                    <xdr:row>60</xdr:row>
                    <xdr:rowOff>259080</xdr:rowOff>
                  </to>
                </anchor>
              </controlPr>
            </control>
          </mc:Choice>
        </mc:AlternateContent>
        <mc:AlternateContent xmlns:mc="http://schemas.openxmlformats.org/markup-compatibility/2006">
          <mc:Choice Requires="x14">
            <control shapeId="5236" r:id="rId38" name="Check Box 116">
              <controlPr defaultSize="0" autoFill="0" autoLine="0" autoPict="0">
                <anchor moveWithCells="1">
                  <from>
                    <xdr:col>11</xdr:col>
                    <xdr:colOff>0</xdr:colOff>
                    <xdr:row>60</xdr:row>
                    <xdr:rowOff>266700</xdr:rowOff>
                  </from>
                  <to>
                    <xdr:col>11</xdr:col>
                    <xdr:colOff>1821180</xdr:colOff>
                    <xdr:row>61</xdr:row>
                    <xdr:rowOff>152400</xdr:rowOff>
                  </to>
                </anchor>
              </controlPr>
            </control>
          </mc:Choice>
        </mc:AlternateContent>
        <mc:AlternateContent xmlns:mc="http://schemas.openxmlformats.org/markup-compatibility/2006">
          <mc:Choice Requires="x14">
            <control shapeId="5237" r:id="rId39" name="Check Box 117">
              <controlPr defaultSize="0" autoFill="0" autoLine="0" autoPict="0">
                <anchor moveWithCells="1">
                  <from>
                    <xdr:col>11</xdr:col>
                    <xdr:colOff>0</xdr:colOff>
                    <xdr:row>61</xdr:row>
                    <xdr:rowOff>144780</xdr:rowOff>
                  </from>
                  <to>
                    <xdr:col>11</xdr:col>
                    <xdr:colOff>1821180</xdr:colOff>
                    <xdr:row>61</xdr:row>
                    <xdr:rowOff>342900</xdr:rowOff>
                  </to>
                </anchor>
              </controlPr>
            </control>
          </mc:Choice>
        </mc:AlternateContent>
        <mc:AlternateContent xmlns:mc="http://schemas.openxmlformats.org/markup-compatibility/2006">
          <mc:Choice Requires="x14">
            <control shapeId="5239" r:id="rId40" name="Check Box 119">
              <controlPr defaultSize="0" autoFill="0" autoLine="0" autoPict="0">
                <anchor moveWithCells="1">
                  <from>
                    <xdr:col>11</xdr:col>
                    <xdr:colOff>0</xdr:colOff>
                    <xdr:row>62</xdr:row>
                    <xdr:rowOff>266700</xdr:rowOff>
                  </from>
                  <to>
                    <xdr:col>11</xdr:col>
                    <xdr:colOff>1821180</xdr:colOff>
                    <xdr:row>63</xdr:row>
                    <xdr:rowOff>0</xdr:rowOff>
                  </to>
                </anchor>
              </controlPr>
            </control>
          </mc:Choice>
        </mc:AlternateContent>
        <mc:AlternateContent xmlns:mc="http://schemas.openxmlformats.org/markup-compatibility/2006">
          <mc:Choice Requires="x14">
            <control shapeId="5240" r:id="rId41" name="Check Box 120">
              <controlPr defaultSize="0" autoFill="0" autoLine="0" autoPict="0">
                <anchor moveWithCells="1">
                  <from>
                    <xdr:col>11</xdr:col>
                    <xdr:colOff>0</xdr:colOff>
                    <xdr:row>63</xdr:row>
                    <xdr:rowOff>144780</xdr:rowOff>
                  </from>
                  <to>
                    <xdr:col>11</xdr:col>
                    <xdr:colOff>1821180</xdr:colOff>
                    <xdr:row>63</xdr:row>
                    <xdr:rowOff>342900</xdr:rowOff>
                  </to>
                </anchor>
              </controlPr>
            </control>
          </mc:Choice>
        </mc:AlternateContent>
        <mc:AlternateContent xmlns:mc="http://schemas.openxmlformats.org/markup-compatibility/2006">
          <mc:Choice Requires="x14">
            <control shapeId="5241" r:id="rId42" name="Check Box 121">
              <controlPr defaultSize="0" autoFill="0" autoLine="0" autoPict="0">
                <anchor moveWithCells="1">
                  <from>
                    <xdr:col>11</xdr:col>
                    <xdr:colOff>0</xdr:colOff>
                    <xdr:row>62</xdr:row>
                    <xdr:rowOff>30480</xdr:rowOff>
                  </from>
                  <to>
                    <xdr:col>11</xdr:col>
                    <xdr:colOff>1821180</xdr:colOff>
                    <xdr:row>62</xdr:row>
                    <xdr:rowOff>297180</xdr:rowOff>
                  </to>
                </anchor>
              </controlPr>
            </control>
          </mc:Choice>
        </mc:AlternateContent>
        <mc:AlternateContent xmlns:mc="http://schemas.openxmlformats.org/markup-compatibility/2006">
          <mc:Choice Requires="x14">
            <control shapeId="5242" r:id="rId43" name="Check Box 122">
              <controlPr defaultSize="0" autoFill="0" autoLine="0" autoPict="0">
                <anchor moveWithCells="1">
                  <from>
                    <xdr:col>11</xdr:col>
                    <xdr:colOff>0</xdr:colOff>
                    <xdr:row>64</xdr:row>
                    <xdr:rowOff>266700</xdr:rowOff>
                  </from>
                  <to>
                    <xdr:col>11</xdr:col>
                    <xdr:colOff>1821180</xdr:colOff>
                    <xdr:row>65</xdr:row>
                    <xdr:rowOff>0</xdr:rowOff>
                  </to>
                </anchor>
              </controlPr>
            </control>
          </mc:Choice>
        </mc:AlternateContent>
        <mc:AlternateContent xmlns:mc="http://schemas.openxmlformats.org/markup-compatibility/2006">
          <mc:Choice Requires="x14">
            <control shapeId="5243" r:id="rId44" name="Check Box 123">
              <controlPr defaultSize="0" autoFill="0" autoLine="0" autoPict="0">
                <anchor moveWithCells="1">
                  <from>
                    <xdr:col>11</xdr:col>
                    <xdr:colOff>0</xdr:colOff>
                    <xdr:row>65</xdr:row>
                    <xdr:rowOff>144780</xdr:rowOff>
                  </from>
                  <to>
                    <xdr:col>11</xdr:col>
                    <xdr:colOff>1821180</xdr:colOff>
                    <xdr:row>65</xdr:row>
                    <xdr:rowOff>342900</xdr:rowOff>
                  </to>
                </anchor>
              </controlPr>
            </control>
          </mc:Choice>
        </mc:AlternateContent>
        <mc:AlternateContent xmlns:mc="http://schemas.openxmlformats.org/markup-compatibility/2006">
          <mc:Choice Requires="x14">
            <control shapeId="5244" r:id="rId45" name="Check Box 124">
              <controlPr defaultSize="0" autoFill="0" autoLine="0" autoPict="0">
                <anchor moveWithCells="1">
                  <from>
                    <xdr:col>11</xdr:col>
                    <xdr:colOff>0</xdr:colOff>
                    <xdr:row>64</xdr:row>
                    <xdr:rowOff>30480</xdr:rowOff>
                  </from>
                  <to>
                    <xdr:col>11</xdr:col>
                    <xdr:colOff>1821180</xdr:colOff>
                    <xdr:row>64</xdr:row>
                    <xdr:rowOff>297180</xdr:rowOff>
                  </to>
                </anchor>
              </controlPr>
            </control>
          </mc:Choice>
        </mc:AlternateContent>
        <mc:AlternateContent xmlns:mc="http://schemas.openxmlformats.org/markup-compatibility/2006">
          <mc:Choice Requires="x14">
            <control shapeId="5245" r:id="rId46" name="Check Box 125">
              <controlPr defaultSize="0" autoFill="0" autoLine="0" autoPict="0">
                <anchor moveWithCells="1">
                  <from>
                    <xdr:col>11</xdr:col>
                    <xdr:colOff>0</xdr:colOff>
                    <xdr:row>66</xdr:row>
                    <xdr:rowOff>266700</xdr:rowOff>
                  </from>
                  <to>
                    <xdr:col>11</xdr:col>
                    <xdr:colOff>1821180</xdr:colOff>
                    <xdr:row>67</xdr:row>
                    <xdr:rowOff>30480</xdr:rowOff>
                  </to>
                </anchor>
              </controlPr>
            </control>
          </mc:Choice>
        </mc:AlternateContent>
        <mc:AlternateContent xmlns:mc="http://schemas.openxmlformats.org/markup-compatibility/2006">
          <mc:Choice Requires="x14">
            <control shapeId="5246" r:id="rId47" name="Check Box 126">
              <controlPr defaultSize="0" autoFill="0" autoLine="0" autoPict="0">
                <anchor moveWithCells="1">
                  <from>
                    <xdr:col>11</xdr:col>
                    <xdr:colOff>0</xdr:colOff>
                    <xdr:row>67</xdr:row>
                    <xdr:rowOff>144780</xdr:rowOff>
                  </from>
                  <to>
                    <xdr:col>11</xdr:col>
                    <xdr:colOff>1821180</xdr:colOff>
                    <xdr:row>67</xdr:row>
                    <xdr:rowOff>342900</xdr:rowOff>
                  </to>
                </anchor>
              </controlPr>
            </control>
          </mc:Choice>
        </mc:AlternateContent>
        <mc:AlternateContent xmlns:mc="http://schemas.openxmlformats.org/markup-compatibility/2006">
          <mc:Choice Requires="x14">
            <control shapeId="5247" r:id="rId48" name="Check Box 127">
              <controlPr defaultSize="0" autoFill="0" autoLine="0" autoPict="0">
                <anchor moveWithCells="1">
                  <from>
                    <xdr:col>11</xdr:col>
                    <xdr:colOff>0</xdr:colOff>
                    <xdr:row>66</xdr:row>
                    <xdr:rowOff>30480</xdr:rowOff>
                  </from>
                  <to>
                    <xdr:col>11</xdr:col>
                    <xdr:colOff>1821180</xdr:colOff>
                    <xdr:row>66</xdr:row>
                    <xdr:rowOff>274320</xdr:rowOff>
                  </to>
                </anchor>
              </controlPr>
            </control>
          </mc:Choice>
        </mc:AlternateContent>
        <mc:AlternateContent xmlns:mc="http://schemas.openxmlformats.org/markup-compatibility/2006">
          <mc:Choice Requires="x14">
            <control shapeId="5248" r:id="rId49" name="Check Box 128">
              <controlPr defaultSize="0" autoFill="0" autoLine="0" autoPict="0">
                <anchor moveWithCells="1">
                  <from>
                    <xdr:col>11</xdr:col>
                    <xdr:colOff>0</xdr:colOff>
                    <xdr:row>68</xdr:row>
                    <xdr:rowOff>266700</xdr:rowOff>
                  </from>
                  <to>
                    <xdr:col>11</xdr:col>
                    <xdr:colOff>1821180</xdr:colOff>
                    <xdr:row>69</xdr:row>
                    <xdr:rowOff>0</xdr:rowOff>
                  </to>
                </anchor>
              </controlPr>
            </control>
          </mc:Choice>
        </mc:AlternateContent>
        <mc:AlternateContent xmlns:mc="http://schemas.openxmlformats.org/markup-compatibility/2006">
          <mc:Choice Requires="x14">
            <control shapeId="5249" r:id="rId50" name="Check Box 129">
              <controlPr defaultSize="0" autoFill="0" autoLine="0" autoPict="0">
                <anchor moveWithCells="1">
                  <from>
                    <xdr:col>11</xdr:col>
                    <xdr:colOff>0</xdr:colOff>
                    <xdr:row>69</xdr:row>
                    <xdr:rowOff>144780</xdr:rowOff>
                  </from>
                  <to>
                    <xdr:col>11</xdr:col>
                    <xdr:colOff>1821180</xdr:colOff>
                    <xdr:row>69</xdr:row>
                    <xdr:rowOff>342900</xdr:rowOff>
                  </to>
                </anchor>
              </controlPr>
            </control>
          </mc:Choice>
        </mc:AlternateContent>
        <mc:AlternateContent xmlns:mc="http://schemas.openxmlformats.org/markup-compatibility/2006">
          <mc:Choice Requires="x14">
            <control shapeId="5250" r:id="rId51" name="Check Box 130">
              <controlPr defaultSize="0" autoFill="0" autoLine="0" autoPict="0">
                <anchor moveWithCells="1">
                  <from>
                    <xdr:col>11</xdr:col>
                    <xdr:colOff>0</xdr:colOff>
                    <xdr:row>68</xdr:row>
                    <xdr:rowOff>30480</xdr:rowOff>
                  </from>
                  <to>
                    <xdr:col>11</xdr:col>
                    <xdr:colOff>1821180</xdr:colOff>
                    <xdr:row>68</xdr:row>
                    <xdr:rowOff>274320</xdr:rowOff>
                  </to>
                </anchor>
              </controlPr>
            </control>
          </mc:Choice>
        </mc:AlternateContent>
        <mc:AlternateContent xmlns:mc="http://schemas.openxmlformats.org/markup-compatibility/2006">
          <mc:Choice Requires="x14">
            <control shapeId="5251" r:id="rId52" name="Check Box 131">
              <controlPr defaultSize="0" autoFill="0" autoLine="0" autoPict="0">
                <anchor moveWithCells="1">
                  <from>
                    <xdr:col>11</xdr:col>
                    <xdr:colOff>0</xdr:colOff>
                    <xdr:row>70</xdr:row>
                    <xdr:rowOff>0</xdr:rowOff>
                  </from>
                  <to>
                    <xdr:col>11</xdr:col>
                    <xdr:colOff>1821180</xdr:colOff>
                    <xdr:row>70</xdr:row>
                    <xdr:rowOff>274320</xdr:rowOff>
                  </to>
                </anchor>
              </controlPr>
            </control>
          </mc:Choice>
        </mc:AlternateContent>
        <mc:AlternateContent xmlns:mc="http://schemas.openxmlformats.org/markup-compatibility/2006">
          <mc:Choice Requires="x14">
            <control shapeId="5254" r:id="rId53" name="Check Box 134">
              <controlPr defaultSize="0" autoFill="0" autoLine="0" autoPict="0">
                <anchor moveWithCells="1">
                  <from>
                    <xdr:col>11</xdr:col>
                    <xdr:colOff>0</xdr:colOff>
                    <xdr:row>70</xdr:row>
                    <xdr:rowOff>266700</xdr:rowOff>
                  </from>
                  <to>
                    <xdr:col>11</xdr:col>
                    <xdr:colOff>1821180</xdr:colOff>
                    <xdr:row>71</xdr:row>
                    <xdr:rowOff>0</xdr:rowOff>
                  </to>
                </anchor>
              </controlPr>
            </control>
          </mc:Choice>
        </mc:AlternateContent>
        <mc:AlternateContent xmlns:mc="http://schemas.openxmlformats.org/markup-compatibility/2006">
          <mc:Choice Requires="x14">
            <control shapeId="5255" r:id="rId54" name="Check Box 135">
              <controlPr defaultSize="0" autoFill="0" autoLine="0" autoPict="0">
                <anchor moveWithCells="1">
                  <from>
                    <xdr:col>11</xdr:col>
                    <xdr:colOff>0</xdr:colOff>
                    <xdr:row>71</xdr:row>
                    <xdr:rowOff>144780</xdr:rowOff>
                  </from>
                  <to>
                    <xdr:col>11</xdr:col>
                    <xdr:colOff>1821180</xdr:colOff>
                    <xdr:row>71</xdr:row>
                    <xdr:rowOff>342900</xdr:rowOff>
                  </to>
                </anchor>
              </controlPr>
            </control>
          </mc:Choice>
        </mc:AlternateContent>
        <mc:AlternateContent xmlns:mc="http://schemas.openxmlformats.org/markup-compatibility/2006">
          <mc:Choice Requires="x14">
            <control shapeId="5257" r:id="rId55" name="Check Box 137">
              <controlPr defaultSize="0" autoFill="0" autoLine="0" autoPict="0">
                <anchor moveWithCells="1">
                  <from>
                    <xdr:col>11</xdr:col>
                    <xdr:colOff>0</xdr:colOff>
                    <xdr:row>72</xdr:row>
                    <xdr:rowOff>266700</xdr:rowOff>
                  </from>
                  <to>
                    <xdr:col>11</xdr:col>
                    <xdr:colOff>1821180</xdr:colOff>
                    <xdr:row>73</xdr:row>
                    <xdr:rowOff>152400</xdr:rowOff>
                  </to>
                </anchor>
              </controlPr>
            </control>
          </mc:Choice>
        </mc:AlternateContent>
        <mc:AlternateContent xmlns:mc="http://schemas.openxmlformats.org/markup-compatibility/2006">
          <mc:Choice Requires="x14">
            <control shapeId="5258" r:id="rId56" name="Check Box 138">
              <controlPr defaultSize="0" autoFill="0" autoLine="0" autoPict="0">
                <anchor moveWithCells="1">
                  <from>
                    <xdr:col>11</xdr:col>
                    <xdr:colOff>0</xdr:colOff>
                    <xdr:row>73</xdr:row>
                    <xdr:rowOff>144780</xdr:rowOff>
                  </from>
                  <to>
                    <xdr:col>11</xdr:col>
                    <xdr:colOff>1821180</xdr:colOff>
                    <xdr:row>73</xdr:row>
                    <xdr:rowOff>342900</xdr:rowOff>
                  </to>
                </anchor>
              </controlPr>
            </control>
          </mc:Choice>
        </mc:AlternateContent>
        <mc:AlternateContent xmlns:mc="http://schemas.openxmlformats.org/markup-compatibility/2006">
          <mc:Choice Requires="x14">
            <control shapeId="5259" r:id="rId57" name="Check Box 139">
              <controlPr defaultSize="0" autoFill="0" autoLine="0" autoPict="0">
                <anchor moveWithCells="1">
                  <from>
                    <xdr:col>11</xdr:col>
                    <xdr:colOff>0</xdr:colOff>
                    <xdr:row>72</xdr:row>
                    <xdr:rowOff>30480</xdr:rowOff>
                  </from>
                  <to>
                    <xdr:col>11</xdr:col>
                    <xdr:colOff>1821180</xdr:colOff>
                    <xdr:row>72</xdr:row>
                    <xdr:rowOff>274320</xdr:rowOff>
                  </to>
                </anchor>
              </controlPr>
            </control>
          </mc:Choice>
        </mc:AlternateContent>
        <mc:AlternateContent xmlns:mc="http://schemas.openxmlformats.org/markup-compatibility/2006">
          <mc:Choice Requires="x14">
            <control shapeId="5260" r:id="rId58" name="Check Box 140">
              <controlPr defaultSize="0" autoFill="0" autoLine="0" autoPict="0">
                <anchor moveWithCells="1">
                  <from>
                    <xdr:col>11</xdr:col>
                    <xdr:colOff>0</xdr:colOff>
                    <xdr:row>74</xdr:row>
                    <xdr:rowOff>266700</xdr:rowOff>
                  </from>
                  <to>
                    <xdr:col>11</xdr:col>
                    <xdr:colOff>1821180</xdr:colOff>
                    <xdr:row>75</xdr:row>
                    <xdr:rowOff>0</xdr:rowOff>
                  </to>
                </anchor>
              </controlPr>
            </control>
          </mc:Choice>
        </mc:AlternateContent>
        <mc:AlternateContent xmlns:mc="http://schemas.openxmlformats.org/markup-compatibility/2006">
          <mc:Choice Requires="x14">
            <control shapeId="5261" r:id="rId59" name="Check Box 141">
              <controlPr defaultSize="0" autoFill="0" autoLine="0" autoPict="0">
                <anchor moveWithCells="1">
                  <from>
                    <xdr:col>11</xdr:col>
                    <xdr:colOff>0</xdr:colOff>
                    <xdr:row>75</xdr:row>
                    <xdr:rowOff>144780</xdr:rowOff>
                  </from>
                  <to>
                    <xdr:col>11</xdr:col>
                    <xdr:colOff>1821180</xdr:colOff>
                    <xdr:row>75</xdr:row>
                    <xdr:rowOff>342900</xdr:rowOff>
                  </to>
                </anchor>
              </controlPr>
            </control>
          </mc:Choice>
        </mc:AlternateContent>
        <mc:AlternateContent xmlns:mc="http://schemas.openxmlformats.org/markup-compatibility/2006">
          <mc:Choice Requires="x14">
            <control shapeId="5262" r:id="rId60" name="Check Box 142">
              <controlPr defaultSize="0" autoFill="0" autoLine="0" autoPict="0">
                <anchor moveWithCells="1">
                  <from>
                    <xdr:col>11</xdr:col>
                    <xdr:colOff>0</xdr:colOff>
                    <xdr:row>74</xdr:row>
                    <xdr:rowOff>30480</xdr:rowOff>
                  </from>
                  <to>
                    <xdr:col>11</xdr:col>
                    <xdr:colOff>1821180</xdr:colOff>
                    <xdr:row>74</xdr:row>
                    <xdr:rowOff>274320</xdr:rowOff>
                  </to>
                </anchor>
              </controlPr>
            </control>
          </mc:Choice>
        </mc:AlternateContent>
        <mc:AlternateContent xmlns:mc="http://schemas.openxmlformats.org/markup-compatibility/2006">
          <mc:Choice Requires="x14">
            <control shapeId="5263" r:id="rId61" name="Check Box 143">
              <controlPr defaultSize="0" autoFill="0" autoLine="0" autoPict="0">
                <anchor moveWithCells="1">
                  <from>
                    <xdr:col>11</xdr:col>
                    <xdr:colOff>0</xdr:colOff>
                    <xdr:row>76</xdr:row>
                    <xdr:rowOff>266700</xdr:rowOff>
                  </from>
                  <to>
                    <xdr:col>11</xdr:col>
                    <xdr:colOff>1821180</xdr:colOff>
                    <xdr:row>77</xdr:row>
                    <xdr:rowOff>30480</xdr:rowOff>
                  </to>
                </anchor>
              </controlPr>
            </control>
          </mc:Choice>
        </mc:AlternateContent>
        <mc:AlternateContent xmlns:mc="http://schemas.openxmlformats.org/markup-compatibility/2006">
          <mc:Choice Requires="x14">
            <control shapeId="5264" r:id="rId62" name="Check Box 144">
              <controlPr defaultSize="0" autoFill="0" autoLine="0" autoPict="0">
                <anchor moveWithCells="1">
                  <from>
                    <xdr:col>11</xdr:col>
                    <xdr:colOff>0</xdr:colOff>
                    <xdr:row>77</xdr:row>
                    <xdr:rowOff>144780</xdr:rowOff>
                  </from>
                  <to>
                    <xdr:col>11</xdr:col>
                    <xdr:colOff>1821180</xdr:colOff>
                    <xdr:row>77</xdr:row>
                    <xdr:rowOff>342900</xdr:rowOff>
                  </to>
                </anchor>
              </controlPr>
            </control>
          </mc:Choice>
        </mc:AlternateContent>
        <mc:AlternateContent xmlns:mc="http://schemas.openxmlformats.org/markup-compatibility/2006">
          <mc:Choice Requires="x14">
            <control shapeId="5265" r:id="rId63" name="Check Box 145">
              <controlPr defaultSize="0" autoFill="0" autoLine="0" autoPict="0">
                <anchor moveWithCells="1">
                  <from>
                    <xdr:col>11</xdr:col>
                    <xdr:colOff>0</xdr:colOff>
                    <xdr:row>76</xdr:row>
                    <xdr:rowOff>30480</xdr:rowOff>
                  </from>
                  <to>
                    <xdr:col>11</xdr:col>
                    <xdr:colOff>1821180</xdr:colOff>
                    <xdr:row>76</xdr:row>
                    <xdr:rowOff>274320</xdr:rowOff>
                  </to>
                </anchor>
              </controlPr>
            </control>
          </mc:Choice>
        </mc:AlternateContent>
        <mc:AlternateContent xmlns:mc="http://schemas.openxmlformats.org/markup-compatibility/2006">
          <mc:Choice Requires="x14">
            <control shapeId="5266" r:id="rId64" name="Check Box 146">
              <controlPr defaultSize="0" autoFill="0" autoLine="0" autoPict="0">
                <anchor moveWithCells="1">
                  <from>
                    <xdr:col>11</xdr:col>
                    <xdr:colOff>0</xdr:colOff>
                    <xdr:row>78</xdr:row>
                    <xdr:rowOff>266700</xdr:rowOff>
                  </from>
                  <to>
                    <xdr:col>11</xdr:col>
                    <xdr:colOff>1821180</xdr:colOff>
                    <xdr:row>79</xdr:row>
                    <xdr:rowOff>30480</xdr:rowOff>
                  </to>
                </anchor>
              </controlPr>
            </control>
          </mc:Choice>
        </mc:AlternateContent>
        <mc:AlternateContent xmlns:mc="http://schemas.openxmlformats.org/markup-compatibility/2006">
          <mc:Choice Requires="x14">
            <control shapeId="5267" r:id="rId65" name="Check Box 147">
              <controlPr defaultSize="0" autoFill="0" autoLine="0" autoPict="0">
                <anchor moveWithCells="1">
                  <from>
                    <xdr:col>11</xdr:col>
                    <xdr:colOff>0</xdr:colOff>
                    <xdr:row>79</xdr:row>
                    <xdr:rowOff>144780</xdr:rowOff>
                  </from>
                  <to>
                    <xdr:col>11</xdr:col>
                    <xdr:colOff>1821180</xdr:colOff>
                    <xdr:row>79</xdr:row>
                    <xdr:rowOff>342900</xdr:rowOff>
                  </to>
                </anchor>
              </controlPr>
            </control>
          </mc:Choice>
        </mc:AlternateContent>
        <mc:AlternateContent xmlns:mc="http://schemas.openxmlformats.org/markup-compatibility/2006">
          <mc:Choice Requires="x14">
            <control shapeId="5268" r:id="rId66" name="Check Box 148">
              <controlPr defaultSize="0" autoFill="0" autoLine="0" autoPict="0">
                <anchor moveWithCells="1">
                  <from>
                    <xdr:col>11</xdr:col>
                    <xdr:colOff>0</xdr:colOff>
                    <xdr:row>78</xdr:row>
                    <xdr:rowOff>30480</xdr:rowOff>
                  </from>
                  <to>
                    <xdr:col>11</xdr:col>
                    <xdr:colOff>1821180</xdr:colOff>
                    <xdr:row>78</xdr:row>
                    <xdr:rowOff>274320</xdr:rowOff>
                  </to>
                </anchor>
              </controlPr>
            </control>
          </mc:Choice>
        </mc:AlternateContent>
        <mc:AlternateContent xmlns:mc="http://schemas.openxmlformats.org/markup-compatibility/2006">
          <mc:Choice Requires="x14">
            <control shapeId="5269" r:id="rId67" name="Check Box 149">
              <controlPr defaultSize="0" autoFill="0" autoLine="0" autoPict="0">
                <anchor moveWithCells="1">
                  <from>
                    <xdr:col>11</xdr:col>
                    <xdr:colOff>0</xdr:colOff>
                    <xdr:row>80</xdr:row>
                    <xdr:rowOff>266700</xdr:rowOff>
                  </from>
                  <to>
                    <xdr:col>11</xdr:col>
                    <xdr:colOff>1821180</xdr:colOff>
                    <xdr:row>81</xdr:row>
                    <xdr:rowOff>0</xdr:rowOff>
                  </to>
                </anchor>
              </controlPr>
            </control>
          </mc:Choice>
        </mc:AlternateContent>
        <mc:AlternateContent xmlns:mc="http://schemas.openxmlformats.org/markup-compatibility/2006">
          <mc:Choice Requires="x14">
            <control shapeId="5270" r:id="rId68" name="Check Box 150">
              <controlPr defaultSize="0" autoFill="0" autoLine="0" autoPict="0">
                <anchor moveWithCells="1">
                  <from>
                    <xdr:col>11</xdr:col>
                    <xdr:colOff>0</xdr:colOff>
                    <xdr:row>81</xdr:row>
                    <xdr:rowOff>144780</xdr:rowOff>
                  </from>
                  <to>
                    <xdr:col>11</xdr:col>
                    <xdr:colOff>1821180</xdr:colOff>
                    <xdr:row>81</xdr:row>
                    <xdr:rowOff>342900</xdr:rowOff>
                  </to>
                </anchor>
              </controlPr>
            </control>
          </mc:Choice>
        </mc:AlternateContent>
        <mc:AlternateContent xmlns:mc="http://schemas.openxmlformats.org/markup-compatibility/2006">
          <mc:Choice Requires="x14">
            <control shapeId="5271" r:id="rId69" name="Check Box 151">
              <controlPr defaultSize="0" autoFill="0" autoLine="0" autoPict="0">
                <anchor moveWithCells="1">
                  <from>
                    <xdr:col>11</xdr:col>
                    <xdr:colOff>0</xdr:colOff>
                    <xdr:row>80</xdr:row>
                    <xdr:rowOff>30480</xdr:rowOff>
                  </from>
                  <to>
                    <xdr:col>11</xdr:col>
                    <xdr:colOff>1821180</xdr:colOff>
                    <xdr:row>80</xdr:row>
                    <xdr:rowOff>274320</xdr:rowOff>
                  </to>
                </anchor>
              </controlPr>
            </control>
          </mc:Choice>
        </mc:AlternateContent>
        <mc:AlternateContent xmlns:mc="http://schemas.openxmlformats.org/markup-compatibility/2006">
          <mc:Choice Requires="x14">
            <control shapeId="5273" r:id="rId70" name="Check Box 153">
              <controlPr defaultSize="0" autoFill="0" autoLine="0" autoPict="0">
                <anchor moveWithCells="1">
                  <from>
                    <xdr:col>11</xdr:col>
                    <xdr:colOff>0</xdr:colOff>
                    <xdr:row>82</xdr:row>
                    <xdr:rowOff>0</xdr:rowOff>
                  </from>
                  <to>
                    <xdr:col>11</xdr:col>
                    <xdr:colOff>1821180</xdr:colOff>
                    <xdr:row>82</xdr:row>
                    <xdr:rowOff>190500</xdr:rowOff>
                  </to>
                </anchor>
              </controlPr>
            </control>
          </mc:Choice>
        </mc:AlternateContent>
        <mc:AlternateContent xmlns:mc="http://schemas.openxmlformats.org/markup-compatibility/2006">
          <mc:Choice Requires="x14">
            <control shapeId="5275" r:id="rId71" name="Check Box 155">
              <controlPr defaultSize="0" autoFill="0" autoLine="0" autoPict="0">
                <anchor moveWithCells="1">
                  <from>
                    <xdr:col>11</xdr:col>
                    <xdr:colOff>0</xdr:colOff>
                    <xdr:row>82</xdr:row>
                    <xdr:rowOff>266700</xdr:rowOff>
                  </from>
                  <to>
                    <xdr:col>11</xdr:col>
                    <xdr:colOff>1821180</xdr:colOff>
                    <xdr:row>82</xdr:row>
                    <xdr:rowOff>533400</xdr:rowOff>
                  </to>
                </anchor>
              </controlPr>
            </control>
          </mc:Choice>
        </mc:AlternateContent>
        <mc:AlternateContent xmlns:mc="http://schemas.openxmlformats.org/markup-compatibility/2006">
          <mc:Choice Requires="x14">
            <control shapeId="5276" r:id="rId72" name="Check Box 156">
              <controlPr defaultSize="0" autoFill="0" autoLine="0" autoPict="0">
                <anchor moveWithCells="1">
                  <from>
                    <xdr:col>11</xdr:col>
                    <xdr:colOff>0</xdr:colOff>
                    <xdr:row>83</xdr:row>
                    <xdr:rowOff>144780</xdr:rowOff>
                  </from>
                  <to>
                    <xdr:col>11</xdr:col>
                    <xdr:colOff>1821180</xdr:colOff>
                    <xdr:row>83</xdr:row>
                    <xdr:rowOff>342900</xdr:rowOff>
                  </to>
                </anchor>
              </controlPr>
            </control>
          </mc:Choice>
        </mc:AlternateContent>
        <mc:AlternateContent xmlns:mc="http://schemas.openxmlformats.org/markup-compatibility/2006">
          <mc:Choice Requires="x14">
            <control shapeId="5279" r:id="rId73" name="Check Box 159">
              <controlPr defaultSize="0" autoFill="0" autoLine="0" autoPict="0">
                <anchor moveWithCells="1">
                  <from>
                    <xdr:col>11</xdr:col>
                    <xdr:colOff>0</xdr:colOff>
                    <xdr:row>84</xdr:row>
                    <xdr:rowOff>0</xdr:rowOff>
                  </from>
                  <to>
                    <xdr:col>11</xdr:col>
                    <xdr:colOff>1821180</xdr:colOff>
                    <xdr:row>84</xdr:row>
                    <xdr:rowOff>190500</xdr:rowOff>
                  </to>
                </anchor>
              </controlPr>
            </control>
          </mc:Choice>
        </mc:AlternateContent>
        <mc:AlternateContent xmlns:mc="http://schemas.openxmlformats.org/markup-compatibility/2006">
          <mc:Choice Requires="x14">
            <control shapeId="5284" r:id="rId74" name="Check Box 164">
              <controlPr defaultSize="0" autoFill="0" autoLine="0" autoPict="0">
                <anchor moveWithCells="1">
                  <from>
                    <xdr:col>11</xdr:col>
                    <xdr:colOff>0</xdr:colOff>
                    <xdr:row>96</xdr:row>
                    <xdr:rowOff>266700</xdr:rowOff>
                  </from>
                  <to>
                    <xdr:col>11</xdr:col>
                    <xdr:colOff>1821180</xdr:colOff>
                    <xdr:row>97</xdr:row>
                    <xdr:rowOff>0</xdr:rowOff>
                  </to>
                </anchor>
              </controlPr>
            </control>
          </mc:Choice>
        </mc:AlternateContent>
        <mc:AlternateContent xmlns:mc="http://schemas.openxmlformats.org/markup-compatibility/2006">
          <mc:Choice Requires="x14">
            <control shapeId="5285" r:id="rId75" name="Check Box 165">
              <controlPr defaultSize="0" autoFill="0" autoLine="0" autoPict="0">
                <anchor moveWithCells="1">
                  <from>
                    <xdr:col>11</xdr:col>
                    <xdr:colOff>0</xdr:colOff>
                    <xdr:row>97</xdr:row>
                    <xdr:rowOff>144780</xdr:rowOff>
                  </from>
                  <to>
                    <xdr:col>11</xdr:col>
                    <xdr:colOff>1821180</xdr:colOff>
                    <xdr:row>97</xdr:row>
                    <xdr:rowOff>342900</xdr:rowOff>
                  </to>
                </anchor>
              </controlPr>
            </control>
          </mc:Choice>
        </mc:AlternateContent>
        <mc:AlternateContent xmlns:mc="http://schemas.openxmlformats.org/markup-compatibility/2006">
          <mc:Choice Requires="x14">
            <control shapeId="5286" r:id="rId76" name="Check Box 166">
              <controlPr defaultSize="0" autoFill="0" autoLine="0" autoPict="0">
                <anchor moveWithCells="1">
                  <from>
                    <xdr:col>11</xdr:col>
                    <xdr:colOff>0</xdr:colOff>
                    <xdr:row>96</xdr:row>
                    <xdr:rowOff>30480</xdr:rowOff>
                  </from>
                  <to>
                    <xdr:col>11</xdr:col>
                    <xdr:colOff>1821180</xdr:colOff>
                    <xdr:row>96</xdr:row>
                    <xdr:rowOff>274320</xdr:rowOff>
                  </to>
                </anchor>
              </controlPr>
            </control>
          </mc:Choice>
        </mc:AlternateContent>
        <mc:AlternateContent xmlns:mc="http://schemas.openxmlformats.org/markup-compatibility/2006">
          <mc:Choice Requires="x14">
            <control shapeId="5289" r:id="rId77" name="Check Box 169">
              <controlPr defaultSize="0" autoFill="0" autoLine="0" autoPict="0">
                <anchor moveWithCells="1">
                  <from>
                    <xdr:col>11</xdr:col>
                    <xdr:colOff>0</xdr:colOff>
                    <xdr:row>98</xdr:row>
                    <xdr:rowOff>266700</xdr:rowOff>
                  </from>
                  <to>
                    <xdr:col>11</xdr:col>
                    <xdr:colOff>1821180</xdr:colOff>
                    <xdr:row>99</xdr:row>
                    <xdr:rowOff>0</xdr:rowOff>
                  </to>
                </anchor>
              </controlPr>
            </control>
          </mc:Choice>
        </mc:AlternateContent>
        <mc:AlternateContent xmlns:mc="http://schemas.openxmlformats.org/markup-compatibility/2006">
          <mc:Choice Requires="x14">
            <control shapeId="5290" r:id="rId78" name="Check Box 170">
              <controlPr defaultSize="0" autoFill="0" autoLine="0" autoPict="0">
                <anchor moveWithCells="1">
                  <from>
                    <xdr:col>11</xdr:col>
                    <xdr:colOff>0</xdr:colOff>
                    <xdr:row>99</xdr:row>
                    <xdr:rowOff>144780</xdr:rowOff>
                  </from>
                  <to>
                    <xdr:col>11</xdr:col>
                    <xdr:colOff>1821180</xdr:colOff>
                    <xdr:row>99</xdr:row>
                    <xdr:rowOff>342900</xdr:rowOff>
                  </to>
                </anchor>
              </controlPr>
            </control>
          </mc:Choice>
        </mc:AlternateContent>
        <mc:AlternateContent xmlns:mc="http://schemas.openxmlformats.org/markup-compatibility/2006">
          <mc:Choice Requires="x14">
            <control shapeId="5291" r:id="rId79" name="Check Box 171">
              <controlPr defaultSize="0" autoFill="0" autoLine="0" autoPict="0">
                <anchor moveWithCells="1">
                  <from>
                    <xdr:col>11</xdr:col>
                    <xdr:colOff>0</xdr:colOff>
                    <xdr:row>98</xdr:row>
                    <xdr:rowOff>30480</xdr:rowOff>
                  </from>
                  <to>
                    <xdr:col>11</xdr:col>
                    <xdr:colOff>1821180</xdr:colOff>
                    <xdr:row>98</xdr:row>
                    <xdr:rowOff>274320</xdr:rowOff>
                  </to>
                </anchor>
              </controlPr>
            </control>
          </mc:Choice>
        </mc:AlternateContent>
        <mc:AlternateContent xmlns:mc="http://schemas.openxmlformats.org/markup-compatibility/2006">
          <mc:Choice Requires="x14">
            <control shapeId="5312" r:id="rId80" name="Check Box 192">
              <controlPr defaultSize="0" autoFill="0" autoLine="0" autoPict="0">
                <anchor moveWithCells="1">
                  <from>
                    <xdr:col>11</xdr:col>
                    <xdr:colOff>0</xdr:colOff>
                    <xdr:row>100</xdr:row>
                    <xdr:rowOff>266700</xdr:rowOff>
                  </from>
                  <to>
                    <xdr:col>11</xdr:col>
                    <xdr:colOff>1821180</xdr:colOff>
                    <xdr:row>101</xdr:row>
                    <xdr:rowOff>30480</xdr:rowOff>
                  </to>
                </anchor>
              </controlPr>
            </control>
          </mc:Choice>
        </mc:AlternateContent>
        <mc:AlternateContent xmlns:mc="http://schemas.openxmlformats.org/markup-compatibility/2006">
          <mc:Choice Requires="x14">
            <control shapeId="5313" r:id="rId81" name="Check Box 193">
              <controlPr defaultSize="0" autoFill="0" autoLine="0" autoPict="0">
                <anchor moveWithCells="1">
                  <from>
                    <xdr:col>11</xdr:col>
                    <xdr:colOff>0</xdr:colOff>
                    <xdr:row>101</xdr:row>
                    <xdr:rowOff>144780</xdr:rowOff>
                  </from>
                  <to>
                    <xdr:col>11</xdr:col>
                    <xdr:colOff>1821180</xdr:colOff>
                    <xdr:row>101</xdr:row>
                    <xdr:rowOff>342900</xdr:rowOff>
                  </to>
                </anchor>
              </controlPr>
            </control>
          </mc:Choice>
        </mc:AlternateContent>
        <mc:AlternateContent xmlns:mc="http://schemas.openxmlformats.org/markup-compatibility/2006">
          <mc:Choice Requires="x14">
            <control shapeId="5314" r:id="rId82" name="Check Box 194">
              <controlPr defaultSize="0" autoFill="0" autoLine="0" autoPict="0">
                <anchor moveWithCells="1">
                  <from>
                    <xdr:col>11</xdr:col>
                    <xdr:colOff>0</xdr:colOff>
                    <xdr:row>100</xdr:row>
                    <xdr:rowOff>30480</xdr:rowOff>
                  </from>
                  <to>
                    <xdr:col>11</xdr:col>
                    <xdr:colOff>1821180</xdr:colOff>
                    <xdr:row>100</xdr:row>
                    <xdr:rowOff>274320</xdr:rowOff>
                  </to>
                </anchor>
              </controlPr>
            </control>
          </mc:Choice>
        </mc:AlternateContent>
        <mc:AlternateContent xmlns:mc="http://schemas.openxmlformats.org/markup-compatibility/2006">
          <mc:Choice Requires="x14">
            <control shapeId="5315" r:id="rId83" name="Check Box 195">
              <controlPr defaultSize="0" autoFill="0" autoLine="0" autoPict="0">
                <anchor moveWithCells="1">
                  <from>
                    <xdr:col>11</xdr:col>
                    <xdr:colOff>0</xdr:colOff>
                    <xdr:row>102</xdr:row>
                    <xdr:rowOff>266700</xdr:rowOff>
                  </from>
                  <to>
                    <xdr:col>11</xdr:col>
                    <xdr:colOff>1821180</xdr:colOff>
                    <xdr:row>103</xdr:row>
                    <xdr:rowOff>0</xdr:rowOff>
                  </to>
                </anchor>
              </controlPr>
            </control>
          </mc:Choice>
        </mc:AlternateContent>
        <mc:AlternateContent xmlns:mc="http://schemas.openxmlformats.org/markup-compatibility/2006">
          <mc:Choice Requires="x14">
            <control shapeId="5316" r:id="rId84" name="Check Box 196">
              <controlPr defaultSize="0" autoFill="0" autoLine="0" autoPict="0">
                <anchor moveWithCells="1">
                  <from>
                    <xdr:col>11</xdr:col>
                    <xdr:colOff>0</xdr:colOff>
                    <xdr:row>103</xdr:row>
                    <xdr:rowOff>144780</xdr:rowOff>
                  </from>
                  <to>
                    <xdr:col>11</xdr:col>
                    <xdr:colOff>1821180</xdr:colOff>
                    <xdr:row>103</xdr:row>
                    <xdr:rowOff>342900</xdr:rowOff>
                  </to>
                </anchor>
              </controlPr>
            </control>
          </mc:Choice>
        </mc:AlternateContent>
        <mc:AlternateContent xmlns:mc="http://schemas.openxmlformats.org/markup-compatibility/2006">
          <mc:Choice Requires="x14">
            <control shapeId="5317" r:id="rId85" name="Check Box 197">
              <controlPr defaultSize="0" autoFill="0" autoLine="0" autoPict="0">
                <anchor moveWithCells="1">
                  <from>
                    <xdr:col>11</xdr:col>
                    <xdr:colOff>0</xdr:colOff>
                    <xdr:row>102</xdr:row>
                    <xdr:rowOff>30480</xdr:rowOff>
                  </from>
                  <to>
                    <xdr:col>11</xdr:col>
                    <xdr:colOff>1821180</xdr:colOff>
                    <xdr:row>102</xdr:row>
                    <xdr:rowOff>274320</xdr:rowOff>
                  </to>
                </anchor>
              </controlPr>
            </control>
          </mc:Choice>
        </mc:AlternateContent>
        <mc:AlternateContent xmlns:mc="http://schemas.openxmlformats.org/markup-compatibility/2006">
          <mc:Choice Requires="x14">
            <control shapeId="5318" r:id="rId86" name="Check Box 198">
              <controlPr defaultSize="0" autoFill="0" autoLine="0" autoPict="0">
                <anchor moveWithCells="1">
                  <from>
                    <xdr:col>11</xdr:col>
                    <xdr:colOff>0</xdr:colOff>
                    <xdr:row>104</xdr:row>
                    <xdr:rowOff>266700</xdr:rowOff>
                  </from>
                  <to>
                    <xdr:col>11</xdr:col>
                    <xdr:colOff>1821180</xdr:colOff>
                    <xdr:row>105</xdr:row>
                    <xdr:rowOff>0</xdr:rowOff>
                  </to>
                </anchor>
              </controlPr>
            </control>
          </mc:Choice>
        </mc:AlternateContent>
        <mc:AlternateContent xmlns:mc="http://schemas.openxmlformats.org/markup-compatibility/2006">
          <mc:Choice Requires="x14">
            <control shapeId="5319" r:id="rId87" name="Check Box 199">
              <controlPr defaultSize="0" autoFill="0" autoLine="0" autoPict="0">
                <anchor moveWithCells="1">
                  <from>
                    <xdr:col>11</xdr:col>
                    <xdr:colOff>0</xdr:colOff>
                    <xdr:row>105</xdr:row>
                    <xdr:rowOff>144780</xdr:rowOff>
                  </from>
                  <to>
                    <xdr:col>11</xdr:col>
                    <xdr:colOff>1821180</xdr:colOff>
                    <xdr:row>105</xdr:row>
                    <xdr:rowOff>342900</xdr:rowOff>
                  </to>
                </anchor>
              </controlPr>
            </control>
          </mc:Choice>
        </mc:AlternateContent>
        <mc:AlternateContent xmlns:mc="http://schemas.openxmlformats.org/markup-compatibility/2006">
          <mc:Choice Requires="x14">
            <control shapeId="5320" r:id="rId88" name="Check Box 200">
              <controlPr defaultSize="0" autoFill="0" autoLine="0" autoPict="0">
                <anchor moveWithCells="1">
                  <from>
                    <xdr:col>11</xdr:col>
                    <xdr:colOff>0</xdr:colOff>
                    <xdr:row>104</xdr:row>
                    <xdr:rowOff>30480</xdr:rowOff>
                  </from>
                  <to>
                    <xdr:col>11</xdr:col>
                    <xdr:colOff>1821180</xdr:colOff>
                    <xdr:row>104</xdr:row>
                    <xdr:rowOff>274320</xdr:rowOff>
                  </to>
                </anchor>
              </controlPr>
            </control>
          </mc:Choice>
        </mc:AlternateContent>
        <mc:AlternateContent xmlns:mc="http://schemas.openxmlformats.org/markup-compatibility/2006">
          <mc:Choice Requires="x14">
            <control shapeId="5355" r:id="rId89" name="Check Box 235">
              <controlPr defaultSize="0" autoFill="0" autoLine="0" autoPict="0">
                <anchor moveWithCells="1">
                  <from>
                    <xdr:col>11</xdr:col>
                    <xdr:colOff>0</xdr:colOff>
                    <xdr:row>84</xdr:row>
                    <xdr:rowOff>335280</xdr:rowOff>
                  </from>
                  <to>
                    <xdr:col>11</xdr:col>
                    <xdr:colOff>1821180</xdr:colOff>
                    <xdr:row>85</xdr:row>
                    <xdr:rowOff>106680</xdr:rowOff>
                  </to>
                </anchor>
              </controlPr>
            </control>
          </mc:Choice>
        </mc:AlternateContent>
        <mc:AlternateContent xmlns:mc="http://schemas.openxmlformats.org/markup-compatibility/2006">
          <mc:Choice Requires="x14">
            <control shapeId="5356" r:id="rId90" name="Check Box 236">
              <controlPr defaultSize="0" autoFill="0" autoLine="0" autoPict="0">
                <anchor moveWithCells="1">
                  <from>
                    <xdr:col>11</xdr:col>
                    <xdr:colOff>0</xdr:colOff>
                    <xdr:row>85</xdr:row>
                    <xdr:rowOff>144780</xdr:rowOff>
                  </from>
                  <to>
                    <xdr:col>11</xdr:col>
                    <xdr:colOff>1821180</xdr:colOff>
                    <xdr:row>85</xdr:row>
                    <xdr:rowOff>342900</xdr:rowOff>
                  </to>
                </anchor>
              </controlPr>
            </control>
          </mc:Choice>
        </mc:AlternateContent>
        <mc:AlternateContent xmlns:mc="http://schemas.openxmlformats.org/markup-compatibility/2006">
          <mc:Choice Requires="x14">
            <control shapeId="5358" r:id="rId91" name="Check Box 238">
              <controlPr defaultSize="0" autoFill="0" autoLine="0" autoPict="0">
                <anchor moveWithCells="1">
                  <from>
                    <xdr:col>11</xdr:col>
                    <xdr:colOff>0</xdr:colOff>
                    <xdr:row>86</xdr:row>
                    <xdr:rowOff>0</xdr:rowOff>
                  </from>
                  <to>
                    <xdr:col>11</xdr:col>
                    <xdr:colOff>1821180</xdr:colOff>
                    <xdr:row>86</xdr:row>
                    <xdr:rowOff>297180</xdr:rowOff>
                  </to>
                </anchor>
              </controlPr>
            </control>
          </mc:Choice>
        </mc:AlternateContent>
        <mc:AlternateContent xmlns:mc="http://schemas.openxmlformats.org/markup-compatibility/2006">
          <mc:Choice Requires="x14">
            <control shapeId="5367" r:id="rId92" name="Check Box 247">
              <controlPr defaultSize="0" autoFill="0" autoLine="0" autoPict="0">
                <anchor moveWithCells="1">
                  <from>
                    <xdr:col>11</xdr:col>
                    <xdr:colOff>0</xdr:colOff>
                    <xdr:row>86</xdr:row>
                    <xdr:rowOff>266700</xdr:rowOff>
                  </from>
                  <to>
                    <xdr:col>11</xdr:col>
                    <xdr:colOff>1821180</xdr:colOff>
                    <xdr:row>87</xdr:row>
                    <xdr:rowOff>0</xdr:rowOff>
                  </to>
                </anchor>
              </controlPr>
            </control>
          </mc:Choice>
        </mc:AlternateContent>
        <mc:AlternateContent xmlns:mc="http://schemas.openxmlformats.org/markup-compatibility/2006">
          <mc:Choice Requires="x14">
            <control shapeId="5368" r:id="rId93" name="Check Box 248">
              <controlPr defaultSize="0" autoFill="0" autoLine="0" autoPict="0">
                <anchor moveWithCells="1">
                  <from>
                    <xdr:col>11</xdr:col>
                    <xdr:colOff>0</xdr:colOff>
                    <xdr:row>87</xdr:row>
                    <xdr:rowOff>144780</xdr:rowOff>
                  </from>
                  <to>
                    <xdr:col>11</xdr:col>
                    <xdr:colOff>1821180</xdr:colOff>
                    <xdr:row>87</xdr:row>
                    <xdr:rowOff>342900</xdr:rowOff>
                  </to>
                </anchor>
              </controlPr>
            </control>
          </mc:Choice>
        </mc:AlternateContent>
        <mc:AlternateContent xmlns:mc="http://schemas.openxmlformats.org/markup-compatibility/2006">
          <mc:Choice Requires="x14">
            <control shapeId="5370" r:id="rId94" name="Check Box 250">
              <controlPr defaultSize="0" autoFill="0" autoLine="0" autoPict="0">
                <anchor moveWithCells="1">
                  <from>
                    <xdr:col>11</xdr:col>
                    <xdr:colOff>0</xdr:colOff>
                    <xdr:row>88</xdr:row>
                    <xdr:rowOff>266700</xdr:rowOff>
                  </from>
                  <to>
                    <xdr:col>11</xdr:col>
                    <xdr:colOff>1821180</xdr:colOff>
                    <xdr:row>88</xdr:row>
                    <xdr:rowOff>563880</xdr:rowOff>
                  </to>
                </anchor>
              </controlPr>
            </control>
          </mc:Choice>
        </mc:AlternateContent>
        <mc:AlternateContent xmlns:mc="http://schemas.openxmlformats.org/markup-compatibility/2006">
          <mc:Choice Requires="x14">
            <control shapeId="5371" r:id="rId95" name="Check Box 251">
              <controlPr defaultSize="0" autoFill="0" autoLine="0" autoPict="0">
                <anchor moveWithCells="1">
                  <from>
                    <xdr:col>11</xdr:col>
                    <xdr:colOff>0</xdr:colOff>
                    <xdr:row>89</xdr:row>
                    <xdr:rowOff>144780</xdr:rowOff>
                  </from>
                  <to>
                    <xdr:col>11</xdr:col>
                    <xdr:colOff>1821180</xdr:colOff>
                    <xdr:row>89</xdr:row>
                    <xdr:rowOff>342900</xdr:rowOff>
                  </to>
                </anchor>
              </controlPr>
            </control>
          </mc:Choice>
        </mc:AlternateContent>
        <mc:AlternateContent xmlns:mc="http://schemas.openxmlformats.org/markup-compatibility/2006">
          <mc:Choice Requires="x14">
            <control shapeId="5372" r:id="rId96" name="Check Box 252">
              <controlPr defaultSize="0" autoFill="0" autoLine="0" autoPict="0">
                <anchor moveWithCells="1">
                  <from>
                    <xdr:col>11</xdr:col>
                    <xdr:colOff>0</xdr:colOff>
                    <xdr:row>88</xdr:row>
                    <xdr:rowOff>30480</xdr:rowOff>
                  </from>
                  <to>
                    <xdr:col>11</xdr:col>
                    <xdr:colOff>1821180</xdr:colOff>
                    <xdr:row>88</xdr:row>
                    <xdr:rowOff>297180</xdr:rowOff>
                  </to>
                </anchor>
              </controlPr>
            </control>
          </mc:Choice>
        </mc:AlternateContent>
        <mc:AlternateContent xmlns:mc="http://schemas.openxmlformats.org/markup-compatibility/2006">
          <mc:Choice Requires="x14">
            <control shapeId="5373" r:id="rId97" name="Check Box 253">
              <controlPr defaultSize="0" autoFill="0" autoLine="0" autoPict="0">
                <anchor moveWithCells="1">
                  <from>
                    <xdr:col>11</xdr:col>
                    <xdr:colOff>0</xdr:colOff>
                    <xdr:row>90</xdr:row>
                    <xdr:rowOff>266700</xdr:rowOff>
                  </from>
                  <to>
                    <xdr:col>11</xdr:col>
                    <xdr:colOff>1821180</xdr:colOff>
                    <xdr:row>91</xdr:row>
                    <xdr:rowOff>30480</xdr:rowOff>
                  </to>
                </anchor>
              </controlPr>
            </control>
          </mc:Choice>
        </mc:AlternateContent>
        <mc:AlternateContent xmlns:mc="http://schemas.openxmlformats.org/markup-compatibility/2006">
          <mc:Choice Requires="x14">
            <control shapeId="5374" r:id="rId98" name="Check Box 254">
              <controlPr defaultSize="0" autoFill="0" autoLine="0" autoPict="0">
                <anchor moveWithCells="1">
                  <from>
                    <xdr:col>11</xdr:col>
                    <xdr:colOff>0</xdr:colOff>
                    <xdr:row>91</xdr:row>
                    <xdr:rowOff>144780</xdr:rowOff>
                  </from>
                  <to>
                    <xdr:col>11</xdr:col>
                    <xdr:colOff>1821180</xdr:colOff>
                    <xdr:row>91</xdr:row>
                    <xdr:rowOff>342900</xdr:rowOff>
                  </to>
                </anchor>
              </controlPr>
            </control>
          </mc:Choice>
        </mc:AlternateContent>
        <mc:AlternateContent xmlns:mc="http://schemas.openxmlformats.org/markup-compatibility/2006">
          <mc:Choice Requires="x14">
            <control shapeId="5375" r:id="rId99" name="Check Box 255">
              <controlPr defaultSize="0" autoFill="0" autoLine="0" autoPict="0">
                <anchor moveWithCells="1">
                  <from>
                    <xdr:col>11</xdr:col>
                    <xdr:colOff>0</xdr:colOff>
                    <xdr:row>90</xdr:row>
                    <xdr:rowOff>30480</xdr:rowOff>
                  </from>
                  <to>
                    <xdr:col>11</xdr:col>
                    <xdr:colOff>1821180</xdr:colOff>
                    <xdr:row>90</xdr:row>
                    <xdr:rowOff>297180</xdr:rowOff>
                  </to>
                </anchor>
              </controlPr>
            </control>
          </mc:Choice>
        </mc:AlternateContent>
        <mc:AlternateContent xmlns:mc="http://schemas.openxmlformats.org/markup-compatibility/2006">
          <mc:Choice Requires="x14">
            <control shapeId="5376" r:id="rId100" name="Check Box 256">
              <controlPr defaultSize="0" autoFill="0" autoLine="0" autoPict="0">
                <anchor moveWithCells="1">
                  <from>
                    <xdr:col>11</xdr:col>
                    <xdr:colOff>0</xdr:colOff>
                    <xdr:row>92</xdr:row>
                    <xdr:rowOff>266700</xdr:rowOff>
                  </from>
                  <to>
                    <xdr:col>11</xdr:col>
                    <xdr:colOff>1821180</xdr:colOff>
                    <xdr:row>92</xdr:row>
                    <xdr:rowOff>563880</xdr:rowOff>
                  </to>
                </anchor>
              </controlPr>
            </control>
          </mc:Choice>
        </mc:AlternateContent>
        <mc:AlternateContent xmlns:mc="http://schemas.openxmlformats.org/markup-compatibility/2006">
          <mc:Choice Requires="x14">
            <control shapeId="5377" r:id="rId101" name="Check Box 257">
              <controlPr defaultSize="0" autoFill="0" autoLine="0" autoPict="0">
                <anchor moveWithCells="1">
                  <from>
                    <xdr:col>11</xdr:col>
                    <xdr:colOff>0</xdr:colOff>
                    <xdr:row>93</xdr:row>
                    <xdr:rowOff>144780</xdr:rowOff>
                  </from>
                  <to>
                    <xdr:col>11</xdr:col>
                    <xdr:colOff>1821180</xdr:colOff>
                    <xdr:row>93</xdr:row>
                    <xdr:rowOff>342900</xdr:rowOff>
                  </to>
                </anchor>
              </controlPr>
            </control>
          </mc:Choice>
        </mc:AlternateContent>
        <mc:AlternateContent xmlns:mc="http://schemas.openxmlformats.org/markup-compatibility/2006">
          <mc:Choice Requires="x14">
            <control shapeId="5378" r:id="rId102" name="Check Box 258">
              <controlPr defaultSize="0" autoFill="0" autoLine="0" autoPict="0">
                <anchor moveWithCells="1">
                  <from>
                    <xdr:col>11</xdr:col>
                    <xdr:colOff>0</xdr:colOff>
                    <xdr:row>92</xdr:row>
                    <xdr:rowOff>30480</xdr:rowOff>
                  </from>
                  <to>
                    <xdr:col>11</xdr:col>
                    <xdr:colOff>1821180</xdr:colOff>
                    <xdr:row>92</xdr:row>
                    <xdr:rowOff>297180</xdr:rowOff>
                  </to>
                </anchor>
              </controlPr>
            </control>
          </mc:Choice>
        </mc:AlternateContent>
        <mc:AlternateContent xmlns:mc="http://schemas.openxmlformats.org/markup-compatibility/2006">
          <mc:Choice Requires="x14">
            <control shapeId="5379" r:id="rId103" name="Check Box 259">
              <controlPr defaultSize="0" autoFill="0" autoLine="0" autoPict="0">
                <anchor moveWithCells="1">
                  <from>
                    <xdr:col>11</xdr:col>
                    <xdr:colOff>0</xdr:colOff>
                    <xdr:row>94</xdr:row>
                    <xdr:rowOff>266700</xdr:rowOff>
                  </from>
                  <to>
                    <xdr:col>11</xdr:col>
                    <xdr:colOff>1821180</xdr:colOff>
                    <xdr:row>95</xdr:row>
                    <xdr:rowOff>0</xdr:rowOff>
                  </to>
                </anchor>
              </controlPr>
            </control>
          </mc:Choice>
        </mc:AlternateContent>
        <mc:AlternateContent xmlns:mc="http://schemas.openxmlformats.org/markup-compatibility/2006">
          <mc:Choice Requires="x14">
            <control shapeId="5380" r:id="rId104" name="Check Box 260">
              <controlPr defaultSize="0" autoFill="0" autoLine="0" autoPict="0">
                <anchor moveWithCells="1">
                  <from>
                    <xdr:col>11</xdr:col>
                    <xdr:colOff>0</xdr:colOff>
                    <xdr:row>95</xdr:row>
                    <xdr:rowOff>144780</xdr:rowOff>
                  </from>
                  <to>
                    <xdr:col>11</xdr:col>
                    <xdr:colOff>1821180</xdr:colOff>
                    <xdr:row>95</xdr:row>
                    <xdr:rowOff>342900</xdr:rowOff>
                  </to>
                </anchor>
              </controlPr>
            </control>
          </mc:Choice>
        </mc:AlternateContent>
        <mc:AlternateContent xmlns:mc="http://schemas.openxmlformats.org/markup-compatibility/2006">
          <mc:Choice Requires="x14">
            <control shapeId="5381" r:id="rId105" name="Check Box 261">
              <controlPr defaultSize="0" autoFill="0" autoLine="0" autoPict="0">
                <anchor moveWithCells="1">
                  <from>
                    <xdr:col>11</xdr:col>
                    <xdr:colOff>0</xdr:colOff>
                    <xdr:row>94</xdr:row>
                    <xdr:rowOff>30480</xdr:rowOff>
                  </from>
                  <to>
                    <xdr:col>11</xdr:col>
                    <xdr:colOff>1821180</xdr:colOff>
                    <xdr:row>94</xdr:row>
                    <xdr:rowOff>297180</xdr:rowOff>
                  </to>
                </anchor>
              </controlPr>
            </control>
          </mc:Choice>
        </mc:AlternateContent>
      </controls>
    </mc:Choice>
  </mc:AlternateContent>
  <tableParts count="1">
    <tablePart r:id="rId106"/>
  </tableParts>
  <extLst>
    <ext xmlns:x14="http://schemas.microsoft.com/office/spreadsheetml/2009/9/main" uri="{78C0D931-6437-407d-A8EE-F0AAD7539E65}">
      <x14:conditionalFormattings>
        <x14:conditionalFormatting xmlns:xm="http://schemas.microsoft.com/office/excel/2006/main">
          <x14:cfRule type="iconSet" priority="41" id="{AF12D407-A800-4A89-B4F4-FA3BD24B3FD3}">
            <x14:iconSet iconSet="3Stars">
              <x14:cfvo type="percent">
                <xm:f>0</xm:f>
              </x14:cfvo>
              <x14:cfvo type="percent">
                <xm:f>33</xm:f>
              </x14:cfvo>
              <x14:cfvo type="percent">
                <xm:f>67</xm:f>
              </x14:cfvo>
            </x14:iconSet>
          </x14:cfRule>
          <xm:sqref>O6</xm:sqref>
        </x14:conditionalFormatting>
        <x14:conditionalFormatting xmlns:xm="http://schemas.microsoft.com/office/excel/2006/main">
          <x14:cfRule type="iconSet" priority="32" id="{FAB00ACC-682D-48D9-8EF7-67B48911C285}">
            <x14:iconSet iconSet="3Stars">
              <x14:cfvo type="percent">
                <xm:f>0</xm:f>
              </x14:cfvo>
              <x14:cfvo type="percent">
                <xm:f>33</xm:f>
              </x14:cfvo>
              <x14:cfvo type="percent">
                <xm:f>67</xm:f>
              </x14:cfvo>
            </x14:iconSet>
          </x14:cfRule>
          <xm:sqref>P6</xm:sqref>
        </x14:conditionalFormatting>
      </x14:conditionalFormattings>
    </ext>
    <ext xmlns:x14="http://schemas.microsoft.com/office/spreadsheetml/2009/9/main" uri="{CCE6A557-97BC-4b89-ADB6-D9C93CAAB3DF}">
      <x14:dataValidations xmlns:xm="http://schemas.microsoft.com/office/excel/2006/main" disablePrompts="1" count="4">
        <x14:dataValidation type="list" allowBlank="1" showInputMessage="1" showErrorMessage="1" xr:uid="{E20F6BA3-7B0D-4F4E-89CA-3393C454BA04}">
          <x14:formula1>
            <xm:f>Parâmetros!$A$28:$A$29</xm:f>
          </x14:formula1>
          <xm:sqref>I110:K129 M55:M106</xm:sqref>
        </x14:dataValidation>
        <x14:dataValidation type="list" allowBlank="1" showInputMessage="1" showErrorMessage="1" xr:uid="{9E58BE21-FAD7-4266-B8A4-AE8947F1194F}">
          <x14:formula1>
            <xm:f>Parâmetros!$A$31:$A$33</xm:f>
          </x14:formula1>
          <xm:sqref>O55 O63 O67 O73 O77 O81 O75 O61 O65 O69 O71 O99 O79 O83 O97 O101 O103 O105 O85 O59 O87 O57 O89</xm:sqref>
        </x14:dataValidation>
        <x14:dataValidation type="list" allowBlank="1" showInputMessage="1" showErrorMessage="1" xr:uid="{7F3D7702-FB8B-4D31-9404-AA95B9215789}">
          <x14:formula1>
            <xm:f>Parâmetros!$A$28:$A$30</xm:f>
          </x14:formula1>
          <xm:sqref>E240:F286</xm:sqref>
        </x14:dataValidation>
        <x14:dataValidation type="list" allowBlank="1" showInputMessage="1" showErrorMessage="1" xr:uid="{44F11A9B-9C97-4960-A48E-EBB3565A1096}">
          <x14:formula1>
            <xm:f>Parâmetros!$A$21:$A$27</xm:f>
          </x14:formula1>
          <xm:sqref>A55:A106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0C14C-6D4C-47F3-AEE6-8386BDC53B83}">
  <dimension ref="A1:AV390"/>
  <sheetViews>
    <sheetView topLeftCell="F45" zoomScale="70" zoomScaleNormal="70" zoomScaleSheetLayoutView="63" workbookViewId="0">
      <selection activeCell="H61" sqref="H61:H62"/>
    </sheetView>
  </sheetViews>
  <sheetFormatPr defaultColWidth="8.5546875" defaultRowHeight="14.4" x14ac:dyDescent="0.3"/>
  <cols>
    <col min="1" max="2" width="33.44140625" style="62" customWidth="1"/>
    <col min="3" max="3" width="34" style="62" customWidth="1"/>
    <col min="4" max="4" width="39.5546875" style="62" customWidth="1"/>
    <col min="5" max="5" width="18.44140625" style="62" customWidth="1"/>
    <col min="6" max="6" width="17.5546875" style="62" customWidth="1"/>
    <col min="7" max="7" width="22.44140625" style="62" customWidth="1"/>
    <col min="8" max="8" width="26.5546875" style="62" bestFit="1" customWidth="1"/>
    <col min="9" max="9" width="36.5546875" style="62" customWidth="1"/>
    <col min="10" max="10" width="18.44140625" style="62" bestFit="1" customWidth="1"/>
    <col min="11" max="11" width="26.44140625" style="62" bestFit="1" customWidth="1"/>
    <col min="12" max="12" width="28.44140625" style="62" customWidth="1"/>
    <col min="13" max="13" width="27.5546875" style="62" customWidth="1"/>
    <col min="14" max="14" width="26.5546875" style="62" bestFit="1" customWidth="1"/>
    <col min="15" max="15" width="22" style="62" customWidth="1"/>
    <col min="16" max="16" width="49.44140625" style="249" customWidth="1"/>
    <col min="17" max="17" width="47.44140625" style="62" customWidth="1"/>
    <col min="18" max="18" width="25.44140625" style="62" customWidth="1"/>
    <col min="19" max="19" width="45" style="62" bestFit="1" customWidth="1"/>
    <col min="20" max="20" width="19.44140625" style="62" bestFit="1" customWidth="1"/>
    <col min="21" max="21" width="17.5546875" style="62" customWidth="1"/>
    <col min="22" max="22" width="20.5546875" style="62" customWidth="1"/>
    <col min="23" max="23" width="17.44140625" style="62" customWidth="1"/>
    <col min="24" max="24" width="21.44140625" style="62" customWidth="1"/>
    <col min="25" max="25" width="17.44140625" style="62" bestFit="1" customWidth="1"/>
    <col min="26" max="26" width="28.5546875" style="62" bestFit="1" customWidth="1"/>
    <col min="27" max="27" width="28.44140625" style="62" bestFit="1" customWidth="1"/>
    <col min="28" max="28" width="28.5546875" style="62" bestFit="1" customWidth="1"/>
    <col min="29" max="29" width="19.5546875" style="62" bestFit="1" customWidth="1"/>
    <col min="30" max="30" width="21.44140625" style="62" bestFit="1" customWidth="1"/>
    <col min="31" max="31" width="18.5546875" style="62" bestFit="1" customWidth="1"/>
    <col min="32" max="32" width="16" style="62" bestFit="1" customWidth="1"/>
    <col min="33" max="33" width="16.5546875" style="62" bestFit="1" customWidth="1"/>
    <col min="34" max="34" width="19.44140625" style="62" bestFit="1" customWidth="1"/>
    <col min="35" max="35" width="16" style="62" bestFit="1" customWidth="1"/>
    <col min="36" max="36" width="18" style="62" customWidth="1"/>
    <col min="37" max="37" width="20.44140625" style="62" bestFit="1" customWidth="1"/>
    <col min="38" max="38" width="18.5546875" style="62" customWidth="1"/>
    <col min="39" max="39" width="32.5546875" style="62" bestFit="1" customWidth="1"/>
    <col min="40" max="40" width="8.5546875" style="62"/>
    <col min="41" max="41" width="13.44140625" style="62" bestFit="1" customWidth="1"/>
    <col min="42" max="42" width="62.44140625" style="62" bestFit="1" customWidth="1"/>
    <col min="43" max="43" width="2.5546875" style="62" bestFit="1" customWidth="1"/>
    <col min="44" max="44" width="19.5546875" style="62" bestFit="1" customWidth="1"/>
    <col min="45" max="45" width="22.44140625" style="62" bestFit="1" customWidth="1"/>
    <col min="46" max="46" width="8.5546875" style="62"/>
    <col min="47" max="48" width="20.5546875" style="62" customWidth="1"/>
    <col min="49" max="16384" width="8.5546875" style="62"/>
  </cols>
  <sheetData>
    <row r="1" spans="1:40" ht="50.1" customHeight="1" x14ac:dyDescent="0.3">
      <c r="A1" s="1434" t="s">
        <v>2089</v>
      </c>
      <c r="B1" s="1434"/>
      <c r="C1" s="1434"/>
      <c r="D1" s="1434"/>
      <c r="E1" s="1434"/>
      <c r="F1" s="1434"/>
      <c r="G1" s="1434"/>
      <c r="H1" s="1434"/>
      <c r="I1" s="1434"/>
      <c r="J1" s="1434"/>
      <c r="K1" s="1434"/>
      <c r="L1" s="1434"/>
      <c r="M1" s="1434"/>
      <c r="N1" s="1434"/>
      <c r="O1" s="1434"/>
      <c r="P1" s="1434"/>
      <c r="Q1" s="1434"/>
      <c r="R1" s="1434"/>
      <c r="S1" s="1434"/>
      <c r="T1" s="1434"/>
      <c r="U1" s="1434"/>
      <c r="V1" s="1434"/>
      <c r="W1" s="1434"/>
      <c r="X1" s="1434"/>
      <c r="Y1" s="1434"/>
      <c r="Z1" s="1434"/>
      <c r="AA1" s="1434"/>
      <c r="AB1" s="1434"/>
      <c r="AC1" s="1434"/>
      <c r="AD1" s="1434"/>
      <c r="AE1" s="1434"/>
      <c r="AF1" s="1434"/>
      <c r="AG1" s="47"/>
      <c r="AH1" s="47"/>
      <c r="AI1" s="47"/>
      <c r="AJ1" s="47"/>
      <c r="AK1" s="47"/>
      <c r="AL1" s="47"/>
    </row>
    <row r="2" spans="1:40" ht="25.35" customHeight="1" x14ac:dyDescent="0.3">
      <c r="A2" s="1443" t="s">
        <v>46</v>
      </c>
      <c r="B2" s="1443"/>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3"/>
      <c r="AD2" s="1443"/>
      <c r="AE2" s="1443"/>
      <c r="AF2" s="1443"/>
      <c r="AG2" s="47"/>
      <c r="AH2" s="47"/>
      <c r="AI2" s="47"/>
      <c r="AJ2" s="47"/>
      <c r="AK2" s="47"/>
      <c r="AL2" s="47"/>
    </row>
    <row r="3" spans="1:40" ht="8.1" customHeight="1" x14ac:dyDescent="0.3">
      <c r="A3" s="47"/>
      <c r="B3" s="47"/>
      <c r="C3" s="47"/>
      <c r="D3" s="47"/>
      <c r="E3" s="47"/>
      <c r="F3" s="47"/>
      <c r="G3" s="47"/>
      <c r="H3" s="47"/>
      <c r="I3" s="47"/>
      <c r="J3" s="47"/>
      <c r="K3" s="47"/>
      <c r="L3" s="47"/>
      <c r="M3" s="47"/>
      <c r="N3" s="47"/>
      <c r="O3" s="47"/>
      <c r="P3" s="228"/>
      <c r="Q3" s="47"/>
      <c r="R3" s="47"/>
      <c r="S3" s="47"/>
      <c r="T3" s="47"/>
      <c r="U3" s="47"/>
      <c r="V3" s="47"/>
      <c r="W3" s="47"/>
      <c r="X3" s="47"/>
      <c r="Y3" s="47"/>
      <c r="Z3" s="47"/>
      <c r="AA3" s="47"/>
      <c r="AB3" s="47"/>
      <c r="AC3" s="47"/>
      <c r="AD3" s="47"/>
      <c r="AE3" s="47"/>
      <c r="AF3" s="47"/>
      <c r="AG3" s="47"/>
      <c r="AH3" s="47"/>
      <c r="AI3" s="47"/>
      <c r="AJ3" s="47"/>
      <c r="AK3" s="47"/>
      <c r="AL3" s="47"/>
    </row>
    <row r="4" spans="1:40" ht="22.35" customHeight="1" x14ac:dyDescent="0.3">
      <c r="A4" s="362" t="s">
        <v>94</v>
      </c>
      <c r="B4" s="475" t="s">
        <v>48</v>
      </c>
      <c r="C4" s="976" t="s">
        <v>49</v>
      </c>
      <c r="D4" s="478" t="s">
        <v>50</v>
      </c>
      <c r="E4" s="1415" t="s">
        <v>100</v>
      </c>
      <c r="F4" s="1415"/>
      <c r="G4" s="1423" t="s">
        <v>102</v>
      </c>
      <c r="H4" s="1424"/>
      <c r="I4" s="903" t="s">
        <v>1390</v>
      </c>
      <c r="J4" s="1435" t="s">
        <v>54</v>
      </c>
      <c r="K4" s="1436"/>
      <c r="L4" s="1435" t="s">
        <v>55</v>
      </c>
      <c r="M4" s="1436"/>
      <c r="N4" s="47"/>
      <c r="O4" s="1441" t="s">
        <v>129</v>
      </c>
      <c r="P4" s="1442"/>
      <c r="Q4" s="1442"/>
      <c r="R4" s="1442"/>
      <c r="S4" s="1442"/>
      <c r="T4" s="1442"/>
      <c r="U4" s="1442"/>
      <c r="V4" s="1442"/>
      <c r="W4" s="1442"/>
      <c r="X4" s="1442"/>
      <c r="Y4" s="1442"/>
      <c r="Z4" s="1442"/>
      <c r="AA4" s="1442"/>
      <c r="AB4" s="1442"/>
      <c r="AC4" s="1442"/>
      <c r="AD4" s="1442"/>
      <c r="AE4" s="1442"/>
      <c r="AF4" s="1442"/>
      <c r="AG4" s="47"/>
      <c r="AH4" s="47"/>
      <c r="AI4" s="47"/>
      <c r="AJ4" s="47"/>
      <c r="AK4" s="47"/>
      <c r="AL4" s="47"/>
    </row>
    <row r="5" spans="1:40" ht="45" customHeight="1" x14ac:dyDescent="0.3">
      <c r="A5" s="476">
        <f>Parâmetros!E9</f>
        <v>3841000</v>
      </c>
      <c r="B5" s="477">
        <f>SUM(I55:I102)</f>
        <v>1612623.6401</v>
      </c>
      <c r="C5" s="977">
        <f>AV53</f>
        <v>666288.15549999988</v>
      </c>
      <c r="D5" s="479">
        <f>AU53</f>
        <v>1181255.8800749998</v>
      </c>
      <c r="E5" s="1416">
        <f>SUM(N55:N102)</f>
        <v>464467.83120833331</v>
      </c>
      <c r="F5" s="1416"/>
      <c r="G5" s="1425">
        <f>SUM(E9,E11:E14)</f>
        <v>331443.94717433047</v>
      </c>
      <c r="H5" s="1426"/>
      <c r="I5" s="904">
        <f>E8+E10</f>
        <v>166000</v>
      </c>
      <c r="J5" s="1437">
        <f>G5/A5</f>
        <v>8.6291056280742115E-2</v>
      </c>
      <c r="K5" s="1438"/>
      <c r="L5" s="1439">
        <f ca="1">SUM(G8:G10)</f>
        <v>16</v>
      </c>
      <c r="M5" s="1440"/>
      <c r="N5" s="230"/>
      <c r="O5" s="231" t="s">
        <v>132</v>
      </c>
      <c r="P5" s="1009" t="s">
        <v>77</v>
      </c>
      <c r="Q5" s="232" t="s">
        <v>924</v>
      </c>
      <c r="R5" s="363" t="s">
        <v>134</v>
      </c>
      <c r="S5" s="363" t="s">
        <v>135</v>
      </c>
      <c r="T5" s="507" t="s">
        <v>136</v>
      </c>
      <c r="U5" s="1444" t="s">
        <v>137</v>
      </c>
      <c r="V5" s="1445"/>
      <c r="W5" s="1445"/>
      <c r="X5" s="1445"/>
      <c r="Y5" s="1446"/>
      <c r="Z5" s="232" t="s">
        <v>138</v>
      </c>
      <c r="AA5" s="232" t="s">
        <v>139</v>
      </c>
      <c r="AB5" s="359" t="s">
        <v>140</v>
      </c>
      <c r="AC5" s="359" t="s">
        <v>141</v>
      </c>
      <c r="AD5" s="359" t="s">
        <v>142</v>
      </c>
      <c r="AE5" s="363" t="s">
        <v>143</v>
      </c>
      <c r="AF5" s="47"/>
      <c r="AG5" s="47"/>
      <c r="AH5" s="47"/>
      <c r="AI5" s="47"/>
      <c r="AJ5" s="47"/>
      <c r="AK5" s="47"/>
      <c r="AL5" s="47"/>
      <c r="AM5" s="47"/>
    </row>
    <row r="6" spans="1:40" ht="20.100000000000001" customHeight="1" x14ac:dyDescent="0.3">
      <c r="A6" s="897" t="s">
        <v>145</v>
      </c>
      <c r="B6" s="897"/>
      <c r="C6" s="897"/>
      <c r="D6" s="897"/>
      <c r="E6" s="897"/>
      <c r="F6" s="900" t="s">
        <v>64</v>
      </c>
      <c r="G6" s="900"/>
      <c r="H6" s="900"/>
      <c r="I6" s="972" t="s">
        <v>65</v>
      </c>
      <c r="J6" s="973"/>
      <c r="K6" s="973"/>
      <c r="L6" s="1431"/>
      <c r="M6" s="1431"/>
      <c r="N6" s="47"/>
      <c r="O6" s="229" cm="1">
        <f t="array" ref="O6:O25">_xlfn.SEQUENCE(20)</f>
        <v>1</v>
      </c>
      <c r="P6" s="371" t="str">
        <f t="shared" ref="P6:P13" si="0">_xlfn.XLOOKUP(U6,$C$55:$C$124,$A$55:$A$124)</f>
        <v>Redução de custo</v>
      </c>
      <c r="Q6" s="377">
        <f>MAX(I55:I124)</f>
        <v>530000</v>
      </c>
      <c r="R6" s="377">
        <f t="shared" ref="R6:R14" si="1">_xlfn.XLOOKUP(Q6,$I$55:$I$124,$N$55:$N$124)</f>
        <v>50000</v>
      </c>
      <c r="S6" s="499">
        <f>_xlfn.XLOOKUP(U6,$C$55:$C$176,$J$55:$J$176)</f>
        <v>46054</v>
      </c>
      <c r="T6" s="508" cm="1">
        <f t="array" aca="1" ref="T6" ca="1">SUMPRODUCT(($C$55:$C$124=U6)*(U$54:$AI$54&lt;=TODAY())*(ISNUMBER(S$55:$AG$124)),S$55:$AG$124)</f>
        <v>100000.6700152211</v>
      </c>
      <c r="U6" s="1397" t="str">
        <f t="shared" ref="U6:U13" si="2">IFERROR(HYPERLINK(INDEX($D$55:$D$124,MATCH(Q6,$I$55:$I$124,0)),INDEX($C$55:$C$124,MATCH(Q6,$I$55:$I$124,0))
   ),
   ""
)</f>
        <v>01 - VENDA DE ATIVOS</v>
      </c>
      <c r="V6" s="1398"/>
      <c r="W6" s="1398"/>
      <c r="X6" s="1398"/>
      <c r="Y6" s="1399"/>
      <c r="Z6" s="635">
        <f t="shared" ref="Z6:Z16" si="3">IF(Q6="","",Q6/$B$5)</f>
        <v>0.32865697043058001</v>
      </c>
      <c r="AA6" s="872">
        <f>Pareto!E182</f>
        <v>0.32865697043057995</v>
      </c>
      <c r="AB6" s="549">
        <f>T55</f>
        <v>0.67001522109695633</v>
      </c>
      <c r="AC6" s="549">
        <f>T56</f>
        <v>0.69939774153074041</v>
      </c>
      <c r="AD6" s="373" t="str">
        <f t="shared" ref="AD6:AD13" si="4">IF(OR(AB6="",AC6=""),"",IF(AC6=100%,"CONCLUÍDO",IF(AC6=0,IF(AB6=0,"PROJETO NÃO INICIADO","FALTA DE ACOMPANHAMENTO"),IF(AC6&gt;AB6,"ADIANTADO",IF(AC6=AB6,"CONFORME PLANEJADO","ATRASO")))))</f>
        <v>ADIANTADO</v>
      </c>
      <c r="AE6" s="353" cm="1">
        <f t="array" ref="AE6:AE15">_xlfn.XLOOKUP($U$6:$U$15,$C$55:$C$86,$R$55:$R$86)</f>
        <v>0.5</v>
      </c>
      <c r="AF6" s="47"/>
      <c r="AG6" s="47"/>
      <c r="AH6" s="47"/>
      <c r="AI6" s="47"/>
      <c r="AJ6" s="47"/>
      <c r="AK6" s="47"/>
      <c r="AL6" s="47"/>
      <c r="AM6" s="47"/>
    </row>
    <row r="7" spans="1:40" ht="20.100000000000001" customHeight="1" x14ac:dyDescent="0.3">
      <c r="A7" s="362" t="s">
        <v>67</v>
      </c>
      <c r="B7" s="362" t="s">
        <v>68</v>
      </c>
      <c r="C7" s="362" t="s">
        <v>69</v>
      </c>
      <c r="D7" s="49" t="s">
        <v>70</v>
      </c>
      <c r="E7" s="49" t="s">
        <v>71</v>
      </c>
      <c r="F7" s="15" t="s">
        <v>72</v>
      </c>
      <c r="G7" s="277" t="s">
        <v>68</v>
      </c>
      <c r="H7" s="15" t="s">
        <v>73</v>
      </c>
      <c r="I7" s="1427" t="s">
        <v>74</v>
      </c>
      <c r="J7" s="1568" t="s">
        <v>75</v>
      </c>
      <c r="K7" s="1568" t="s">
        <v>147</v>
      </c>
      <c r="L7" s="1432"/>
      <c r="M7" s="1432"/>
      <c r="N7" s="47"/>
      <c r="O7" s="256">
        <v>2</v>
      </c>
      <c r="P7" s="372" t="str">
        <f t="shared" si="0"/>
        <v>Redução de custo</v>
      </c>
      <c r="Q7" s="378">
        <f t="shared" ref="Q7:Q14" si="5">IFERROR(LARGE($I$55:$I$124,O7)," ")</f>
        <v>400000</v>
      </c>
      <c r="R7" s="378">
        <f t="shared" si="1"/>
        <v>0</v>
      </c>
      <c r="S7" s="500">
        <f t="shared" ref="S7:S13" si="6">_xlfn.XLOOKUP(U7,$C$55:$C$124,$J$55:$J$124)</f>
        <v>46218</v>
      </c>
      <c r="T7" s="509" cm="1">
        <f t="array" aca="1" ref="T7" ca="1">SUMPRODUCT(($C$55:$C$124=U7)*(U$54:$AI$54&lt;=TODAY())*(ISNUMBER(S$55:$AG$124)),S$55:$AG$124)</f>
        <v>1</v>
      </c>
      <c r="U7" s="1417" t="str">
        <f t="shared" si="2"/>
        <v>02 - TANQUE DE DECAPAGEM</v>
      </c>
      <c r="V7" s="1418"/>
      <c r="W7" s="1418"/>
      <c r="X7" s="1418"/>
      <c r="Y7" s="1419"/>
      <c r="Z7" s="636">
        <f t="shared" si="3"/>
        <v>0.24804299655138115</v>
      </c>
      <c r="AA7" s="873">
        <f>Pareto!E183</f>
        <v>0.57669996698196102</v>
      </c>
      <c r="AB7" s="550">
        <f>T57</f>
        <v>1</v>
      </c>
      <c r="AC7" s="550">
        <f>T58</f>
        <v>1</v>
      </c>
      <c r="AD7" s="374" t="str">
        <f t="shared" si="4"/>
        <v>CONCLUÍDO</v>
      </c>
      <c r="AE7" s="358">
        <v>0</v>
      </c>
      <c r="AG7" s="47"/>
      <c r="AH7" s="47"/>
      <c r="AI7" s="47"/>
      <c r="AJ7" s="47"/>
      <c r="AK7" s="47"/>
      <c r="AL7" s="47"/>
      <c r="AM7" s="47"/>
      <c r="AN7" s="47"/>
    </row>
    <row r="8" spans="1:40" ht="20.100000000000001" customHeight="1" x14ac:dyDescent="0.3">
      <c r="A8" s="48" t="s">
        <v>57</v>
      </c>
      <c r="B8" s="884">
        <f>COUNTIF($A$55:$A$125,A8)</f>
        <v>0</v>
      </c>
      <c r="C8" s="914">
        <f t="shared" ref="C8:C14" si="7">SUMIF($A$55:$A$144,A8,$I$55:$I$144)</f>
        <v>0</v>
      </c>
      <c r="D8" s="914">
        <f>SUMIF($A$55:$A$114,A8,$N$55:$N$114)</f>
        <v>0</v>
      </c>
      <c r="E8" s="915">
        <f>SUMIFS($AK$55:$AK$114,$S$55:$S$114,"Previsto",$AS$55:$AS$114,A8)</f>
        <v>0</v>
      </c>
      <c r="F8" s="21" t="s">
        <v>81</v>
      </c>
      <c r="G8" s="278">
        <f ca="1">COUNTIF($O$55:$O$102,F8)</f>
        <v>4</v>
      </c>
      <c r="H8" s="193">
        <f ca="1">SUMIF($O$59:$O$102,F8,$I$59:$I$102)</f>
        <v>212144</v>
      </c>
      <c r="I8" s="1428"/>
      <c r="J8" s="1569"/>
      <c r="K8" s="1569"/>
      <c r="L8" s="1432"/>
      <c r="M8" s="1432"/>
      <c r="N8" s="47"/>
      <c r="O8" s="229">
        <v>3</v>
      </c>
      <c r="P8" s="371" t="str">
        <f t="shared" si="0"/>
        <v>Redução de custo</v>
      </c>
      <c r="Q8" s="870">
        <f t="shared" si="5"/>
        <v>177479.64</v>
      </c>
      <c r="R8" s="377">
        <f t="shared" si="1"/>
        <v>54946.44</v>
      </c>
      <c r="S8" s="499">
        <f t="shared" si="6"/>
        <v>46266</v>
      </c>
      <c r="T8" s="508" cm="1">
        <f t="array" aca="1" ref="T8" ca="1">SUMPRODUCT(($C$55:$C$124=U8)*(U$54:$AI$54&lt;=TODAY())*(ISNUMBER(S$55:$AG$124)),S$55:$AG$124)</f>
        <v>0.43503243434314481</v>
      </c>
      <c r="U8" s="1397" t="str">
        <f t="shared" si="2"/>
        <v>16 - TROCA DA FROTA DE EMPILHADEIRAS</v>
      </c>
      <c r="V8" s="1398"/>
      <c r="W8" s="1398"/>
      <c r="X8" s="1398"/>
      <c r="Y8" s="1399"/>
      <c r="Z8" s="635">
        <f t="shared" si="3"/>
        <v>0.11005645433115092</v>
      </c>
      <c r="AA8" s="872">
        <f>Pareto!E184</f>
        <v>0.68675642131311188</v>
      </c>
      <c r="AB8" s="549">
        <f>T59</f>
        <v>1</v>
      </c>
      <c r="AC8" s="549">
        <f>T60</f>
        <v>1</v>
      </c>
      <c r="AD8" s="373" t="str">
        <f t="shared" si="4"/>
        <v>CONCLUÍDO</v>
      </c>
      <c r="AE8" s="353">
        <v>0.5</v>
      </c>
      <c r="AG8" s="47"/>
      <c r="AH8" s="47"/>
      <c r="AI8" s="47"/>
      <c r="AJ8" s="47"/>
      <c r="AK8" s="47"/>
      <c r="AL8" s="47"/>
      <c r="AM8" s="47"/>
      <c r="AN8" s="47"/>
    </row>
    <row r="9" spans="1:40" ht="20.100000000000001" customHeight="1" x14ac:dyDescent="0.3">
      <c r="A9" s="48" t="s">
        <v>59</v>
      </c>
      <c r="B9" s="884">
        <f>COUNTIF($A$55:$A$114,A9)</f>
        <v>0</v>
      </c>
      <c r="C9" s="914">
        <f t="shared" si="7"/>
        <v>0</v>
      </c>
      <c r="D9" s="914">
        <f>SUMIF($A$55:$A$144,A9,$N$55:$N$144)</f>
        <v>0</v>
      </c>
      <c r="E9" s="915">
        <f>SUMIFS($AK$55:$AK$114,$S$55:$S$114,"Real",$AS$55:$AS$114,A9)</f>
        <v>0</v>
      </c>
      <c r="F9" s="22" t="s">
        <v>83</v>
      </c>
      <c r="G9" s="279">
        <f ca="1">COUNTIF($O$55:$O$102,F9)</f>
        <v>12</v>
      </c>
      <c r="H9" s="194">
        <f ca="1">SUMIF($O$55:$O$102,F9,$I$55:$I$102)</f>
        <v>1400479.6401</v>
      </c>
      <c r="I9" s="1429">
        <f>E133</f>
        <v>1</v>
      </c>
      <c r="J9" s="1429">
        <f>F133</f>
        <v>0.95833333333333337</v>
      </c>
      <c r="K9" s="1429">
        <f>L128</f>
        <v>0.33333332999999998</v>
      </c>
      <c r="L9" s="1432"/>
      <c r="M9" s="1432"/>
      <c r="O9" s="256">
        <v>4</v>
      </c>
      <c r="P9" s="372" t="str">
        <f t="shared" si="0"/>
        <v>Redução de custo</v>
      </c>
      <c r="Q9" s="378">
        <f t="shared" si="5"/>
        <v>135000</v>
      </c>
      <c r="R9" s="378">
        <f t="shared" si="1"/>
        <v>124544.41037500002</v>
      </c>
      <c r="S9" s="500">
        <f t="shared" si="6"/>
        <v>46054</v>
      </c>
      <c r="T9" s="509" cm="1">
        <f t="array" aca="1" ref="T9" ca="1">SUMPRODUCT(($C$55:$C$124=U9)*(U$54:$AI$54&lt;=TODAY())*(ISNUMBER(S$55:$AG$124)),S$55:$AG$124)</f>
        <v>90578.753000000012</v>
      </c>
      <c r="U9" s="1420" t="str">
        <f>IFERROR(HYPERLINK(INDEX($D$55:$D$124,MATCH(Q9,$I$55:$I$124,0)),INDEX($C$55:$C$124,MATCH(Q9,$I$55:$I$124,0))
   ),
   ""
)</f>
        <v>03 - PRODUTOS QUÍMICOS KTL</v>
      </c>
      <c r="V9" s="1421"/>
      <c r="W9" s="1421"/>
      <c r="X9" s="1421"/>
      <c r="Y9" s="1422"/>
      <c r="Z9" s="636">
        <f t="shared" si="3"/>
        <v>8.3714511336091132E-2</v>
      </c>
      <c r="AA9" s="873">
        <f>Pareto!E185</f>
        <v>0.77047093264920297</v>
      </c>
      <c r="AB9" s="550">
        <f>T61</f>
        <v>0.23731749710312863</v>
      </c>
      <c r="AC9" s="550">
        <f>T62</f>
        <v>0.57908458864426415</v>
      </c>
      <c r="AD9" s="374" t="str">
        <f t="shared" si="4"/>
        <v>ADIANTADO</v>
      </c>
      <c r="AE9" s="358">
        <v>0</v>
      </c>
      <c r="AG9" s="47"/>
      <c r="AH9" s="47"/>
      <c r="AI9" s="47"/>
      <c r="AJ9" s="47"/>
      <c r="AK9" s="47"/>
      <c r="AL9" s="47"/>
      <c r="AM9" s="47"/>
      <c r="AN9" s="47"/>
    </row>
    <row r="10" spans="1:40" ht="20.100000000000001" customHeight="1" x14ac:dyDescent="0.3">
      <c r="A10" s="48" t="s">
        <v>61</v>
      </c>
      <c r="B10" s="884">
        <f>COUNTIF($A$55:$A$114,A10)</f>
        <v>6</v>
      </c>
      <c r="C10" s="914">
        <f t="shared" si="7"/>
        <v>211144</v>
      </c>
      <c r="D10" s="914">
        <f>SUMIF($A$55:$A$144,A10,$N$55:$N$144)</f>
        <v>0</v>
      </c>
      <c r="E10" s="915">
        <f>SUMIFS($AK$55:$AK$114,$S$55:$S$114,"Previsto",$AS$55:$AS$114,A10)</f>
        <v>166000</v>
      </c>
      <c r="F10" s="23" t="s">
        <v>85</v>
      </c>
      <c r="G10" s="280">
        <f ca="1">COUNTIF($O$55:$O$102,F10)</f>
        <v>0</v>
      </c>
      <c r="H10" s="195">
        <f ca="1">SUMIF($O$55:$O$102,F10,$I$55:$I$102)</f>
        <v>0</v>
      </c>
      <c r="I10" s="1430"/>
      <c r="J10" s="1430"/>
      <c r="K10" s="1430"/>
      <c r="L10" s="1432"/>
      <c r="M10" s="1432"/>
      <c r="N10" s="47"/>
      <c r="O10" s="229">
        <v>5</v>
      </c>
      <c r="P10" s="371" t="str">
        <f t="shared" si="0"/>
        <v>Redução de custo</v>
      </c>
      <c r="Q10" s="870">
        <f t="shared" si="5"/>
        <v>100000.0001</v>
      </c>
      <c r="R10" s="377">
        <f t="shared" si="1"/>
        <v>189823.7175</v>
      </c>
      <c r="S10" s="499">
        <f t="shared" si="6"/>
        <v>46113</v>
      </c>
      <c r="T10" s="508" cm="1">
        <f t="array" aca="1" ref="T10" ca="1">SUMPRODUCT(($C$55:$C$124=U10)*(U$54:$AI$54&lt;=TODAY())*(ISNUMBER(S$55:$AG$124)),S$55:$AG$124)</f>
        <v>105457.85815083043</v>
      </c>
      <c r="U10" s="1397" t="str">
        <f t="shared" si="2"/>
        <v>04 - GÁS</v>
      </c>
      <c r="V10" s="1398"/>
      <c r="W10" s="1398"/>
      <c r="X10" s="1398"/>
      <c r="Y10" s="1399"/>
      <c r="Z10" s="635">
        <f t="shared" si="3"/>
        <v>6.2010749199856038E-2</v>
      </c>
      <c r="AA10" s="872">
        <f>Pareto!E186</f>
        <v>0.83248168184905902</v>
      </c>
      <c r="AB10" s="549">
        <f>T65</f>
        <v>0.45115282903721365</v>
      </c>
      <c r="AC10" s="549">
        <f>T66</f>
        <v>0.49946323529411762</v>
      </c>
      <c r="AD10" s="373" t="str">
        <f t="shared" si="4"/>
        <v>ADIANTADO</v>
      </c>
      <c r="AE10" s="353">
        <v>0</v>
      </c>
      <c r="AG10" s="47"/>
      <c r="AH10" s="47"/>
      <c r="AI10" s="47"/>
      <c r="AJ10" s="47"/>
      <c r="AK10" s="47"/>
      <c r="AL10" s="47"/>
      <c r="AM10" s="47"/>
      <c r="AN10" s="47"/>
    </row>
    <row r="11" spans="1:40" ht="20.100000000000001" customHeight="1" x14ac:dyDescent="0.3">
      <c r="A11" s="365" t="s">
        <v>925</v>
      </c>
      <c r="B11" s="17">
        <f>COUNTIF($A$55:$A$102,LEFT(A11,6)&amp;"*")</f>
        <v>7</v>
      </c>
      <c r="C11" s="914">
        <f t="shared" si="7"/>
        <v>0</v>
      </c>
      <c r="D11" s="18">
        <f>SUMIF($A$55:$A$102,LEFT(A11,6)&amp;"*",$N$55:$N$102)</f>
        <v>0</v>
      </c>
      <c r="E11" s="915">
        <f>SUMIFS($AK$55:$AK$114,$S$55:$S$114,"Real",$AS$55:$AS$114,A11)</f>
        <v>0</v>
      </c>
      <c r="F11" s="47"/>
      <c r="G11" s="47"/>
      <c r="L11" s="1432"/>
      <c r="M11" s="1432"/>
      <c r="N11" s="47"/>
      <c r="O11" s="256">
        <v>6</v>
      </c>
      <c r="P11" s="372" t="str">
        <f t="shared" si="0"/>
        <v>Kaizen - Custo Evitado</v>
      </c>
      <c r="Q11" s="378">
        <f t="shared" si="5"/>
        <v>65000</v>
      </c>
      <c r="R11" s="378">
        <f t="shared" si="1"/>
        <v>0</v>
      </c>
      <c r="S11" s="500">
        <f t="shared" si="6"/>
        <v>46054</v>
      </c>
      <c r="T11" s="509" cm="1">
        <f t="array" aca="1" ref="T11" ca="1">SUMPRODUCT(($C$55:$C$124=U11)*(U$54:$AI$54&lt;=TODAY())*(ISNUMBER(S$55:$AG$124)),S$55:$AG$124)</f>
        <v>47273.332282930976</v>
      </c>
      <c r="U11" s="1433" t="str">
        <f>IFERROR(HYPERLINK(INDEX($D$55:$D$124,MATCH(Q11,$I$55:$I$124,0)),INDEX($C$55:$C$124,MATCH(Q11,$I$55:$I$124,0))
   ),
   ""
)</f>
        <v>05 - REDUÇÃO DE FRETE</v>
      </c>
      <c r="V11" s="1418"/>
      <c r="W11" s="1418"/>
      <c r="X11" s="1418"/>
      <c r="Y11" s="1419"/>
      <c r="Z11" s="636">
        <f t="shared" si="3"/>
        <v>4.0306986939599436E-2</v>
      </c>
      <c r="AA11" s="873">
        <f>Pareto!E187</f>
        <v>0.87278866878865846</v>
      </c>
      <c r="AB11" s="550">
        <f>T67</f>
        <v>1</v>
      </c>
      <c r="AC11" s="550">
        <f>T68</f>
        <v>1</v>
      </c>
      <c r="AD11" s="374" t="str">
        <f t="shared" si="4"/>
        <v>CONCLUÍDO</v>
      </c>
      <c r="AE11" s="358">
        <v>0</v>
      </c>
      <c r="AG11" s="47"/>
      <c r="AH11" s="47"/>
      <c r="AI11" s="47"/>
      <c r="AJ11" s="47"/>
      <c r="AK11" s="47"/>
      <c r="AL11" s="47"/>
      <c r="AM11" s="47"/>
      <c r="AN11" s="47"/>
    </row>
    <row r="12" spans="1:40" ht="20.100000000000001" customHeight="1" x14ac:dyDescent="0.3">
      <c r="A12" s="365" t="s">
        <v>89</v>
      </c>
      <c r="B12" s="365">
        <f>COUNTIF($A$55:$A$98,A12)</f>
        <v>9</v>
      </c>
      <c r="C12" s="914">
        <f t="shared" si="7"/>
        <v>1401479.6401</v>
      </c>
      <c r="D12" s="18">
        <f>SUMIF($A$55:$A$102,LEFT(A12,6)&amp;"*",$N$55:$N$102)</f>
        <v>464467.83120833331</v>
      </c>
      <c r="E12" s="915">
        <f>SUMIFS($AK$55:$AK$114,$S$55:$S$114,"Real",$AS$55:$AS$114,A12)</f>
        <v>331443.94717433047</v>
      </c>
      <c r="F12" s="47"/>
      <c r="G12" s="47"/>
      <c r="H12" s="47"/>
      <c r="I12" s="47"/>
      <c r="J12" s="47"/>
      <c r="K12" s="47"/>
      <c r="L12" s="47"/>
      <c r="M12" s="47"/>
      <c r="N12" s="47"/>
      <c r="O12" s="229">
        <v>7</v>
      </c>
      <c r="P12" s="371" t="str">
        <f t="shared" si="0"/>
        <v>Kaizen - Custo Evitado</v>
      </c>
      <c r="Q12" s="870">
        <f t="shared" si="5"/>
        <v>51000</v>
      </c>
      <c r="R12" s="377">
        <f t="shared" si="1"/>
        <v>0</v>
      </c>
      <c r="S12" s="499">
        <f t="shared" si="6"/>
        <v>46235</v>
      </c>
      <c r="T12" s="508" cm="1">
        <f t="array" aca="1" ref="T12" ca="1">SUMPRODUCT(($C$55:$C$124=U12)*(U$54:$AI$54&lt;=TODAY())*(ISNUMBER(S$55:$AG$124)),S$55:$AG$124)</f>
        <v>0.45115282903721365</v>
      </c>
      <c r="U12" s="1397" t="str">
        <f t="shared" si="2"/>
        <v>06 - CONSUMO DE TINTA PÓ</v>
      </c>
      <c r="V12" s="1398"/>
      <c r="W12" s="1398"/>
      <c r="X12" s="1398"/>
      <c r="Y12" s="1399"/>
      <c r="Z12" s="635">
        <f t="shared" si="3"/>
        <v>3.1625482060301094E-2</v>
      </c>
      <c r="AA12" s="872">
        <f>Pareto!E188</f>
        <v>0.9044141508489596</v>
      </c>
      <c r="AB12" s="549">
        <f>T73</f>
        <v>0.94344097792373649</v>
      </c>
      <c r="AC12" s="549">
        <f>T74</f>
        <v>0.9643678160919541</v>
      </c>
      <c r="AD12" s="373" t="str">
        <f t="shared" si="4"/>
        <v>ADIANTADO</v>
      </c>
      <c r="AE12" s="353">
        <v>1</v>
      </c>
      <c r="AG12" s="47"/>
      <c r="AH12" s="47"/>
      <c r="AI12" s="47"/>
      <c r="AJ12" s="47"/>
      <c r="AK12" s="47"/>
      <c r="AL12" s="47"/>
      <c r="AM12" s="47"/>
      <c r="AN12" s="47"/>
    </row>
    <row r="13" spans="1:40" ht="20.100000000000001" customHeight="1" x14ac:dyDescent="0.45">
      <c r="A13" s="365" t="s">
        <v>90</v>
      </c>
      <c r="B13" s="365">
        <f>COUNTIF($A$54:$A$101,A13)</f>
        <v>0</v>
      </c>
      <c r="C13" s="914">
        <f t="shared" si="7"/>
        <v>0</v>
      </c>
      <c r="D13" s="18">
        <f>SUMIF($A$55:$A$102,LEFT(A13,6)&amp;"*",$N$55:$N$102)</f>
        <v>0</v>
      </c>
      <c r="E13" s="915">
        <f>SUMIFS($AK$55:$AK$114,$S$55:$S$114,"Real",$AS$55:$AS$114,A13)</f>
        <v>0</v>
      </c>
      <c r="F13" s="47"/>
      <c r="G13" s="47"/>
      <c r="H13" s="47"/>
      <c r="I13" s="47"/>
      <c r="J13" s="47"/>
      <c r="K13" s="47"/>
      <c r="L13" s="168"/>
      <c r="M13" s="446"/>
      <c r="N13" s="446"/>
      <c r="O13" s="256">
        <v>8</v>
      </c>
      <c r="P13" s="372" t="str">
        <f t="shared" si="0"/>
        <v>Kaizen - Custo Evitado</v>
      </c>
      <c r="Q13" s="378">
        <f t="shared" si="5"/>
        <v>45144</v>
      </c>
      <c r="R13" s="378">
        <f t="shared" si="1"/>
        <v>0</v>
      </c>
      <c r="S13" s="500" t="str">
        <f t="shared" si="6"/>
        <v>abril</v>
      </c>
      <c r="T13" s="509" cm="1">
        <f t="array" aca="1" ref="T13" ca="1">SUMPRODUCT(($C$55:$C$124=U13)*(U$54:$AI$54&lt;=TODAY())*(ISNUMBER(S$55:$AG$124)),S$55:$AG$124)</f>
        <v>1</v>
      </c>
      <c r="U13" s="1400" t="str">
        <f t="shared" si="2"/>
        <v>14 - REDUÇÃO DE CUSTO COM O PRODUTO KLUTHE</v>
      </c>
      <c r="V13" s="1401"/>
      <c r="W13" s="1401"/>
      <c r="X13" s="1401"/>
      <c r="Y13" s="1402"/>
      <c r="Z13" s="636">
        <f t="shared" si="3"/>
        <v>2.7994132590788878E-2</v>
      </c>
      <c r="AA13" s="873">
        <f>Pareto!E189</f>
        <v>0.93240828343974846</v>
      </c>
      <c r="AB13" s="550">
        <f>T82</f>
        <v>1</v>
      </c>
      <c r="AC13" s="550">
        <f ca="1">T83</f>
        <v>1</v>
      </c>
      <c r="AD13" s="374" t="str">
        <f t="shared" ca="1" si="4"/>
        <v>CONCLUÍDO</v>
      </c>
      <c r="AE13" s="358">
        <v>0</v>
      </c>
      <c r="AG13" s="47"/>
      <c r="AH13" s="47"/>
      <c r="AI13" s="47"/>
      <c r="AJ13" s="47"/>
      <c r="AK13" s="47"/>
      <c r="AL13" s="47"/>
      <c r="AM13" s="47"/>
      <c r="AN13" s="47"/>
    </row>
    <row r="14" spans="1:40" ht="20.100000000000001" customHeight="1" x14ac:dyDescent="0.3">
      <c r="A14" s="365" t="s">
        <v>91</v>
      </c>
      <c r="B14" s="365">
        <f>COUNTIF($A$55:$A$102,A14)</f>
        <v>0</v>
      </c>
      <c r="C14" s="914">
        <f t="shared" si="7"/>
        <v>0</v>
      </c>
      <c r="D14" s="18">
        <f>SUMIF($A$55:$A$102,LEFT(A14,6)&amp;"*",$N$55:$N$102)</f>
        <v>0</v>
      </c>
      <c r="E14" s="915">
        <f>SUMIFS($AK$55:$AK$114,$S$55:$S$114,"Real",$AS$55:$AS$114,A14)</f>
        <v>0</v>
      </c>
      <c r="F14" s="47"/>
      <c r="G14" s="47"/>
      <c r="H14" s="47"/>
      <c r="I14" s="47"/>
      <c r="J14" s="47"/>
      <c r="K14" s="47"/>
      <c r="L14" s="47"/>
      <c r="M14" s="47"/>
      <c r="N14" s="47"/>
      <c r="O14" s="229">
        <v>9</v>
      </c>
      <c r="P14" s="371" t="str">
        <f>_xlfn.XLOOKUP(U14,$C$55:$C$124,$A$55:$A$124)</f>
        <v>Redução de custo</v>
      </c>
      <c r="Q14" s="870">
        <f t="shared" si="5"/>
        <v>32000</v>
      </c>
      <c r="R14" s="377">
        <f t="shared" si="1"/>
        <v>29569.93</v>
      </c>
      <c r="S14" s="499">
        <f>_xlfn.XLOOKUP(U14,$C$55:$C$124,$J$55:$J$124)</f>
        <v>46082</v>
      </c>
      <c r="T14" s="508" cm="1">
        <f t="array" aca="1" ref="T14" ca="1">SUMPRODUCT(($C$55:$C$124=U14)*(U$54:$AI$54&lt;=TODAY())*(ISNUMBER(S$55:$AG$124)),S$55:$AG$124)</f>
        <v>20699.951000000001</v>
      </c>
      <c r="U14" s="1397" t="str">
        <f>IFERROR(HYPERLINK(INDEX($D$55:$D$124,MATCH(Q14,$I$55:$I$124,0)),INDEX($C$55:$C$124,MATCH(Q14,$I$55:$I$124,0))
   ),
   ""
)</f>
        <v>07 - CONSUMO DE EPI e SERVIÇOS</v>
      </c>
      <c r="V14" s="1398"/>
      <c r="W14" s="1398"/>
      <c r="X14" s="1398"/>
      <c r="Y14" s="1399"/>
      <c r="Z14" s="635">
        <f t="shared" si="3"/>
        <v>1.9843439724110491E-2</v>
      </c>
      <c r="AA14" s="872">
        <f>Pareto!E190</f>
        <v>0.95225172316385898</v>
      </c>
      <c r="AB14" s="549">
        <f>T79</f>
        <v>0.61786022455489364</v>
      </c>
      <c r="AC14" s="549">
        <f>T80</f>
        <v>0.69094786729857816</v>
      </c>
      <c r="AD14" s="373" t="str">
        <f t="shared" ref="AD14" si="8">IF(OR(AB14="",AC14=""),"",IF(AC14=100%,"CONCLUÍDO",IF(AC14=0,IF(AB14=0,"PROJETO NÃO INICIADO","FALTA DE ACOMPANHAMENTO"),IF(AC14&gt;AB14,"ADIANTADO",IF(AC14=AB14,"CONFORME PLANEJADO","ATRASO")))))</f>
        <v>ADIANTADO</v>
      </c>
      <c r="AE14" s="358">
        <v>0</v>
      </c>
      <c r="AF14" s="47"/>
      <c r="AG14" s="47"/>
      <c r="AH14" s="47"/>
      <c r="AI14" s="47"/>
      <c r="AJ14" s="47"/>
      <c r="AK14" s="47"/>
      <c r="AL14" s="47"/>
      <c r="AM14" s="47"/>
    </row>
    <row r="15" spans="1:40" ht="20.100000000000001" customHeight="1" x14ac:dyDescent="0.3">
      <c r="A15" s="366" t="s">
        <v>29</v>
      </c>
      <c r="B15" s="366">
        <f>SUM(B11:B14)</f>
        <v>16</v>
      </c>
      <c r="C15" s="367">
        <f>SUM(C8:C14)</f>
        <v>1612623.6401</v>
      </c>
      <c r="D15" s="367">
        <f>SUM(D8:D14)</f>
        <v>464467.83120833331</v>
      </c>
      <c r="E15" s="367">
        <f>SUM(E8:E14)</f>
        <v>497443.94717433047</v>
      </c>
      <c r="F15" s="47" t="s">
        <v>95</v>
      </c>
      <c r="G15" s="832">
        <f>SUMIF($B$55:$B$102,F15,$N$55:$N$102)</f>
        <v>0</v>
      </c>
      <c r="H15" s="47"/>
      <c r="I15" s="47"/>
      <c r="J15" s="47"/>
      <c r="K15" s="47"/>
      <c r="L15" s="47"/>
      <c r="M15" s="47"/>
      <c r="N15" s="47"/>
      <c r="O15" s="256">
        <v>10</v>
      </c>
      <c r="P15" s="372"/>
      <c r="Q15" s="378"/>
      <c r="R15" s="378"/>
      <c r="S15" s="500"/>
      <c r="T15" s="509"/>
      <c r="U15" s="1420"/>
      <c r="V15" s="1421"/>
      <c r="W15" s="1421"/>
      <c r="X15" s="1421"/>
      <c r="Y15" s="1422"/>
      <c r="Z15" s="358" t="str">
        <f t="shared" si="3"/>
        <v/>
      </c>
      <c r="AA15" s="255">
        <f>Pareto!E191</f>
        <v>0.96775441044832033</v>
      </c>
      <c r="AB15" s="550"/>
      <c r="AC15" s="550"/>
      <c r="AD15" s="374"/>
      <c r="AE15" s="358">
        <v>0</v>
      </c>
      <c r="AF15" s="47"/>
      <c r="AG15" s="47"/>
      <c r="AH15" s="47"/>
      <c r="AI15" s="47"/>
      <c r="AJ15" s="47"/>
      <c r="AK15" s="47"/>
      <c r="AL15" s="47"/>
      <c r="AM15" s="47"/>
    </row>
    <row r="16" spans="1:40" ht="20.100000000000001" customHeight="1" x14ac:dyDescent="0.3">
      <c r="A16" s="47"/>
      <c r="B16" s="47"/>
      <c r="C16" s="47"/>
      <c r="D16" s="47"/>
      <c r="E16" s="47"/>
      <c r="F16" s="47" t="s">
        <v>97</v>
      </c>
      <c r="G16" s="832">
        <f t="shared" ref="G16:G18" si="9">SUMIF($B$55:$B$102,F16,$N$55:$N$102)</f>
        <v>70529.773333333331</v>
      </c>
      <c r="H16" s="47"/>
      <c r="I16" s="47"/>
      <c r="J16" s="47"/>
      <c r="K16" s="47"/>
      <c r="L16" s="47"/>
      <c r="M16" s="47"/>
      <c r="N16" s="47"/>
      <c r="O16" s="229">
        <v>11</v>
      </c>
      <c r="P16" s="371"/>
      <c r="Q16" s="870"/>
      <c r="R16" s="377"/>
      <c r="S16" s="499"/>
      <c r="T16" s="508"/>
      <c r="U16" s="1458"/>
      <c r="V16" s="1458"/>
      <c r="W16" s="1458"/>
      <c r="X16" s="1458"/>
      <c r="Y16" s="1458"/>
      <c r="Z16" s="353" t="str">
        <f t="shared" si="3"/>
        <v/>
      </c>
      <c r="AA16" s="236">
        <f>Pareto!E192</f>
        <v>0.98325709773278169</v>
      </c>
      <c r="AB16" s="549"/>
      <c r="AC16" s="549"/>
      <c r="AD16" s="373"/>
      <c r="AE16" s="353"/>
      <c r="AF16" s="47"/>
      <c r="AG16" s="47"/>
      <c r="AH16" s="47"/>
      <c r="AI16" s="47"/>
      <c r="AJ16" s="47"/>
      <c r="AK16" s="47"/>
      <c r="AL16" s="47"/>
      <c r="AM16" s="47"/>
    </row>
    <row r="17" spans="1:39" ht="20.100000000000001" customHeight="1" x14ac:dyDescent="0.3">
      <c r="A17" s="47"/>
      <c r="B17" s="47"/>
      <c r="C17" s="47"/>
      <c r="D17" s="47"/>
      <c r="E17" s="47"/>
      <c r="F17" s="47" t="s">
        <v>99</v>
      </c>
      <c r="G17" s="832">
        <f t="shared" si="9"/>
        <v>343938.057875</v>
      </c>
      <c r="H17" s="47"/>
      <c r="I17" s="47"/>
      <c r="J17" s="47"/>
      <c r="K17" s="47"/>
      <c r="L17" s="47"/>
      <c r="M17" s="47"/>
      <c r="N17" s="47"/>
      <c r="O17" s="256">
        <v>12</v>
      </c>
      <c r="P17" s="372"/>
      <c r="Q17" s="378"/>
      <c r="R17" s="378"/>
      <c r="S17" s="500"/>
      <c r="T17" s="509"/>
      <c r="U17" s="1459"/>
      <c r="V17" s="1459"/>
      <c r="W17" s="1459"/>
      <c r="X17" s="1459"/>
      <c r="Y17" s="1459"/>
      <c r="Z17" s="358"/>
      <c r="AA17" s="255">
        <f>Pareto!E193</f>
        <v>0.99255871010345853</v>
      </c>
      <c r="AB17" s="550"/>
      <c r="AC17" s="550"/>
      <c r="AD17" s="374"/>
      <c r="AE17" s="358"/>
      <c r="AF17" s="47"/>
      <c r="AG17" s="47"/>
      <c r="AH17" s="47"/>
      <c r="AI17" s="47"/>
      <c r="AJ17" s="47"/>
      <c r="AK17" s="47"/>
      <c r="AL17" s="47"/>
      <c r="AM17" s="47"/>
    </row>
    <row r="18" spans="1:39" ht="20.100000000000001" customHeight="1" x14ac:dyDescent="0.3">
      <c r="A18" s="47"/>
      <c r="B18" s="47"/>
      <c r="C18" s="47"/>
      <c r="D18" s="47"/>
      <c r="E18" s="47"/>
      <c r="F18" s="47" t="s">
        <v>101</v>
      </c>
      <c r="G18" s="832">
        <f t="shared" si="9"/>
        <v>50000</v>
      </c>
      <c r="H18" s="47"/>
      <c r="I18" s="47"/>
      <c r="J18" s="47"/>
      <c r="K18" s="47"/>
      <c r="L18" s="47"/>
      <c r="M18" s="47"/>
      <c r="N18" s="47"/>
      <c r="O18" s="229">
        <v>13</v>
      </c>
      <c r="P18" s="371"/>
      <c r="Q18" s="870"/>
      <c r="R18" s="377"/>
      <c r="S18" s="499"/>
      <c r="T18" s="508"/>
      <c r="U18" s="1458"/>
      <c r="V18" s="1458"/>
      <c r="W18" s="1458"/>
      <c r="X18" s="1458"/>
      <c r="Y18" s="1458"/>
      <c r="Z18" s="353"/>
      <c r="AA18" s="236">
        <f>Pareto!E194</f>
        <v>0.99689946254310768</v>
      </c>
      <c r="AB18" s="549"/>
      <c r="AC18" s="549"/>
      <c r="AD18" s="373"/>
      <c r="AE18" s="353"/>
      <c r="AF18" s="47"/>
      <c r="AG18" s="47"/>
      <c r="AH18" s="47"/>
      <c r="AI18" s="47"/>
      <c r="AJ18" s="47"/>
      <c r="AK18" s="47"/>
      <c r="AL18" s="47"/>
      <c r="AM18" s="47"/>
    </row>
    <row r="19" spans="1:39" ht="20.100000000000001" customHeight="1" x14ac:dyDescent="0.3">
      <c r="A19" s="47"/>
      <c r="B19" s="47"/>
      <c r="C19" s="47"/>
      <c r="D19" s="47"/>
      <c r="E19" s="47"/>
      <c r="F19" s="47"/>
      <c r="G19" s="47"/>
      <c r="H19" s="47"/>
      <c r="I19" s="47"/>
      <c r="J19" s="47"/>
      <c r="K19" s="47"/>
      <c r="L19" s="47"/>
      <c r="M19" s="47"/>
      <c r="N19" s="47"/>
      <c r="O19" s="256">
        <v>14</v>
      </c>
      <c r="P19" s="372"/>
      <c r="Q19" s="378"/>
      <c r="R19" s="378"/>
      <c r="S19" s="500"/>
      <c r="T19" s="509"/>
      <c r="U19" s="1459"/>
      <c r="V19" s="1459"/>
      <c r="W19" s="1459"/>
      <c r="X19" s="1459"/>
      <c r="Y19" s="1459"/>
      <c r="Z19" s="358"/>
      <c r="AA19" s="255"/>
      <c r="AB19" s="361"/>
      <c r="AC19" s="361"/>
      <c r="AD19" s="374"/>
      <c r="AE19" s="358"/>
      <c r="AF19" s="47"/>
      <c r="AG19" s="47"/>
      <c r="AH19" s="47"/>
      <c r="AI19" s="47"/>
      <c r="AJ19" s="47"/>
      <c r="AK19" s="47"/>
      <c r="AL19" s="47"/>
      <c r="AM19" s="47"/>
    </row>
    <row r="20" spans="1:39" ht="20.100000000000001" customHeight="1" x14ac:dyDescent="0.3">
      <c r="A20" s="47"/>
      <c r="B20" s="47"/>
      <c r="C20" s="47"/>
      <c r="D20" s="47"/>
      <c r="E20" s="47"/>
      <c r="F20" s="47"/>
      <c r="G20" s="47"/>
      <c r="H20" s="47"/>
      <c r="I20" s="47"/>
      <c r="J20" s="47"/>
      <c r="K20" s="47"/>
      <c r="L20" s="47"/>
      <c r="M20" s="47"/>
      <c r="N20" s="47"/>
      <c r="O20" s="229">
        <v>15</v>
      </c>
      <c r="P20" s="371"/>
      <c r="Q20" s="377"/>
      <c r="R20" s="377"/>
      <c r="S20" s="499"/>
      <c r="T20" s="508"/>
      <c r="U20" s="1458"/>
      <c r="V20" s="1458"/>
      <c r="W20" s="1458"/>
      <c r="X20" s="1458"/>
      <c r="Y20" s="1458"/>
      <c r="Z20" s="353"/>
      <c r="AA20" s="236"/>
      <c r="AB20" s="360"/>
      <c r="AC20" s="360"/>
      <c r="AD20" s="373"/>
      <c r="AE20" s="353"/>
      <c r="AF20" s="47"/>
      <c r="AG20" s="47"/>
      <c r="AH20" s="47"/>
      <c r="AI20" s="47"/>
      <c r="AJ20" s="47"/>
      <c r="AK20" s="47"/>
      <c r="AL20" s="47"/>
      <c r="AM20" s="47"/>
    </row>
    <row r="21" spans="1:39" ht="20.100000000000001" customHeight="1" x14ac:dyDescent="0.3">
      <c r="A21" s="47"/>
      <c r="B21" s="47"/>
      <c r="C21" s="47"/>
      <c r="D21" s="47"/>
      <c r="E21" s="47"/>
      <c r="F21" s="47"/>
      <c r="G21" s="47"/>
      <c r="H21" s="47"/>
      <c r="I21" s="47"/>
      <c r="J21" s="47"/>
      <c r="K21" s="47"/>
      <c r="L21" s="47"/>
      <c r="M21" s="47"/>
      <c r="N21" s="47"/>
      <c r="O21" s="256">
        <v>16</v>
      </c>
      <c r="P21" s="372"/>
      <c r="Q21" s="378"/>
      <c r="R21" s="378"/>
      <c r="S21" s="500"/>
      <c r="T21" s="509"/>
      <c r="U21" s="1459"/>
      <c r="V21" s="1459"/>
      <c r="W21" s="1459"/>
      <c r="X21" s="1459"/>
      <c r="Y21" s="1459"/>
      <c r="Z21" s="358"/>
      <c r="AA21" s="255"/>
      <c r="AB21" s="361"/>
      <c r="AC21" s="361"/>
      <c r="AD21" s="374"/>
      <c r="AE21" s="358"/>
      <c r="AF21" s="47"/>
      <c r="AG21" s="47"/>
      <c r="AH21" s="47"/>
      <c r="AI21" s="47"/>
      <c r="AJ21" s="47"/>
      <c r="AK21" s="47"/>
      <c r="AL21" s="47"/>
      <c r="AM21" s="47"/>
    </row>
    <row r="22" spans="1:39" ht="20.100000000000001" customHeight="1" x14ac:dyDescent="0.3">
      <c r="A22" s="47"/>
      <c r="B22" s="47"/>
      <c r="C22" s="47"/>
      <c r="D22" s="47"/>
      <c r="E22" s="47"/>
      <c r="F22" s="47"/>
      <c r="G22" s="47"/>
      <c r="H22" s="47"/>
      <c r="I22" s="47"/>
      <c r="J22" s="47"/>
      <c r="K22" s="47"/>
      <c r="L22" s="47"/>
      <c r="M22" s="47"/>
      <c r="N22" s="47"/>
      <c r="O22" s="229">
        <v>17</v>
      </c>
      <c r="P22" s="371"/>
      <c r="Q22" s="377"/>
      <c r="R22" s="377"/>
      <c r="S22" s="499"/>
      <c r="T22" s="508"/>
      <c r="U22" s="1458"/>
      <c r="V22" s="1458"/>
      <c r="W22" s="1458"/>
      <c r="X22" s="1458"/>
      <c r="Y22" s="1458"/>
      <c r="Z22" s="353"/>
      <c r="AA22" s="236"/>
      <c r="AB22" s="360"/>
      <c r="AC22" s="360"/>
      <c r="AD22" s="373"/>
      <c r="AE22" s="353"/>
      <c r="AF22" s="47"/>
      <c r="AG22" s="47"/>
      <c r="AH22" s="47"/>
      <c r="AI22" s="47"/>
      <c r="AJ22" s="47"/>
      <c r="AK22" s="47"/>
      <c r="AL22" s="47"/>
      <c r="AM22" s="47"/>
    </row>
    <row r="23" spans="1:39" ht="20.100000000000001" customHeight="1" x14ac:dyDescent="0.3">
      <c r="A23" s="47"/>
      <c r="B23" s="47"/>
      <c r="C23" s="47"/>
      <c r="D23" s="47"/>
      <c r="E23" s="47"/>
      <c r="F23" s="47"/>
      <c r="G23" s="47"/>
      <c r="H23" s="47"/>
      <c r="I23" s="47"/>
      <c r="J23" s="47"/>
      <c r="K23" s="47"/>
      <c r="L23" s="47"/>
      <c r="M23" s="47"/>
      <c r="N23" s="47"/>
      <c r="O23" s="256">
        <v>18</v>
      </c>
      <c r="P23" s="372"/>
      <c r="Q23" s="378"/>
      <c r="R23" s="378"/>
      <c r="S23" s="500"/>
      <c r="T23" s="509"/>
      <c r="U23" s="1459"/>
      <c r="V23" s="1459"/>
      <c r="W23" s="1459"/>
      <c r="X23" s="1459"/>
      <c r="Y23" s="1459"/>
      <c r="Z23" s="358"/>
      <c r="AA23" s="255"/>
      <c r="AB23" s="361"/>
      <c r="AC23" s="361"/>
      <c r="AD23" s="374"/>
      <c r="AE23" s="358"/>
      <c r="AF23" s="47"/>
      <c r="AG23" s="47"/>
      <c r="AH23" s="47"/>
      <c r="AI23" s="47"/>
      <c r="AJ23" s="47"/>
      <c r="AK23" s="47"/>
      <c r="AL23" s="47"/>
      <c r="AM23" s="47"/>
    </row>
    <row r="24" spans="1:39" ht="20.100000000000001" customHeight="1" x14ac:dyDescent="0.3">
      <c r="A24" s="47"/>
      <c r="B24" s="47"/>
      <c r="C24" s="47"/>
      <c r="D24" s="47"/>
      <c r="E24" s="47"/>
      <c r="F24" s="47"/>
      <c r="G24" s="47"/>
      <c r="H24" s="47"/>
      <c r="I24" s="47"/>
      <c r="J24" s="47"/>
      <c r="K24" s="47"/>
      <c r="L24" s="47"/>
      <c r="M24" s="47"/>
      <c r="N24" s="47"/>
      <c r="O24" s="229">
        <v>19</v>
      </c>
      <c r="P24" s="371"/>
      <c r="Q24" s="377"/>
      <c r="R24" s="377"/>
      <c r="S24" s="499"/>
      <c r="T24" s="508"/>
      <c r="U24" s="1458"/>
      <c r="V24" s="1458"/>
      <c r="W24" s="1458"/>
      <c r="X24" s="1458"/>
      <c r="Y24" s="1458"/>
      <c r="Z24" s="353"/>
      <c r="AA24" s="236"/>
      <c r="AB24" s="360"/>
      <c r="AC24" s="360"/>
      <c r="AD24" s="373"/>
      <c r="AE24" s="353"/>
      <c r="AF24" s="47"/>
      <c r="AG24" s="47"/>
      <c r="AH24" s="47"/>
      <c r="AI24" s="47"/>
      <c r="AJ24" s="47"/>
      <c r="AK24" s="47"/>
      <c r="AL24" s="47"/>
      <c r="AM24" s="47"/>
    </row>
    <row r="25" spans="1:39" ht="20.100000000000001" customHeight="1" x14ac:dyDescent="0.3">
      <c r="A25" s="47"/>
      <c r="B25" s="47"/>
      <c r="C25" s="47"/>
      <c r="D25" s="47"/>
      <c r="E25" s="47"/>
      <c r="F25" s="47"/>
      <c r="G25" s="47"/>
      <c r="H25" s="47"/>
      <c r="I25" s="47"/>
      <c r="J25" s="47"/>
      <c r="K25" s="47"/>
      <c r="L25" s="47"/>
      <c r="M25" s="47"/>
      <c r="N25" s="47"/>
      <c r="O25" s="256">
        <v>20</v>
      </c>
      <c r="P25" s="372"/>
      <c r="Q25" s="378"/>
      <c r="R25" s="378"/>
      <c r="S25" s="500"/>
      <c r="T25" s="509"/>
      <c r="U25" s="1459"/>
      <c r="V25" s="1459"/>
      <c r="W25" s="1459"/>
      <c r="X25" s="1459"/>
      <c r="Y25" s="1459"/>
      <c r="Z25" s="358"/>
      <c r="AA25" s="255"/>
      <c r="AB25" s="361"/>
      <c r="AC25" s="361"/>
      <c r="AD25" s="374"/>
      <c r="AE25" s="358"/>
      <c r="AF25" s="47"/>
      <c r="AG25" s="47"/>
      <c r="AH25" s="47"/>
      <c r="AI25" s="47"/>
      <c r="AJ25" s="47"/>
      <c r="AK25" s="47"/>
      <c r="AL25" s="47"/>
      <c r="AM25" s="47"/>
    </row>
    <row r="26" spans="1:39" ht="20.100000000000001" customHeight="1" x14ac:dyDescent="0.3">
      <c r="A26" s="47"/>
      <c r="B26" s="47"/>
      <c r="C26" s="47"/>
      <c r="D26" s="47"/>
      <c r="E26" s="47"/>
      <c r="F26" s="47"/>
      <c r="G26" s="47"/>
      <c r="H26" s="47"/>
      <c r="I26" s="47"/>
      <c r="J26" s="47"/>
      <c r="K26" s="47"/>
      <c r="L26" s="47"/>
      <c r="M26" s="47"/>
      <c r="N26" s="47"/>
      <c r="O26" s="1461" t="s">
        <v>149</v>
      </c>
      <c r="P26" s="1462"/>
      <c r="Q26" s="407">
        <f>SUM(Q6:Q25)</f>
        <v>1535623.6401000002</v>
      </c>
      <c r="R26" s="407">
        <f>SUM(R6:R25)</f>
        <v>448884.49787500006</v>
      </c>
      <c r="S26" s="47"/>
      <c r="T26" s="407">
        <f ca="1">SUM(T6:T25)</f>
        <v>364013.45063424588</v>
      </c>
      <c r="U26" s="47"/>
      <c r="V26" s="47"/>
      <c r="W26" s="47"/>
      <c r="X26" s="47"/>
      <c r="Y26" s="47"/>
      <c r="Z26" s="47"/>
      <c r="AA26" s="47"/>
      <c r="AB26" s="47"/>
      <c r="AC26" s="47"/>
      <c r="AD26" s="47"/>
      <c r="AE26" s="47"/>
      <c r="AF26" s="47"/>
      <c r="AG26" s="47"/>
      <c r="AH26" s="47"/>
      <c r="AI26" s="47"/>
      <c r="AJ26" s="47"/>
      <c r="AK26" s="47"/>
      <c r="AL26" s="47"/>
    </row>
    <row r="27" spans="1:39" ht="15.6" x14ac:dyDescent="0.3">
      <c r="A27" s="63" t="s">
        <v>150</v>
      </c>
      <c r="B27" s="63"/>
      <c r="C27" s="63"/>
      <c r="D27" s="63"/>
      <c r="E27" s="63"/>
      <c r="F27" s="63"/>
      <c r="G27" s="63"/>
      <c r="H27" s="63"/>
      <c r="I27" s="63"/>
      <c r="J27" s="63"/>
      <c r="K27" s="63"/>
      <c r="L27" s="63"/>
      <c r="M27" s="63"/>
      <c r="N27" s="63"/>
      <c r="O27" s="63"/>
      <c r="P27" s="245"/>
      <c r="Q27" s="63"/>
      <c r="R27" s="63"/>
      <c r="S27" s="63"/>
      <c r="T27" s="63"/>
      <c r="U27" s="63"/>
      <c r="V27" s="63"/>
      <c r="W27" s="63"/>
      <c r="X27" s="63"/>
      <c r="Y27" s="63"/>
      <c r="Z27" s="63"/>
      <c r="AA27" s="63"/>
      <c r="AB27" s="63"/>
      <c r="AC27" s="63"/>
      <c r="AD27" s="63"/>
      <c r="AE27" s="63"/>
      <c r="AF27" s="47"/>
      <c r="AG27" s="47"/>
      <c r="AH27" s="47"/>
      <c r="AI27" s="47"/>
      <c r="AJ27" s="47"/>
      <c r="AK27" s="47"/>
      <c r="AL27" s="47"/>
    </row>
    <row r="28" spans="1:39" x14ac:dyDescent="0.3">
      <c r="A28" s="64" t="s">
        <v>151</v>
      </c>
      <c r="B28" s="65" t="s">
        <v>31</v>
      </c>
      <c r="C28" s="65" t="s">
        <v>152</v>
      </c>
      <c r="D28" s="65" t="s">
        <v>153</v>
      </c>
      <c r="E28" s="65" t="s">
        <v>154</v>
      </c>
      <c r="F28" s="65" t="s">
        <v>155</v>
      </c>
      <c r="G28" s="65" t="s">
        <v>156</v>
      </c>
      <c r="H28" s="65" t="s">
        <v>157</v>
      </c>
      <c r="I28" s="66" t="s">
        <v>158</v>
      </c>
      <c r="J28" s="65" t="s">
        <v>159</v>
      </c>
      <c r="K28" s="66" t="s">
        <v>160</v>
      </c>
      <c r="L28" s="65" t="s">
        <v>161</v>
      </c>
      <c r="M28" s="66" t="s">
        <v>162</v>
      </c>
      <c r="N28" s="65" t="s">
        <v>163</v>
      </c>
      <c r="O28" s="66" t="s">
        <v>164</v>
      </c>
      <c r="P28" s="246" t="s">
        <v>165</v>
      </c>
      <c r="Q28" s="66" t="s">
        <v>166</v>
      </c>
      <c r="R28" s="65" t="s">
        <v>167</v>
      </c>
      <c r="S28" s="66" t="s">
        <v>168</v>
      </c>
      <c r="T28" s="65" t="s">
        <v>169</v>
      </c>
      <c r="U28" s="66" t="s">
        <v>170</v>
      </c>
      <c r="V28" s="65" t="s">
        <v>171</v>
      </c>
      <c r="W28" s="66" t="s">
        <v>172</v>
      </c>
      <c r="X28" s="65" t="s">
        <v>173</v>
      </c>
      <c r="Y28" s="66" t="s">
        <v>174</v>
      </c>
      <c r="Z28" s="65" t="s">
        <v>175</v>
      </c>
      <c r="AA28" s="66" t="s">
        <v>176</v>
      </c>
      <c r="AB28" s="65" t="s">
        <v>177</v>
      </c>
      <c r="AC28" s="66" t="s">
        <v>178</v>
      </c>
      <c r="AD28" s="65" t="s">
        <v>179</v>
      </c>
      <c r="AE28" s="172" t="s">
        <v>180</v>
      </c>
      <c r="AF28" s="47"/>
      <c r="AG28" s="47"/>
      <c r="AH28" s="47"/>
      <c r="AI28" s="47"/>
      <c r="AJ28" s="47"/>
      <c r="AK28" s="47"/>
      <c r="AL28" s="47"/>
    </row>
    <row r="29" spans="1:39" x14ac:dyDescent="0.3">
      <c r="A29" s="370" t="s">
        <v>181</v>
      </c>
      <c r="B29" s="247" t="s">
        <v>182</v>
      </c>
      <c r="C29" s="197" t="s">
        <v>183</v>
      </c>
      <c r="D29" s="69" t="s">
        <v>184</v>
      </c>
      <c r="E29" s="197" t="s">
        <v>185</v>
      </c>
      <c r="F29" s="198">
        <v>28.3</v>
      </c>
      <c r="G29" s="198">
        <v>22.3</v>
      </c>
      <c r="H29" s="458">
        <v>0.252</v>
      </c>
      <c r="I29" s="624" t="s">
        <v>2090</v>
      </c>
      <c r="J29" s="886">
        <v>0.23</v>
      </c>
      <c r="K29" s="624" t="s">
        <v>2090</v>
      </c>
      <c r="L29" s="623">
        <v>0.19500000000000001</v>
      </c>
      <c r="M29" s="624" t="s">
        <v>2091</v>
      </c>
      <c r="N29" s="624">
        <v>22.1</v>
      </c>
      <c r="O29" s="624" t="s">
        <v>2092</v>
      </c>
      <c r="P29" s="886">
        <v>0.23</v>
      </c>
      <c r="Q29" s="624" t="s">
        <v>2092</v>
      </c>
      <c r="R29" s="624">
        <v>24.8</v>
      </c>
      <c r="S29" s="69" t="s">
        <v>2093</v>
      </c>
      <c r="T29" s="1324"/>
      <c r="U29" s="69"/>
      <c r="V29" s="69"/>
      <c r="W29" s="69"/>
      <c r="X29" s="69"/>
      <c r="Y29" s="69"/>
      <c r="Z29" s="69"/>
      <c r="AA29" s="69"/>
      <c r="AB29" s="69"/>
      <c r="AC29" s="69"/>
      <c r="AD29" s="69"/>
      <c r="AE29" s="69"/>
      <c r="AF29" s="47"/>
      <c r="AG29" s="47"/>
      <c r="AH29" s="47"/>
      <c r="AI29" s="47"/>
      <c r="AJ29" s="47"/>
      <c r="AK29" s="47"/>
      <c r="AL29" s="47"/>
    </row>
    <row r="30" spans="1:39" x14ac:dyDescent="0.3">
      <c r="A30" s="370" t="s">
        <v>181</v>
      </c>
      <c r="B30" s="247" t="s">
        <v>187</v>
      </c>
      <c r="C30" s="197" t="s">
        <v>183</v>
      </c>
      <c r="D30" s="68" t="s">
        <v>184</v>
      </c>
      <c r="E30" s="197" t="s">
        <v>188</v>
      </c>
      <c r="F30" s="199">
        <v>2.9999999999999997E-4</v>
      </c>
      <c r="G30" s="199">
        <v>3.0000000000000001E-3</v>
      </c>
      <c r="H30" s="199">
        <v>1E-4</v>
      </c>
      <c r="I30" s="624" t="s">
        <v>2094</v>
      </c>
      <c r="J30" s="625">
        <v>1E-4</v>
      </c>
      <c r="K30" s="247" t="s">
        <v>2095</v>
      </c>
      <c r="L30" s="625">
        <v>1E-4</v>
      </c>
      <c r="M30" s="247" t="s">
        <v>2096</v>
      </c>
      <c r="N30" s="625">
        <v>1E-4</v>
      </c>
      <c r="O30" s="247" t="s">
        <v>2094</v>
      </c>
      <c r="P30" s="625">
        <v>1E-4</v>
      </c>
      <c r="Q30" s="624" t="s">
        <v>2097</v>
      </c>
      <c r="R30" s="625">
        <v>1E-4</v>
      </c>
      <c r="S30" s="624" t="s">
        <v>2097</v>
      </c>
      <c r="T30" s="1325"/>
      <c r="U30" s="68"/>
      <c r="V30" s="68"/>
      <c r="W30" s="68"/>
      <c r="X30" s="68"/>
      <c r="Y30" s="68"/>
      <c r="Z30" s="68"/>
      <c r="AA30" s="68"/>
      <c r="AB30" s="68"/>
      <c r="AC30" s="68"/>
      <c r="AD30" s="68"/>
      <c r="AE30" s="68"/>
      <c r="AF30" s="47"/>
      <c r="AG30" s="47"/>
      <c r="AH30" s="47"/>
      <c r="AI30" s="47"/>
      <c r="AJ30" s="47"/>
      <c r="AK30" s="47"/>
      <c r="AL30" s="47"/>
    </row>
    <row r="31" spans="1:39" x14ac:dyDescent="0.3">
      <c r="A31" s="370" t="s">
        <v>190</v>
      </c>
      <c r="B31" s="247" t="s">
        <v>931</v>
      </c>
      <c r="C31" s="197" t="s">
        <v>183</v>
      </c>
      <c r="D31" s="68" t="s">
        <v>192</v>
      </c>
      <c r="E31" s="197" t="s">
        <v>185</v>
      </c>
      <c r="F31" s="199">
        <v>0.72</v>
      </c>
      <c r="G31" s="199">
        <v>0.75</v>
      </c>
      <c r="H31" s="935">
        <v>0.64</v>
      </c>
      <c r="I31" s="247" t="s">
        <v>2098</v>
      </c>
      <c r="J31" s="625">
        <v>0.66</v>
      </c>
      <c r="K31" s="247" t="s">
        <v>2099</v>
      </c>
      <c r="L31" s="629">
        <v>0.752</v>
      </c>
      <c r="M31" s="247" t="s">
        <v>2100</v>
      </c>
      <c r="N31" s="629">
        <v>0.71399999999999997</v>
      </c>
      <c r="O31" s="247" t="s">
        <v>2101</v>
      </c>
      <c r="P31" s="625">
        <v>0.79500000000000004</v>
      </c>
      <c r="Q31" s="247" t="s">
        <v>2100</v>
      </c>
      <c r="R31" s="936">
        <f>R32*R33*R34</f>
        <v>0.79872799999999988</v>
      </c>
      <c r="S31" s="68" t="s">
        <v>937</v>
      </c>
      <c r="T31" s="1326">
        <v>0.76100000000000001</v>
      </c>
      <c r="U31" s="68" t="s">
        <v>2102</v>
      </c>
      <c r="V31" s="68"/>
      <c r="W31" s="68"/>
      <c r="X31" s="68"/>
      <c r="Y31" s="68"/>
      <c r="Z31" s="68"/>
      <c r="AA31" s="68"/>
      <c r="AB31" s="68"/>
      <c r="AC31" s="68"/>
      <c r="AD31" s="68"/>
      <c r="AE31" s="68"/>
      <c r="AF31" s="47"/>
      <c r="AG31" s="47"/>
      <c r="AH31" s="47"/>
      <c r="AI31" s="47"/>
      <c r="AJ31" s="47"/>
      <c r="AK31" s="47"/>
      <c r="AL31" s="47"/>
    </row>
    <row r="32" spans="1:39" x14ac:dyDescent="0.3">
      <c r="A32" s="370" t="s">
        <v>190</v>
      </c>
      <c r="B32" s="247" t="s">
        <v>934</v>
      </c>
      <c r="C32" s="197" t="s">
        <v>183</v>
      </c>
      <c r="D32" s="68" t="s">
        <v>184</v>
      </c>
      <c r="E32" s="197" t="s">
        <v>185</v>
      </c>
      <c r="F32" s="199">
        <v>0.69399999999999995</v>
      </c>
      <c r="G32" s="199">
        <v>0.72</v>
      </c>
      <c r="H32" s="270">
        <v>0.61499999999999999</v>
      </c>
      <c r="I32" s="247" t="s">
        <v>2103</v>
      </c>
      <c r="J32" s="629">
        <v>0.68300000000000005</v>
      </c>
      <c r="K32" s="247" t="s">
        <v>2103</v>
      </c>
      <c r="L32" s="625">
        <v>0.73099999999999998</v>
      </c>
      <c r="M32" s="247" t="s">
        <v>2104</v>
      </c>
      <c r="N32" s="625">
        <v>0.67700000000000005</v>
      </c>
      <c r="O32" s="247" t="s">
        <v>2104</v>
      </c>
      <c r="P32" s="886">
        <v>0.7</v>
      </c>
      <c r="Q32" s="247" t="s">
        <v>2104</v>
      </c>
      <c r="R32" s="936">
        <v>0.83899999999999997</v>
      </c>
      <c r="S32" s="247" t="s">
        <v>2104</v>
      </c>
      <c r="T32" s="1325"/>
      <c r="U32" s="68"/>
      <c r="V32" s="68"/>
      <c r="W32" s="68"/>
      <c r="X32" s="68"/>
      <c r="Y32" s="68"/>
      <c r="Z32" s="68"/>
      <c r="AA32" s="68"/>
      <c r="AB32" s="68"/>
      <c r="AC32" s="68"/>
      <c r="AD32" s="68"/>
      <c r="AE32" s="68"/>
    </row>
    <row r="33" spans="1:38" x14ac:dyDescent="0.3">
      <c r="A33" s="370" t="s">
        <v>190</v>
      </c>
      <c r="B33" s="247" t="s">
        <v>937</v>
      </c>
      <c r="C33" s="197" t="s">
        <v>183</v>
      </c>
      <c r="D33" s="68" t="s">
        <v>192</v>
      </c>
      <c r="E33" s="197" t="s">
        <v>185</v>
      </c>
      <c r="F33" s="199">
        <v>0.83099999999999996</v>
      </c>
      <c r="G33" s="199">
        <v>0.84</v>
      </c>
      <c r="H33" s="270">
        <v>0.82299999999999995</v>
      </c>
      <c r="I33" s="247" t="s">
        <v>2103</v>
      </c>
      <c r="J33" s="625">
        <v>0.90600000000000003</v>
      </c>
      <c r="K33" s="247" t="s">
        <v>2105</v>
      </c>
      <c r="L33" s="936">
        <v>0.90100000000000002</v>
      </c>
      <c r="M33" s="247" t="s">
        <v>2105</v>
      </c>
      <c r="N33" s="625">
        <v>0.90300000000000002</v>
      </c>
      <c r="O33" s="247" t="s">
        <v>2105</v>
      </c>
      <c r="P33" s="625">
        <v>0.96399999999999997</v>
      </c>
      <c r="Q33" s="247" t="s">
        <v>2105</v>
      </c>
      <c r="R33" s="625">
        <v>0.95199999999999996</v>
      </c>
      <c r="S33" s="68" t="s">
        <v>2106</v>
      </c>
      <c r="T33" s="1325"/>
      <c r="U33" s="68"/>
      <c r="V33" s="68"/>
      <c r="W33" s="68"/>
      <c r="X33" s="68"/>
      <c r="Y33" s="68"/>
      <c r="Z33" s="68"/>
      <c r="AA33" s="68"/>
      <c r="AB33" s="68"/>
      <c r="AC33" s="68"/>
      <c r="AD33" s="68"/>
      <c r="AE33" s="68"/>
    </row>
    <row r="34" spans="1:38" x14ac:dyDescent="0.3">
      <c r="A34" s="370" t="s">
        <v>190</v>
      </c>
      <c r="B34" s="247" t="s">
        <v>217</v>
      </c>
      <c r="C34" s="197" t="s">
        <v>183</v>
      </c>
      <c r="D34" s="68" t="s">
        <v>192</v>
      </c>
      <c r="E34" s="197" t="s">
        <v>185</v>
      </c>
      <c r="F34" s="199">
        <v>0.995</v>
      </c>
      <c r="G34" s="199">
        <v>0.997</v>
      </c>
      <c r="H34" s="270">
        <v>0.999</v>
      </c>
      <c r="I34" s="247" t="s">
        <v>2107</v>
      </c>
      <c r="J34" s="247">
        <v>99.7</v>
      </c>
      <c r="K34" s="247" t="s">
        <v>2108</v>
      </c>
      <c r="L34" s="936">
        <v>0.999</v>
      </c>
      <c r="M34" s="247" t="s">
        <v>2107</v>
      </c>
      <c r="N34" s="625">
        <v>0.998</v>
      </c>
      <c r="O34" s="247" t="s">
        <v>2109</v>
      </c>
      <c r="P34" s="625">
        <v>0.999</v>
      </c>
      <c r="Q34" s="247" t="s">
        <v>2110</v>
      </c>
      <c r="R34" s="625">
        <v>1</v>
      </c>
      <c r="S34" s="68" t="s">
        <v>2108</v>
      </c>
      <c r="T34" s="1325"/>
      <c r="U34" s="68"/>
      <c r="V34" s="68"/>
      <c r="W34" s="68"/>
      <c r="X34" s="68"/>
      <c r="Y34" s="68"/>
      <c r="Z34" s="68"/>
      <c r="AA34" s="68"/>
      <c r="AB34" s="68"/>
      <c r="AC34" s="68"/>
      <c r="AD34" s="68"/>
      <c r="AE34" s="68"/>
    </row>
    <row r="35" spans="1:38" x14ac:dyDescent="0.3">
      <c r="A35" s="370" t="s">
        <v>190</v>
      </c>
      <c r="B35" s="247" t="s">
        <v>938</v>
      </c>
      <c r="C35" s="197" t="s">
        <v>183</v>
      </c>
      <c r="D35" s="68" t="s">
        <v>192</v>
      </c>
      <c r="E35" s="197" t="s">
        <v>185</v>
      </c>
      <c r="F35" s="199">
        <v>0.879</v>
      </c>
      <c r="G35" s="199">
        <v>0.9</v>
      </c>
      <c r="H35" s="270">
        <v>0.77700000000000002</v>
      </c>
      <c r="I35" s="624" t="s">
        <v>2103</v>
      </c>
      <c r="J35" s="625">
        <v>0.78700000000000003</v>
      </c>
      <c r="K35" s="624" t="s">
        <v>2103</v>
      </c>
      <c r="L35" s="936">
        <v>0.79900000000000004</v>
      </c>
      <c r="M35" s="247" t="s">
        <v>2111</v>
      </c>
      <c r="N35" s="625">
        <v>0.78400000000000003</v>
      </c>
      <c r="O35" s="247" t="s">
        <v>2112</v>
      </c>
      <c r="P35" s="625">
        <v>0.76100000000000001</v>
      </c>
      <c r="Q35" s="247" t="s">
        <v>2111</v>
      </c>
      <c r="R35" s="625">
        <v>0.96899999999999997</v>
      </c>
      <c r="S35" s="68" t="s">
        <v>2113</v>
      </c>
      <c r="T35" s="1325"/>
      <c r="U35" s="68"/>
      <c r="V35" s="68"/>
      <c r="W35" s="68"/>
      <c r="X35" s="68"/>
      <c r="Y35" s="68"/>
      <c r="Z35" s="68"/>
      <c r="AA35" s="68"/>
      <c r="AB35" s="68"/>
      <c r="AC35" s="68"/>
      <c r="AD35" s="68"/>
      <c r="AE35" s="68"/>
    </row>
    <row r="36" spans="1:38" x14ac:dyDescent="0.3">
      <c r="A36" s="370" t="s">
        <v>190</v>
      </c>
      <c r="B36" s="247" t="s">
        <v>201</v>
      </c>
      <c r="C36" s="197" t="s">
        <v>202</v>
      </c>
      <c r="D36" s="68" t="s">
        <v>184</v>
      </c>
      <c r="E36" s="197" t="s">
        <v>185</v>
      </c>
      <c r="F36" s="197">
        <v>130</v>
      </c>
      <c r="G36" s="197">
        <v>150</v>
      </c>
      <c r="H36" s="197">
        <v>213</v>
      </c>
      <c r="I36" s="247" t="s">
        <v>2114</v>
      </c>
      <c r="J36" s="247">
        <v>243</v>
      </c>
      <c r="K36" s="247" t="s">
        <v>2114</v>
      </c>
      <c r="L36" s="247">
        <v>200</v>
      </c>
      <c r="M36" s="247" t="s">
        <v>2114</v>
      </c>
      <c r="N36" s="630">
        <v>11.461805555555555</v>
      </c>
      <c r="O36" s="247" t="s">
        <v>2115</v>
      </c>
      <c r="P36" s="630">
        <v>10.125</v>
      </c>
      <c r="Q36" s="247" t="s">
        <v>2115</v>
      </c>
      <c r="R36" s="630">
        <v>11.083333333333334</v>
      </c>
      <c r="S36" s="247" t="s">
        <v>2115</v>
      </c>
      <c r="T36" s="1325"/>
      <c r="U36" s="68"/>
      <c r="V36" s="68"/>
      <c r="W36" s="68"/>
      <c r="X36" s="68"/>
      <c r="Y36" s="68"/>
      <c r="Z36" s="68"/>
      <c r="AA36" s="68"/>
      <c r="AB36" s="68"/>
      <c r="AC36" s="68"/>
      <c r="AD36" s="68"/>
      <c r="AE36" s="68"/>
    </row>
    <row r="37" spans="1:38" x14ac:dyDescent="0.3">
      <c r="A37" s="370" t="s">
        <v>190</v>
      </c>
      <c r="B37" s="247" t="s">
        <v>206</v>
      </c>
      <c r="C37" s="197" t="s">
        <v>202</v>
      </c>
      <c r="D37" s="68" t="s">
        <v>184</v>
      </c>
      <c r="E37" s="197" t="s">
        <v>188</v>
      </c>
      <c r="F37" s="203">
        <v>5.4166666666666669E-2</v>
      </c>
      <c r="G37" s="203">
        <v>0.05</v>
      </c>
      <c r="H37" s="294">
        <v>0.97986111111111107</v>
      </c>
      <c r="I37" s="624" t="s">
        <v>2116</v>
      </c>
      <c r="J37" s="631">
        <v>1.3194444444444444E-2</v>
      </c>
      <c r="K37" s="624" t="s">
        <v>2116</v>
      </c>
      <c r="L37" s="631">
        <v>1.1111111111111112E-2</v>
      </c>
      <c r="M37" s="624" t="s">
        <v>2116</v>
      </c>
      <c r="N37" s="626">
        <v>1.0416666666666666E-2</v>
      </c>
      <c r="O37" s="624" t="s">
        <v>2116</v>
      </c>
      <c r="P37" s="626">
        <v>8.3333333333333332E-3</v>
      </c>
      <c r="Q37" s="624" t="s">
        <v>2116</v>
      </c>
      <c r="R37" s="626">
        <v>1.1805555555555555E-2</v>
      </c>
      <c r="S37" s="624" t="s">
        <v>2116</v>
      </c>
      <c r="T37" s="1325"/>
      <c r="U37" s="68"/>
      <c r="V37" s="68"/>
      <c r="W37" s="68"/>
      <c r="X37" s="68"/>
      <c r="Y37" s="68"/>
      <c r="Z37" s="68"/>
      <c r="AA37" s="68"/>
      <c r="AB37" s="68"/>
      <c r="AC37" s="68"/>
      <c r="AD37" s="68"/>
      <c r="AE37" s="68"/>
    </row>
    <row r="38" spans="1:38" x14ac:dyDescent="0.3">
      <c r="A38" s="370" t="s">
        <v>190</v>
      </c>
      <c r="B38" s="247" t="s">
        <v>211</v>
      </c>
      <c r="C38" s="197" t="s">
        <v>212</v>
      </c>
      <c r="D38" s="68" t="s">
        <v>184</v>
      </c>
      <c r="E38" s="197" t="s">
        <v>188</v>
      </c>
      <c r="F38" s="296">
        <v>305977.01</v>
      </c>
      <c r="G38" s="296">
        <v>150000</v>
      </c>
      <c r="H38" s="296">
        <v>1065.75</v>
      </c>
      <c r="I38" s="624" t="s">
        <v>2117</v>
      </c>
      <c r="J38" s="627">
        <v>397</v>
      </c>
      <c r="K38" s="247" t="s">
        <v>2118</v>
      </c>
      <c r="L38" s="627">
        <v>1755.55</v>
      </c>
      <c r="M38" s="247" t="s">
        <v>1828</v>
      </c>
      <c r="N38" s="627">
        <v>2463.66</v>
      </c>
      <c r="O38" s="247" t="s">
        <v>2119</v>
      </c>
      <c r="P38" s="627">
        <v>1718.24</v>
      </c>
      <c r="Q38" s="247" t="s">
        <v>1828</v>
      </c>
      <c r="R38" s="627">
        <v>3521.08</v>
      </c>
      <c r="S38" s="247" t="s">
        <v>1828</v>
      </c>
      <c r="T38" s="1325"/>
      <c r="U38" s="68"/>
      <c r="V38" s="68"/>
      <c r="W38" s="68"/>
      <c r="X38" s="68"/>
      <c r="Y38" s="68"/>
      <c r="Z38" s="68"/>
      <c r="AA38" s="68"/>
      <c r="AB38" s="68"/>
      <c r="AC38" s="68"/>
      <c r="AD38" s="68"/>
      <c r="AE38" s="68"/>
    </row>
    <row r="39" spans="1:38" x14ac:dyDescent="0.3">
      <c r="A39" s="370" t="s">
        <v>190</v>
      </c>
      <c r="B39" s="247" t="s">
        <v>213</v>
      </c>
      <c r="C39" s="197" t="s">
        <v>212</v>
      </c>
      <c r="D39" s="68" t="s">
        <v>192</v>
      </c>
      <c r="E39" s="197" t="s">
        <v>188</v>
      </c>
      <c r="F39" s="201">
        <v>0.85</v>
      </c>
      <c r="G39" s="201">
        <v>0.9</v>
      </c>
      <c r="H39" s="201">
        <v>0.95</v>
      </c>
      <c r="I39" s="938" t="s">
        <v>2120</v>
      </c>
      <c r="J39" s="629">
        <v>0.96</v>
      </c>
      <c r="K39" s="628" t="s">
        <v>2121</v>
      </c>
      <c r="L39" s="629">
        <v>0.99</v>
      </c>
      <c r="M39" s="628" t="s">
        <v>2120</v>
      </c>
      <c r="N39" s="629">
        <v>0.91</v>
      </c>
      <c r="O39" s="628" t="s">
        <v>2122</v>
      </c>
      <c r="P39" s="629">
        <v>0.97</v>
      </c>
      <c r="Q39" s="247" t="s">
        <v>2123</v>
      </c>
      <c r="R39" s="247"/>
      <c r="S39" s="247"/>
      <c r="T39" s="1325"/>
      <c r="U39" s="68"/>
      <c r="V39" s="68"/>
      <c r="W39" s="68"/>
      <c r="X39" s="68"/>
      <c r="Y39" s="68"/>
      <c r="Z39" s="68"/>
      <c r="AA39" s="68"/>
      <c r="AB39" s="68"/>
      <c r="AC39" s="68"/>
      <c r="AD39" s="68"/>
      <c r="AE39" s="68"/>
    </row>
    <row r="40" spans="1:38" x14ac:dyDescent="0.3">
      <c r="A40" s="370" t="s">
        <v>217</v>
      </c>
      <c r="B40" s="247" t="s">
        <v>218</v>
      </c>
      <c r="C40" s="197" t="s">
        <v>219</v>
      </c>
      <c r="D40" s="68" t="s">
        <v>184</v>
      </c>
      <c r="E40" s="197" t="s">
        <v>188</v>
      </c>
      <c r="F40" s="197">
        <v>109</v>
      </c>
      <c r="G40" s="197">
        <v>180</v>
      </c>
      <c r="H40" s="197">
        <v>56</v>
      </c>
      <c r="I40" s="624" t="s">
        <v>2124</v>
      </c>
      <c r="J40" s="247">
        <v>60</v>
      </c>
      <c r="K40" s="624" t="s">
        <v>2124</v>
      </c>
      <c r="L40" s="247">
        <v>51.4</v>
      </c>
      <c r="M40" s="624" t="s">
        <v>2124</v>
      </c>
      <c r="N40" s="247">
        <v>39.4</v>
      </c>
      <c r="O40" s="624" t="s">
        <v>2124</v>
      </c>
      <c r="P40" s="247">
        <v>44.8</v>
      </c>
      <c r="Q40" s="624" t="s">
        <v>2124</v>
      </c>
      <c r="R40" s="247">
        <v>93</v>
      </c>
      <c r="S40" s="624" t="s">
        <v>2124</v>
      </c>
      <c r="T40" s="1325"/>
      <c r="U40" s="68"/>
      <c r="V40" s="68"/>
      <c r="W40" s="68"/>
      <c r="X40" s="68"/>
      <c r="Y40" s="68"/>
      <c r="Z40" s="68"/>
      <c r="AA40" s="68"/>
      <c r="AB40" s="68"/>
      <c r="AC40" s="68"/>
      <c r="AD40" s="68"/>
      <c r="AE40" s="68"/>
    </row>
    <row r="41" spans="1:38" x14ac:dyDescent="0.3">
      <c r="A41" s="370" t="s">
        <v>217</v>
      </c>
      <c r="B41" s="247" t="s">
        <v>221</v>
      </c>
      <c r="C41" s="197" t="s">
        <v>219</v>
      </c>
      <c r="D41" s="68" t="s">
        <v>184</v>
      </c>
      <c r="E41" s="197" t="s">
        <v>188</v>
      </c>
      <c r="F41" s="197">
        <v>350</v>
      </c>
      <c r="G41" s="197">
        <v>800</v>
      </c>
      <c r="H41" s="197">
        <v>35</v>
      </c>
      <c r="I41" s="624" t="s">
        <v>2125</v>
      </c>
      <c r="J41" s="247">
        <v>1156</v>
      </c>
      <c r="K41" s="247" t="s">
        <v>2126</v>
      </c>
      <c r="L41" s="247">
        <v>858</v>
      </c>
      <c r="M41" s="247" t="s">
        <v>2126</v>
      </c>
      <c r="N41" s="247">
        <v>39</v>
      </c>
      <c r="O41" s="624" t="s">
        <v>2125</v>
      </c>
      <c r="P41" s="247">
        <v>29</v>
      </c>
      <c r="Q41" s="624" t="s">
        <v>2125</v>
      </c>
      <c r="R41" s="247">
        <v>28</v>
      </c>
      <c r="S41" s="624" t="s">
        <v>2125</v>
      </c>
      <c r="T41" s="1325"/>
      <c r="U41" s="68"/>
      <c r="V41" s="68"/>
      <c r="W41" s="68"/>
      <c r="X41" s="68"/>
      <c r="Y41" s="68"/>
      <c r="Z41" s="68"/>
      <c r="AA41" s="68"/>
      <c r="AB41" s="68"/>
      <c r="AC41" s="68"/>
      <c r="AD41" s="68"/>
      <c r="AE41" s="68"/>
      <c r="AF41" s="47"/>
      <c r="AG41" s="47"/>
      <c r="AH41" s="47"/>
      <c r="AI41" s="47"/>
      <c r="AJ41" s="47"/>
      <c r="AK41" s="47"/>
      <c r="AL41" s="47"/>
    </row>
    <row r="42" spans="1:38" x14ac:dyDescent="0.3">
      <c r="A42" s="370" t="s">
        <v>217</v>
      </c>
      <c r="B42" s="247" t="s">
        <v>228</v>
      </c>
      <c r="C42" s="197" t="s">
        <v>183</v>
      </c>
      <c r="D42" s="68" t="s">
        <v>184</v>
      </c>
      <c r="E42" s="197" t="s">
        <v>188</v>
      </c>
      <c r="F42" s="199">
        <v>3.5999999999999999E-3</v>
      </c>
      <c r="G42" s="199">
        <v>3.0000000000000001E-3</v>
      </c>
      <c r="H42" s="199">
        <v>2.0999999999999999E-3</v>
      </c>
      <c r="I42" s="624" t="s">
        <v>2127</v>
      </c>
      <c r="J42" s="625">
        <v>2.0000000000000001E-4</v>
      </c>
      <c r="K42" s="247" t="s">
        <v>2128</v>
      </c>
      <c r="L42" s="625">
        <v>2.0000000000000001E-4</v>
      </c>
      <c r="M42" s="247" t="s">
        <v>2129</v>
      </c>
      <c r="N42" s="625">
        <v>5.9999999999999995E-4</v>
      </c>
      <c r="O42" s="247" t="s">
        <v>2128</v>
      </c>
      <c r="P42" s="625">
        <v>4.0000000000000002E-4</v>
      </c>
      <c r="Q42" s="624" t="s">
        <v>2127</v>
      </c>
      <c r="R42" s="625">
        <v>4.0000000000000002E-4</v>
      </c>
      <c r="S42" s="624" t="s">
        <v>2127</v>
      </c>
      <c r="T42" s="1325"/>
      <c r="U42" s="68"/>
      <c r="V42" s="68"/>
      <c r="W42" s="68"/>
      <c r="X42" s="68"/>
      <c r="Y42" s="68"/>
      <c r="Z42" s="68"/>
      <c r="AA42" s="68"/>
      <c r="AB42" s="68"/>
      <c r="AC42" s="68"/>
      <c r="AD42" s="68"/>
      <c r="AE42" s="68"/>
      <c r="AF42" s="47"/>
      <c r="AG42" s="47"/>
      <c r="AH42" s="47"/>
      <c r="AI42" s="47"/>
      <c r="AJ42" s="47"/>
      <c r="AK42" s="47"/>
      <c r="AL42" s="47"/>
    </row>
    <row r="43" spans="1:38" x14ac:dyDescent="0.3">
      <c r="A43" s="370" t="s">
        <v>217</v>
      </c>
      <c r="B43" s="247" t="s">
        <v>232</v>
      </c>
      <c r="C43" s="197" t="s">
        <v>233</v>
      </c>
      <c r="D43" s="68" t="s">
        <v>234</v>
      </c>
      <c r="E43" s="197" t="s">
        <v>188</v>
      </c>
      <c r="F43" s="197">
        <v>30</v>
      </c>
      <c r="G43" s="197">
        <v>31</v>
      </c>
      <c r="H43" s="197">
        <v>4</v>
      </c>
      <c r="I43" s="624" t="s">
        <v>2130</v>
      </c>
      <c r="J43" s="247">
        <v>3</v>
      </c>
      <c r="K43" s="624" t="s">
        <v>2130</v>
      </c>
      <c r="L43" s="247">
        <v>5</v>
      </c>
      <c r="M43" s="247" t="s">
        <v>2131</v>
      </c>
      <c r="N43" s="247">
        <v>1</v>
      </c>
      <c r="O43" s="247" t="s">
        <v>2132</v>
      </c>
      <c r="P43" s="247">
        <v>4</v>
      </c>
      <c r="Q43" s="247" t="s">
        <v>2132</v>
      </c>
      <c r="R43" s="247">
        <v>2</v>
      </c>
      <c r="S43" s="68" t="s">
        <v>2131</v>
      </c>
      <c r="T43" s="1325"/>
      <c r="U43" s="68"/>
      <c r="V43" s="68"/>
      <c r="W43" s="68"/>
      <c r="X43" s="68"/>
      <c r="Y43" s="68"/>
      <c r="Z43" s="68"/>
      <c r="AA43" s="68"/>
      <c r="AB43" s="68"/>
      <c r="AC43" s="68"/>
      <c r="AD43" s="68"/>
      <c r="AE43" s="68"/>
      <c r="AF43" s="47"/>
      <c r="AG43" s="47"/>
      <c r="AH43" s="47"/>
      <c r="AI43" s="47"/>
      <c r="AJ43" s="47"/>
      <c r="AK43" s="47"/>
      <c r="AL43" s="47"/>
    </row>
    <row r="44" spans="1:38" x14ac:dyDescent="0.3">
      <c r="A44" s="370" t="s">
        <v>236</v>
      </c>
      <c r="B44" s="247" t="s">
        <v>237</v>
      </c>
      <c r="C44" s="197" t="s">
        <v>238</v>
      </c>
      <c r="D44" s="302" t="s">
        <v>184</v>
      </c>
      <c r="E44" s="197" t="s">
        <v>188</v>
      </c>
      <c r="F44" s="197">
        <v>27</v>
      </c>
      <c r="G44" s="197">
        <v>32</v>
      </c>
      <c r="H44" s="197">
        <v>0</v>
      </c>
      <c r="I44" s="624" t="s">
        <v>2133</v>
      </c>
      <c r="J44" s="247">
        <v>80</v>
      </c>
      <c r="K44" s="247" t="s">
        <v>2134</v>
      </c>
      <c r="L44" s="931">
        <v>0</v>
      </c>
      <c r="M44" s="932" t="s">
        <v>2133</v>
      </c>
      <c r="N44" s="247">
        <v>0</v>
      </c>
      <c r="O44" s="247" t="s">
        <v>2133</v>
      </c>
      <c r="P44" s="247">
        <v>70</v>
      </c>
      <c r="Q44" s="247" t="s">
        <v>2135</v>
      </c>
      <c r="R44" s="247">
        <v>73</v>
      </c>
      <c r="S44" s="247" t="s">
        <v>2135</v>
      </c>
      <c r="T44" s="1325"/>
      <c r="U44" s="68"/>
      <c r="V44" s="68"/>
      <c r="W44" s="68"/>
      <c r="X44" s="68"/>
      <c r="Y44" s="68"/>
      <c r="Z44" s="68"/>
      <c r="AA44" s="68"/>
      <c r="AB44" s="68"/>
      <c r="AC44" s="68"/>
      <c r="AD44" s="68"/>
      <c r="AE44" s="68"/>
      <c r="AF44" s="47"/>
      <c r="AG44" s="47"/>
      <c r="AH44" s="47"/>
      <c r="AI44" s="47"/>
      <c r="AJ44" s="47"/>
      <c r="AK44" s="47"/>
      <c r="AL44" s="47"/>
    </row>
    <row r="45" spans="1:38" ht="15.6" x14ac:dyDescent="0.3">
      <c r="A45" s="370" t="s">
        <v>240</v>
      </c>
      <c r="B45" s="247" t="s">
        <v>241</v>
      </c>
      <c r="C45" s="197" t="s">
        <v>183</v>
      </c>
      <c r="D45" s="68" t="s">
        <v>242</v>
      </c>
      <c r="E45" s="197" t="s">
        <v>185</v>
      </c>
      <c r="F45" s="197" t="s">
        <v>589</v>
      </c>
      <c r="G45" s="201">
        <v>0.9</v>
      </c>
      <c r="H45" s="201">
        <v>0</v>
      </c>
      <c r="I45" s="629" t="s">
        <v>2136</v>
      </c>
      <c r="J45" s="629">
        <v>0.25</v>
      </c>
      <c r="K45" s="247" t="s">
        <v>2137</v>
      </c>
      <c r="L45" s="629">
        <v>0.3</v>
      </c>
      <c r="M45" s="247" t="s">
        <v>2137</v>
      </c>
      <c r="N45" s="629">
        <v>0.54</v>
      </c>
      <c r="O45" s="247" t="s">
        <v>2137</v>
      </c>
      <c r="P45" s="629">
        <v>1</v>
      </c>
      <c r="Q45" s="247" t="s">
        <v>2138</v>
      </c>
      <c r="R45" s="629">
        <v>1</v>
      </c>
      <c r="S45" s="247" t="s">
        <v>2138</v>
      </c>
      <c r="T45" s="1325"/>
      <c r="U45" s="68"/>
      <c r="V45" s="68"/>
      <c r="W45" s="68"/>
      <c r="X45" s="68"/>
      <c r="Y45" s="68"/>
      <c r="Z45" s="68"/>
      <c r="AA45" s="68"/>
      <c r="AB45" s="68"/>
      <c r="AC45" s="68"/>
      <c r="AD45" s="68"/>
      <c r="AE45" s="68"/>
      <c r="AF45" s="47"/>
      <c r="AG45" s="47"/>
      <c r="AH45" s="47"/>
      <c r="AI45" s="47"/>
      <c r="AJ45" s="1409" t="s">
        <v>244</v>
      </c>
      <c r="AK45" s="1409"/>
      <c r="AL45" s="47"/>
    </row>
    <row r="46" spans="1:38" x14ac:dyDescent="0.3">
      <c r="A46" s="370" t="s">
        <v>245</v>
      </c>
      <c r="B46" s="247" t="s">
        <v>246</v>
      </c>
      <c r="C46" s="197" t="s">
        <v>183</v>
      </c>
      <c r="D46" s="68" t="s">
        <v>192</v>
      </c>
      <c r="E46" s="197" t="s">
        <v>185</v>
      </c>
      <c r="F46" s="197" t="s">
        <v>589</v>
      </c>
      <c r="G46" s="201">
        <v>1</v>
      </c>
      <c r="H46" s="201">
        <v>0.79</v>
      </c>
      <c r="I46" s="197" t="s">
        <v>2139</v>
      </c>
      <c r="J46" s="78">
        <v>0.4</v>
      </c>
      <c r="K46" s="197" t="s">
        <v>2140</v>
      </c>
      <c r="L46" s="78">
        <v>0.4</v>
      </c>
      <c r="M46" s="197" t="s">
        <v>2141</v>
      </c>
      <c r="N46" s="629">
        <v>0.64</v>
      </c>
      <c r="O46" s="68" t="s">
        <v>2142</v>
      </c>
      <c r="P46" s="629">
        <v>0.67</v>
      </c>
      <c r="Q46" s="247" t="s">
        <v>2143</v>
      </c>
      <c r="R46" s="629">
        <v>0.96</v>
      </c>
      <c r="S46" s="68" t="s">
        <v>2144</v>
      </c>
      <c r="T46" s="1325"/>
      <c r="U46" s="68"/>
      <c r="V46" s="68"/>
      <c r="W46" s="68"/>
      <c r="X46" s="68"/>
      <c r="Y46" s="68"/>
      <c r="Z46" s="68"/>
      <c r="AA46" s="68"/>
      <c r="AB46" s="68"/>
      <c r="AC46" s="68"/>
      <c r="AD46" s="68"/>
      <c r="AE46" s="68"/>
      <c r="AJ46" s="937" t="s">
        <v>249</v>
      </c>
      <c r="AK46" s="937" t="s">
        <v>250</v>
      </c>
    </row>
    <row r="47" spans="1:38" x14ac:dyDescent="0.3">
      <c r="A47" s="67" t="s">
        <v>263</v>
      </c>
      <c r="B47" s="822" t="s">
        <v>264</v>
      </c>
      <c r="C47" s="197" t="s">
        <v>265</v>
      </c>
      <c r="D47" s="68" t="s">
        <v>184</v>
      </c>
      <c r="E47" s="197" t="s">
        <v>185</v>
      </c>
      <c r="F47" s="501" t="s">
        <v>93</v>
      </c>
      <c r="G47" s="501" t="s">
        <v>93</v>
      </c>
      <c r="H47" s="1319">
        <v>488000</v>
      </c>
      <c r="I47" s="68" t="s">
        <v>2145</v>
      </c>
      <c r="J47" s="668">
        <f>247000-11000</f>
        <v>236000</v>
      </c>
      <c r="K47" s="68" t="s">
        <v>2146</v>
      </c>
      <c r="L47" s="830">
        <v>77000</v>
      </c>
      <c r="M47" s="68" t="s">
        <v>2147</v>
      </c>
      <c r="N47" s="627">
        <f>215000-33000</f>
        <v>182000</v>
      </c>
      <c r="O47" s="68" t="s">
        <v>2148</v>
      </c>
      <c r="P47" s="878">
        <v>461000</v>
      </c>
      <c r="Q47" s="247" t="s">
        <v>2149</v>
      </c>
      <c r="R47" s="878">
        <v>175000</v>
      </c>
      <c r="S47" s="68"/>
      <c r="T47" s="1325"/>
      <c r="U47" s="68"/>
      <c r="V47" s="68"/>
      <c r="W47" s="68"/>
      <c r="X47" s="68"/>
      <c r="Y47" s="68"/>
      <c r="Z47" s="68"/>
      <c r="AA47" s="68"/>
      <c r="AB47" s="68"/>
      <c r="AC47" s="68"/>
      <c r="AD47" s="68"/>
      <c r="AE47" s="68"/>
      <c r="AF47" s="47"/>
      <c r="AG47" s="47"/>
      <c r="AH47" s="47"/>
      <c r="AI47" s="47"/>
      <c r="AJ47" s="228" t="s">
        <v>26</v>
      </c>
      <c r="AK47" s="448">
        <f>SUMIF($AH$55:$AH$106,AJ47,$AJ$55:$AJ$106)</f>
        <v>0</v>
      </c>
      <c r="AL47" s="47"/>
    </row>
    <row r="48" spans="1:38" x14ac:dyDescent="0.3">
      <c r="A48" s="370"/>
      <c r="B48" s="197"/>
      <c r="C48" s="197"/>
      <c r="D48" s="68" t="s">
        <v>184</v>
      </c>
      <c r="E48" s="197"/>
      <c r="F48" s="197"/>
      <c r="G48" s="197"/>
      <c r="H48" s="197"/>
      <c r="I48" s="68"/>
      <c r="J48" s="68"/>
      <c r="K48" s="68"/>
      <c r="L48" s="68"/>
      <c r="M48" s="68"/>
      <c r="N48" s="68"/>
      <c r="O48" s="68"/>
      <c r="P48" s="247"/>
      <c r="Q48" s="247"/>
      <c r="R48" s="68"/>
      <c r="S48" s="68"/>
      <c r="T48" s="1325"/>
      <c r="U48" s="68"/>
      <c r="V48" s="68"/>
      <c r="W48" s="68"/>
      <c r="X48" s="68"/>
      <c r="Y48" s="68"/>
      <c r="Z48" s="68"/>
      <c r="AA48" s="68"/>
      <c r="AB48" s="68"/>
      <c r="AC48" s="68"/>
      <c r="AD48" s="68"/>
      <c r="AE48" s="68"/>
      <c r="AF48" s="47"/>
      <c r="AG48" s="47"/>
      <c r="AH48" s="47"/>
      <c r="AI48" s="47"/>
      <c r="AJ48" s="251" t="s">
        <v>27</v>
      </c>
      <c r="AK48" s="449">
        <f>SUMIF($AH$55:$AH$106,AJ48,$AJ$55:$AJ$106)</f>
        <v>0</v>
      </c>
      <c r="AL48" s="47"/>
    </row>
    <row r="49" spans="1:48" x14ac:dyDescent="0.3">
      <c r="A49" s="370"/>
      <c r="B49" s="197"/>
      <c r="C49" s="197"/>
      <c r="D49" s="68" t="s">
        <v>184</v>
      </c>
      <c r="E49" s="197"/>
      <c r="F49" s="197"/>
      <c r="G49" s="197"/>
      <c r="H49" s="197"/>
      <c r="I49" s="68"/>
      <c r="J49" s="68"/>
      <c r="K49" s="68"/>
      <c r="L49" s="68"/>
      <c r="M49" s="68"/>
      <c r="N49" s="68"/>
      <c r="O49" s="68"/>
      <c r="P49" s="247"/>
      <c r="Q49" s="247"/>
      <c r="R49" s="68"/>
      <c r="S49" s="68"/>
      <c r="T49" s="68"/>
      <c r="U49" s="68"/>
      <c r="V49" s="68"/>
      <c r="W49" s="68"/>
      <c r="X49" s="68"/>
      <c r="Y49" s="68"/>
      <c r="Z49" s="68"/>
      <c r="AA49" s="68"/>
      <c r="AB49" s="68"/>
      <c r="AC49" s="68"/>
      <c r="AD49" s="68"/>
      <c r="AE49" s="68"/>
      <c r="AF49" s="47"/>
      <c r="AG49" s="47"/>
      <c r="AH49" s="47"/>
      <c r="AI49" s="47"/>
      <c r="AJ49" s="228" t="s">
        <v>266</v>
      </c>
      <c r="AK49" s="448">
        <f>SUMIF($AH$55:$AH$106,AJ49,$AJ$55:$AJ$106)</f>
        <v>0</v>
      </c>
      <c r="AL49" s="47"/>
    </row>
    <row r="50" spans="1:48" x14ac:dyDescent="0.3">
      <c r="A50" s="67"/>
      <c r="B50" s="68"/>
      <c r="C50" s="68"/>
      <c r="D50" s="68"/>
      <c r="E50" s="68"/>
      <c r="F50" s="197"/>
      <c r="G50" s="197"/>
      <c r="H50" s="68"/>
      <c r="I50" s="68"/>
      <c r="J50" s="68"/>
      <c r="K50" s="68"/>
      <c r="L50" s="68"/>
      <c r="M50" s="68"/>
      <c r="N50" s="68"/>
      <c r="O50" s="68"/>
      <c r="P50" s="247"/>
      <c r="Q50" s="247"/>
      <c r="R50" s="68"/>
      <c r="S50" s="68"/>
      <c r="T50" s="68"/>
      <c r="U50" s="68"/>
      <c r="V50" s="68"/>
      <c r="W50" s="68"/>
      <c r="X50" s="68"/>
      <c r="Y50" s="68"/>
      <c r="Z50" s="68"/>
      <c r="AA50" s="68"/>
      <c r="AB50" s="68"/>
      <c r="AC50" s="68"/>
      <c r="AD50" s="68"/>
      <c r="AE50" s="68"/>
      <c r="AF50" s="47"/>
      <c r="AG50" s="47"/>
      <c r="AH50" s="47"/>
      <c r="AI50" s="47"/>
      <c r="AJ50" s="251" t="s">
        <v>267</v>
      </c>
      <c r="AK50" s="449">
        <f>SUMIF($AH$55:$AH$106,AJ50,$AJ$55:$AJ$106)</f>
        <v>0</v>
      </c>
      <c r="AL50" s="47"/>
    </row>
    <row r="51" spans="1:48" x14ac:dyDescent="0.3">
      <c r="A51" s="79"/>
      <c r="B51" s="80"/>
      <c r="C51" s="80"/>
      <c r="D51" s="80"/>
      <c r="E51" s="80"/>
      <c r="F51" s="202"/>
      <c r="G51" s="202"/>
      <c r="H51" s="80"/>
      <c r="I51" s="80"/>
      <c r="J51" s="80"/>
      <c r="K51" s="80"/>
      <c r="L51" s="80"/>
      <c r="M51" s="80"/>
      <c r="N51" s="80"/>
      <c r="O51" s="80"/>
      <c r="P51" s="248"/>
      <c r="Q51" s="248"/>
      <c r="R51" s="80"/>
      <c r="S51" s="80"/>
      <c r="T51" s="80"/>
      <c r="U51" s="80"/>
      <c r="V51" s="80"/>
      <c r="W51" s="80"/>
      <c r="X51" s="80"/>
      <c r="Y51" s="80"/>
      <c r="Z51" s="80"/>
      <c r="AA51" s="80"/>
      <c r="AB51" s="80"/>
      <c r="AC51" s="80"/>
      <c r="AD51" s="80"/>
      <c r="AE51" s="80"/>
      <c r="AF51" s="47"/>
      <c r="AG51" s="47"/>
      <c r="AH51" s="47"/>
      <c r="AI51" s="47"/>
      <c r="AJ51" s="228" t="s">
        <v>268</v>
      </c>
      <c r="AK51" s="448">
        <f>SUMIF($AH$55:$AH$106,AJ51,$AJ$55:$AJ$106)</f>
        <v>0</v>
      </c>
      <c r="AL51" s="47"/>
    </row>
    <row r="52" spans="1:48" x14ac:dyDescent="0.3">
      <c r="Q52" s="249"/>
      <c r="V52" s="81"/>
      <c r="AF52" s="47"/>
      <c r="AG52" s="47"/>
      <c r="AH52" s="47"/>
      <c r="AI52" s="47"/>
      <c r="AJ52" s="47"/>
      <c r="AL52" s="47"/>
    </row>
    <row r="53" spans="1:48" ht="15.6" x14ac:dyDescent="0.3">
      <c r="A53" s="208" t="s">
        <v>269</v>
      </c>
      <c r="B53" s="208"/>
      <c r="C53" s="208"/>
      <c r="D53" s="208"/>
      <c r="E53" s="208"/>
      <c r="F53" s="208"/>
      <c r="G53" s="208"/>
      <c r="H53" s="208"/>
      <c r="I53" s="208"/>
      <c r="J53" s="208"/>
      <c r="K53" s="208"/>
      <c r="L53" s="208"/>
      <c r="M53" s="208"/>
      <c r="N53" s="208"/>
      <c r="O53" s="82"/>
      <c r="P53" s="82"/>
      <c r="Q53" s="208"/>
      <c r="R53" s="208"/>
      <c r="S53" s="82"/>
      <c r="T53" s="82"/>
      <c r="U53" s="204" t="s">
        <v>270</v>
      </c>
      <c r="V53" s="204"/>
      <c r="W53" s="204"/>
      <c r="X53" s="204"/>
      <c r="Y53" s="204" t="s">
        <v>271</v>
      </c>
      <c r="Z53" s="204"/>
      <c r="AA53" s="204"/>
      <c r="AB53" s="204"/>
      <c r="AC53" s="204" t="s">
        <v>272</v>
      </c>
      <c r="AD53" s="204"/>
      <c r="AE53" s="204"/>
      <c r="AF53" s="204"/>
      <c r="AG53" s="204" t="s">
        <v>273</v>
      </c>
      <c r="AH53" s="204"/>
      <c r="AI53" s="204"/>
      <c r="AJ53" s="204"/>
      <c r="AK53" s="83"/>
      <c r="AL53" s="82"/>
      <c r="AM53" s="1410"/>
      <c r="AN53" s="1410"/>
      <c r="AO53" s="1410"/>
      <c r="AU53" s="975">
        <f>SUM(AU55:AU176)</f>
        <v>1181255.8800749998</v>
      </c>
      <c r="AV53" s="975">
        <f>SUM(AV55:AV176)</f>
        <v>666288.15549999988</v>
      </c>
    </row>
    <row r="54" spans="1:48" ht="46.8" x14ac:dyDescent="0.3">
      <c r="A54" s="348" t="s">
        <v>950</v>
      </c>
      <c r="B54" s="84" t="s">
        <v>275</v>
      </c>
      <c r="C54" s="348" t="s">
        <v>276</v>
      </c>
      <c r="D54" s="84" t="s">
        <v>277</v>
      </c>
      <c r="E54" s="348" t="s">
        <v>278</v>
      </c>
      <c r="F54" s="348" t="s">
        <v>279</v>
      </c>
      <c r="G54" s="348" t="s">
        <v>280</v>
      </c>
      <c r="H54" s="348" t="s">
        <v>281</v>
      </c>
      <c r="I54" s="348" t="s">
        <v>951</v>
      </c>
      <c r="J54" s="348" t="s">
        <v>1408</v>
      </c>
      <c r="K54" s="250" t="s">
        <v>284</v>
      </c>
      <c r="L54" s="348" t="s">
        <v>285</v>
      </c>
      <c r="M54" s="348" t="s">
        <v>952</v>
      </c>
      <c r="N54" s="348" t="s">
        <v>287</v>
      </c>
      <c r="O54" s="84" t="s">
        <v>72</v>
      </c>
      <c r="P54" s="250" t="s">
        <v>288</v>
      </c>
      <c r="Q54" s="84" t="s">
        <v>289</v>
      </c>
      <c r="R54" s="84" t="s">
        <v>143</v>
      </c>
      <c r="S54" s="84" t="s">
        <v>290</v>
      </c>
      <c r="T54" s="84" t="s">
        <v>2150</v>
      </c>
      <c r="U54" s="85">
        <v>46023</v>
      </c>
      <c r="V54" s="85">
        <v>46054</v>
      </c>
      <c r="W54" s="85">
        <v>46082</v>
      </c>
      <c r="X54" s="86" t="s">
        <v>292</v>
      </c>
      <c r="Y54" s="85">
        <v>46113</v>
      </c>
      <c r="Z54" s="85">
        <v>46143</v>
      </c>
      <c r="AA54" s="85">
        <v>46174</v>
      </c>
      <c r="AB54" s="86" t="s">
        <v>293</v>
      </c>
      <c r="AC54" s="85">
        <v>46204</v>
      </c>
      <c r="AD54" s="85">
        <v>46235</v>
      </c>
      <c r="AE54" s="85">
        <v>46266</v>
      </c>
      <c r="AF54" s="86" t="s">
        <v>294</v>
      </c>
      <c r="AG54" s="85">
        <v>46296</v>
      </c>
      <c r="AH54" s="85">
        <v>46327</v>
      </c>
      <c r="AI54" s="85">
        <v>46357</v>
      </c>
      <c r="AJ54" s="84" t="s">
        <v>295</v>
      </c>
      <c r="AK54" s="84" t="s">
        <v>296</v>
      </c>
      <c r="AL54" s="84" t="s">
        <v>2151</v>
      </c>
      <c r="AM54" s="84" t="s">
        <v>244</v>
      </c>
      <c r="AN54" s="84" t="s">
        <v>298</v>
      </c>
      <c r="AO54" s="84" t="s">
        <v>299</v>
      </c>
      <c r="AP54" s="62" t="s">
        <v>300</v>
      </c>
      <c r="AR54" s="507" t="s">
        <v>301</v>
      </c>
      <c r="AU54" s="507" t="s">
        <v>302</v>
      </c>
      <c r="AV54" s="507" t="s">
        <v>303</v>
      </c>
    </row>
    <row r="55" spans="1:48" ht="29.1" customHeight="1" x14ac:dyDescent="0.3">
      <c r="A55" s="1380" t="s">
        <v>953</v>
      </c>
      <c r="B55" s="1380" t="s">
        <v>101</v>
      </c>
      <c r="C55" s="1368" t="s">
        <v>2152</v>
      </c>
      <c r="D55" s="1486" t="s">
        <v>2153</v>
      </c>
      <c r="E55" s="1368" t="s">
        <v>2154</v>
      </c>
      <c r="F55" s="1370" t="s">
        <v>2155</v>
      </c>
      <c r="G55" s="1372">
        <v>46023</v>
      </c>
      <c r="H55" s="1372">
        <v>46357</v>
      </c>
      <c r="I55" s="1354">
        <v>530000</v>
      </c>
      <c r="J55" s="1376">
        <v>46054</v>
      </c>
      <c r="K55" s="1389">
        <f>IF(J55="", "", 12 - MONTH(J55) + 1)</f>
        <v>11</v>
      </c>
      <c r="L55" s="1354"/>
      <c r="M55" s="1350" t="s">
        <v>308</v>
      </c>
      <c r="N55" s="1391">
        <v>50000</v>
      </c>
      <c r="O55" s="1327" t="s">
        <v>83</v>
      </c>
      <c r="P55" s="1463" t="s">
        <v>2156</v>
      </c>
      <c r="Q55" s="1333">
        <v>46357</v>
      </c>
      <c r="R55" s="1327">
        <v>0.5</v>
      </c>
      <c r="S55" s="87" t="s">
        <v>116</v>
      </c>
      <c r="T55" s="91">
        <f>[1]Estrutura!$F$12</f>
        <v>0.67001522109695633</v>
      </c>
      <c r="U55" s="287">
        <v>50000</v>
      </c>
      <c r="V55" s="287"/>
      <c r="W55" s="287"/>
      <c r="X55" s="288">
        <f>SUM(U55:W55)</f>
        <v>50000</v>
      </c>
      <c r="Y55" s="287"/>
      <c r="Z55" s="287"/>
      <c r="AA55" s="287"/>
      <c r="AB55" s="89">
        <f>SUM(Y55:AA55)</f>
        <v>0</v>
      </c>
      <c r="AC55" s="287"/>
      <c r="AD55" s="287"/>
      <c r="AE55" s="287"/>
      <c r="AF55" s="89">
        <f>SUM(AC55:AE55)</f>
        <v>0</v>
      </c>
      <c r="AG55" s="287"/>
      <c r="AH55" s="287"/>
      <c r="AI55" s="287">
        <f>IFERROR(IF(AND(AI$54&gt;=EOMONTH($J55,-1)+1,AI$54&lt;=EOMONTH(EOMONTH($J55,-1)+1,$K55-1)),IF(NOT(ISBLANK($N55)),$N55/$K55,$I55/$K55),0),0)</f>
        <v>4545.454545454545</v>
      </c>
      <c r="AJ55" s="89">
        <f>SUM(AG55:AI55)</f>
        <v>4545.454545454545</v>
      </c>
      <c r="AK55" s="90">
        <f>SUM(X55,AB55,AF55,AJ55)</f>
        <v>54545.454545454544</v>
      </c>
      <c r="AL55" s="98"/>
      <c r="AM55" s="1370"/>
      <c r="AN55" s="1411"/>
      <c r="AO55" s="1405">
        <f>N55*AN55</f>
        <v>0</v>
      </c>
      <c r="AP55" s="62" t="str">
        <f>C55</f>
        <v>01 - VENDA DE ATIVOS</v>
      </c>
      <c r="AQ55" s="62" t="s">
        <v>311</v>
      </c>
      <c r="AR55" s="508" cm="1">
        <f t="array" aca="1" ref="AR55" ca="1">IF(OR(AP55="",AP55=0),"",IF(SUMPRODUCT(($C$55:$C$138=AP55)*(U$54:$AI$54&lt;EOMONTH(TODAY(),-1)+1)*(ISNUMBER(U$55:$AI$138)),U$55:$AI$138)=0,"",SUMPRODUCT(($C$55:$C$138=AP55)*(U$54:$AI$54&lt;EOMONTH(TODAY(),-1)+1)*(ISNUMBER(U$55:$AI$138)),U$55:$AI$138)))</f>
        <v>50000</v>
      </c>
      <c r="AS55" s="62" t="str">
        <f>A55</f>
        <v>Redução de custo</v>
      </c>
      <c r="AU55" s="1566">
        <v>530000</v>
      </c>
      <c r="AV55" s="1566">
        <f>N55</f>
        <v>50000</v>
      </c>
    </row>
    <row r="56" spans="1:48" ht="29.1" customHeight="1" x14ac:dyDescent="0.3">
      <c r="A56" s="1381"/>
      <c r="B56" s="1381"/>
      <c r="C56" s="1369"/>
      <c r="D56" s="1510"/>
      <c r="E56" s="1369"/>
      <c r="F56" s="1371"/>
      <c r="G56" s="1373"/>
      <c r="H56" s="1373"/>
      <c r="I56" s="1355"/>
      <c r="J56" s="1377"/>
      <c r="K56" s="1390"/>
      <c r="L56" s="1355"/>
      <c r="M56" s="1460"/>
      <c r="N56" s="1392"/>
      <c r="O56" s="1328"/>
      <c r="P56" s="1464"/>
      <c r="Q56" s="1328"/>
      <c r="R56" s="1328"/>
      <c r="S56" s="87" t="s">
        <v>117</v>
      </c>
      <c r="T56" s="586">
        <f>[1]Estrutura!$G$12</f>
        <v>0.69939774153074041</v>
      </c>
      <c r="U56" s="287">
        <v>50000</v>
      </c>
      <c r="V56" s="287">
        <v>0</v>
      </c>
      <c r="W56" s="287">
        <v>0</v>
      </c>
      <c r="X56" s="288">
        <f>SUM(U56:W56)</f>
        <v>50000</v>
      </c>
      <c r="Y56" s="287">
        <v>0</v>
      </c>
      <c r="Z56" s="287"/>
      <c r="AA56" s="287"/>
      <c r="AB56" s="288">
        <f>SUM(Y56:AA56)</f>
        <v>0</v>
      </c>
      <c r="AC56" s="287"/>
      <c r="AD56" s="287"/>
      <c r="AE56" s="287"/>
      <c r="AF56" s="288">
        <f>SUM(AC56:AE56)</f>
        <v>0</v>
      </c>
      <c r="AG56" s="287"/>
      <c r="AH56" s="287"/>
      <c r="AI56" s="287"/>
      <c r="AJ56" s="288">
        <f>SUM(AG56:AI56)</f>
        <v>0</v>
      </c>
      <c r="AK56" s="289">
        <f>SUM(X56,AB56,AF56,AJ56)</f>
        <v>50000</v>
      </c>
      <c r="AL56" s="337"/>
      <c r="AM56" s="1371"/>
      <c r="AN56" s="1412"/>
      <c r="AO56" s="1406"/>
      <c r="AP56" s="62" t="str">
        <f>C55</f>
        <v>01 - VENDA DE ATIVOS</v>
      </c>
      <c r="AQ56" s="62" t="s">
        <v>313</v>
      </c>
      <c r="AR56" s="508" cm="1">
        <f t="array" aca="1" ref="AR56" ca="1">IF(OR(AP56="",AP56=0),"",IF(SUMPRODUCT(($C$55:$C$153=AP56)*($U$54:AI$54&lt;=TODAY())*(ISNUMBER($U$56:AI$154)),$U$56:AI$154)=0,"",SUMPRODUCT(($C$55:$C$153=AP56)*($U$54:AI$54&lt;=TODAY())*(ISNUMBER($U$56:AI$154)),$U$56:AI$154)))</f>
        <v>50000</v>
      </c>
      <c r="AS56" s="62" t="str">
        <f>A55</f>
        <v>Redução de custo</v>
      </c>
      <c r="AU56" s="1567"/>
      <c r="AV56" s="1567"/>
    </row>
    <row r="57" spans="1:48" ht="29.1" customHeight="1" x14ac:dyDescent="0.3">
      <c r="A57" s="1407" t="s">
        <v>953</v>
      </c>
      <c r="B57" s="1407" t="s">
        <v>97</v>
      </c>
      <c r="C57" s="1511" t="s">
        <v>2157</v>
      </c>
      <c r="D57" s="1356" t="s">
        <v>2158</v>
      </c>
      <c r="E57" s="1449" t="s">
        <v>2159</v>
      </c>
      <c r="F57" s="1451" t="s">
        <v>2160</v>
      </c>
      <c r="G57" s="1366">
        <v>46054</v>
      </c>
      <c r="H57" s="1366">
        <v>46203</v>
      </c>
      <c r="I57" s="1453">
        <v>400000</v>
      </c>
      <c r="J57" s="1378">
        <v>46218</v>
      </c>
      <c r="K57" s="1387">
        <f>IF(J57="", "", 12 - MONTH(J57) + 1)</f>
        <v>6</v>
      </c>
      <c r="L57" s="1395"/>
      <c r="M57" s="1347"/>
      <c r="N57" s="1467"/>
      <c r="O57" s="1334" t="s">
        <v>83</v>
      </c>
      <c r="P57" s="1344"/>
      <c r="Q57" s="1331"/>
      <c r="R57" s="1334"/>
      <c r="S57" s="93" t="s">
        <v>116</v>
      </c>
      <c r="T57" s="821">
        <f>[2]Estrutura!$F$33</f>
        <v>1</v>
      </c>
      <c r="U57" s="498">
        <f>IFERROR(IF(AND(U$54&gt;=EOMONTH($J57,-1)+1,U$54&lt;=EOMONTH(EOMONTH($J57,-1)+1,$K57-1)),IF(NOT(ISBLANK($N57)),$N57/$K57,$I57/$K57),0),0)</f>
        <v>0</v>
      </c>
      <c r="V57" s="498">
        <f>IFERROR(IF(AND(V$54&gt;=EOMONTH($J57,-1)+1,V$54&lt;=EOMONTH(EOMONTH($J57,-1)+1,$K57-1)),IF(NOT(ISBLANK($N57)),$N57/$K57,$I57/$K57),0),0)</f>
        <v>0</v>
      </c>
      <c r="W57" s="498">
        <f>IFERROR(IF(AND(W$54&gt;=EOMONTH($J57,-1)+1,W$54&lt;=EOMONTH(EOMONTH($J57,-1)+1,$K57-1)),IF(NOT(ISBLANK($N57)),$N57/$K57,$I57/$K57),0),0)</f>
        <v>0</v>
      </c>
      <c r="X57" s="288">
        <f>SUM(U57:W57)</f>
        <v>0</v>
      </c>
      <c r="Y57" s="498">
        <f>IFERROR(IF(AND(Y$54&gt;=EOMONTH($J57,-1)+1,Y$54&lt;=EOMONTH(EOMONTH($J57,-1)+1,$K57-1)),IF(NOT(ISBLANK($N57)),$N57/$K57,$I57/$K57),0),0)</f>
        <v>0</v>
      </c>
      <c r="Z57" s="498">
        <f>IFERROR(IF(AND(Z$54&gt;=EOMONTH($J57,-1)+1,Z$54&lt;=EOMONTH(EOMONTH($J57,-1)+1,$K57-1)),IF(NOT(ISBLANK($N57)),$N57/$K57,$I57/$K57),0),0)</f>
        <v>0</v>
      </c>
      <c r="AA57" s="498">
        <f>IFERROR(IF(AND(AA$54&gt;=EOMONTH($J57,-1)+1,AA$54&lt;=EOMONTH(EOMONTH($J57,-1)+1,$K57-1)),IF(NOT(ISBLANK($N57)),$N57/$K57,$I57/$K57),0),0)</f>
        <v>0</v>
      </c>
      <c r="AB57" s="89">
        <f>SUM(Y57:AA57)</f>
        <v>0</v>
      </c>
      <c r="AC57" s="498">
        <f>IFERROR(IF(AND(AC$54&gt;=EOMONTH($J57,-1)+1,AC$54&lt;=EOMONTH(EOMONTH($J57,-1)+1,$K57-1)),IF(NOT(ISBLANK($N57)),$N57/$K57,$I57/$K57),0),0)</f>
        <v>66666.666666666672</v>
      </c>
      <c r="AD57" s="498">
        <f>IFERROR(IF(AND(AD$54&gt;=EOMONTH($J57,-1)+1,AD$54&lt;=EOMONTH(EOMONTH($J57,-1)+1,$K57-1)),IF(NOT(ISBLANK($N57)),$N57/$K57,$I57/$K57),0),0)</f>
        <v>66666.666666666672</v>
      </c>
      <c r="AE57" s="498">
        <f>IFERROR(IF(AND(AE$54&gt;=EOMONTH($J57,-1)+1,AE$54&lt;=EOMONTH(EOMONTH($J57,-1)+1,$K57-1)),IF(NOT(ISBLANK($N57)),$N57/$K57,$I57/$K57),0),0)</f>
        <v>66666.666666666672</v>
      </c>
      <c r="AF57" s="89">
        <f>SUM(AC57:AE57)</f>
        <v>200000</v>
      </c>
      <c r="AG57" s="498">
        <f>IFERROR(IF(AND(AG$54&gt;=EOMONTH($J57,-1)+1,AG$54&lt;=EOMONTH(EOMONTH($J57,-1)+1,$K57-1)),IF(NOT(ISBLANK($N57)),$N57/$K57,$I57/$K57),0),0)</f>
        <v>66666.666666666672</v>
      </c>
      <c r="AH57" s="498">
        <f>IFERROR(IF(AND(AH$54&gt;=EOMONTH($J57,-1)+1,AH$54&lt;=EOMONTH(EOMONTH($J57,-1)+1,$K57-1)),IF(NOT(ISBLANK($N57)),$N57/$K57,$I57/$K57),0),0)</f>
        <v>66666.666666666672</v>
      </c>
      <c r="AI57" s="498">
        <f>IFERROR(IF(AND(AI$54&gt;=EOMONTH($J57,-1)+1,AI$54&lt;=EOMONTH(EOMONTH($J57,-1)+1,$K57-1)),IF(NOT(ISBLANK($N57)),$N57/$K57,$I57/$K57),0),0)</f>
        <v>66666.666666666672</v>
      </c>
      <c r="AJ57" s="89">
        <f>SUM(AG57:AI57)</f>
        <v>200000</v>
      </c>
      <c r="AK57" s="95">
        <f>SUM(X57,AB57,AF57,AJ57)</f>
        <v>400000</v>
      </c>
      <c r="AL57" s="97"/>
      <c r="AM57" s="1407"/>
      <c r="AN57" s="1334"/>
      <c r="AO57" s="1403">
        <f>N57*AN57</f>
        <v>0</v>
      </c>
      <c r="AP57" s="62" t="str">
        <f>C57</f>
        <v>02 - TANQUE DE DECAPAGEM</v>
      </c>
      <c r="AQ57" s="62" t="s">
        <v>311</v>
      </c>
      <c r="AR57" s="508" cm="1">
        <f t="array" aca="1" ref="AR57" ca="1">IF(OR(AP57="",AP57=0),"",IF(SUMPRODUCT(($C$55:$C$138=AP57)*(U$54:$AI$54&lt;EOMONTH(TODAY(),-1)+1)*(ISNUMBER(U$55:$AI$138)),U$55:$AI$138)=0,"",SUMPRODUCT(($C$55:$C$138=AP57)*(U$54:$AI$54&lt;EOMONTH(TODAY(),-1)+1)*(ISNUMBER(U$55:$AI$138)),U$55:$AI$138)))</f>
        <v>66666.666666666672</v>
      </c>
      <c r="AS57" s="62" t="str">
        <f t="shared" ref="AS57" si="10">A57</f>
        <v>Redução de custo</v>
      </c>
      <c r="AU57" s="1566">
        <f t="shared" ref="AU57" si="11">IF(OR(I57="",K57=""),0,(I57/12)*K57)</f>
        <v>200000</v>
      </c>
      <c r="AV57" s="1566">
        <f t="shared" ref="AV57" si="12">IF(OR(N57="",K57="",K57=0),0,(N57/K57)*12)</f>
        <v>0</v>
      </c>
    </row>
    <row r="58" spans="1:48" ht="29.1" customHeight="1" x14ac:dyDescent="0.3">
      <c r="A58" s="1408"/>
      <c r="B58" s="1408"/>
      <c r="C58" s="1512"/>
      <c r="D58" s="1455"/>
      <c r="E58" s="1450"/>
      <c r="F58" s="1452"/>
      <c r="G58" s="1367"/>
      <c r="H58" s="1513"/>
      <c r="I58" s="1454"/>
      <c r="J58" s="1379"/>
      <c r="K58" s="1388"/>
      <c r="L58" s="1396"/>
      <c r="M58" s="1469"/>
      <c r="N58" s="1468"/>
      <c r="O58" s="1330"/>
      <c r="P58" s="1345"/>
      <c r="Q58" s="1332"/>
      <c r="R58" s="1330"/>
      <c r="S58" s="93" t="s">
        <v>117</v>
      </c>
      <c r="T58" s="821">
        <f>[2]Estrutura!$G$33</f>
        <v>1</v>
      </c>
      <c r="U58" s="290"/>
      <c r="V58" s="290"/>
      <c r="W58" s="290"/>
      <c r="X58" s="288">
        <f>SUM(U58:W58)</f>
        <v>0</v>
      </c>
      <c r="Y58" s="290"/>
      <c r="Z58" s="290"/>
      <c r="AA58" s="290"/>
      <c r="AB58" s="288">
        <f>SUM(Y58:AA58)</f>
        <v>0</v>
      </c>
      <c r="AC58" s="592"/>
      <c r="AD58" s="290"/>
      <c r="AE58" s="290"/>
      <c r="AF58" s="288">
        <f>SUM(AC58:AE58)</f>
        <v>0</v>
      </c>
      <c r="AG58" s="290"/>
      <c r="AH58" s="290"/>
      <c r="AI58" s="290"/>
      <c r="AJ58" s="288">
        <f>SUM(AG58:AI58)</f>
        <v>0</v>
      </c>
      <c r="AK58" s="291">
        <f>SUM(X58,AB58,AF58,AJ58)</f>
        <v>0</v>
      </c>
      <c r="AL58" s="97"/>
      <c r="AM58" s="1408"/>
      <c r="AN58" s="1330"/>
      <c r="AO58" s="1404"/>
      <c r="AP58" s="62" t="str">
        <f>C57</f>
        <v>02 - TANQUE DE DECAPAGEM</v>
      </c>
      <c r="AQ58" s="62" t="s">
        <v>313</v>
      </c>
      <c r="AR58" s="508" t="str" cm="1">
        <f t="array" aca="1" ref="AR58" ca="1">IF(OR(AP58="",AP58=0),"",IF(SUMPRODUCT(($C$55:$C$153=AP58)*($U$54:AI$54&lt;=TODAY())*(ISNUMBER($U$56:AI$154)),$U$56:AI$154)=0,"",SUMPRODUCT(($C$55:$C$153=AP58)*($U$54:AI$54&lt;=TODAY())*(ISNUMBER($U$56:AI$154)),$U$56:AI$154)))</f>
        <v/>
      </c>
      <c r="AS58" s="62" t="str">
        <f t="shared" ref="AS58" si="13">A57</f>
        <v>Redução de custo</v>
      </c>
      <c r="AU58" s="1567"/>
      <c r="AV58" s="1567"/>
    </row>
    <row r="59" spans="1:48" ht="29.1" customHeight="1" x14ac:dyDescent="0.3">
      <c r="A59" s="1380" t="s">
        <v>953</v>
      </c>
      <c r="B59" s="1380" t="s">
        <v>99</v>
      </c>
      <c r="C59" s="1368" t="s">
        <v>2161</v>
      </c>
      <c r="D59" s="1486" t="s">
        <v>2162</v>
      </c>
      <c r="E59" s="1368" t="s">
        <v>2163</v>
      </c>
      <c r="F59" s="1451" t="s">
        <v>2160</v>
      </c>
      <c r="G59" s="1372">
        <v>46054</v>
      </c>
      <c r="H59" s="1372">
        <v>46113</v>
      </c>
      <c r="I59" s="1354">
        <v>135000</v>
      </c>
      <c r="J59" s="1376">
        <v>46054</v>
      </c>
      <c r="K59" s="1389">
        <f t="shared" ref="K59" si="14">IF(J59="", "", 12 - MONTH(J59) + 1)</f>
        <v>11</v>
      </c>
      <c r="L59" s="1354"/>
      <c r="M59" s="1350" t="s">
        <v>308</v>
      </c>
      <c r="N59" s="1391">
        <f>(135866.6295/12)*K59</f>
        <v>124544.41037500002</v>
      </c>
      <c r="O59" s="1327" t="s">
        <v>81</v>
      </c>
      <c r="P59" s="1340"/>
      <c r="Q59" s="1327"/>
      <c r="R59" s="1327"/>
      <c r="S59" s="87" t="s">
        <v>116</v>
      </c>
      <c r="T59" s="586">
        <f>[3]Estrutura!$F$10</f>
        <v>1</v>
      </c>
      <c r="U59" s="287">
        <f>IFERROR(IF(AND(U$54&gt;=EOMONTH($J59,-1)+1,U$54&lt;=EOMONTH(EOMONTH($J59,-1)+1,$K59-1)),IF(NOT(ISBLANK($N59)),$N59/$K59,$I59/$K59),0),0)</f>
        <v>0</v>
      </c>
      <c r="V59" s="287">
        <f>IFERROR(IF(AND(V$54&gt;=EOMONTH($J59,-1)+1,V$54&lt;=EOMONTH(EOMONTH($J59,-1)+1,$K59-1)),IF(NOT(ISBLANK($N59)),$N59/$K59,$I59/$K59),0),0)</f>
        <v>11322.219125000001</v>
      </c>
      <c r="W59" s="287">
        <f>IFERROR(IF(AND(W$54&gt;=EOMONTH($J59,-1)+1,W$54&lt;=EOMONTH(EOMONTH($J59,-1)+1,$K59-1)),IF(NOT(ISBLANK($N59)),$N59/$K59,$I59/$K59),0),0)</f>
        <v>11322.219125000001</v>
      </c>
      <c r="X59" s="288">
        <f t="shared" ref="X59:X102" si="15">SUM(U59:W59)</f>
        <v>22644.438250000003</v>
      </c>
      <c r="Y59" s="287">
        <f>IFERROR(IF(AND(Y$54&gt;=EOMONTH($J59,-1)+1,Y$54&lt;=EOMONTH(EOMONTH($J59,-1)+1,$K59-1)),IF(NOT(ISBLANK($N59)),$N59/$K59,$I59/$K59),0),0)</f>
        <v>11322.219125000001</v>
      </c>
      <c r="Z59" s="287">
        <f>IFERROR(IF(AND(Z$54&gt;=EOMONTH($J59,-1)+1,Z$54&lt;=EOMONTH(EOMONTH($J59,-1)+1,$K59-1)),IF(NOT(ISBLANK($N59)),$N59/$K59,$I59/$K59),0),0)</f>
        <v>11322.219125000001</v>
      </c>
      <c r="AA59" s="287">
        <f>IFERROR(IF(AND(AA$54&gt;=EOMONTH($J59,-1)+1,AA$54&lt;=EOMONTH(EOMONTH($J59,-1)+1,$K59-1)),IF(NOT(ISBLANK($N59)),$N59/$K59,$I59/$K59),0),0)</f>
        <v>11322.219125000001</v>
      </c>
      <c r="AB59" s="89">
        <f t="shared" ref="AB59:AB102" si="16">SUM(Y59:AA59)</f>
        <v>33966.657375000003</v>
      </c>
      <c r="AC59" s="287">
        <f>IFERROR(IF(AND(AC$54&gt;=EOMONTH($J59,-1)+1,AC$54&lt;=EOMONTH(EOMONTH($J59,-1)+1,$K59-1)),IF(NOT(ISBLANK($N59)),$N59/$K59,$I59/$K59),0),0)</f>
        <v>11322.219125000001</v>
      </c>
      <c r="AD59" s="287">
        <f>IFERROR(IF(AND(AD$54&gt;=EOMONTH($J59,-1)+1,AD$54&lt;=EOMONTH(EOMONTH($J59,-1)+1,$K59-1)),IF(NOT(ISBLANK($N59)),$N59/$K59,$I59/$K59),0),0)</f>
        <v>11322.219125000001</v>
      </c>
      <c r="AE59" s="287">
        <f>IFERROR(IF(AND(AE$54&gt;=EOMONTH($J59,-1)+1,AE$54&lt;=EOMONTH(EOMONTH($J59,-1)+1,$K59-1)),IF(NOT(ISBLANK($N59)),$N59/$K59,$I59/$K59),0),0)</f>
        <v>11322.219125000001</v>
      </c>
      <c r="AF59" s="89">
        <f t="shared" ref="AF59:AF102" si="17">SUM(AC59:AE59)</f>
        <v>33966.657375000003</v>
      </c>
      <c r="AG59" s="287">
        <f>IFERROR(IF(AND(AG$54&gt;=EOMONTH($J59,-1)+1,AG$54&lt;=EOMONTH(EOMONTH($J59,-1)+1,$K59-1)),IF(NOT(ISBLANK($N59)),$N59/$K59,$I59/$K59),0),0)</f>
        <v>11322.219125000001</v>
      </c>
      <c r="AH59" s="287">
        <f>IFERROR(IF(AND(AH$54&gt;=EOMONTH($J59,-1)+1,AH$54&lt;=EOMONTH(EOMONTH($J59,-1)+1,$K59-1)),IF(NOT(ISBLANK($N59)),$N59/$K59,$I59/$K59),0),0)</f>
        <v>11322.219125000001</v>
      </c>
      <c r="AI59" s="287">
        <f>IFERROR(IF(AND(AI$54&gt;=EOMONTH($J59,-1)+1,AI$54&lt;=EOMONTH(EOMONTH($J59,-1)+1,$K59-1)),IF(NOT(ISBLANK($N59)),$N59/$K59,$I59/$K59),0),0)</f>
        <v>11322.219125000001</v>
      </c>
      <c r="AJ59" s="89">
        <f t="shared" ref="AJ59:AJ82" si="18">SUM(AG59:AI59)</f>
        <v>33966.657375000003</v>
      </c>
      <c r="AK59" s="90">
        <f>SUM(X59,AB59,AF59,AJ59)</f>
        <v>124544.41037500001</v>
      </c>
      <c r="AL59" s="98"/>
      <c r="AM59" s="1370"/>
      <c r="AN59" s="1411"/>
      <c r="AO59" s="1405">
        <f>N59*AN59</f>
        <v>0</v>
      </c>
      <c r="AP59" s="62" t="str">
        <f>C59</f>
        <v>03 - PRODUTOS QUÍMICOS KTL</v>
      </c>
      <c r="AQ59" s="62" t="s">
        <v>311</v>
      </c>
      <c r="AR59" s="508" cm="1">
        <f t="array" aca="1" ref="AR59" ca="1">IF(OR(AP59="",AP59=0),"",IF(SUMPRODUCT(($C$55:$C$138=AP59)*(U$54:$AI$54&lt;EOMONTH(TODAY(),-1)+1)*(ISNUMBER(U$55:$AI$138)),U$55:$AI$138)=0,"",SUMPRODUCT(($C$55:$C$138=AP59)*(U$54:$AI$54&lt;EOMONTH(TODAY(),-1)+1)*(ISNUMBER(U$55:$AI$138)),U$55:$AI$138)))</f>
        <v>67933.314750000005</v>
      </c>
      <c r="AS59" s="62" t="str">
        <f t="shared" ref="AS59" si="19">A59</f>
        <v>Redução de custo</v>
      </c>
      <c r="AU59" s="1566">
        <f t="shared" ref="AU59" si="20">IF(OR(I59="",K59=""),0,(I59/12)*K59)</f>
        <v>123750</v>
      </c>
      <c r="AV59" s="1566">
        <f t="shared" ref="AV59" si="21">IF(OR(N59="",K59="",K59=0),0,(N59/K59)*12)</f>
        <v>135866.62950000001</v>
      </c>
    </row>
    <row r="60" spans="1:48" ht="29.1" customHeight="1" x14ac:dyDescent="0.3">
      <c r="A60" s="1381"/>
      <c r="B60" s="1381"/>
      <c r="C60" s="1369"/>
      <c r="D60" s="1510"/>
      <c r="E60" s="1369"/>
      <c r="F60" s="1452"/>
      <c r="G60" s="1373"/>
      <c r="H60" s="1373"/>
      <c r="I60" s="1355"/>
      <c r="J60" s="1377"/>
      <c r="K60" s="1390"/>
      <c r="L60" s="1355"/>
      <c r="M60" s="1460"/>
      <c r="N60" s="1392"/>
      <c r="O60" s="1328"/>
      <c r="P60" s="1341"/>
      <c r="Q60" s="1328"/>
      <c r="R60" s="1328"/>
      <c r="S60" s="87" t="s">
        <v>117</v>
      </c>
      <c r="T60" s="586">
        <f>[3]Estrutura!$G$10</f>
        <v>1</v>
      </c>
      <c r="U60" s="730"/>
      <c r="V60" s="547">
        <v>66080.55</v>
      </c>
      <c r="W60" s="287">
        <v>1684.3489999999999</v>
      </c>
      <c r="X60" s="288">
        <f>SUM(U60:W60)</f>
        <v>67764.899000000005</v>
      </c>
      <c r="Y60" s="287">
        <v>30504.61</v>
      </c>
      <c r="Z60" s="547">
        <v>31964.16</v>
      </c>
      <c r="AA60" s="547">
        <v>96000.92</v>
      </c>
      <c r="AB60" s="288">
        <f t="shared" si="16"/>
        <v>158469.69</v>
      </c>
      <c r="AC60" s="1017"/>
      <c r="AD60" s="287"/>
      <c r="AE60" s="287"/>
      <c r="AF60" s="288">
        <f t="shared" si="17"/>
        <v>0</v>
      </c>
      <c r="AG60" s="287"/>
      <c r="AH60" s="287"/>
      <c r="AI60" s="287"/>
      <c r="AJ60" s="288">
        <f t="shared" si="18"/>
        <v>0</v>
      </c>
      <c r="AK60" s="289">
        <f t="shared" ref="AK60:AK102" si="22">SUM(X60,AB60,AF60,AJ60)</f>
        <v>226234.58900000001</v>
      </c>
      <c r="AL60" s="337"/>
      <c r="AM60" s="1371"/>
      <c r="AN60" s="1412"/>
      <c r="AO60" s="1406"/>
      <c r="AP60" s="62" t="str">
        <f>C59</f>
        <v>03 - PRODUTOS QUÍMICOS KTL</v>
      </c>
      <c r="AQ60" s="62" t="s">
        <v>313</v>
      </c>
      <c r="AR60" s="508" cm="1">
        <f t="array" aca="1" ref="AR60" ca="1">IF(OR(AP60="",AP60=0),"",IF(SUMPRODUCT(($C$55:$C$153=AP60)*($U$54:AI$54&lt;=TODAY())*(ISNUMBER($U$56:AI$154)),$U$56:AI$154)=0,"",SUMPRODUCT(($C$55:$C$153=AP60)*($U$54:AI$54&lt;=TODAY())*(ISNUMBER($U$56:AI$154)),$U$56:AI$154)))</f>
        <v>226234.58900000001</v>
      </c>
      <c r="AS60" s="62" t="str">
        <f t="shared" ref="AS60" si="23">A59</f>
        <v>Redução de custo</v>
      </c>
      <c r="AU60" s="1567"/>
      <c r="AV60" s="1567"/>
    </row>
    <row r="61" spans="1:48" ht="29.1" customHeight="1" x14ac:dyDescent="0.3">
      <c r="A61" s="1407" t="s">
        <v>953</v>
      </c>
      <c r="B61" s="1407" t="s">
        <v>99</v>
      </c>
      <c r="C61" s="1449" t="s">
        <v>2164</v>
      </c>
      <c r="D61" s="1356" t="s">
        <v>2165</v>
      </c>
      <c r="E61" s="1449" t="s">
        <v>2166</v>
      </c>
      <c r="F61" s="1451" t="s">
        <v>2167</v>
      </c>
      <c r="G61" s="1366">
        <v>46054</v>
      </c>
      <c r="H61" s="1366">
        <v>46357</v>
      </c>
      <c r="I61" s="1453">
        <v>100000.0001</v>
      </c>
      <c r="J61" s="1378">
        <v>46113</v>
      </c>
      <c r="K61" s="1387">
        <f t="shared" ref="K61" si="24">IF(J61="", "", 12 - MONTH(J61) + 1)</f>
        <v>9</v>
      </c>
      <c r="L61" s="1395"/>
      <c r="M61" s="1478" t="s">
        <v>308</v>
      </c>
      <c r="N61" s="1547">
        <f>(253098.29/12)*K61</f>
        <v>189823.7175</v>
      </c>
      <c r="O61" s="1334" t="s">
        <v>83</v>
      </c>
      <c r="P61" s="1342"/>
      <c r="Q61" s="1329"/>
      <c r="R61" s="1334"/>
      <c r="S61" s="93" t="s">
        <v>116</v>
      </c>
      <c r="T61" s="586">
        <f>[4]Estrutura!$F$17</f>
        <v>0.23731749710312863</v>
      </c>
      <c r="U61" s="498">
        <f>IFERROR(IF(AND(U$54&gt;=EOMONTH($J61,-1)+1,U$54&lt;=EOMONTH(EOMONTH($J61,-1)+1,$K61-1)),IF(NOT(ISBLANK($N61)),$N61/$K61,$I61/$K61),0),0)</f>
        <v>0</v>
      </c>
      <c r="V61" s="498">
        <f>IFERROR(IF(AND(V$54&gt;=EOMONTH($J61,-1)+1,V$54&lt;=EOMONTH(EOMONTH($J61,-1)+1,$K61-1)),IF(NOT(ISBLANK($N61)),$N61/$K61,$I61/$K61),0),0)</f>
        <v>0</v>
      </c>
      <c r="W61" s="715">
        <f>IFERROR(IF(AND(W$54&gt;=EOMONTH($J61,-1)+1,W$54&lt;=EOMONTH(EOMONTH($J61,-1)+1,$K61-1)),IF(NOT(ISBLANK($N61)),$N61/$K61,$I61/$K61),0),0)</f>
        <v>0</v>
      </c>
      <c r="X61" s="288">
        <f t="shared" si="15"/>
        <v>0</v>
      </c>
      <c r="Y61" s="715">
        <f>IFERROR(IF(AND(Y$54&gt;=EOMONTH($J61,-1)+1,Y$54&lt;=EOMONTH(EOMONTH($J61,-1)+1,$K61-1)),IF(NOT(ISBLANK($N61)),$N61/$K61,$I61/$K61),0),0)</f>
        <v>21091.524166666666</v>
      </c>
      <c r="Z61" s="498">
        <f>IFERROR(IF(AND(Z$54&gt;=EOMONTH($J61,-1)+1,Z$54&lt;=EOMONTH(EOMONTH($J61,-1)+1,$K61-1)),IF(NOT(ISBLANK($N61)),$N61/$K61,$I61/$K61),0),0)</f>
        <v>21091.524166666666</v>
      </c>
      <c r="AA61" s="498">
        <f>IFERROR(IF(AND(AA$54&gt;=EOMONTH($J61,-1)+1,AA$54&lt;=EOMONTH(EOMONTH($J61,-1)+1,$K61-1)),IF(NOT(ISBLANK($N61)),$N61/$K61,$I61/$K61),0),0)</f>
        <v>21091.524166666666</v>
      </c>
      <c r="AB61" s="89">
        <f t="shared" si="16"/>
        <v>63274.572499999995</v>
      </c>
      <c r="AC61" s="498">
        <f>IFERROR(IF(AND(AC$54&gt;=EOMONTH($J61,-1)+1,AC$54&lt;=EOMONTH(EOMONTH($J61,-1)+1,$K61-1)),IF(NOT(ISBLANK($N61)),$N61/$K61,$I61/$K61),0),0)</f>
        <v>21091.524166666666</v>
      </c>
      <c r="AD61" s="498">
        <f>IFERROR(IF(AND(AD$54&gt;=EOMONTH($J61,-1)+1,AD$54&lt;=EOMONTH(EOMONTH($J61,-1)+1,$K61-1)),IF(NOT(ISBLANK($N61)),$N61/$K61,$I61/$K61),0),0)</f>
        <v>21091.524166666666</v>
      </c>
      <c r="AE61" s="498">
        <f>IFERROR(IF(AND(AE$54&gt;=EOMONTH($J61,-1)+1,AE$54&lt;=EOMONTH(EOMONTH($J61,-1)+1,$K61-1)),IF(NOT(ISBLANK($N61)),$N61/$K61,$I61/$K61),0),0)</f>
        <v>21091.524166666666</v>
      </c>
      <c r="AF61" s="89">
        <f t="shared" si="17"/>
        <v>63274.572499999995</v>
      </c>
      <c r="AG61" s="498">
        <f>IFERROR(IF(AND(AG$54&gt;=EOMONTH($J61,-1)+1,AG$54&lt;=EOMONTH(EOMONTH($J61,-1)+1,$K61-1)),IF(NOT(ISBLANK($N61)),$N61/$K61,$I61/$K61),0),0)</f>
        <v>21091.524166666666</v>
      </c>
      <c r="AH61" s="498">
        <f>IFERROR(IF(AND(AH$54&gt;=EOMONTH($J61,-1)+1,AH$54&lt;=EOMONTH(EOMONTH($J61,-1)+1,$K61-1)),IF(NOT(ISBLANK($N61)),$N61/$K61,$I61/$K61),0),0)</f>
        <v>21091.524166666666</v>
      </c>
      <c r="AI61" s="498">
        <f>IFERROR(IF(AND(AI$54&gt;=EOMONTH($J61,-1)+1,AI$54&lt;=EOMONTH(EOMONTH($J61,-1)+1,$K61-1)),IF(NOT(ISBLANK($N61)),$N61/$K61,$I61/$K61),0),0)</f>
        <v>21091.524166666666</v>
      </c>
      <c r="AJ61" s="89">
        <f>SUM(AG61:AI61)</f>
        <v>63274.572499999995</v>
      </c>
      <c r="AK61" s="95">
        <f>SUM(X61,AB61,AF61,AJ61)</f>
        <v>189823.71749999997</v>
      </c>
      <c r="AL61" s="97"/>
      <c r="AM61" s="1407"/>
      <c r="AN61" s="1334"/>
      <c r="AO61" s="1403">
        <f>N61*AN61</f>
        <v>0</v>
      </c>
      <c r="AP61" s="62" t="str">
        <f>C61</f>
        <v>04 - GÁS</v>
      </c>
      <c r="AQ61" s="62" t="s">
        <v>311</v>
      </c>
      <c r="AR61" s="508" cm="1">
        <f t="array" aca="1" ref="AR61" ca="1">IF(OR(AP61="",AP61=0),"",IF(SUMPRODUCT(($C$55:$C$138=AP61)*(U$54:$AI$54&lt;EOMONTH(TODAY(),-1)+1)*(ISNUMBER(U$55:$AI$138)),U$55:$AI$138)=0,"",SUMPRODUCT(($C$55:$C$138=AP61)*(U$54:$AI$54&lt;EOMONTH(TODAY(),-1)+1)*(ISNUMBER(U$55:$AI$138)),U$55:$AI$138)))</f>
        <v>84366.096666666665</v>
      </c>
      <c r="AS61" s="62" t="str">
        <f t="shared" ref="AS61" si="25">A61</f>
        <v>Redução de custo</v>
      </c>
      <c r="AU61" s="1566">
        <f t="shared" ref="AU61" si="26">IF(OR(I61="",K61=""),0,(I61/12)*K61)</f>
        <v>75000.000075000004</v>
      </c>
      <c r="AV61" s="1566">
        <f t="shared" ref="AV61" si="27">IF(OR(N61="",K61="",K61=0),0,(N61/K61)*12)</f>
        <v>253098.28999999998</v>
      </c>
    </row>
    <row r="62" spans="1:48" ht="29.1" customHeight="1" x14ac:dyDescent="0.3">
      <c r="A62" s="1408"/>
      <c r="B62" s="1408"/>
      <c r="C62" s="1450"/>
      <c r="D62" s="1357"/>
      <c r="E62" s="1450"/>
      <c r="F62" s="1452"/>
      <c r="G62" s="1367"/>
      <c r="H62" s="1367"/>
      <c r="I62" s="1454"/>
      <c r="J62" s="1379"/>
      <c r="K62" s="1388"/>
      <c r="L62" s="1396"/>
      <c r="M62" s="1479"/>
      <c r="N62" s="1548"/>
      <c r="O62" s="1330"/>
      <c r="P62" s="1343"/>
      <c r="Q62" s="1330"/>
      <c r="R62" s="1330"/>
      <c r="S62" s="93" t="s">
        <v>117</v>
      </c>
      <c r="T62" s="586">
        <f>[4]Estrutura!$G$17</f>
        <v>0.57908458864426415</v>
      </c>
      <c r="U62" s="290"/>
      <c r="V62" s="290"/>
      <c r="W62" s="457"/>
      <c r="X62" s="288">
        <f>SUM(U62:W62)</f>
        <v>0</v>
      </c>
      <c r="Y62" s="457">
        <v>23370.639999999999</v>
      </c>
      <c r="Z62" s="526">
        <v>-26160.89</v>
      </c>
      <c r="AA62" s="457">
        <v>15048.47</v>
      </c>
      <c r="AB62" s="288">
        <f t="shared" si="16"/>
        <v>12258.22</v>
      </c>
      <c r="AC62" s="1017"/>
      <c r="AD62" s="290"/>
      <c r="AE62" s="290"/>
      <c r="AF62" s="288">
        <f t="shared" si="17"/>
        <v>0</v>
      </c>
      <c r="AG62" s="290"/>
      <c r="AH62" s="290"/>
      <c r="AI62" s="290"/>
      <c r="AJ62" s="288">
        <f>SUM(AG62:AI62)</f>
        <v>0</v>
      </c>
      <c r="AK62" s="291">
        <f>SUM(X62,AB62,AF62,AJ62)</f>
        <v>12258.22</v>
      </c>
      <c r="AL62" s="97"/>
      <c r="AM62" s="1408"/>
      <c r="AN62" s="1330"/>
      <c r="AO62" s="1404"/>
      <c r="AP62" s="62" t="str">
        <f>C61</f>
        <v>04 - GÁS</v>
      </c>
      <c r="AQ62" s="62" t="s">
        <v>313</v>
      </c>
      <c r="AR62" s="508" cm="1">
        <f t="array" aca="1" ref="AR62" ca="1">IF(OR(AP62="",AP62=0),"",IF(SUMPRODUCT(($C$55:$C$153=AP62)*($U$54:AI$54&lt;=TODAY())*(ISNUMBER($U$56:AI$154)),$U$56:AI$154)=0,"",SUMPRODUCT(($C$55:$C$153=AP62)*($U$54:AI$54&lt;=TODAY())*(ISNUMBER($U$56:AI$154)),$U$56:AI$154)))</f>
        <v>12258.22</v>
      </c>
      <c r="AS62" s="62" t="str">
        <f t="shared" ref="AS62" si="28">A61</f>
        <v>Redução de custo</v>
      </c>
      <c r="AU62" s="1567"/>
      <c r="AV62" s="1567"/>
    </row>
    <row r="63" spans="1:48" s="721" customFormat="1" ht="29.1" customHeight="1" x14ac:dyDescent="0.3">
      <c r="A63" s="1540" t="s">
        <v>61</v>
      </c>
      <c r="B63" s="1540" t="s">
        <v>101</v>
      </c>
      <c r="C63" s="1542" t="s">
        <v>2168</v>
      </c>
      <c r="D63" s="1557" t="s">
        <v>2169</v>
      </c>
      <c r="E63" s="1542" t="s">
        <v>2170</v>
      </c>
      <c r="F63" s="1362" t="s">
        <v>2171</v>
      </c>
      <c r="G63" s="1364">
        <v>46023</v>
      </c>
      <c r="H63" s="1364">
        <v>46113</v>
      </c>
      <c r="I63" s="1559">
        <v>65000</v>
      </c>
      <c r="J63" s="1447">
        <v>46054</v>
      </c>
      <c r="K63" s="1389">
        <f>IF(J63="", "", 12 - MONTH(J63) + 1)</f>
        <v>11</v>
      </c>
      <c r="L63" s="1456"/>
      <c r="M63" s="1456"/>
      <c r="N63" s="1456"/>
      <c r="O63" s="1549" t="s">
        <v>83</v>
      </c>
      <c r="P63" s="1340" t="s">
        <v>2172</v>
      </c>
      <c r="Q63" s="1329"/>
      <c r="R63" s="1327"/>
      <c r="S63" s="87" t="s">
        <v>116</v>
      </c>
      <c r="T63" s="91">
        <f>[5]Estrutura!$F$13</f>
        <v>0.60501020370755076</v>
      </c>
      <c r="U63" s="547">
        <f>IFERROR(IF(AND(U$54&gt;=EOMONTH($J63,-1)+1,U$54&lt;=EOMONTH(EOMONTH($J63,-1)+1,$K63-1)),IF(NOT(ISBLANK($N63)),$N63/$K63,$I63/$K63),0),0)</f>
        <v>0</v>
      </c>
      <c r="V63" s="547">
        <f>IFERROR(IF(AND(V$54&gt;=EOMONTH($J63,-1)+1,V$54&lt;=EOMONTH(EOMONTH($J63,-1)+1,$K63-1)),IF(NOT(ISBLANK($N63)),$N63/$K63,$I63/$K63),0),0)</f>
        <v>5909.090909090909</v>
      </c>
      <c r="W63" s="547">
        <f>IFERROR(IF(AND(W$54&gt;=EOMONTH($J63,-1)+1,W$54&lt;=EOMONTH(EOMONTH($J63,-1)+1,$K63-1)),IF(NOT(ISBLANK($N63)),$N63/$K63,$I63/$K63),0),0)</f>
        <v>5909.090909090909</v>
      </c>
      <c r="X63" s="958">
        <f t="shared" si="15"/>
        <v>11818.181818181818</v>
      </c>
      <c r="Y63" s="547">
        <f>IFERROR(IF(AND(Y$54&gt;=EOMONTH($J63,-1)+1,Y$54&lt;=EOMONTH(EOMONTH($J63,-1)+1,$K63-1)),IF(NOT(ISBLANK($N63)),$N63/$K63,$I63/$K63),0),0)</f>
        <v>5909.090909090909</v>
      </c>
      <c r="Z63" s="547">
        <f>IFERROR(IF(AND(Z$54&gt;=EOMONTH($J63,-1)+1,Z$54&lt;=EOMONTH(EOMONTH($J63,-1)+1,$K63-1)),IF(NOT(ISBLANK($N63)),$N63/$K63,$I63/$K63),0),0)</f>
        <v>5909.090909090909</v>
      </c>
      <c r="AA63" s="547">
        <f>IFERROR(IF(AND(AA$54&gt;=EOMONTH($J63,-1)+1,AA$54&lt;=EOMONTH(EOMONTH($J63,-1)+1,$K63-1)),IF(NOT(ISBLANK($N63)),$N63/$K63,$I63/$K63),0),0)</f>
        <v>5909.090909090909</v>
      </c>
      <c r="AB63" s="89">
        <f t="shared" si="16"/>
        <v>17727.272727272728</v>
      </c>
      <c r="AC63" s="547">
        <f>IFERROR(IF(AND(AC$54&gt;=EOMONTH($J63,-1)+1,AC$54&lt;=EOMONTH(EOMONTH($J63,-1)+1,$K63-1)),IF(NOT(ISBLANK($N63)),$N63/$K63,$I63/$K63),0),0)</f>
        <v>5909.090909090909</v>
      </c>
      <c r="AD63" s="547">
        <f>IFERROR(IF(AND(AD$54&gt;=EOMONTH($J63,-1)+1,AD$54&lt;=EOMONTH(EOMONTH($J63,-1)+1,$K63-1)),IF(NOT(ISBLANK($N63)),$N63/$K63,$I63/$K63),0),0)</f>
        <v>5909.090909090909</v>
      </c>
      <c r="AE63" s="547">
        <f>IFERROR(IF(AND(AE$54&gt;=EOMONTH($J63,-1)+1,AE$54&lt;=EOMONTH(EOMONTH($J63,-1)+1,$K63-1)),IF(NOT(ISBLANK($N63)),$N63/$K63,$I63/$K63),0),0)</f>
        <v>5909.090909090909</v>
      </c>
      <c r="AF63" s="89">
        <f t="shared" si="17"/>
        <v>17727.272727272728</v>
      </c>
      <c r="AG63" s="547">
        <f>IFERROR(IF(AND(AG$54&gt;=EOMONTH($J63,-1)+1,AG$54&lt;=EOMONTH(EOMONTH($J63,-1)+1,$K63-1)),IF(NOT(ISBLANK($N63)),$N63/$K63,$I63/$K63),0),0)</f>
        <v>5909.090909090909</v>
      </c>
      <c r="AH63" s="547">
        <f>IFERROR(IF(AND(AH$54&gt;=EOMONTH($J63,-1)+1,AH$54&lt;=EOMONTH(EOMONTH($J63,-1)+1,$K63-1)),IF(NOT(ISBLANK($N63)),$N63/$K63,$I63/$K63),0),0)</f>
        <v>5909.090909090909</v>
      </c>
      <c r="AI63" s="547">
        <f>IFERROR(IF(AND(AI$54&gt;=EOMONTH($J63,-1)+1,AI$54&lt;=EOMONTH(EOMONTH($J63,-1)+1,$K63-1)),IF(NOT(ISBLANK($N63)),$N63/$K63,$I63/$K63),0),0)</f>
        <v>5909.090909090909</v>
      </c>
      <c r="AJ63" s="89">
        <f>SUM(AG63:AI63)</f>
        <v>17727.272727272728</v>
      </c>
      <c r="AK63" s="90">
        <f>SUM(X63,AB63,AF63,AJ63)</f>
        <v>65000</v>
      </c>
      <c r="AL63" s="98"/>
      <c r="AM63" s="1370"/>
      <c r="AN63" s="1411"/>
      <c r="AO63" s="1405">
        <f>N63*AN63</f>
        <v>0</v>
      </c>
      <c r="AP63" s="62" t="str">
        <f>C63</f>
        <v>05 - REDUÇÃO DE FRETE</v>
      </c>
      <c r="AQ63" s="62" t="s">
        <v>311</v>
      </c>
      <c r="AR63" s="508" cm="1">
        <f t="array" aca="1" ref="AR63" ca="1">IF(OR(AP63="",AP63=0),"",IF(SUMPRODUCT(($C$55:$C$138=AP63)*(U$54:$AI$54&lt;EOMONTH(TODAY(),-1)+1)*(ISNUMBER(U$55:$AI$138)),U$55:$AI$138)=0,"",SUMPRODUCT(($C$55:$C$138=AP63)*(U$54:$AI$54&lt;EOMONTH(TODAY(),-1)+1)*(ISNUMBER(U$55:$AI$138)),U$55:$AI$138)))</f>
        <v>35454.545454545456</v>
      </c>
      <c r="AS63" s="62" t="str">
        <f t="shared" ref="AS63" si="29">A63</f>
        <v>Kaizen - Custo Evitado</v>
      </c>
      <c r="AU63" s="1566">
        <f t="shared" ref="AU63" si="30">IF(OR(I63="",K63=""),0,(I63/12)*K63)</f>
        <v>59583.333333333336</v>
      </c>
      <c r="AV63" s="1566">
        <f t="shared" ref="AV63" si="31">IF(OR(N63="",K63="",K63=0),0,(N63/K63)*12)</f>
        <v>0</v>
      </c>
    </row>
    <row r="64" spans="1:48" s="721" customFormat="1" ht="29.1" customHeight="1" x14ac:dyDescent="0.3">
      <c r="A64" s="1541"/>
      <c r="B64" s="1541"/>
      <c r="C64" s="1543"/>
      <c r="D64" s="1558"/>
      <c r="E64" s="1543"/>
      <c r="F64" s="1363"/>
      <c r="G64" s="1365"/>
      <c r="H64" s="1365"/>
      <c r="I64" s="1560"/>
      <c r="J64" s="1448"/>
      <c r="K64" s="1390"/>
      <c r="L64" s="1457"/>
      <c r="M64" s="1457"/>
      <c r="N64" s="1457"/>
      <c r="O64" s="1550"/>
      <c r="P64" s="1341"/>
      <c r="Q64" s="1330"/>
      <c r="R64" s="1328"/>
      <c r="S64" s="87" t="s">
        <v>117</v>
      </c>
      <c r="T64" s="91">
        <f>[5]Estrutura!$G$13</f>
        <v>0.64444246208742195</v>
      </c>
      <c r="U64" s="1005"/>
      <c r="V64" s="1005"/>
      <c r="W64" s="1005"/>
      <c r="X64" s="958">
        <f t="shared" si="15"/>
        <v>0</v>
      </c>
      <c r="Y64" s="1005"/>
      <c r="Z64" s="1005"/>
      <c r="AA64" s="1005"/>
      <c r="AB64" s="958">
        <f t="shared" si="16"/>
        <v>0</v>
      </c>
      <c r="AC64" s="1005"/>
      <c r="AD64" s="1005"/>
      <c r="AE64" s="1005"/>
      <c r="AF64" s="958">
        <f t="shared" si="17"/>
        <v>0</v>
      </c>
      <c r="AG64" s="1005"/>
      <c r="AH64" s="1005"/>
      <c r="AI64" s="1005"/>
      <c r="AJ64" s="958">
        <f>SUM(AG64:AI64)</f>
        <v>0</v>
      </c>
      <c r="AK64" s="1007">
        <f>SUM(X64,AB64,AF64,AJ64)</f>
        <v>0</v>
      </c>
      <c r="AL64" s="337"/>
      <c r="AM64" s="1371"/>
      <c r="AN64" s="1412"/>
      <c r="AO64" s="1406"/>
      <c r="AP64" s="62" t="str">
        <f>C63</f>
        <v>05 - REDUÇÃO DE FRETE</v>
      </c>
      <c r="AQ64" s="62" t="s">
        <v>313</v>
      </c>
      <c r="AR64" s="508" t="str" cm="1">
        <f t="array" aca="1" ref="AR64" ca="1">IF(OR(AP64="",AP64=0),"",IF(SUMPRODUCT(($C$55:$C$153=AP64)*($U$54:AI$54&lt;=TODAY())*(ISNUMBER($U$56:AI$154)),$U$56:AI$154)=0,"",SUMPRODUCT(($C$55:$C$153=AP64)*($U$54:AI$54&lt;=TODAY())*(ISNUMBER($U$56:AI$154)),$U$56:AI$154)))</f>
        <v/>
      </c>
      <c r="AS64" s="62" t="str">
        <f t="shared" ref="AS64" si="32">A63</f>
        <v>Kaizen - Custo Evitado</v>
      </c>
      <c r="AU64" s="1567"/>
      <c r="AV64" s="1567"/>
    </row>
    <row r="65" spans="1:48" ht="29.1" customHeight="1" x14ac:dyDescent="0.3">
      <c r="A65" s="1358" t="s">
        <v>61</v>
      </c>
      <c r="B65" s="1358" t="s">
        <v>97</v>
      </c>
      <c r="C65" s="1521" t="s">
        <v>2173</v>
      </c>
      <c r="D65" s="1553" t="s">
        <v>2165</v>
      </c>
      <c r="E65" s="1523" t="s">
        <v>2174</v>
      </c>
      <c r="F65" s="1525" t="s">
        <v>2175</v>
      </c>
      <c r="G65" s="1518">
        <v>46083</v>
      </c>
      <c r="H65" s="1518">
        <v>46234</v>
      </c>
      <c r="I65" s="1520">
        <v>51000</v>
      </c>
      <c r="J65" s="1498">
        <v>46235</v>
      </c>
      <c r="K65" s="1525">
        <f t="shared" ref="K65" si="33">IF(J65="", "", 12 - MONTH(J65) + 1)</f>
        <v>5</v>
      </c>
      <c r="L65" s="1551"/>
      <c r="M65" s="1472"/>
      <c r="N65" s="1472"/>
      <c r="O65" s="1545" t="s">
        <v>83</v>
      </c>
      <c r="P65" s="1344" t="s">
        <v>2176</v>
      </c>
      <c r="Q65" s="1329">
        <v>46235</v>
      </c>
      <c r="R65" s="1334">
        <v>1</v>
      </c>
      <c r="S65" s="93" t="s">
        <v>116</v>
      </c>
      <c r="T65" s="586">
        <f>[6]Estrutura!$F$18</f>
        <v>0.45115282903721365</v>
      </c>
      <c r="U65" s="498">
        <f>IFERROR(IF(AND(U$54&gt;=EOMONTH($J65,-1)+1,U$54&lt;=EOMONTH(EOMONTH($J65,-1)+1,$K65-1)),IF(NOT(ISBLANK($N65)),$N65/$K65,$I65/$K65),0),0)</f>
        <v>0</v>
      </c>
      <c r="V65" s="498">
        <f>IFERROR(IF(AND(V$54&gt;=EOMONTH($J65,-1)+1,V$54&lt;=EOMONTH(EOMONTH($J65,-1)+1,$K65-1)),IF(NOT(ISBLANK($N65)),$N65/$K65,$I65/$K65),0),0)</f>
        <v>0</v>
      </c>
      <c r="W65" s="498">
        <f>IFERROR(IF(AND(W$54&gt;=EOMONTH($J65,-1)+1,W$54&lt;=EOMONTH(EOMONTH($J65,-1)+1,$K65-1)),IF(NOT(ISBLANK($N65)),$N65/$K65,$I65/$K65),0),0)</f>
        <v>0</v>
      </c>
      <c r="X65" s="288">
        <f t="shared" si="15"/>
        <v>0</v>
      </c>
      <c r="Y65" s="498">
        <f>IFERROR(IF(AND(Y$54&gt;=EOMONTH($J65,-1)+1,Y$54&lt;=EOMONTH(EOMONTH($J65,-1)+1,$K65-1)),IF(NOT(ISBLANK($N65)),$N65/$K65,$I65/$K65),0),0)</f>
        <v>0</v>
      </c>
      <c r="Z65" s="498">
        <f>IFERROR(IF(AND(Z$54&gt;=EOMONTH($J65,-1)+1,Z$54&lt;=EOMONTH(EOMONTH($J65,-1)+1,$K65-1)),IF(NOT(ISBLANK($N65)),$N65/$K65,$I65/$K65),0),0)</f>
        <v>0</v>
      </c>
      <c r="AA65" s="498">
        <f>IFERROR(IF(AND(AA$54&gt;=EOMONTH($J65,-1)+1,AA$54&lt;=EOMONTH(EOMONTH($J65,-1)+1,$K65-1)),IF(NOT(ISBLANK($N65)),$N65/$K65,$I65/$K65),0),0)</f>
        <v>0</v>
      </c>
      <c r="AB65" s="89">
        <f t="shared" si="16"/>
        <v>0</v>
      </c>
      <c r="AC65" s="498">
        <f>IFERROR(IF(AND(AC$54&gt;=EOMONTH($J65,-1)+1,AC$54&lt;=EOMONTH(EOMONTH($J65,-1)+1,$K65-1)),IF(NOT(ISBLANK($N65)),$N65/$K65,$I65/$K65),0),0)</f>
        <v>0</v>
      </c>
      <c r="AD65" s="498">
        <f>IFERROR(IF(AND(AD$54&gt;=EOMONTH($J65,-1)+1,AD$54&lt;=EOMONTH(EOMONTH($J65,-1)+1,$K65-1)),IF(NOT(ISBLANK($N65)),$N65/$K65,$I65/$K65),0),0)</f>
        <v>10200</v>
      </c>
      <c r="AE65" s="498">
        <f>IFERROR(IF(AND(AE$54&gt;=EOMONTH($J65,-1)+1,AE$54&lt;=EOMONTH(EOMONTH($J65,-1)+1,$K65-1)),IF(NOT(ISBLANK($N65)),$N65/$K65,$I65/$K65),0),0)</f>
        <v>10200</v>
      </c>
      <c r="AF65" s="89">
        <f t="shared" si="17"/>
        <v>20400</v>
      </c>
      <c r="AG65" s="498">
        <f>IFERROR(IF(AND(AG$54&gt;=EOMONTH($J65,-1)+1,AG$54&lt;=EOMONTH(EOMONTH($J65,-1)+1,$K65-1)),IF(NOT(ISBLANK($N65)),$N65/$K65,$I65/$K65),0),0)</f>
        <v>10200</v>
      </c>
      <c r="AH65" s="498">
        <f>IFERROR(IF(AND(AH$54&gt;=EOMONTH($J65,-1)+1,AH$54&lt;=EOMONTH(EOMONTH($J65,-1)+1,$K65-1)),IF(NOT(ISBLANK($N65)),$N65/$K65,$I65/$K65),0),0)</f>
        <v>10200</v>
      </c>
      <c r="AI65" s="498">
        <f>IFERROR(IF(AND(AI$54&gt;=EOMONTH($J65,-1)+1,AI$54&lt;=EOMONTH(EOMONTH($J65,-1)+1,$K65-1)),IF(NOT(ISBLANK($N65)),$N65/$K65,$I65/$K65),0),0)</f>
        <v>10200</v>
      </c>
      <c r="AJ65" s="89">
        <f t="shared" si="18"/>
        <v>30600</v>
      </c>
      <c r="AK65" s="95">
        <f t="shared" si="22"/>
        <v>51000</v>
      </c>
      <c r="AL65" s="97"/>
      <c r="AM65" s="1407"/>
      <c r="AN65" s="1334"/>
      <c r="AO65" s="1403">
        <f>N65*AN65</f>
        <v>0</v>
      </c>
      <c r="AP65" s="62" t="str">
        <f>C65</f>
        <v>06 - CONSUMO DE TINTA PÓ</v>
      </c>
      <c r="AQ65" s="62" t="s">
        <v>311</v>
      </c>
      <c r="AR65" s="508" t="str" cm="1">
        <f t="array" aca="1" ref="AR65" ca="1">IF(OR(AP65="",AP65=0),"",IF(SUMPRODUCT(($C$55:$C$138=AP65)*(U$54:$AI$54&lt;EOMONTH(TODAY(),-1)+1)*(ISNUMBER(U$55:$AI$138)),U$55:$AI$138)=0,"",SUMPRODUCT(($C$55:$C$138=AP65)*(U$54:$AI$54&lt;EOMONTH(TODAY(),-1)+1)*(ISNUMBER(U$55:$AI$138)),U$55:$AI$138)))</f>
        <v/>
      </c>
      <c r="AS65" s="62" t="str">
        <f t="shared" ref="AS65" si="34">A65</f>
        <v>Kaizen - Custo Evitado</v>
      </c>
      <c r="AU65" s="1566">
        <f t="shared" ref="AU65" si="35">IF(OR(I65="",K65=""),0,(I65/12)*K65)</f>
        <v>21250</v>
      </c>
      <c r="AV65" s="1566">
        <f t="shared" ref="AV65" si="36">IF(OR(N65="",K65="",K65=0),0,(N65/K65)*12)</f>
        <v>0</v>
      </c>
    </row>
    <row r="66" spans="1:48" ht="45.75" customHeight="1" x14ac:dyDescent="0.3">
      <c r="A66" s="1359"/>
      <c r="B66" s="1359"/>
      <c r="C66" s="1522"/>
      <c r="D66" s="1554"/>
      <c r="E66" s="1524"/>
      <c r="F66" s="1526"/>
      <c r="G66" s="1519"/>
      <c r="H66" s="1519"/>
      <c r="I66" s="1519"/>
      <c r="J66" s="1499"/>
      <c r="K66" s="1526"/>
      <c r="L66" s="1552"/>
      <c r="M66" s="1473"/>
      <c r="N66" s="1473"/>
      <c r="O66" s="1546"/>
      <c r="P66" s="1345"/>
      <c r="Q66" s="1544"/>
      <c r="R66" s="1330"/>
      <c r="S66" s="93" t="s">
        <v>117</v>
      </c>
      <c r="T66" s="586">
        <f>[6]Estrutura!$G$18</f>
        <v>0.49946323529411762</v>
      </c>
      <c r="U66" s="290"/>
      <c r="V66" s="290"/>
      <c r="W66" s="587"/>
      <c r="X66" s="288">
        <f t="shared" si="15"/>
        <v>0</v>
      </c>
      <c r="Y66" s="290"/>
      <c r="Z66" s="290"/>
      <c r="AA66" s="290"/>
      <c r="AB66" s="288">
        <f t="shared" si="16"/>
        <v>0</v>
      </c>
      <c r="AC66" s="290"/>
      <c r="AD66" s="290"/>
      <c r="AE66" s="290"/>
      <c r="AF66" s="288">
        <f t="shared" si="17"/>
        <v>0</v>
      </c>
      <c r="AG66" s="290"/>
      <c r="AH66" s="290"/>
      <c r="AI66" s="290"/>
      <c r="AJ66" s="288">
        <f t="shared" si="18"/>
        <v>0</v>
      </c>
      <c r="AK66" s="291">
        <f t="shared" si="22"/>
        <v>0</v>
      </c>
      <c r="AL66" s="97"/>
      <c r="AM66" s="1408"/>
      <c r="AN66" s="1330"/>
      <c r="AO66" s="1404"/>
      <c r="AP66" s="62" t="str">
        <f>C65</f>
        <v>06 - CONSUMO DE TINTA PÓ</v>
      </c>
      <c r="AQ66" s="62" t="s">
        <v>313</v>
      </c>
      <c r="AR66" s="508" t="str" cm="1">
        <f t="array" aca="1" ref="AR66" ca="1">IF(OR(AP66="",AP66=0),"",IF(SUMPRODUCT(($C$55:$C$153=AP66)*($U$54:AI$54&lt;=TODAY())*(ISNUMBER($U$56:AI$154)),$U$56:AI$154)=0,"",SUMPRODUCT(($C$55:$C$153=AP66)*($U$54:AI$54&lt;=TODAY())*(ISNUMBER($U$56:AI$154)),$U$56:AI$154)))</f>
        <v/>
      </c>
      <c r="AS66" s="62" t="str">
        <f t="shared" ref="AS66" si="37">A65</f>
        <v>Kaizen - Custo Evitado</v>
      </c>
      <c r="AU66" s="1567"/>
      <c r="AV66" s="1567"/>
    </row>
    <row r="67" spans="1:48" ht="29.1" customHeight="1" x14ac:dyDescent="0.3">
      <c r="A67" s="1380" t="s">
        <v>953</v>
      </c>
      <c r="B67" s="1380" t="s">
        <v>99</v>
      </c>
      <c r="C67" s="1368" t="s">
        <v>2177</v>
      </c>
      <c r="D67" s="1486" t="s">
        <v>2178</v>
      </c>
      <c r="E67" s="1368" t="s">
        <v>2179</v>
      </c>
      <c r="F67" s="1370" t="s">
        <v>2180</v>
      </c>
      <c r="G67" s="1372">
        <v>46054</v>
      </c>
      <c r="H67" s="1372">
        <v>46204</v>
      </c>
      <c r="I67" s="1527">
        <v>32000</v>
      </c>
      <c r="J67" s="1376">
        <v>46082</v>
      </c>
      <c r="K67" s="1389">
        <f t="shared" ref="K67" si="38">IF(J67="", "", 12 - MONTH(J67) + 1)</f>
        <v>10</v>
      </c>
      <c r="L67" s="1354" t="s">
        <v>2181</v>
      </c>
      <c r="M67" s="1350" t="s">
        <v>308</v>
      </c>
      <c r="N67" s="1474">
        <v>29569.93</v>
      </c>
      <c r="O67" s="1327" t="s">
        <v>81</v>
      </c>
      <c r="P67" s="1340"/>
      <c r="Q67" s="1327"/>
      <c r="R67" s="1327"/>
      <c r="S67" s="87" t="s">
        <v>116</v>
      </c>
      <c r="T67" s="586">
        <f>[7]Estrutura!$F$11</f>
        <v>1</v>
      </c>
      <c r="U67" s="287">
        <f>IFERROR(IF(AND(U$54&gt;=EOMONTH($J67,-1)+1,U$54&lt;=EOMONTH(EOMONTH($J67,-1)+1,$K67-1)),IF(NOT(ISBLANK($N67)),$N67/$K67,$I67/$K67),0),0)</f>
        <v>0</v>
      </c>
      <c r="V67" s="287">
        <f>IFERROR(IF(AND(V$54&gt;=EOMONTH($J67,-1)+1,V$54&lt;=EOMONTH(EOMONTH($J67,-1)+1,$K67-1)),IF(NOT(ISBLANK($N67)),$N67/$K67,$I67/$K67),0),0)</f>
        <v>0</v>
      </c>
      <c r="W67" s="547">
        <f>IFERROR(IF(AND(W$54&gt;=EOMONTH($J67,-1)+1,W$54&lt;=EOMONTH(EOMONTH($J67,-1)+1,$K67-1)),IF(NOT(ISBLANK($N67)),$N67/$K67,$I67/$K67),0),0)</f>
        <v>2956.9929999999999</v>
      </c>
      <c r="X67" s="288">
        <f t="shared" si="15"/>
        <v>2956.9929999999999</v>
      </c>
      <c r="Y67" s="547">
        <f>IFERROR(IF(AND(Y$54&gt;=EOMONTH($J67,-1)+1,Y$54&lt;=EOMONTH(EOMONTH($J67,-1)+1,$K67-1)),IF(NOT(ISBLANK($N67)),$N67/$K67,$I67/$K67),0),0)</f>
        <v>2956.9929999999999</v>
      </c>
      <c r="Z67" s="287">
        <f>IFERROR(IF(AND(Z$54&gt;=EOMONTH($J67,-1)+1,Z$54&lt;=EOMONTH(EOMONTH($J67,-1)+1,$K67-1)),IF(NOT(ISBLANK($N67)),$N67/$K67,$I67/$K67),0),0)</f>
        <v>2956.9929999999999</v>
      </c>
      <c r="AA67" s="287">
        <f>IFERROR(IF(AND(AA$54&gt;=EOMONTH($J67,-1)+1,AA$54&lt;=EOMONTH(EOMONTH($J67,-1)+1,$K67-1)),IF(NOT(ISBLANK($N67)),$N67/$K67,$I67/$K67),0),0)</f>
        <v>2956.9929999999999</v>
      </c>
      <c r="AB67" s="89">
        <f t="shared" si="16"/>
        <v>8870.9789999999994</v>
      </c>
      <c r="AC67" s="287">
        <f>IFERROR(IF(AND(AC$54&gt;=EOMONTH($J67,-1)+1,AC$54&lt;=EOMONTH(EOMONTH($J67,-1)+1,$K67-1)),IF(NOT(ISBLANK($N67)),$N67/$K67,$I67/$K67),0),0)</f>
        <v>2956.9929999999999</v>
      </c>
      <c r="AD67" s="287">
        <f>IFERROR(IF(AND(AD$54&gt;=EOMONTH($J67,-1)+1,AD$54&lt;=EOMONTH(EOMONTH($J67,-1)+1,$K67-1)),IF(NOT(ISBLANK($N67)),$N67/$K67,$I67/$K67),0),0)</f>
        <v>2956.9929999999999</v>
      </c>
      <c r="AE67" s="287">
        <f>IFERROR(IF(AND(AE$54&gt;=EOMONTH($J67,-1)+1,AE$54&lt;=EOMONTH(EOMONTH($J67,-1)+1,$K67-1)),IF(NOT(ISBLANK($N67)),$N67/$K67,$I67/$K67),0),0)</f>
        <v>2956.9929999999999</v>
      </c>
      <c r="AF67" s="89">
        <f t="shared" si="17"/>
        <v>8870.9789999999994</v>
      </c>
      <c r="AG67" s="287">
        <f>IFERROR(IF(AND(AG$54&gt;=EOMONTH($J67,-1)+1,AG$54&lt;=EOMONTH(EOMONTH($J67,-1)+1,$K67-1)),IF(NOT(ISBLANK($N67)),$N67/$K67,$I67/$K67),0),0)</f>
        <v>2956.9929999999999</v>
      </c>
      <c r="AH67" s="287">
        <f>IFERROR(IF(AND(AH$54&gt;=EOMONTH($J67,-1)+1,AH$54&lt;=EOMONTH(EOMONTH($J67,-1)+1,$K67-1)),IF(NOT(ISBLANK($N67)),$N67/$K67,$I67/$K67),0),0)</f>
        <v>2956.9929999999999</v>
      </c>
      <c r="AI67" s="287">
        <f>IFERROR(IF(AND(AI$54&gt;=EOMONTH($J67,-1)+1,AI$54&lt;=EOMONTH(EOMONTH($J67,-1)+1,$K67-1)),IF(NOT(ISBLANK($N67)),$N67/$K67,$I67/$K67),0),0)</f>
        <v>2956.9929999999999</v>
      </c>
      <c r="AJ67" s="89">
        <f t="shared" ref="AJ67:AJ72" si="39">SUM(AG67:AI67)</f>
        <v>8870.9789999999994</v>
      </c>
      <c r="AK67" s="90">
        <f t="shared" ref="AK67:AK72" si="40">SUM(X67,AB67,AF67,AJ67)</f>
        <v>29569.93</v>
      </c>
      <c r="AL67" s="98"/>
      <c r="AM67" s="1370"/>
      <c r="AN67" s="1411"/>
      <c r="AO67" s="1405">
        <f>N67*AN67</f>
        <v>0</v>
      </c>
      <c r="AP67" s="62" t="str">
        <f>C67</f>
        <v>07 - CONSUMO DE EPI e SERVIÇOS</v>
      </c>
      <c r="AQ67" s="62" t="s">
        <v>311</v>
      </c>
      <c r="AR67" s="508" cm="1">
        <f t="array" aca="1" ref="AR67" ca="1">IF(OR(AP67="",AP67=0),"",IF(SUMPRODUCT(($C$55:$C$138=AP67)*(U$54:$AI$54&lt;EOMONTH(TODAY(),-1)+1)*(ISNUMBER(U$55:$AI$138)),U$55:$AI$138)=0,"",SUMPRODUCT(($C$55:$C$138=AP67)*(U$54:$AI$54&lt;EOMONTH(TODAY(),-1)+1)*(ISNUMBER(U$55:$AI$138)),U$55:$AI$138)))</f>
        <v>14784.965</v>
      </c>
      <c r="AS67" s="62" t="str">
        <f t="shared" ref="AS67" si="41">A67</f>
        <v>Redução de custo</v>
      </c>
      <c r="AU67" s="1566">
        <f t="shared" ref="AU67" si="42">IF(OR(I67="",K67=""),0,(I67/12)*K67)</f>
        <v>26666.666666666664</v>
      </c>
      <c r="AV67" s="1566">
        <f t="shared" ref="AV67" si="43">IF(OR(N67="",K67="",K67=0),0,(N67/K67)*12)</f>
        <v>35483.915999999997</v>
      </c>
    </row>
    <row r="68" spans="1:48" ht="29.1" customHeight="1" x14ac:dyDescent="0.3">
      <c r="A68" s="1381"/>
      <c r="B68" s="1381"/>
      <c r="C68" s="1369"/>
      <c r="D68" s="1510"/>
      <c r="E68" s="1369"/>
      <c r="F68" s="1371"/>
      <c r="G68" s="1373"/>
      <c r="H68" s="1373"/>
      <c r="I68" s="1528"/>
      <c r="J68" s="1377"/>
      <c r="K68" s="1390"/>
      <c r="L68" s="1355"/>
      <c r="M68" s="1460"/>
      <c r="N68" s="1475"/>
      <c r="O68" s="1328"/>
      <c r="P68" s="1341"/>
      <c r="Q68" s="1328"/>
      <c r="R68" s="1328"/>
      <c r="S68" s="87" t="s">
        <v>117</v>
      </c>
      <c r="T68" s="586">
        <f>[7]Estrutura!$G$11</f>
        <v>1</v>
      </c>
      <c r="U68" s="287"/>
      <c r="V68" s="287"/>
      <c r="W68" s="547">
        <v>5483.2257453259226</v>
      </c>
      <c r="X68" s="288">
        <f t="shared" si="15"/>
        <v>5483.2257453259226</v>
      </c>
      <c r="Y68" s="287">
        <v>5835.1794290045482</v>
      </c>
      <c r="Z68" s="527">
        <v>-7710.98</v>
      </c>
      <c r="AA68" s="547">
        <v>2381.38</v>
      </c>
      <c r="AB68" s="288">
        <f t="shared" si="16"/>
        <v>505.57942900454873</v>
      </c>
      <c r="AC68" s="1022">
        <v>-5103.6769999999997</v>
      </c>
      <c r="AD68" s="287"/>
      <c r="AE68" s="287"/>
      <c r="AF68" s="288">
        <f t="shared" si="17"/>
        <v>-5103.6769999999997</v>
      </c>
      <c r="AG68" s="287"/>
      <c r="AH68" s="287"/>
      <c r="AI68" s="287"/>
      <c r="AJ68" s="288">
        <f t="shared" si="39"/>
        <v>0</v>
      </c>
      <c r="AK68" s="289">
        <f t="shared" si="40"/>
        <v>885.12817433047167</v>
      </c>
      <c r="AL68" s="337"/>
      <c r="AM68" s="1371"/>
      <c r="AN68" s="1412"/>
      <c r="AO68" s="1406"/>
      <c r="AP68" s="62" t="str">
        <f>C67</f>
        <v>07 - CONSUMO DE EPI e SERVIÇOS</v>
      </c>
      <c r="AQ68" s="62" t="s">
        <v>313</v>
      </c>
      <c r="AR68" s="508" cm="1">
        <f t="array" aca="1" ref="AR68" ca="1">IF(OR(AP68="",AP68=0),"",IF(SUMPRODUCT(($C$55:$C$153=AP68)*($U$54:AI$54&lt;=TODAY())*(ISNUMBER($U$56:AI$154)),$U$56:AI$154)=0,"",SUMPRODUCT(($C$55:$C$153=AP68)*($U$54:AI$54&lt;=TODAY())*(ISNUMBER($U$56:AI$154)),$U$56:AI$154)))</f>
        <v>885.12817433047076</v>
      </c>
      <c r="AS68" s="62" t="str">
        <f t="shared" ref="AS68" si="44">A67</f>
        <v>Redução de custo</v>
      </c>
      <c r="AU68" s="1567"/>
      <c r="AV68" s="1567"/>
    </row>
    <row r="69" spans="1:48" ht="39.6" customHeight="1" x14ac:dyDescent="0.3">
      <c r="A69" s="1358" t="s">
        <v>61</v>
      </c>
      <c r="B69" s="1358" t="s">
        <v>97</v>
      </c>
      <c r="C69" s="1521" t="s">
        <v>2182</v>
      </c>
      <c r="D69" s="1356" t="s">
        <v>2183</v>
      </c>
      <c r="E69" s="1521" t="s">
        <v>2184</v>
      </c>
      <c r="F69" s="1480" t="s">
        <v>2185</v>
      </c>
      <c r="G69" s="1518">
        <v>46054</v>
      </c>
      <c r="H69" s="1518">
        <v>46113</v>
      </c>
      <c r="I69" s="1520">
        <v>25000</v>
      </c>
      <c r="J69" s="1498">
        <v>46113</v>
      </c>
      <c r="K69" s="1502">
        <f>IF(J69="", "", 12 - MONTH(J69) + 1)</f>
        <v>9</v>
      </c>
      <c r="L69" s="1555"/>
      <c r="M69" s="1476"/>
      <c r="N69" s="1561"/>
      <c r="O69" s="1549" t="s">
        <v>83</v>
      </c>
      <c r="P69" s="1340" t="s">
        <v>2172</v>
      </c>
      <c r="Q69" s="1329"/>
      <c r="R69" s="1334"/>
      <c r="S69" s="93" t="s">
        <v>116</v>
      </c>
      <c r="T69" s="96">
        <f>[8]Estrutura!$F$13</f>
        <v>0.28999999999999998</v>
      </c>
      <c r="U69" s="715">
        <f>IFERROR(IF(AND(U$54&gt;=EOMONTH($J69,-1)+1,U$54&lt;=EOMONTH(EOMONTH($J69,-1)+1,$K69-1)),IF(NOT(ISBLANK($N69)),$N69/$K69,$I69/$K69),0),0)</f>
        <v>0</v>
      </c>
      <c r="V69" s="715">
        <f>IFERROR(IF(AND(V$54&gt;=EOMONTH($J69,-1)+1,V$54&lt;=EOMONTH(EOMONTH($J69,-1)+1,$K69-1)),IF(NOT(ISBLANK($N69)),$N69/$K69,$I69/$K69),0),0)</f>
        <v>0</v>
      </c>
      <c r="W69" s="967">
        <f>IFERROR(IF(AND(W$54&gt;=EOMONTH($J69,-1)+1,W$54&lt;=EOMONTH(EOMONTH($J69,-1)+1,$K69-1)),IF(NOT(ISBLANK($N69)),$N69/$K69,$I69/$K69),0),0)</f>
        <v>0</v>
      </c>
      <c r="X69" s="288">
        <f t="shared" si="15"/>
        <v>0</v>
      </c>
      <c r="Y69" s="967">
        <f>IFERROR(IF(AND(Y$54&gt;=EOMONTH($J69,-1)+1,Y$54&lt;=EOMONTH(EOMONTH($J69,-1)+1,$K69-1)),IF(NOT(ISBLANK($N69)),$N69/$K69,$I69/$K69),0),0)</f>
        <v>2777.7777777777778</v>
      </c>
      <c r="Z69" s="715">
        <f>IFERROR(IF(AND(Z$54&gt;=EOMONTH($J69,-1)+1,Z$54&lt;=EOMONTH(EOMONTH($J69,-1)+1,$K69-1)),IF(NOT(ISBLANK($N69)),$N69/$K69,$I69/$K69),0),0)</f>
        <v>2777.7777777777778</v>
      </c>
      <c r="AA69" s="715">
        <f>IFERROR(IF(AND(AA$54&gt;=EOMONTH($J69,-1)+1,AA$54&lt;=EOMONTH(EOMONTH($J69,-1)+1,$K69-1)),IF(NOT(ISBLANK($N69)),$N69/$K69,$I69/$K69),0),0)</f>
        <v>2777.7777777777778</v>
      </c>
      <c r="AB69" s="89">
        <f t="shared" si="16"/>
        <v>8333.3333333333339</v>
      </c>
      <c r="AC69" s="715">
        <f>IFERROR(IF(AND(AC$54&gt;=EOMONTH($J69,-1)+1,AC$54&lt;=EOMONTH(EOMONTH($J69,-1)+1,$K69-1)),IF(NOT(ISBLANK($N69)),$N69/$K69,$I69/$K69),0),0)</f>
        <v>2777.7777777777778</v>
      </c>
      <c r="AD69" s="715">
        <f>IFERROR(IF(AND(AD$54&gt;=EOMONTH($J69,-1)+1,AD$54&lt;=EOMONTH(EOMONTH($J69,-1)+1,$K69-1)),IF(NOT(ISBLANK($N69)),$N69/$K69,$I69/$K69),0),0)</f>
        <v>2777.7777777777778</v>
      </c>
      <c r="AE69" s="715">
        <f>IFERROR(IF(AND(AE$54&gt;=EOMONTH($J69,-1)+1,AE$54&lt;=EOMONTH(EOMONTH($J69,-1)+1,$K69-1)),IF(NOT(ISBLANK($N69)),$N69/$K69,$I69/$K69),0),0)</f>
        <v>2777.7777777777778</v>
      </c>
      <c r="AF69" s="89">
        <f t="shared" si="17"/>
        <v>8333.3333333333339</v>
      </c>
      <c r="AG69" s="715">
        <f>IFERROR(IF(AND(AG$54&gt;=EOMONTH($J69,-1)+1,AG$54&lt;=EOMONTH(EOMONTH($J69,-1)+1,$K69-1)),IF(NOT(ISBLANK($N69)),$N69/$K69,$I69/$K69),0),0)</f>
        <v>2777.7777777777778</v>
      </c>
      <c r="AH69" s="715">
        <f>IFERROR(IF(AND(AH$54&gt;=EOMONTH($J69,-1)+1,AH$54&lt;=EOMONTH(EOMONTH($J69,-1)+1,$K69-1)),IF(NOT(ISBLANK($N69)),$N69/$K69,$I69/$K69),0),0)</f>
        <v>2777.7777777777778</v>
      </c>
      <c r="AI69" s="715">
        <f>IFERROR(IF(AND(AI$54&gt;=EOMONTH($J69,-1)+1,AI$54&lt;=EOMONTH(EOMONTH($J69,-1)+1,$K69-1)),IF(NOT(ISBLANK($N69)),$N69/$K69,$I69/$K69),0),0)</f>
        <v>2777.7777777777778</v>
      </c>
      <c r="AJ69" s="89">
        <f t="shared" si="39"/>
        <v>8333.3333333333339</v>
      </c>
      <c r="AK69" s="95">
        <f t="shared" si="40"/>
        <v>25000</v>
      </c>
      <c r="AL69" s="97"/>
      <c r="AM69" s="1407"/>
      <c r="AN69" s="1334"/>
      <c r="AO69" s="1403">
        <f>N69*AN69</f>
        <v>0</v>
      </c>
      <c r="AP69" s="62" t="str">
        <f>C69</f>
        <v>08- ÁGUA</v>
      </c>
      <c r="AQ69" s="62" t="s">
        <v>311</v>
      </c>
      <c r="AR69" s="508" cm="1">
        <f t="array" aca="1" ref="AR69" ca="1">IF(OR(AP69="",AP69=0),"",IF(SUMPRODUCT(($C$55:$C$138=AP69)*(U$54:$AI$54&lt;EOMONTH(TODAY(),-1)+1)*(ISNUMBER(U$55:$AI$138)),U$55:$AI$138)=0,"",SUMPRODUCT(($C$55:$C$138=AP69)*(U$54:$AI$54&lt;EOMONTH(TODAY(),-1)+1)*(ISNUMBER(U$55:$AI$138)),U$55:$AI$138)))</f>
        <v>11111.111111111111</v>
      </c>
      <c r="AS69" s="62" t="str">
        <f t="shared" ref="AS69" si="45">A69</f>
        <v>Kaizen - Custo Evitado</v>
      </c>
      <c r="AU69" s="1566">
        <f t="shared" ref="AU69" si="46">IF(OR(I69="",K69=""),0,(I69/12)*K69)</f>
        <v>18750</v>
      </c>
      <c r="AV69" s="1566">
        <f t="shared" ref="AV69" si="47">IF(OR(N69="",K69="",K69=0),0,(N69/K69)*12)</f>
        <v>0</v>
      </c>
    </row>
    <row r="70" spans="1:48" ht="34.35" customHeight="1" x14ac:dyDescent="0.3">
      <c r="A70" s="1359"/>
      <c r="B70" s="1359"/>
      <c r="C70" s="1522"/>
      <c r="D70" s="1357"/>
      <c r="E70" s="1522"/>
      <c r="F70" s="1481"/>
      <c r="G70" s="1519"/>
      <c r="H70" s="1519"/>
      <c r="I70" s="1519"/>
      <c r="J70" s="1499"/>
      <c r="K70" s="1503"/>
      <c r="L70" s="1556"/>
      <c r="M70" s="1477"/>
      <c r="N70" s="1562"/>
      <c r="O70" s="1550"/>
      <c r="P70" s="1341"/>
      <c r="Q70" s="1330"/>
      <c r="R70" s="1330"/>
      <c r="S70" s="93" t="s">
        <v>117</v>
      </c>
      <c r="T70" s="96">
        <f>[8]Estrutura!$G$13</f>
        <v>0.68</v>
      </c>
      <c r="U70" s="1005"/>
      <c r="V70" s="1005"/>
      <c r="W70" s="1005"/>
      <c r="X70" s="288">
        <f t="shared" si="15"/>
        <v>0</v>
      </c>
      <c r="Y70" s="1005"/>
      <c r="Z70" s="1005"/>
      <c r="AA70" s="1005"/>
      <c r="AB70" s="288">
        <f t="shared" si="16"/>
        <v>0</v>
      </c>
      <c r="AC70" s="1005"/>
      <c r="AD70" s="1005"/>
      <c r="AE70" s="1005"/>
      <c r="AF70" s="288">
        <f t="shared" si="17"/>
        <v>0</v>
      </c>
      <c r="AG70" s="1005"/>
      <c r="AH70" s="1005"/>
      <c r="AI70" s="1005"/>
      <c r="AJ70" s="288">
        <f t="shared" si="39"/>
        <v>0</v>
      </c>
      <c r="AK70" s="1007">
        <f t="shared" si="40"/>
        <v>0</v>
      </c>
      <c r="AL70" s="97"/>
      <c r="AM70" s="1408"/>
      <c r="AN70" s="1330"/>
      <c r="AO70" s="1404"/>
      <c r="AP70" s="62" t="str">
        <f>C69</f>
        <v>08- ÁGUA</v>
      </c>
      <c r="AQ70" s="62" t="s">
        <v>313</v>
      </c>
      <c r="AR70" s="508" t="str" cm="1">
        <f t="array" aca="1" ref="AR70" ca="1">IF(OR(AP70="",AP70=0),"",IF(SUMPRODUCT(($C$55:$C$153=AP70)*($U$54:AI$54&lt;=TODAY())*(ISNUMBER($U$56:AI$154)),$U$56:AI$154)=0,"",SUMPRODUCT(($C$55:$C$153=AP70)*($U$54:AI$54&lt;=TODAY())*(ISNUMBER($U$56:AI$154)),$U$56:AI$154)))</f>
        <v/>
      </c>
      <c r="AS70" s="62" t="str">
        <f t="shared" ref="AS70" si="48">A69</f>
        <v>Kaizen - Custo Evitado</v>
      </c>
      <c r="AU70" s="1567"/>
      <c r="AV70" s="1567"/>
    </row>
    <row r="71" spans="1:48" ht="29.1" customHeight="1" x14ac:dyDescent="0.3">
      <c r="A71" s="1540" t="s">
        <v>61</v>
      </c>
      <c r="B71" s="1540" t="s">
        <v>97</v>
      </c>
      <c r="C71" s="1542" t="s">
        <v>2186</v>
      </c>
      <c r="D71" s="1486" t="s">
        <v>2187</v>
      </c>
      <c r="E71" s="1542" t="s">
        <v>2188</v>
      </c>
      <c r="F71" s="1362" t="s">
        <v>2185</v>
      </c>
      <c r="G71" s="1364">
        <v>46054</v>
      </c>
      <c r="H71" s="1364">
        <v>46204</v>
      </c>
      <c r="I71" s="1559">
        <v>25000</v>
      </c>
      <c r="J71" s="1447">
        <v>46113</v>
      </c>
      <c r="K71" s="1387">
        <f>IF(J71="", "", 12 - MONTH(J71) + 1)</f>
        <v>9</v>
      </c>
      <c r="L71" s="1456"/>
      <c r="M71" s="1456"/>
      <c r="N71" s="1456"/>
      <c r="O71" s="1549" t="s">
        <v>83</v>
      </c>
      <c r="P71" s="1340" t="s">
        <v>2172</v>
      </c>
      <c r="Q71" s="1329"/>
      <c r="R71" s="1327"/>
      <c r="S71" s="87" t="s">
        <v>116</v>
      </c>
      <c r="T71" s="91">
        <f>[9]Estrutura!$F$14</f>
        <v>0.56355594753559757</v>
      </c>
      <c r="U71" s="287">
        <f>IFERROR(IF(AND(U$54&gt;=EOMONTH($J71,-1)+1,U$54&lt;=EOMONTH(EOMONTH($J71,-1)+1,$K71-1)),IF(NOT(ISBLANK($N71)),$N71/$K71,$I71/$K71),0),0)</f>
        <v>0</v>
      </c>
      <c r="V71" s="287">
        <f>IFERROR(IF(AND(V$54&gt;=EOMONTH($J71,-1)+1,V$54&lt;=EOMONTH(EOMONTH($J71,-1)+1,$K71-1)),IF(NOT(ISBLANK($N71)),$N71/$K71,$I71/$K71),0),0)</f>
        <v>0</v>
      </c>
      <c r="W71" s="547">
        <f>IFERROR(IF(AND(W$54&gt;=EOMONTH($J71,-1)+1,W$54&lt;=EOMONTH(EOMONTH($J71,-1)+1,$K71-1)),IF(NOT(ISBLANK($N71)),$N71/$K71,$I71/$K71),0),0)</f>
        <v>0</v>
      </c>
      <c r="X71" s="288">
        <f t="shared" si="15"/>
        <v>0</v>
      </c>
      <c r="Y71" s="547">
        <f>IFERROR(IF(AND(Y$54&gt;=EOMONTH($J71,-1)+1,Y$54&lt;=EOMONTH(EOMONTH($J71,-1)+1,$K71-1)),IF(NOT(ISBLANK($N71)),$N71/$K71,$I71/$K71),0),0)</f>
        <v>2777.7777777777778</v>
      </c>
      <c r="Z71" s="287">
        <f>IFERROR(IF(AND(Z$54&gt;=EOMONTH($J71,-1)+1,Z$54&lt;=EOMONTH(EOMONTH($J71,-1)+1,$K71-1)),IF(NOT(ISBLANK($N71)),$N71/$K71,$I71/$K71),0),0)</f>
        <v>2777.7777777777778</v>
      </c>
      <c r="AA71" s="287">
        <f>IFERROR(IF(AND(AA$54&gt;=EOMONTH($J71,-1)+1,AA$54&lt;=EOMONTH(EOMONTH($J71,-1)+1,$K71-1)),IF(NOT(ISBLANK($N71)),$N71/$K71,$I71/$K71),0),0)</f>
        <v>2777.7777777777778</v>
      </c>
      <c r="AB71" s="89">
        <f t="shared" si="16"/>
        <v>8333.3333333333339</v>
      </c>
      <c r="AC71" s="287">
        <f>IFERROR(IF(AND(AC$54&gt;=EOMONTH($J71,-1)+1,AC$54&lt;=EOMONTH(EOMONTH($J71,-1)+1,$K71-1)),IF(NOT(ISBLANK($N71)),$N71/$K71,$I71/$K71),0),0)</f>
        <v>2777.7777777777778</v>
      </c>
      <c r="AD71" s="287">
        <f>IFERROR(IF(AND(AD$54&gt;=EOMONTH($J71,-1)+1,AD$54&lt;=EOMONTH(EOMONTH($J71,-1)+1,$K71-1)),IF(NOT(ISBLANK($N71)),$N71/$K71,$I71/$K71),0),0)</f>
        <v>2777.7777777777778</v>
      </c>
      <c r="AE71" s="287">
        <f>IFERROR(IF(AND(AE$54&gt;=EOMONTH($J71,-1)+1,AE$54&lt;=EOMONTH(EOMONTH($J71,-1)+1,$K71-1)),IF(NOT(ISBLANK($N71)),$N71/$K71,$I71/$K71),0),0)</f>
        <v>2777.7777777777778</v>
      </c>
      <c r="AF71" s="89">
        <f t="shared" si="17"/>
        <v>8333.3333333333339</v>
      </c>
      <c r="AG71" s="287">
        <f>IFERROR(IF(AND(AG$54&gt;=EOMONTH($J71,-1)+1,AG$54&lt;=EOMONTH(EOMONTH($J71,-1)+1,$K71-1)),IF(NOT(ISBLANK($N71)),$N71/$K71,$I71/$K71),0),0)</f>
        <v>2777.7777777777778</v>
      </c>
      <c r="AH71" s="287">
        <f>IFERROR(IF(AND(AH$54&gt;=EOMONTH($J71,-1)+1,AH$54&lt;=EOMONTH(EOMONTH($J71,-1)+1,$K71-1)),IF(NOT(ISBLANK($N71)),$N71/$K71,$I71/$K71),0),0)</f>
        <v>2777.7777777777778</v>
      </c>
      <c r="AI71" s="287">
        <f>IFERROR(IF(AND(AI$54&gt;=EOMONTH($J71,-1)+1,AI$54&lt;=EOMONTH(EOMONTH($J71,-1)+1,$K71-1)),IF(NOT(ISBLANK($N71)),$N71/$K71,$I71/$K71),0),0)</f>
        <v>2777.7777777777778</v>
      </c>
      <c r="AJ71" s="89">
        <f t="shared" si="39"/>
        <v>8333.3333333333339</v>
      </c>
      <c r="AK71" s="90">
        <f t="shared" si="40"/>
        <v>25000</v>
      </c>
      <c r="AL71" s="98"/>
      <c r="AM71" s="1370"/>
      <c r="AN71" s="1411"/>
      <c r="AO71" s="1405">
        <f>N71*AN71</f>
        <v>0</v>
      </c>
      <c r="AP71" s="62" t="str">
        <f>C71</f>
        <v>09 - ENERGIA ELÉTRICA</v>
      </c>
      <c r="AQ71" s="62" t="s">
        <v>311</v>
      </c>
      <c r="AR71" s="508" cm="1">
        <f t="array" aca="1" ref="AR71" ca="1">IF(OR(AP71="",AP71=0),"",IF(SUMPRODUCT(($C$55:$C$138=AP71)*(U$54:$AI$54&lt;EOMONTH(TODAY(),-1)+1)*(ISNUMBER(U$55:$AI$138)),U$55:$AI$138)=0,"",SUMPRODUCT(($C$55:$C$138=AP71)*(U$54:$AI$54&lt;EOMONTH(TODAY(),-1)+1)*(ISNUMBER(U$55:$AI$138)),U$55:$AI$138)))</f>
        <v>11111.111111111111</v>
      </c>
      <c r="AS71" s="62" t="str">
        <f t="shared" ref="AS71" si="49">A71</f>
        <v>Kaizen - Custo Evitado</v>
      </c>
      <c r="AU71" s="1566">
        <f t="shared" ref="AU71" si="50">IF(OR(I71="",K71=""),0,(I71/12)*K71)</f>
        <v>18750</v>
      </c>
      <c r="AV71" s="1566">
        <f t="shared" ref="AV71" si="51">IF(OR(N71="",K71="",K71=0),0,(N71/K71)*12)</f>
        <v>0</v>
      </c>
    </row>
    <row r="72" spans="1:48" ht="29.1" customHeight="1" x14ac:dyDescent="0.3">
      <c r="A72" s="1541"/>
      <c r="B72" s="1541"/>
      <c r="C72" s="1543"/>
      <c r="D72" s="1510"/>
      <c r="E72" s="1543"/>
      <c r="F72" s="1363"/>
      <c r="G72" s="1365"/>
      <c r="H72" s="1365"/>
      <c r="I72" s="1560"/>
      <c r="J72" s="1448"/>
      <c r="K72" s="1388"/>
      <c r="L72" s="1457"/>
      <c r="M72" s="1457"/>
      <c r="N72" s="1457"/>
      <c r="O72" s="1550"/>
      <c r="P72" s="1341"/>
      <c r="Q72" s="1330"/>
      <c r="R72" s="1328"/>
      <c r="S72" s="87" t="s">
        <v>117</v>
      </c>
      <c r="T72" s="91">
        <f>[9]Estrutura!$G$14</f>
        <v>0.76526389866291344</v>
      </c>
      <c r="U72" s="1006"/>
      <c r="V72" s="1006"/>
      <c r="W72" s="1005"/>
      <c r="X72" s="288">
        <f t="shared" si="15"/>
        <v>0</v>
      </c>
      <c r="Y72" s="1006"/>
      <c r="Z72" s="1006"/>
      <c r="AA72" s="1006"/>
      <c r="AB72" s="288">
        <f t="shared" si="16"/>
        <v>0</v>
      </c>
      <c r="AC72" s="1006"/>
      <c r="AD72" s="1006"/>
      <c r="AE72" s="1006"/>
      <c r="AF72" s="288">
        <f t="shared" si="17"/>
        <v>0</v>
      </c>
      <c r="AG72" s="1006"/>
      <c r="AH72" s="1006"/>
      <c r="AI72" s="1006"/>
      <c r="AJ72" s="288">
        <f t="shared" si="39"/>
        <v>0</v>
      </c>
      <c r="AK72" s="1008">
        <f t="shared" si="40"/>
        <v>0</v>
      </c>
      <c r="AL72" s="337"/>
      <c r="AM72" s="1371"/>
      <c r="AN72" s="1412"/>
      <c r="AO72" s="1406"/>
      <c r="AP72" s="62" t="str">
        <f>C71</f>
        <v>09 - ENERGIA ELÉTRICA</v>
      </c>
      <c r="AQ72" s="62" t="s">
        <v>313</v>
      </c>
      <c r="AR72" s="508" t="str" cm="1">
        <f t="array" aca="1" ref="AR72" ca="1">IF(OR(AP72="",AP72=0),"",IF(SUMPRODUCT(($C$55:$C$153=AP72)*($U$54:AI$54&lt;=TODAY())*(ISNUMBER($U$56:AI$154)),$U$56:AI$154)=0,"",SUMPRODUCT(($C$55:$C$153=AP72)*($U$54:AI$54&lt;=TODAY())*(ISNUMBER($U$56:AI$154)),$U$56:AI$154)))</f>
        <v/>
      </c>
      <c r="AS72" s="62" t="str">
        <f t="shared" ref="AS72" si="52">A71</f>
        <v>Kaizen - Custo Evitado</v>
      </c>
      <c r="AU72" s="1567"/>
      <c r="AV72" s="1567"/>
    </row>
    <row r="73" spans="1:48" ht="29.1" customHeight="1" x14ac:dyDescent="0.3">
      <c r="A73" s="1407" t="s">
        <v>953</v>
      </c>
      <c r="B73" s="1407" t="s">
        <v>97</v>
      </c>
      <c r="C73" s="1449" t="s">
        <v>2189</v>
      </c>
      <c r="D73" s="1356" t="s">
        <v>2190</v>
      </c>
      <c r="E73" s="1511" t="s">
        <v>2191</v>
      </c>
      <c r="F73" s="1451" t="s">
        <v>2192</v>
      </c>
      <c r="G73" s="1366">
        <v>46054</v>
      </c>
      <c r="H73" s="1366">
        <v>46234</v>
      </c>
      <c r="I73" s="1470">
        <v>15000</v>
      </c>
      <c r="J73" s="1378">
        <v>46113</v>
      </c>
      <c r="K73" s="1387">
        <f t="shared" ref="K73" si="53">IF(J73="", "", 12 - MONTH(J73) + 1)</f>
        <v>9</v>
      </c>
      <c r="L73" s="1395"/>
      <c r="M73" s="1347" t="s">
        <v>308</v>
      </c>
      <c r="N73" s="1470">
        <f>15000</f>
        <v>15000</v>
      </c>
      <c r="O73" s="1334" t="s">
        <v>83</v>
      </c>
      <c r="P73" s="1342"/>
      <c r="Q73" s="1331"/>
      <c r="R73" s="1334"/>
      <c r="S73" s="93" t="s">
        <v>116</v>
      </c>
      <c r="T73" s="91">
        <f>[10]Estrutura!$F$16</f>
        <v>0.94344097792373649</v>
      </c>
      <c r="U73" s="498">
        <f>IFERROR(IF(AND(U$54&gt;=EOMONTH($J73,-1)+1,U$54&lt;=EOMONTH(EOMONTH($J73,-1)+1,$K73-1)),IF(NOT(ISBLANK($N73)),$N73/$K73,$I73/$K73),0),0)</f>
        <v>0</v>
      </c>
      <c r="V73" s="498">
        <f>IFERROR(IF(AND(V$54&gt;=EOMONTH($J73,-1)+1,V$54&lt;=EOMONTH(EOMONTH($J73,-1)+1,$K73-1)),IF(NOT(ISBLANK($N73)),$N73/$K73,$I73/$K73),0),0)</f>
        <v>0</v>
      </c>
      <c r="W73" s="498">
        <f>IFERROR(IF(AND(W$54&gt;=EOMONTH($J73,-1)+1,W$54&lt;=EOMONTH(EOMONTH($J73,-1)+1,$K73-1)),IF(NOT(ISBLANK($N73)),$N73/$K73,$I73/$K73),0),0)</f>
        <v>0</v>
      </c>
      <c r="X73" s="288">
        <f t="shared" si="15"/>
        <v>0</v>
      </c>
      <c r="Y73" s="715">
        <f>IFERROR(IF(AND(Y$54&gt;=EOMONTH($J73,-1)+1,Y$54&lt;=EOMONTH(EOMONTH($J73,-1)+1,$K73-1)),IF(NOT(ISBLANK($N73)),$N73/$K73,$I73/$K73),0),0)</f>
        <v>1666.6666666666667</v>
      </c>
      <c r="Z73" s="645">
        <f>IFERROR(IF(AND(Z$54&gt;=EOMONTH($J73,-1)+1,Z$54&lt;=EOMONTH(EOMONTH($J73,-1)+1,$K73-1)),IF(NOT(ISBLANK($N73)),$N73/$K73,$I73/$K73),0),0)</f>
        <v>1666.6666666666667</v>
      </c>
      <c r="AA73" s="645">
        <f>IFERROR(IF(AND(AA$54&gt;=EOMONTH($J73,-1)+1,AA$54&lt;=EOMONTH(EOMONTH($J73,-1)+1,$K73-1)),IF(NOT(ISBLANK($N73)),$N73/$K73,$I73/$K73),0),0)</f>
        <v>1666.6666666666667</v>
      </c>
      <c r="AB73" s="89">
        <f t="shared" si="16"/>
        <v>5000</v>
      </c>
      <c r="AC73" s="645">
        <f>IFERROR(IF(AND(AC$54&gt;=EOMONTH($J73,-1)+1,AC$54&lt;=EOMONTH(EOMONTH($J73,-1)+1,$K73-1)),IF(NOT(ISBLANK($N73)),$N73/$K73,$I73/$K73),0),0)</f>
        <v>1666.6666666666667</v>
      </c>
      <c r="AD73" s="498">
        <f>IFERROR(IF(AND(AD$54&gt;=EOMONTH($J73,-1)+1,AD$54&lt;=EOMONTH(EOMONTH($J73,-1)+1,$K73-1)),IF(NOT(ISBLANK($N73)),$N73/$K73,$I73/$K73),0),0)</f>
        <v>1666.6666666666667</v>
      </c>
      <c r="AE73" s="498">
        <f>IFERROR(IF(AND(AE$54&gt;=EOMONTH($J73,-1)+1,AE$54&lt;=EOMONTH(EOMONTH($J73,-1)+1,$K73-1)),IF(NOT(ISBLANK($N73)),$N73/$K73,$I73/$K73),0),0)</f>
        <v>1666.6666666666667</v>
      </c>
      <c r="AF73" s="89">
        <f t="shared" si="17"/>
        <v>5000</v>
      </c>
      <c r="AG73" s="498">
        <f>IFERROR(IF(AND(AG$54&gt;=EOMONTH($J73,-1)+1,AG$54&lt;=EOMONTH(EOMONTH($J73,-1)+1,$K73-1)),IF(NOT(ISBLANK($N73)),$N73/$K73,$I73/$K73),0),0)</f>
        <v>1666.6666666666667</v>
      </c>
      <c r="AH73" s="498">
        <f>IFERROR(IF(AND(AH$54&gt;=EOMONTH($J73,-1)+1,AH$54&lt;=EOMONTH(EOMONTH($J73,-1)+1,$K73-1)),IF(NOT(ISBLANK($N73)),$N73/$K73,$I73/$K73),0),0)</f>
        <v>1666.6666666666667</v>
      </c>
      <c r="AI73" s="498">
        <f>IFERROR(IF(AND(AI$54&gt;=EOMONTH($J73,-1)+1,AI$54&lt;=EOMONTH(EOMONTH($J73,-1)+1,$K73-1)),IF(NOT(ISBLANK($N73)),$N73/$K73,$I73/$K73),0),0)</f>
        <v>1666.6666666666667</v>
      </c>
      <c r="AJ73" s="89">
        <f t="shared" si="18"/>
        <v>5000</v>
      </c>
      <c r="AK73" s="95">
        <f t="shared" si="22"/>
        <v>15000</v>
      </c>
      <c r="AL73" s="97"/>
      <c r="AM73" s="1407"/>
      <c r="AN73" s="1334"/>
      <c r="AO73" s="1403">
        <f>N73*AN73</f>
        <v>0</v>
      </c>
      <c r="AP73" s="62" t="str">
        <f>C73</f>
        <v>10 - CONSUMO PERNA DE MOÇA</v>
      </c>
      <c r="AQ73" s="62" t="s">
        <v>311</v>
      </c>
      <c r="AR73" s="508" cm="1">
        <f t="array" aca="1" ref="AR73" ca="1">IF(OR(AP73="",AP73=0),"",IF(SUMPRODUCT(($C$55:$C$138=AP73)*(U$54:$AI$54&lt;EOMONTH(TODAY(),-1)+1)*(ISNUMBER(U$55:$AI$138)),U$55:$AI$138)=0,"",SUMPRODUCT(($C$55:$C$138=AP73)*(U$54:$AI$54&lt;EOMONTH(TODAY(),-1)+1)*(ISNUMBER(U$55:$AI$138)),U$55:$AI$138)))</f>
        <v>6666.666666666667</v>
      </c>
      <c r="AS73" s="62" t="str">
        <f t="shared" ref="AS73" si="54">A73</f>
        <v>Redução de custo</v>
      </c>
      <c r="AU73" s="1566">
        <f t="shared" ref="AU73" si="55">IF(OR(I73="",K73=""),0,(I73/12)*K73)</f>
        <v>11250</v>
      </c>
      <c r="AV73" s="1566">
        <f t="shared" ref="AV73" si="56">IF(OR(N73="",K73="",K73=0),0,(N73/K73)*12)</f>
        <v>20000</v>
      </c>
    </row>
    <row r="74" spans="1:48" ht="29.1" customHeight="1" x14ac:dyDescent="0.3">
      <c r="A74" s="1408"/>
      <c r="B74" s="1408"/>
      <c r="C74" s="1450"/>
      <c r="D74" s="1357"/>
      <c r="E74" s="1512"/>
      <c r="F74" s="1452"/>
      <c r="G74" s="1367"/>
      <c r="H74" s="1367"/>
      <c r="I74" s="1471"/>
      <c r="J74" s="1379"/>
      <c r="K74" s="1388"/>
      <c r="L74" s="1396"/>
      <c r="M74" s="1348"/>
      <c r="N74" s="1471"/>
      <c r="O74" s="1330"/>
      <c r="P74" s="1343"/>
      <c r="Q74" s="1332"/>
      <c r="R74" s="1330"/>
      <c r="S74" s="93" t="s">
        <v>117</v>
      </c>
      <c r="T74" s="96">
        <f>[10]Estrutura!$G$16</f>
        <v>0.9643678160919541</v>
      </c>
      <c r="U74" s="290"/>
      <c r="V74" s="290"/>
      <c r="W74" s="290"/>
      <c r="X74" s="288">
        <f t="shared" si="15"/>
        <v>0</v>
      </c>
      <c r="Y74" s="763">
        <v>-2886.64</v>
      </c>
      <c r="Z74" s="715">
        <v>7119.88</v>
      </c>
      <c r="AA74" s="715">
        <v>12923.43</v>
      </c>
      <c r="AB74" s="288">
        <f t="shared" si="16"/>
        <v>17156.669999999998</v>
      </c>
      <c r="AC74" s="715">
        <v>24909.34</v>
      </c>
      <c r="AD74" s="290"/>
      <c r="AE74" s="290"/>
      <c r="AF74" s="288">
        <f t="shared" si="17"/>
        <v>24909.34</v>
      </c>
      <c r="AG74" s="290"/>
      <c r="AH74" s="290"/>
      <c r="AI74" s="290"/>
      <c r="AJ74" s="288">
        <f t="shared" si="18"/>
        <v>0</v>
      </c>
      <c r="AK74" s="291">
        <f t="shared" si="22"/>
        <v>42066.009999999995</v>
      </c>
      <c r="AL74" s="97"/>
      <c r="AM74" s="1408"/>
      <c r="AN74" s="1330"/>
      <c r="AO74" s="1404"/>
      <c r="AP74" s="62" t="str">
        <f>C73</f>
        <v>10 - CONSUMO PERNA DE MOÇA</v>
      </c>
      <c r="AQ74" s="62" t="s">
        <v>313</v>
      </c>
      <c r="AR74" s="508" cm="1">
        <f t="array" aca="1" ref="AR74" ca="1">IF(OR(AP74="",AP74=0),"",IF(SUMPRODUCT(($C$55:$C$153=AP74)*($U$54:AI$54&lt;=TODAY())*(ISNUMBER($U$56:AI$154)),$U$56:AI$154)=0,"",SUMPRODUCT(($C$55:$C$153=AP74)*($U$54:AI$54&lt;=TODAY())*(ISNUMBER($U$56:AI$154)),$U$56:AI$154)))</f>
        <v>42066.009999999995</v>
      </c>
      <c r="AS74" s="62" t="str">
        <f t="shared" ref="AS74" si="57">A73</f>
        <v>Redução de custo</v>
      </c>
      <c r="AU74" s="1567"/>
      <c r="AV74" s="1567"/>
    </row>
    <row r="75" spans="1:48" ht="29.1" customHeight="1" x14ac:dyDescent="0.3">
      <c r="A75" s="1380" t="s">
        <v>61</v>
      </c>
      <c r="B75" s="1407" t="s">
        <v>97</v>
      </c>
      <c r="C75" s="1368" t="s">
        <v>2193</v>
      </c>
      <c r="D75" s="1538" t="s">
        <v>2194</v>
      </c>
      <c r="E75" s="1368" t="s">
        <v>2195</v>
      </c>
      <c r="F75" s="1370" t="s">
        <v>2155</v>
      </c>
      <c r="G75" s="1372">
        <v>46054</v>
      </c>
      <c r="H75" s="1372">
        <v>46113</v>
      </c>
      <c r="I75" s="1506"/>
      <c r="J75" s="1500"/>
      <c r="K75" s="1500"/>
      <c r="L75" s="1456"/>
      <c r="M75" s="1456"/>
      <c r="N75" s="1456"/>
      <c r="O75" s="1334" t="s">
        <v>83</v>
      </c>
      <c r="P75" s="1340" t="s">
        <v>2196</v>
      </c>
      <c r="Q75" s="1333"/>
      <c r="R75" s="1327"/>
      <c r="S75" s="87" t="s">
        <v>116</v>
      </c>
      <c r="T75" s="91">
        <f ca="1">IF(OR(G75="", H75=""), "", IF(TODAY()&lt;G75, 0, IF(TODAY()&gt;H75, 1, (TODAY()-G75+1)/(H75-G75+1))))</f>
        <v>1</v>
      </c>
      <c r="U75" s="287">
        <f>IFERROR(IF(AND(U$54&gt;=EOMONTH($J75,-1)+1,U$54&lt;=EOMONTH(EOMONTH($J75,-1)+1,$K75-1)),IF(NOT(ISBLANK($N75)),$N75/$K75,$I75/$K75),0),0)</f>
        <v>0</v>
      </c>
      <c r="V75" s="287">
        <f>IFERROR(IF(AND(V$54&gt;=EOMONTH($J75,-1)+1,V$54&lt;=EOMONTH(EOMONTH($J75,-1)+1,$K75-1)),IF(NOT(ISBLANK($N75)),$N75/$K75,$I75/$K75),0),0)</f>
        <v>0</v>
      </c>
      <c r="W75" s="287">
        <f>IFERROR(IF(AND(W$54&gt;=EOMONTH($J75,-1)+1,W$54&lt;=EOMONTH(EOMONTH($J75,-1)+1,$K75-1)),IF(NOT(ISBLANK($N75)),$N75/$K75,$I75/$K75),0),0)</f>
        <v>0</v>
      </c>
      <c r="X75" s="288">
        <f t="shared" si="15"/>
        <v>0</v>
      </c>
      <c r="Y75" s="287">
        <f>IFERROR(IF(AND(Y$54&gt;=EOMONTH($J75,-1)+1,Y$54&lt;=EOMONTH(EOMONTH($J75,-1)+1,$K75-1)),IF(NOT(ISBLANK($N75)),$N75/$K75,$I75/$K75),0),0)</f>
        <v>0</v>
      </c>
      <c r="Z75" s="287">
        <f>IFERROR(IF(AND(Z$54&gt;=EOMONTH($J75,-1)+1,Z$54&lt;=EOMONTH(EOMONTH($J75,-1)+1,$K75-1)),IF(NOT(ISBLANK($N75)),$N75/$K75,$I75/$K75),0),0)</f>
        <v>0</v>
      </c>
      <c r="AA75" s="287">
        <f>IFERROR(IF(AND(AA$54&gt;=EOMONTH($J75,-1)+1,AA$54&lt;=EOMONTH(EOMONTH($J75,-1)+1,$K75-1)),IF(NOT(ISBLANK($N75)),$N75/$K75,$I75/$K75),0),0)</f>
        <v>0</v>
      </c>
      <c r="AB75" s="89">
        <f t="shared" si="16"/>
        <v>0</v>
      </c>
      <c r="AC75" s="287">
        <f>IFERROR(IF(AND(AC$54&gt;=EOMONTH($J75,-1)+1,AC$54&lt;=EOMONTH(EOMONTH($J75,-1)+1,$K75-1)),IF(NOT(ISBLANK($N75)),$N75/$K75,$I75/$K75),0),0)</f>
        <v>0</v>
      </c>
      <c r="AD75" s="287">
        <f>IFERROR(IF(AND(AD$54&gt;=EOMONTH($J75,-1)+1,AD$54&lt;=EOMONTH(EOMONTH($J75,-1)+1,$K75-1)),IF(NOT(ISBLANK($N75)),$N75/$K75,$I75/$K75),0),0)</f>
        <v>0</v>
      </c>
      <c r="AE75" s="287">
        <f>IFERROR(IF(AND(AE$54&gt;=EOMONTH($J75,-1)+1,AE$54&lt;=EOMONTH(EOMONTH($J75,-1)+1,$K75-1)),IF(NOT(ISBLANK($N75)),$N75/$K75,$I75/$K75),0),0)</f>
        <v>0</v>
      </c>
      <c r="AF75" s="89">
        <f t="shared" si="17"/>
        <v>0</v>
      </c>
      <c r="AG75" s="287">
        <f>IFERROR(IF(AND(AG$54&gt;=EOMONTH($J75,-1)+1,AG$54&lt;=EOMONTH(EOMONTH($J75,-1)+1,$K75-1)),IF(NOT(ISBLANK($N75)),$N75/$K75,$I75/$K75),0),0)</f>
        <v>0</v>
      </c>
      <c r="AH75" s="287">
        <f>IFERROR(IF(AND(AH$54&gt;=EOMONTH($J75,-1)+1,AH$54&lt;=EOMONTH(EOMONTH($J75,-1)+1,$K75-1)),IF(NOT(ISBLANK($N75)),$N75/$K75,$I75/$K75),0),0)</f>
        <v>0</v>
      </c>
      <c r="AI75" s="287">
        <f>IFERROR(IF(AND(AI$54&gt;=EOMONTH($J75,-1)+1,AI$54&lt;=EOMONTH(EOMONTH($J75,-1)+1,$K75-1)),IF(NOT(ISBLANK($N75)),$N75/$K75,$I75/$K75),0),0)</f>
        <v>0</v>
      </c>
      <c r="AJ75" s="89">
        <f t="shared" ref="AJ75:AJ80" si="58">SUM(AG75:AI75)</f>
        <v>0</v>
      </c>
      <c r="AK75" s="90">
        <f t="shared" ref="AK75:AK80" si="59">SUM(X75,AB75,AF75,AJ75)</f>
        <v>0</v>
      </c>
      <c r="AL75" s="98"/>
      <c r="AM75" s="1370"/>
      <c r="AN75" s="1411"/>
      <c r="AO75" s="1405">
        <f>N75*AN75</f>
        <v>0</v>
      </c>
      <c r="AP75" s="62" t="str">
        <f>C75</f>
        <v>11 - WORKSHOP LIXAMENTO DD / DF</v>
      </c>
      <c r="AQ75" s="62" t="s">
        <v>311</v>
      </c>
      <c r="AR75" s="508" t="str" cm="1">
        <f t="array" aca="1" ref="AR75" ca="1">IF(OR(AP75="",AP75=0),"",IF(SUMPRODUCT(($C$55:$C$138=AP75)*(U$54:$AI$54&lt;EOMONTH(TODAY(),-1)+1)*(ISNUMBER(U$55:$AI$138)),U$55:$AI$138)=0,"",SUMPRODUCT(($C$55:$C$138=AP75)*(U$54:$AI$54&lt;EOMONTH(TODAY(),-1)+1)*(ISNUMBER(U$55:$AI$138)),U$55:$AI$138)))</f>
        <v/>
      </c>
      <c r="AS75" s="62" t="str">
        <f t="shared" ref="AS75" si="60">A75</f>
        <v>Kaizen - Custo Evitado</v>
      </c>
      <c r="AU75" s="1566">
        <f t="shared" ref="AU75" si="61">IF(OR(I75="",K75=""),0,(I75/12)*K75)</f>
        <v>0</v>
      </c>
      <c r="AV75" s="1566">
        <f t="shared" ref="AV75" si="62">IF(OR(N75="",K75="",K75=0),0,(N75/K75)*12)</f>
        <v>0</v>
      </c>
    </row>
    <row r="76" spans="1:48" ht="29.1" customHeight="1" x14ac:dyDescent="0.3">
      <c r="A76" s="1381"/>
      <c r="B76" s="1408"/>
      <c r="C76" s="1369"/>
      <c r="D76" s="1539"/>
      <c r="E76" s="1369"/>
      <c r="F76" s="1371"/>
      <c r="G76" s="1373"/>
      <c r="H76" s="1373"/>
      <c r="I76" s="1507"/>
      <c r="J76" s="1501"/>
      <c r="K76" s="1501"/>
      <c r="L76" s="1457"/>
      <c r="M76" s="1457"/>
      <c r="N76" s="1457"/>
      <c r="O76" s="1330"/>
      <c r="P76" s="1341"/>
      <c r="Q76" s="1328"/>
      <c r="R76" s="1328"/>
      <c r="S76" s="87" t="s">
        <v>117</v>
      </c>
      <c r="T76" s="91">
        <v>1</v>
      </c>
      <c r="U76" s="1006"/>
      <c r="V76" s="1006"/>
      <c r="W76" s="1006"/>
      <c r="X76" s="288">
        <f t="shared" si="15"/>
        <v>0</v>
      </c>
      <c r="Y76" s="1006"/>
      <c r="Z76" s="1006"/>
      <c r="AA76" s="1006"/>
      <c r="AB76" s="288">
        <f t="shared" si="16"/>
        <v>0</v>
      </c>
      <c r="AC76" s="1006"/>
      <c r="AD76" s="1006"/>
      <c r="AE76" s="1006"/>
      <c r="AF76" s="288">
        <f t="shared" si="17"/>
        <v>0</v>
      </c>
      <c r="AG76" s="1006"/>
      <c r="AH76" s="1006"/>
      <c r="AI76" s="1006"/>
      <c r="AJ76" s="288">
        <f t="shared" si="58"/>
        <v>0</v>
      </c>
      <c r="AK76" s="1008">
        <f t="shared" si="59"/>
        <v>0</v>
      </c>
      <c r="AL76" s="337"/>
      <c r="AM76" s="1371"/>
      <c r="AN76" s="1412"/>
      <c r="AO76" s="1406"/>
      <c r="AP76" s="62" t="str">
        <f>C75</f>
        <v>11 - WORKSHOP LIXAMENTO DD / DF</v>
      </c>
      <c r="AQ76" s="62" t="s">
        <v>313</v>
      </c>
      <c r="AR76" s="508" t="str" cm="1">
        <f t="array" aca="1" ref="AR76" ca="1">IF(OR(AP76="",AP76=0),"",IF(SUMPRODUCT(($C$55:$C$153=AP76)*($U$54:AI$54&lt;=TODAY())*(ISNUMBER($U$56:AI$154)),$U$56:AI$154)=0,"",SUMPRODUCT(($C$55:$C$153=AP76)*($U$54:AI$54&lt;=TODAY())*(ISNUMBER($U$56:AI$154)),$U$56:AI$154)))</f>
        <v/>
      </c>
      <c r="AS76" s="62" t="str">
        <f t="shared" ref="AS76" si="63">A75</f>
        <v>Kaizen - Custo Evitado</v>
      </c>
      <c r="AU76" s="1567"/>
      <c r="AV76" s="1567"/>
    </row>
    <row r="77" spans="1:48" ht="29.1" customHeight="1" x14ac:dyDescent="0.3">
      <c r="A77" s="1360" t="s">
        <v>953</v>
      </c>
      <c r="B77" s="1407" t="s">
        <v>97</v>
      </c>
      <c r="C77" s="1484" t="s">
        <v>2197</v>
      </c>
      <c r="D77" s="1534" t="s">
        <v>2198</v>
      </c>
      <c r="E77" s="1374">
        <v>46230</v>
      </c>
      <c r="F77" s="1374" t="s">
        <v>2155</v>
      </c>
      <c r="G77" s="1374" t="s">
        <v>2199</v>
      </c>
      <c r="H77" s="1374" t="s">
        <v>2200</v>
      </c>
      <c r="I77" s="1470">
        <v>7000</v>
      </c>
      <c r="J77" s="1378">
        <v>46357</v>
      </c>
      <c r="K77" s="1387">
        <f>IF(J77="", "", 12 - MONTH(J77) + 1)</f>
        <v>1</v>
      </c>
      <c r="L77" s="1395"/>
      <c r="M77" s="1478" t="s">
        <v>308</v>
      </c>
      <c r="N77" s="1393">
        <f>(7000/12)*K77</f>
        <v>583.33333333333337</v>
      </c>
      <c r="O77" s="1334" t="s">
        <v>83</v>
      </c>
      <c r="P77" s="1344" t="s">
        <v>2156</v>
      </c>
      <c r="Q77" s="1331">
        <v>46204</v>
      </c>
      <c r="R77" s="1334">
        <v>0.5</v>
      </c>
      <c r="S77" s="93" t="s">
        <v>116</v>
      </c>
      <c r="T77" s="96">
        <f>[11]Estrutura!$F$15</f>
        <v>0.91249999999999998</v>
      </c>
      <c r="U77" s="498">
        <f>IFERROR(IF(AND(U$54&gt;=EOMONTH($J77,-1)+1,U$54&lt;=EOMONTH(EOMONTH($J77,-1)+1,$K77-1)),IF(NOT(ISBLANK($N77)),$N77/$K77,$I77/$K77),0),0)</f>
        <v>0</v>
      </c>
      <c r="V77" s="498">
        <f>IFERROR(IF(AND(V$54&gt;=EOMONTH($J77,-1)+1,V$54&lt;=EOMONTH(EOMONTH($J77,-1)+1,$K77-1)),IF(NOT(ISBLANK($N77)),$N77/$K77,$I77/$K77),0),0)</f>
        <v>0</v>
      </c>
      <c r="W77" s="498">
        <f>IFERROR(IF(AND(W$54&gt;=EOMONTH($J77,-1)+1,W$54&lt;=EOMONTH(EOMONTH($J77,-1)+1,$K77-1)),IF(NOT(ISBLANK($N77)),$N77/$K77,$I77/$K77),0),0)</f>
        <v>0</v>
      </c>
      <c r="X77" s="288">
        <f t="shared" si="15"/>
        <v>0</v>
      </c>
      <c r="Y77" s="645">
        <f>IFERROR(IF(AND(Y$54&gt;=EOMONTH($J77,-1)+1,Y$54&lt;=EOMONTH(EOMONTH($J77,-1)+1,$K77-1)),IF(NOT(ISBLANK($N77)),$N77/$K77,$I77/$K77),0),0)</f>
        <v>0</v>
      </c>
      <c r="Z77" s="498">
        <f>IFERROR(IF(AND(Z$54&gt;=EOMONTH($J77,-1)+1,Z$54&lt;=EOMONTH(EOMONTH($J77,-1)+1,$K77-1)),IF(NOT(ISBLANK($N77)),$N77/$K77,$I77/$K77),0),0)</f>
        <v>0</v>
      </c>
      <c r="AA77" s="498">
        <f>IFERROR(IF(AND(AA$54&gt;=EOMONTH($J77,-1)+1,AA$54&lt;=EOMONTH(EOMONTH($J77,-1)+1,$K77-1)),IF(NOT(ISBLANK($N77)),$N77/$K77,$I77/$K77),0),0)</f>
        <v>0</v>
      </c>
      <c r="AB77" s="89">
        <f t="shared" si="16"/>
        <v>0</v>
      </c>
      <c r="AC77" s="498">
        <f>IFERROR(IF(AND(AC$54&gt;=EOMONTH($J77,-1)+1,AC$54&lt;=EOMONTH(EOMONTH($J77,-1)+1,$K77-1)),IF(NOT(ISBLANK($N77)),$N77/$K77,$I77/$K77),0),0)</f>
        <v>0</v>
      </c>
      <c r="AD77" s="498">
        <f>IFERROR(IF(AND(AD$54&gt;=EOMONTH($J77,-1)+1,AD$54&lt;=EOMONTH(EOMONTH($J77,-1)+1,$K77-1)),IF(NOT(ISBLANK($N77)),$N77/$K77,$I77/$K77),0),0)</f>
        <v>0</v>
      </c>
      <c r="AE77" s="498">
        <f>IFERROR(IF(AND(AE$54&gt;=EOMONTH($J77,-1)+1,AE$54&lt;=EOMONTH(EOMONTH($J77,-1)+1,$K77-1)),IF(NOT(ISBLANK($N77)),$N77/$K77,$I77/$K77),0),0)</f>
        <v>0</v>
      </c>
      <c r="AF77" s="89">
        <f t="shared" si="17"/>
        <v>0</v>
      </c>
      <c r="AG77" s="498">
        <f>IFERROR(IF(AND(AG$54&gt;=EOMONTH($J77,-1)+1,AG$54&lt;=EOMONTH(EOMONTH($J77,-1)+1,$K77-1)),IF(NOT(ISBLANK($N77)),$N77/$K77,$I77/$K77),0),0)</f>
        <v>0</v>
      </c>
      <c r="AH77" s="498">
        <f>IFERROR(IF(AND(AH$54&gt;=EOMONTH($J77,-1)+1,AH$54&lt;=EOMONTH(EOMONTH($J77,-1)+1,$K77-1)),IF(NOT(ISBLANK($N77)),$N77/$K77,$I77/$K77),0),0)</f>
        <v>0</v>
      </c>
      <c r="AI77" s="498">
        <f>IFERROR(IF(AND(AI$54&gt;=EOMONTH($J77,-1)+1,AI$54&lt;=EOMONTH(EOMONTH($J77,-1)+1,$K77-1)),IF(NOT(ISBLANK($N77)),$N77/$K77,$I77/$K77),0),0)</f>
        <v>583.33333333333337</v>
      </c>
      <c r="AJ77" s="89">
        <f t="shared" si="58"/>
        <v>583.33333333333337</v>
      </c>
      <c r="AK77" s="95">
        <f t="shared" si="59"/>
        <v>583.33333333333337</v>
      </c>
      <c r="AL77" s="97"/>
      <c r="AM77" s="1407"/>
      <c r="AN77" s="1334"/>
      <c r="AO77" s="1403">
        <f>N77*AN77</f>
        <v>0</v>
      </c>
      <c r="AP77" s="62" t="str">
        <f>C77</f>
        <v>12 - VENDA DE DESCARTÁVEIS</v>
      </c>
      <c r="AQ77" s="62" t="s">
        <v>311</v>
      </c>
      <c r="AR77" s="508" t="str" cm="1">
        <f t="array" aca="1" ref="AR77" ca="1">IF(OR(AP77="",AP77=0),"",IF(SUMPRODUCT(($C$55:$C$138=AP77)*(U$54:$AI$54&lt;EOMONTH(TODAY(),-1)+1)*(ISNUMBER(U$55:$AI$138)),U$55:$AI$138)=0,"",SUMPRODUCT(($C$55:$C$138=AP77)*(U$54:$AI$54&lt;EOMONTH(TODAY(),-1)+1)*(ISNUMBER(U$55:$AI$138)),U$55:$AI$138)))</f>
        <v/>
      </c>
      <c r="AS77" s="62" t="str">
        <f t="shared" ref="AS77" si="64">A77</f>
        <v>Redução de custo</v>
      </c>
      <c r="AU77" s="1566">
        <v>7000</v>
      </c>
      <c r="AV77" s="1566">
        <v>7000</v>
      </c>
    </row>
    <row r="78" spans="1:48" ht="29.1" customHeight="1" x14ac:dyDescent="0.3">
      <c r="A78" s="1361"/>
      <c r="B78" s="1408"/>
      <c r="C78" s="1485"/>
      <c r="D78" s="1535"/>
      <c r="E78" s="1375"/>
      <c r="F78" s="1375"/>
      <c r="G78" s="1375"/>
      <c r="H78" s="1375"/>
      <c r="I78" s="1471"/>
      <c r="J78" s="1379"/>
      <c r="K78" s="1388"/>
      <c r="L78" s="1396"/>
      <c r="M78" s="1479"/>
      <c r="N78" s="1394"/>
      <c r="O78" s="1330"/>
      <c r="P78" s="1337"/>
      <c r="Q78" s="1332"/>
      <c r="R78" s="1330"/>
      <c r="S78" s="93" t="s">
        <v>117</v>
      </c>
      <c r="T78" s="96">
        <f>[11]Estrutura!$G$15</f>
        <v>0.81937499999999996</v>
      </c>
      <c r="U78" s="290"/>
      <c r="V78" s="290"/>
      <c r="W78" s="290"/>
      <c r="X78" s="288">
        <f t="shared" si="15"/>
        <v>0</v>
      </c>
      <c r="Y78" s="290"/>
      <c r="Z78" s="290"/>
      <c r="AA78" s="290"/>
      <c r="AB78" s="288">
        <f t="shared" si="16"/>
        <v>0</v>
      </c>
      <c r="AC78" s="290"/>
      <c r="AD78" s="290"/>
      <c r="AE78" s="290"/>
      <c r="AF78" s="288">
        <f t="shared" si="17"/>
        <v>0</v>
      </c>
      <c r="AG78" s="290"/>
      <c r="AH78" s="290"/>
      <c r="AI78" s="290"/>
      <c r="AJ78" s="288">
        <f t="shared" si="58"/>
        <v>0</v>
      </c>
      <c r="AK78" s="291">
        <f t="shared" si="59"/>
        <v>0</v>
      </c>
      <c r="AL78" s="97"/>
      <c r="AM78" s="1408"/>
      <c r="AN78" s="1330"/>
      <c r="AO78" s="1404"/>
      <c r="AP78" s="62" t="str">
        <f>C77</f>
        <v>12 - VENDA DE DESCARTÁVEIS</v>
      </c>
      <c r="AQ78" s="62" t="s">
        <v>313</v>
      </c>
      <c r="AR78" s="508" t="str" cm="1">
        <f t="array" aca="1" ref="AR78" ca="1">IF(OR(AP78="",AP78=0),"",IF(SUMPRODUCT(($C$55:$C$153=AP78)*($U$54:AI$54&lt;=TODAY())*(ISNUMBER($U$56:AI$154)),$U$56:AI$154)=0,"",SUMPRODUCT(($C$55:$C$153=AP78)*($U$54:AI$54&lt;=TODAY())*(ISNUMBER($U$56:AI$154)),$U$56:AI$154)))</f>
        <v/>
      </c>
      <c r="AS78" s="62" t="str">
        <f t="shared" ref="AS78" si="65">A77</f>
        <v>Redução de custo</v>
      </c>
      <c r="AU78" s="1567"/>
      <c r="AV78" s="1567"/>
    </row>
    <row r="79" spans="1:48" ht="29.1" customHeight="1" x14ac:dyDescent="0.3">
      <c r="A79" s="1514" t="s">
        <v>953</v>
      </c>
      <c r="B79" s="1514" t="s">
        <v>97</v>
      </c>
      <c r="C79" s="1516" t="s">
        <v>2201</v>
      </c>
      <c r="D79" s="1486" t="s">
        <v>2202</v>
      </c>
      <c r="E79" s="1516" t="s">
        <v>2203</v>
      </c>
      <c r="F79" s="1536" t="s">
        <v>2175</v>
      </c>
      <c r="G79" s="1504">
        <v>46235</v>
      </c>
      <c r="H79" s="1504">
        <v>46235</v>
      </c>
      <c r="I79" s="1495">
        <v>5000</v>
      </c>
      <c r="J79" s="1376"/>
      <c r="K79" s="1389" t="str">
        <f>IF(J79="", "", 12 - MONTH(J79) + 1)</f>
        <v/>
      </c>
      <c r="L79" s="1354"/>
      <c r="M79" s="1350"/>
      <c r="N79" s="1391"/>
      <c r="O79" s="1327" t="s">
        <v>83</v>
      </c>
      <c r="P79" s="1413" t="s">
        <v>2204</v>
      </c>
      <c r="Q79" s="1329">
        <v>46235</v>
      </c>
      <c r="R79" s="1327">
        <v>1</v>
      </c>
      <c r="S79" s="87" t="s">
        <v>116</v>
      </c>
      <c r="T79" s="91">
        <f>[12]Estrutura!$F$13</f>
        <v>0.61786022455489364</v>
      </c>
      <c r="U79" s="287">
        <f>IFERROR(IF(AND(U$54&gt;=EOMONTH($J79,-1)+1,U$54&lt;=EOMONTH(EOMONTH($J79,-1)+1,$K79-1)),IF(NOT(ISBLANK($N79)),$N79/$K79,$I79/$K79),0),0)</f>
        <v>0</v>
      </c>
      <c r="V79" s="287">
        <f>IFERROR(IF(AND(V$54&gt;=EOMONTH($J79,-1)+1,V$54&lt;=EOMONTH(EOMONTH($J79,-1)+1,$K79-1)),IF(NOT(ISBLANK($N79)),$N79/$K79,$I79/$K79),0),0)</f>
        <v>0</v>
      </c>
      <c r="W79" s="287">
        <f>IFERROR(IF(AND(W$54&gt;=EOMONTH($J79,-1)+1,W$54&lt;=EOMONTH(EOMONTH($J79,-1)+1,$K79-1)),IF(NOT(ISBLANK($N79)),$N79/$K79,$I79/$K79),0),0)</f>
        <v>0</v>
      </c>
      <c r="X79" s="288">
        <f t="shared" si="15"/>
        <v>0</v>
      </c>
      <c r="Y79" s="287">
        <f>IFERROR(IF(AND(Y$54&gt;=EOMONTH($J79,-1)+1,Y$54&lt;=EOMONTH(EOMONTH($J79,-1)+1,$K79-1)),IF(NOT(ISBLANK($N79)),$N79/$K79,$I79/$K79),0),0)</f>
        <v>0</v>
      </c>
      <c r="Z79" s="287">
        <f>IFERROR(IF(AND(Z$54&gt;=EOMONTH($J79,-1)+1,Z$54&lt;=EOMONTH(EOMONTH($J79,-1)+1,$K79-1)),IF(NOT(ISBLANK($N79)),$N79/$K79,$I79/$K79),0),0)</f>
        <v>0</v>
      </c>
      <c r="AA79" s="287">
        <f>IFERROR(IF(AND(AA$54&gt;=EOMONTH($J79,-1)+1,AA$54&lt;=EOMONTH(EOMONTH($J79,-1)+1,$K79-1)),IF(NOT(ISBLANK($N79)),$N79/$K79,$I79/$K79),0),0)</f>
        <v>0</v>
      </c>
      <c r="AB79" s="89">
        <f t="shared" si="16"/>
        <v>0</v>
      </c>
      <c r="AC79" s="287">
        <f>IFERROR(IF(AND(AC$54&gt;=EOMONTH($J79,-1)+1,AC$54&lt;=EOMONTH(EOMONTH($J79,-1)+1,$K79-1)),IF(NOT(ISBLANK($N79)),$N79/$K79,$I79/$K79),0),0)</f>
        <v>0</v>
      </c>
      <c r="AD79" s="287">
        <f>IFERROR(IF(AND(AD$54&gt;=EOMONTH($J79,-1)+1,AD$54&lt;=EOMONTH(EOMONTH($J79,-1)+1,$K79-1)),IF(NOT(ISBLANK($N79)),$N79/$K79,$I79/$K79),0),0)</f>
        <v>0</v>
      </c>
      <c r="AE79" s="287">
        <f>IFERROR(IF(AND(AE$54&gt;=EOMONTH($J79,-1)+1,AE$54&lt;=EOMONTH(EOMONTH($J79,-1)+1,$K79-1)),IF(NOT(ISBLANK($N79)),$N79/$K79,$I79/$K79),0),0)</f>
        <v>0</v>
      </c>
      <c r="AF79" s="89">
        <f t="shared" si="17"/>
        <v>0</v>
      </c>
      <c r="AG79" s="287">
        <f>IFERROR(IF(AND(AG$54&gt;=EOMONTH($J79,-1)+1,AG$54&lt;=EOMONTH(EOMONTH($J79,-1)+1,$K79-1)),IF(NOT(ISBLANK($N79)),$N79/$K79,$I79/$K79),0),0)</f>
        <v>0</v>
      </c>
      <c r="AH79" s="287">
        <f>IFERROR(IF(AND(AH$54&gt;=EOMONTH($J79,-1)+1,AH$54&lt;=EOMONTH(EOMONTH($J79,-1)+1,$K79-1)),IF(NOT(ISBLANK($N79)),$N79/$K79,$I79/$K79),0),0)</f>
        <v>0</v>
      </c>
      <c r="AI79" s="287">
        <f>IFERROR(IF(AND(AI$54&gt;=EOMONTH($J79,-1)+1,AI$54&lt;=EOMONTH(EOMONTH($J79,-1)+1,$K79-1)),IF(NOT(ISBLANK($N79)),$N79/$K79,$I79/$K79),0),0)</f>
        <v>0</v>
      </c>
      <c r="AJ79" s="89">
        <f t="shared" si="58"/>
        <v>0</v>
      </c>
      <c r="AK79" s="90">
        <f t="shared" si="59"/>
        <v>0</v>
      </c>
      <c r="AL79" s="98"/>
      <c r="AM79" s="1370"/>
      <c r="AN79" s="1411"/>
      <c r="AO79" s="1405">
        <f>N79*AN79</f>
        <v>0</v>
      </c>
      <c r="AP79" s="62" t="str">
        <f>C79</f>
        <v>13 - CONSUMO DE MATERIAIS DA ETE</v>
      </c>
      <c r="AQ79" s="62" t="s">
        <v>311</v>
      </c>
      <c r="AR79" s="508" t="str" cm="1">
        <f t="array" aca="1" ref="AR79" ca="1">IF(OR(AP79="",AP79=0),"",IF(SUMPRODUCT(($C$55:$C$138=AP79)*(U$54:$AI$54&lt;EOMONTH(TODAY(),-1)+1)*(ISNUMBER(U$55:$AI$138)),U$55:$AI$138)=0,"",SUMPRODUCT(($C$55:$C$138=AP79)*(U$54:$AI$54&lt;EOMONTH(TODAY(),-1)+1)*(ISNUMBER(U$55:$AI$138)),U$55:$AI$138)))</f>
        <v/>
      </c>
      <c r="AS79" s="62" t="str">
        <f t="shared" ref="AS79" si="66">A79</f>
        <v>Redução de custo</v>
      </c>
      <c r="AU79" s="1566">
        <f t="shared" ref="AU79" si="67">IF(OR(I79="",K79=""),0,(I79/12)*K79)</f>
        <v>0</v>
      </c>
      <c r="AV79" s="1566">
        <f t="shared" ref="AV79" si="68">IF(OR(N79="",K79="",K79=0),0,(N79/K79)*12)</f>
        <v>0</v>
      </c>
    </row>
    <row r="80" spans="1:48" ht="39.6" customHeight="1" x14ac:dyDescent="0.3">
      <c r="A80" s="1515"/>
      <c r="B80" s="1515"/>
      <c r="C80" s="1517"/>
      <c r="D80" s="1510"/>
      <c r="E80" s="1517"/>
      <c r="F80" s="1537"/>
      <c r="G80" s="1505"/>
      <c r="H80" s="1505"/>
      <c r="I80" s="1496"/>
      <c r="J80" s="1377"/>
      <c r="K80" s="1390"/>
      <c r="L80" s="1355"/>
      <c r="M80" s="1351"/>
      <c r="N80" s="1392"/>
      <c r="O80" s="1328"/>
      <c r="P80" s="1414"/>
      <c r="Q80" s="1330"/>
      <c r="R80" s="1328"/>
      <c r="S80" s="87" t="s">
        <v>117</v>
      </c>
      <c r="T80" s="91">
        <f>[12]Estrutura!$G$13</f>
        <v>0.69094786729857816</v>
      </c>
      <c r="U80" s="287"/>
      <c r="V80" s="287"/>
      <c r="W80" s="287"/>
      <c r="X80" s="288">
        <f t="shared" si="15"/>
        <v>0</v>
      </c>
      <c r="Y80" s="287"/>
      <c r="Z80" s="287"/>
      <c r="AA80" s="287"/>
      <c r="AB80" s="288">
        <f t="shared" si="16"/>
        <v>0</v>
      </c>
      <c r="AC80" s="287"/>
      <c r="AD80" s="287"/>
      <c r="AE80" s="287"/>
      <c r="AF80" s="288">
        <f t="shared" si="17"/>
        <v>0</v>
      </c>
      <c r="AG80" s="287"/>
      <c r="AH80" s="287"/>
      <c r="AI80" s="287"/>
      <c r="AJ80" s="288">
        <f t="shared" si="58"/>
        <v>0</v>
      </c>
      <c r="AK80" s="289">
        <f t="shared" si="59"/>
        <v>0</v>
      </c>
      <c r="AL80" s="337"/>
      <c r="AM80" s="1371"/>
      <c r="AN80" s="1412"/>
      <c r="AO80" s="1406"/>
      <c r="AP80" s="62" t="str">
        <f>C79</f>
        <v>13 - CONSUMO DE MATERIAIS DA ETE</v>
      </c>
      <c r="AQ80" s="62" t="s">
        <v>313</v>
      </c>
      <c r="AR80" s="508" t="str" cm="1">
        <f t="array" aca="1" ref="AR80" ca="1">IF(OR(AP80="",AP80=0),"",IF(SUMPRODUCT(($C$55:$C$153=AP80)*($U$54:AI$54&lt;=TODAY())*(ISNUMBER($U$56:AI$154)),$U$56:AI$154)=0,"",SUMPRODUCT(($C$55:$C$153=AP80)*($U$54:AI$54&lt;=TODAY())*(ISNUMBER($U$56:AI$154)),$U$56:AI$154)))</f>
        <v/>
      </c>
      <c r="AS80" s="62" t="str">
        <f t="shared" ref="AS80" si="69">A79</f>
        <v>Redução de custo</v>
      </c>
      <c r="AU80" s="1567"/>
      <c r="AV80" s="1567"/>
    </row>
    <row r="81" spans="1:48" ht="29.1" customHeight="1" x14ac:dyDescent="0.3">
      <c r="A81" s="1360" t="s">
        <v>61</v>
      </c>
      <c r="B81" s="1360" t="s">
        <v>99</v>
      </c>
      <c r="C81" s="1489" t="s">
        <v>2205</v>
      </c>
      <c r="D81" s="1532" t="s">
        <v>2206</v>
      </c>
      <c r="E81" s="1489" t="s">
        <v>2207</v>
      </c>
      <c r="F81" s="1491" t="s">
        <v>2160</v>
      </c>
      <c r="G81" s="1493">
        <v>46082</v>
      </c>
      <c r="H81" s="1493">
        <v>46113</v>
      </c>
      <c r="I81" s="1497">
        <v>45144</v>
      </c>
      <c r="J81" s="1378" t="s">
        <v>2208</v>
      </c>
      <c r="K81" s="1387">
        <v>8</v>
      </c>
      <c r="L81" s="1395"/>
      <c r="M81" s="1529"/>
      <c r="N81" s="1530"/>
      <c r="O81" s="1334" t="s">
        <v>81</v>
      </c>
      <c r="P81" s="1336"/>
      <c r="Q81" s="1334"/>
      <c r="R81" s="1334"/>
      <c r="S81" s="93" t="s">
        <v>116</v>
      </c>
      <c r="T81" s="96">
        <f ca="1">IF(OR(G81="", H81=""), "", IF(TODAY()&lt;G81, 0, IF(TODAY()&gt;H81, 1, (TODAY()-G81+1)/(H81-G81+1))))</f>
        <v>1</v>
      </c>
      <c r="U81" s="498">
        <f>IFERROR(IF(AND(U$54&gt;=EOMONTH($J81,-1)+1,U$54&lt;=EOMONTH(EOMONTH($J81,-1)+1,$K81-1)),IF(NOT(ISBLANK($N81)),$N81/$K81,$I81/$K81),0),0)</f>
        <v>0</v>
      </c>
      <c r="V81" s="498">
        <f>IFERROR(IF(AND(V$54&gt;=EOMONTH($J81,-1)+1,V$54&lt;=EOMONTH(EOMONTH($J81,-1)+1,$K81-1)),IF(NOT(ISBLANK($N81)),$N81/$K81,$I81/$K81),0),0)</f>
        <v>0</v>
      </c>
      <c r="W81" s="498">
        <f>IFERROR(IF(AND(W$54&gt;=EOMONTH($J81,-1)+1,W$54&lt;=EOMONTH(EOMONTH($J81,-1)+1,$K81-1)),IF(NOT(ISBLANK($N81)),$N81/$K81,$I81/$K81),0),0)</f>
        <v>0</v>
      </c>
      <c r="X81" s="288">
        <f t="shared" si="15"/>
        <v>0</v>
      </c>
      <c r="Y81" s="498">
        <f>IFERROR(IF(AND(Y$54&gt;=EOMONTH($J81,-1)+1,Y$54&lt;=EOMONTH(EOMONTH($J81,-1)+1,$K81-1)),IF(NOT(ISBLANK($N81)),$N81/$K81,$I81/$K81),0),0)</f>
        <v>0</v>
      </c>
      <c r="Z81" s="498">
        <f>IFERROR(IF(AND(Z$54&gt;=EOMONTH($J81,-1)+1,Z$54&lt;=EOMONTH(EOMONTH($J81,-1)+1,$K81-1)),IF(NOT(ISBLANK($N81)),$N81/$K81,$I81/$K81),0),0)</f>
        <v>0</v>
      </c>
      <c r="AA81" s="498">
        <f>IFERROR(IF(AND(AA$54&gt;=EOMONTH($J81,-1)+1,AA$54&lt;=EOMONTH(EOMONTH($J81,-1)+1,$K81-1)),IF(NOT(ISBLANK($N81)),$N81/$K81,$I81/$K81),0),0)</f>
        <v>0</v>
      </c>
      <c r="AB81" s="89">
        <f t="shared" si="16"/>
        <v>0</v>
      </c>
      <c r="AC81" s="498">
        <f>IFERROR(IF(AND(AC$54&gt;=EOMONTH($J81,-1)+1,AC$54&lt;=EOMONTH(EOMONTH($J81,-1)+1,$K81-1)),IF(NOT(ISBLANK($N81)),$N81/$K81,$I81/$K81),0),0)</f>
        <v>0</v>
      </c>
      <c r="AD81" s="498">
        <f>IFERROR(IF(AND(AD$54&gt;=EOMONTH($J81,-1)+1,AD$54&lt;=EOMONTH(EOMONTH($J81,-1)+1,$K81-1)),IF(NOT(ISBLANK($N81)),$N81/$K81,$I81/$K81),0),0)</f>
        <v>0</v>
      </c>
      <c r="AE81" s="498">
        <f>IFERROR(IF(AND(AE$54&gt;=EOMONTH($J81,-1)+1,AE$54&lt;=EOMONTH(EOMONTH($J81,-1)+1,$K81-1)),IF(NOT(ISBLANK($N81)),$N81/$K81,$I81/$K81),0),0)</f>
        <v>0</v>
      </c>
      <c r="AF81" s="89">
        <f t="shared" si="17"/>
        <v>0</v>
      </c>
      <c r="AG81" s="498">
        <f>IFERROR(IF(AND(AG$54&gt;=EOMONTH($J81,-1)+1,AG$54&lt;=EOMONTH(EOMONTH($J81,-1)+1,$K81-1)),IF(NOT(ISBLANK($N81)),$N81/$K81,$I81/$K81),0),0)</f>
        <v>0</v>
      </c>
      <c r="AH81" s="498">
        <f>IFERROR(IF(AND(AH$54&gt;=EOMONTH($J81,-1)+1,AH$54&lt;=EOMONTH(EOMONTH($J81,-1)+1,$K81-1)),IF(NOT(ISBLANK($N81)),$N81/$K81,$I81/$K81),0),0)</f>
        <v>0</v>
      </c>
      <c r="AI81" s="498">
        <f>IFERROR(IF(AND(AI$54&gt;=EOMONTH($J81,-1)+1,AI$54&lt;=EOMONTH(EOMONTH($J81,-1)+1,$K81-1)),IF(NOT(ISBLANK($N81)),$N81/$K81,$I81/$K81),0),0)</f>
        <v>0</v>
      </c>
      <c r="AJ81" s="89">
        <f t="shared" si="18"/>
        <v>0</v>
      </c>
      <c r="AK81" s="95">
        <f t="shared" si="22"/>
        <v>0</v>
      </c>
      <c r="AL81" s="97"/>
      <c r="AM81" s="1407"/>
      <c r="AN81" s="1334"/>
      <c r="AO81" s="1403">
        <f>N81*AN81</f>
        <v>0</v>
      </c>
      <c r="AP81" s="62" t="str">
        <f>C81</f>
        <v>14 - REDUÇÃO DE CUSTO COM O PRODUTO KLUTHE</v>
      </c>
      <c r="AQ81" s="62" t="s">
        <v>311</v>
      </c>
      <c r="AR81" s="508" t="str" cm="1">
        <f t="array" aca="1" ref="AR81" ca="1">IF(OR(AP81="",AP81=0),"",IF(SUMPRODUCT(($C$55:$C$138=AP81)*(U$54:$AI$54&lt;EOMONTH(TODAY(),-1)+1)*(ISNUMBER(U$55:$AI$138)),U$55:$AI$138)=0,"",SUMPRODUCT(($C$55:$C$138=AP81)*(U$54:$AI$54&lt;EOMONTH(TODAY(),-1)+1)*(ISNUMBER(U$55:$AI$138)),U$55:$AI$138)))</f>
        <v/>
      </c>
      <c r="AS81" s="62" t="e">
        <f>#REF!</f>
        <v>#REF!</v>
      </c>
      <c r="AU81" s="1566">
        <f t="shared" ref="AU81" si="70">IF(OR(I81="",K81=""),0,(I81/12)*K81)</f>
        <v>30096</v>
      </c>
      <c r="AV81" s="1566">
        <f t="shared" ref="AV81" si="71">IF(OR(N81="",K81="",K81=0),0,(N81/K81)*12)</f>
        <v>0</v>
      </c>
    </row>
    <row r="82" spans="1:48" ht="29.1" customHeight="1" x14ac:dyDescent="0.3">
      <c r="A82" s="1361"/>
      <c r="B82" s="1361"/>
      <c r="C82" s="1490"/>
      <c r="D82" s="1533"/>
      <c r="E82" s="1490"/>
      <c r="F82" s="1492"/>
      <c r="G82" s="1494"/>
      <c r="H82" s="1494"/>
      <c r="I82" s="1494"/>
      <c r="J82" s="1379"/>
      <c r="K82" s="1388"/>
      <c r="L82" s="1396"/>
      <c r="M82" s="1353"/>
      <c r="N82" s="1531"/>
      <c r="O82" s="1330"/>
      <c r="P82" s="1337"/>
      <c r="Q82" s="1330"/>
      <c r="R82" s="1330"/>
      <c r="S82" s="93" t="s">
        <v>117</v>
      </c>
      <c r="T82" s="96">
        <v>1</v>
      </c>
      <c r="U82" s="1006"/>
      <c r="V82" s="1006"/>
      <c r="W82" s="1006"/>
      <c r="X82" s="288">
        <f t="shared" si="15"/>
        <v>0</v>
      </c>
      <c r="Y82" s="1006"/>
      <c r="Z82" s="1006"/>
      <c r="AA82" s="1006"/>
      <c r="AB82" s="288">
        <f t="shared" si="16"/>
        <v>0</v>
      </c>
      <c r="AC82" s="1006"/>
      <c r="AD82" s="1006"/>
      <c r="AE82" s="1006"/>
      <c r="AF82" s="288">
        <f t="shared" si="17"/>
        <v>0</v>
      </c>
      <c r="AG82" s="1006"/>
      <c r="AH82" s="1006"/>
      <c r="AI82" s="1006"/>
      <c r="AJ82" s="288">
        <f t="shared" si="18"/>
        <v>0</v>
      </c>
      <c r="AK82" s="1008">
        <f t="shared" si="22"/>
        <v>0</v>
      </c>
      <c r="AL82" s="97"/>
      <c r="AM82" s="1408"/>
      <c r="AN82" s="1330"/>
      <c r="AO82" s="1404"/>
      <c r="AP82" s="62" t="str">
        <f>C81</f>
        <v>14 - REDUÇÃO DE CUSTO COM O PRODUTO KLUTHE</v>
      </c>
      <c r="AQ82" s="62" t="s">
        <v>313</v>
      </c>
      <c r="AR82" s="508" t="str" cm="1">
        <f t="array" aca="1" ref="AR82" ca="1">IF(OR(AP82="",AP82=0),"",IF(SUMPRODUCT(($C$55:$C$153=AP82)*($U$54:AI$54&lt;=TODAY())*(ISNUMBER($U$56:AI$154)),$U$56:AI$154)=0,"",SUMPRODUCT(($C$55:$C$153=AP82)*($U$54:AI$54&lt;=TODAY())*(ISNUMBER($U$56:AI$154)),$U$56:AI$154)))</f>
        <v/>
      </c>
      <c r="AS82" s="62" t="e">
        <f>#REF!</f>
        <v>#REF!</v>
      </c>
      <c r="AU82" s="1567"/>
      <c r="AV82" s="1567"/>
    </row>
    <row r="83" spans="1:48" ht="32.25" hidden="1" customHeight="1" x14ac:dyDescent="0.3">
      <c r="A83" s="1380" t="s">
        <v>925</v>
      </c>
      <c r="B83" s="1380" t="s">
        <v>101</v>
      </c>
      <c r="C83" s="1368" t="s">
        <v>2209</v>
      </c>
      <c r="D83" s="1486" t="s">
        <v>2210</v>
      </c>
      <c r="E83" s="1368" t="s">
        <v>2211</v>
      </c>
      <c r="F83" s="1370" t="s">
        <v>2160</v>
      </c>
      <c r="G83" s="1372">
        <v>46113</v>
      </c>
      <c r="H83" s="1372">
        <v>46143</v>
      </c>
      <c r="I83" s="1382"/>
      <c r="J83" s="1376" t="s">
        <v>2212</v>
      </c>
      <c r="K83" s="1389"/>
      <c r="L83" s="1354"/>
      <c r="M83" s="1350"/>
      <c r="N83" s="1391"/>
      <c r="O83" s="1327" t="s">
        <v>81</v>
      </c>
      <c r="P83" s="1338"/>
      <c r="Q83" s="1327"/>
      <c r="R83" s="1327"/>
      <c r="S83" s="87" t="s">
        <v>116</v>
      </c>
      <c r="T83" s="91">
        <f ca="1">IF(OR(G83="", H83=""), "", IF(TODAY()&lt;G83, 0, IF(TODAY()&gt;H83, 1, (TODAY()-G83+1)/(H83-G83+1))))</f>
        <v>1</v>
      </c>
      <c r="U83" s="287">
        <f>IFERROR(IF(AND(U$54&gt;=EOMONTH($J83,-1)+1,U$54&lt;=EOMONTH(EOMONTH($J83,-1)+1,$K83-1)),IF(NOT(ISBLANK($N83)),$N83/$K83,$I83/$K83),0),0)</f>
        <v>0</v>
      </c>
      <c r="V83" s="287">
        <f>IFERROR(IF(AND(V$54&gt;=EOMONTH($J83,-1)+1,V$54&lt;=EOMONTH(EOMONTH($J83,-1)+1,$K83-1)),IF(NOT(ISBLANK($N83)),$N83/$K83,$I83/$K83),0),0)</f>
        <v>0</v>
      </c>
      <c r="W83" s="287">
        <f>IFERROR(IF(AND(W$54&gt;=EOMONTH($J83,-1)+1,W$54&lt;=EOMONTH(EOMONTH($J83,-1)+1,$K83-1)),IF(NOT(ISBLANK($N83)),$N83/$K83,$I83/$K83),0),0)</f>
        <v>0</v>
      </c>
      <c r="X83" s="288">
        <f t="shared" si="15"/>
        <v>0</v>
      </c>
      <c r="Y83" s="287">
        <f>IFERROR(IF(AND(Y$54&gt;=EOMONTH($J83,-1)+1,Y$54&lt;=EOMONTH(EOMONTH($J83,-1)+1,$K83-1)),IF(NOT(ISBLANK($N83)),$N83/$K83,$I83/$K83),0),0)</f>
        <v>0</v>
      </c>
      <c r="Z83" s="287">
        <f>IFERROR(IF(AND(Z$54&gt;=EOMONTH($J83,-1)+1,Z$54&lt;=EOMONTH(EOMONTH($J83,-1)+1,$K83-1)),IF(NOT(ISBLANK($N83)),$N83/$K83,$I83/$K83),0),0)</f>
        <v>0</v>
      </c>
      <c r="AA83" s="287">
        <f>IFERROR(IF(AND(AA$54&gt;=EOMONTH($J83,-1)+1,AA$54&lt;=EOMONTH(EOMONTH($J83,-1)+1,$K83-1)),IF(NOT(ISBLANK($N83)),$N83/$K83,$I83/$K83),0),0)</f>
        <v>0</v>
      </c>
      <c r="AB83" s="89">
        <f t="shared" si="16"/>
        <v>0</v>
      </c>
      <c r="AC83" s="287">
        <f>IFERROR(IF(AND(AC$54&gt;=EOMONTH($J83,-1)+1,AC$54&lt;=EOMONTH(EOMONTH($J83,-1)+1,$K83-1)),IF(NOT(ISBLANK($N83)),$N83/$K83,$I83/$K83),0),0)</f>
        <v>0</v>
      </c>
      <c r="AD83" s="287">
        <f>IFERROR(IF(AND(AD$54&gt;=EOMONTH($J83,-1)+1,AD$54&lt;=EOMONTH(EOMONTH($J83,-1)+1,$K83-1)),IF(NOT(ISBLANK($N83)),$N83/$K83,$I83/$K83),0),0)</f>
        <v>0</v>
      </c>
      <c r="AE83" s="287">
        <f>IFERROR(IF(AND(AE$54&gt;=EOMONTH($J83,-1)+1,AE$54&lt;=EOMONTH(EOMONTH($J83,-1)+1,$K83-1)),IF(NOT(ISBLANK($N83)),$N83/$K83,$I83/$K83),0),0)</f>
        <v>0</v>
      </c>
      <c r="AF83" s="89">
        <f t="shared" si="17"/>
        <v>0</v>
      </c>
      <c r="AG83" s="287">
        <f>IFERROR(IF(AND(AG$54&gt;=EOMONTH($J83,-1)+1,AG$54&lt;=EOMONTH(EOMONTH($J83,-1)+1,$K83-1)),IF(NOT(ISBLANK($N83)),$N83/$K83,$I83/$K83),0),0)</f>
        <v>0</v>
      </c>
      <c r="AH83" s="287">
        <f>IFERROR(IF(AND(AH$54&gt;=EOMONTH($J83,-1)+1,AH$54&lt;=EOMONTH(EOMONTH($J83,-1)+1,$K83-1)),IF(NOT(ISBLANK($N83)),$N83/$K83,$I83/$K83),0),0)</f>
        <v>0</v>
      </c>
      <c r="AI83" s="287">
        <f>IFERROR(IF(AND(AI$54&gt;=EOMONTH($J83,-1)+1,AI$54&lt;=EOMONTH(EOMONTH($J83,-1)+1,$K83-1)),IF(NOT(ISBLANK($N83)),$N83/$K83,$I83/$K83),0),0)</f>
        <v>0</v>
      </c>
      <c r="AJ83" s="89">
        <f t="shared" ref="AJ83:AJ102" si="72">SUM(AG83:AI83)</f>
        <v>0</v>
      </c>
      <c r="AK83" s="90">
        <f t="shared" si="22"/>
        <v>0</v>
      </c>
      <c r="AL83" s="98"/>
      <c r="AM83" s="1370"/>
      <c r="AN83" s="1411"/>
      <c r="AO83" s="1405">
        <f>N83*AN83</f>
        <v>0</v>
      </c>
      <c r="AP83" s="62" t="str">
        <f>C83</f>
        <v>15 - LAYOUT DO POKA YOKE DAS TRAVESSAS DA MERCEDES</v>
      </c>
      <c r="AQ83" s="62" t="s">
        <v>311</v>
      </c>
      <c r="AR83" s="508" t="str" cm="1">
        <f t="array" aca="1" ref="AR83" ca="1">IF(OR(AP83="",AP83=0),"",IF(SUMPRODUCT(($C$55:$C$138=AP83)*(U$54:$AI$54&lt;EOMONTH(TODAY(),-1)+1)*(ISNUMBER(U$55:$AI$138)),U$55:$AI$138)=0,"",SUMPRODUCT(($C$55:$C$138=AP83)*(U$54:$AI$54&lt;EOMONTH(TODAY(),-1)+1)*(ISNUMBER(U$55:$AI$138)),U$55:$AI$138)))</f>
        <v/>
      </c>
      <c r="AS83" s="62" t="str">
        <f t="shared" ref="AS83" si="73">A83</f>
        <v>Kaizen</v>
      </c>
      <c r="AU83" s="1566">
        <f t="shared" ref="AU83" si="74">IF(OR(I83="",K83=""),0,(I83/12)*K83)</f>
        <v>0</v>
      </c>
      <c r="AV83" s="1566">
        <f t="shared" ref="AV83" si="75">IF(OR(N83="",K83="",K83=0),0,(N83/K83)*12)</f>
        <v>0</v>
      </c>
    </row>
    <row r="84" spans="1:48" ht="66.599999999999994" hidden="1" customHeight="1" x14ac:dyDescent="0.3">
      <c r="A84" s="1381"/>
      <c r="B84" s="1381"/>
      <c r="C84" s="1369"/>
      <c r="D84" s="1510"/>
      <c r="E84" s="1369"/>
      <c r="F84" s="1371"/>
      <c r="G84" s="1373"/>
      <c r="H84" s="1373"/>
      <c r="I84" s="1383"/>
      <c r="J84" s="1377"/>
      <c r="K84" s="1390"/>
      <c r="L84" s="1355"/>
      <c r="M84" s="1351"/>
      <c r="N84" s="1392"/>
      <c r="O84" s="1328"/>
      <c r="P84" s="1339"/>
      <c r="Q84" s="1328"/>
      <c r="R84" s="1328"/>
      <c r="S84" s="87" t="s">
        <v>117</v>
      </c>
      <c r="T84" s="91">
        <v>1</v>
      </c>
      <c r="U84" s="287"/>
      <c r="V84" s="287"/>
      <c r="W84" s="287"/>
      <c r="X84" s="288">
        <f t="shared" si="15"/>
        <v>0</v>
      </c>
      <c r="Y84" s="287"/>
      <c r="Z84" s="287"/>
      <c r="AA84" s="287"/>
      <c r="AB84" s="288">
        <f t="shared" si="16"/>
        <v>0</v>
      </c>
      <c r="AC84" s="287"/>
      <c r="AD84" s="287"/>
      <c r="AE84" s="287"/>
      <c r="AF84" s="288">
        <f t="shared" si="17"/>
        <v>0</v>
      </c>
      <c r="AG84" s="287"/>
      <c r="AH84" s="287"/>
      <c r="AI84" s="287"/>
      <c r="AJ84" s="288">
        <f t="shared" si="72"/>
        <v>0</v>
      </c>
      <c r="AK84" s="289">
        <f t="shared" si="22"/>
        <v>0</v>
      </c>
      <c r="AL84" s="337"/>
      <c r="AM84" s="1371"/>
      <c r="AN84" s="1412"/>
      <c r="AO84" s="1406"/>
      <c r="AP84" s="62" t="str">
        <f>C83</f>
        <v>15 - LAYOUT DO POKA YOKE DAS TRAVESSAS DA MERCEDES</v>
      </c>
      <c r="AQ84" s="62" t="s">
        <v>313</v>
      </c>
      <c r="AR84" s="508" t="str" cm="1">
        <f t="array" aca="1" ref="AR84" ca="1">IF(OR(AP84="",AP84=0),"",IF(SUMPRODUCT(($C$55:$C$153=AP84)*($U$54:AI$54&lt;=TODAY())*(ISNUMBER($U$56:AI$154)),$U$56:AI$154)=0,"",SUMPRODUCT(($C$55:$C$153=AP84)*($U$54:AI$54&lt;=TODAY())*(ISNUMBER($U$56:AI$154)),$U$56:AI$154)))</f>
        <v/>
      </c>
      <c r="AS84" s="62" t="str">
        <f t="shared" ref="AS84" si="76">A83</f>
        <v>Kaizen</v>
      </c>
      <c r="AU84" s="1567"/>
      <c r="AV84" s="1567"/>
    </row>
    <row r="85" spans="1:48" ht="29.1" customHeight="1" x14ac:dyDescent="0.3">
      <c r="A85" s="1407" t="s">
        <v>953</v>
      </c>
      <c r="B85" s="1407" t="s">
        <v>97</v>
      </c>
      <c r="C85" s="1484" t="s">
        <v>2213</v>
      </c>
      <c r="D85" s="1486" t="s">
        <v>2214</v>
      </c>
      <c r="E85" s="1449" t="s">
        <v>2215</v>
      </c>
      <c r="F85" s="1451" t="s">
        <v>2171</v>
      </c>
      <c r="G85" s="1366">
        <v>46083</v>
      </c>
      <c r="H85" s="1366">
        <v>46360</v>
      </c>
      <c r="I85" s="1488">
        <v>177479.64</v>
      </c>
      <c r="J85" s="1378">
        <v>46266</v>
      </c>
      <c r="K85" s="1387">
        <f t="shared" ref="K85" si="77">IF(J85="", "", 12 - MONTH(J85) + 1)</f>
        <v>4</v>
      </c>
      <c r="L85" s="1395"/>
      <c r="M85" s="1478" t="s">
        <v>308</v>
      </c>
      <c r="N85" s="1508">
        <v>54946.44</v>
      </c>
      <c r="O85" s="1334" t="s">
        <v>83</v>
      </c>
      <c r="P85" s="1336" t="s">
        <v>2758</v>
      </c>
      <c r="Q85" s="1335">
        <v>46265</v>
      </c>
      <c r="R85" s="1334">
        <v>0.5</v>
      </c>
      <c r="S85" s="93" t="s">
        <v>116</v>
      </c>
      <c r="T85" s="96">
        <f>[13]Estrutura!$F$17</f>
        <v>0.43503243434314481</v>
      </c>
      <c r="U85" s="498">
        <f>IFERROR(IF(AND(U$54&gt;=EOMONTH($J85,-1)+1,U$54&lt;=EOMONTH(EOMONTH($J85,-1)+1,$K85-1)),IF(NOT(ISBLANK($N85)),$N85/$K85,$I85/$K85),0),0)</f>
        <v>0</v>
      </c>
      <c r="V85" s="498">
        <f>IFERROR(IF(AND(V$54&gt;=EOMONTH($J85,-1)+1,V$54&lt;=EOMONTH(EOMONTH($J85,-1)+1,$K85-1)),IF(NOT(ISBLANK($N85)),$N85/$K85,$I85/$K85),0),0)</f>
        <v>0</v>
      </c>
      <c r="W85" s="498">
        <f>IFERROR(IF(AND(W$54&gt;=EOMONTH($J85,-1)+1,W$54&lt;=EOMONTH(EOMONTH($J85,-1)+1,$K85-1)),IF(NOT(ISBLANK($N85)),$N85/$K85,$I85/$K85),0),0)</f>
        <v>0</v>
      </c>
      <c r="X85" s="288">
        <f t="shared" si="15"/>
        <v>0</v>
      </c>
      <c r="Y85" s="498">
        <f>IFERROR(IF(AND(Y$54&gt;=EOMONTH($J85,-1)+1,Y$54&lt;=EOMONTH(EOMONTH($J85,-1)+1,$K85-1)),IF(NOT(ISBLANK($N85)),$N85/$K85,$I85/$K85),0),0)</f>
        <v>0</v>
      </c>
      <c r="Z85" s="498">
        <f>IFERROR(IF(AND(Z$54&gt;=EOMONTH($J85,-1)+1,Z$54&lt;=EOMONTH(EOMONTH($J85,-1)+1,$K85-1)),IF(NOT(ISBLANK($N85)),$N85/$K85,$I85/$K85),0),0)</f>
        <v>0</v>
      </c>
      <c r="AA85" s="498">
        <f>IFERROR(IF(AND(AA$54&gt;=EOMONTH($J85,-1)+1,AA$54&lt;=EOMONTH(EOMONTH($J85,-1)+1,$K85-1)),IF(NOT(ISBLANK($N85)),$N85/$K85,$I85/$K85),0),0)</f>
        <v>0</v>
      </c>
      <c r="AB85" s="89">
        <f t="shared" si="16"/>
        <v>0</v>
      </c>
      <c r="AC85" s="498">
        <f>IFERROR(IF(AND(AC$54&gt;=EOMONTH($J85,-1)+1,AC$54&lt;=EOMONTH(EOMONTH($J85,-1)+1,$K85-1)),IF(NOT(ISBLANK($N85)),$N85/$K85,$I85/$K85),0),0)</f>
        <v>0</v>
      </c>
      <c r="AD85" s="498">
        <f>IFERROR(IF(AND(AD$54&gt;=EOMONTH($J85,-1)+1,AD$54&lt;=EOMONTH(EOMONTH($J85,-1)+1,$K85-1)),IF(NOT(ISBLANK($N85)),$N85/$K85,$I85/$K85),0),0)</f>
        <v>0</v>
      </c>
      <c r="AE85" s="498">
        <f>IFERROR(IF(AND(AE$54&gt;=EOMONTH($J85,-1)+1,AE$54&lt;=EOMONTH(EOMONTH($J85,-1)+1,$K85-1)),IF(NOT(ISBLANK($N85)),$N85/$K85,$I85/$K85),0),0)</f>
        <v>13736.61</v>
      </c>
      <c r="AF85" s="89">
        <f t="shared" si="17"/>
        <v>13736.61</v>
      </c>
      <c r="AG85" s="498">
        <f>IFERROR(IF(AND(AG$54&gt;=EOMONTH($J85,-1)+1,AG$54&lt;=EOMONTH(EOMONTH($J85,-1)+1,$K85-1)),IF(NOT(ISBLANK($N85)),$N85/$K85,$I85/$K85),0),0)</f>
        <v>13736.61</v>
      </c>
      <c r="AH85" s="498">
        <f>IFERROR(IF(AND(AH$54&gt;=EOMONTH($J85,-1)+1,AH$54&lt;=EOMONTH(EOMONTH($J85,-1)+1,$K85-1)),IF(NOT(ISBLANK($N85)),$N85/$K85,$I85/$K85),0),0)</f>
        <v>13736.61</v>
      </c>
      <c r="AI85" s="498">
        <f>IFERROR(IF(AND(AI$54&gt;=EOMONTH($J85,-1)+1,AI$54&lt;=EOMONTH(EOMONTH($J85,-1)+1,$K85-1)),IF(NOT(ISBLANK($N85)),$N85/$K85,$I85/$K85),0),0)</f>
        <v>13736.61</v>
      </c>
      <c r="AJ85" s="89">
        <f t="shared" si="72"/>
        <v>41209.83</v>
      </c>
      <c r="AK85" s="95">
        <f t="shared" si="22"/>
        <v>54946.44</v>
      </c>
      <c r="AL85" s="97"/>
      <c r="AM85" s="1407"/>
      <c r="AN85" s="1334"/>
      <c r="AO85" s="1403">
        <f>N85*AN85</f>
        <v>0</v>
      </c>
      <c r="AP85" s="62" t="str">
        <f>C85</f>
        <v>16 - TROCA DA FROTA DE EMPILHADEIRAS</v>
      </c>
      <c r="AQ85" s="62" t="s">
        <v>311</v>
      </c>
      <c r="AR85" s="508" t="str" cm="1">
        <f t="array" aca="1" ref="AR85" ca="1">IF(OR(AP85="",AP85=0),"",IF(SUMPRODUCT(($C$55:$C$138=AP85)*(U$54:$AI$54&lt;EOMONTH(TODAY(),-1)+1)*(ISNUMBER(U$55:$AI$138)),U$55:$AI$138)=0,"",SUMPRODUCT(($C$55:$C$138=AP85)*(U$54:$AI$54&lt;EOMONTH(TODAY(),-1)+1)*(ISNUMBER(U$55:$AI$138)),U$55:$AI$138)))</f>
        <v/>
      </c>
      <c r="AS85" s="62" t="str">
        <f t="shared" ref="AS85" si="78">A85</f>
        <v>Redução de custo</v>
      </c>
      <c r="AU85" s="1566">
        <f t="shared" ref="AU85" si="79">IF(OR(I85="",K85=""),0,(I85/12)*K85)</f>
        <v>59159.880000000005</v>
      </c>
      <c r="AV85" s="1566">
        <f t="shared" ref="AV85" si="80">IF(OR(N85="",K85="",K85=0),0,(N85/K85)*12)</f>
        <v>164839.32</v>
      </c>
    </row>
    <row r="86" spans="1:48" ht="29.1" customHeight="1" x14ac:dyDescent="0.3">
      <c r="A86" s="1408"/>
      <c r="B86" s="1408"/>
      <c r="C86" s="1485"/>
      <c r="D86" s="1510"/>
      <c r="E86" s="1450"/>
      <c r="F86" s="1452"/>
      <c r="G86" s="1367"/>
      <c r="H86" s="1367"/>
      <c r="I86" s="1367"/>
      <c r="J86" s="1379"/>
      <c r="K86" s="1388"/>
      <c r="L86" s="1396"/>
      <c r="M86" s="1479"/>
      <c r="N86" s="1509"/>
      <c r="O86" s="1330"/>
      <c r="P86" s="1337"/>
      <c r="Q86" s="1330"/>
      <c r="R86" s="1330"/>
      <c r="S86" s="93" t="s">
        <v>117</v>
      </c>
      <c r="T86" s="96">
        <f>[13]Estrutura!$G$17</f>
        <v>0.33097297297297296</v>
      </c>
      <c r="U86" s="290"/>
      <c r="V86" s="290"/>
      <c r="W86" s="290"/>
      <c r="X86" s="288">
        <f t="shared" si="15"/>
        <v>0</v>
      </c>
      <c r="Y86" s="290"/>
      <c r="Z86" s="290"/>
      <c r="AA86" s="290"/>
      <c r="AB86" s="288">
        <f t="shared" si="16"/>
        <v>0</v>
      </c>
      <c r="AC86" s="290"/>
      <c r="AD86" s="290"/>
      <c r="AE86" s="290"/>
      <c r="AF86" s="288">
        <f t="shared" si="17"/>
        <v>0</v>
      </c>
      <c r="AG86" s="290"/>
      <c r="AH86" s="290"/>
      <c r="AI86" s="290"/>
      <c r="AJ86" s="288">
        <f t="shared" si="72"/>
        <v>0</v>
      </c>
      <c r="AK86" s="291">
        <f t="shared" si="22"/>
        <v>0</v>
      </c>
      <c r="AL86" s="97"/>
      <c r="AM86" s="1408"/>
      <c r="AN86" s="1330"/>
      <c r="AO86" s="1404"/>
      <c r="AP86" s="62" t="str">
        <f>C85</f>
        <v>16 - TROCA DA FROTA DE EMPILHADEIRAS</v>
      </c>
      <c r="AQ86" s="62" t="s">
        <v>313</v>
      </c>
      <c r="AR86" s="508" t="str" cm="1">
        <f t="array" aca="1" ref="AR86" ca="1">IF(OR(AP86="",AP86=0),"",IF(SUMPRODUCT(($C$55:$C$153=AP86)*($U$54:AI$54&lt;=TODAY())*(ISNUMBER($U$56:AI$154)),$U$56:AI$154)=0,"",SUMPRODUCT(($C$55:$C$153=AP86)*($U$54:AI$54&lt;=TODAY())*(ISNUMBER($U$56:AI$154)),$U$56:AI$154)))</f>
        <v/>
      </c>
      <c r="AS86" s="62" t="str">
        <f t="shared" ref="AS86" si="81">A85</f>
        <v>Redução de custo</v>
      </c>
      <c r="AU86" s="1567"/>
      <c r="AV86" s="1567"/>
    </row>
    <row r="87" spans="1:48" ht="29.1" customHeight="1" x14ac:dyDescent="0.3">
      <c r="A87" s="1380"/>
      <c r="B87" s="1380"/>
      <c r="C87" s="1482"/>
      <c r="D87" s="1486"/>
      <c r="E87" s="1368"/>
      <c r="F87" s="1370"/>
      <c r="G87" s="1372"/>
      <c r="H87" s="1372"/>
      <c r="I87" s="1354"/>
      <c r="J87" s="1376"/>
      <c r="K87" s="1389" t="str">
        <f t="shared" ref="K87" si="82">IF(J87="", "", 12 - MONTH(J87) + 1)</f>
        <v/>
      </c>
      <c r="L87" s="1354"/>
      <c r="M87" s="1350"/>
      <c r="N87" s="1391"/>
      <c r="O87" s="1327" t="str">
        <f ca="1">IF(OR(H87="", I87=""), "", IF(TODAY()&lt;H87, 0, IF(TODAY()&gt;I87, 1, (TODAY()-H87+1)/(I87-H87+1))))</f>
        <v/>
      </c>
      <c r="P87" s="1338"/>
      <c r="Q87" s="1327"/>
      <c r="R87" s="1327"/>
      <c r="S87" s="87" t="s">
        <v>116</v>
      </c>
      <c r="T87" s="91" t="str">
        <f ca="1">IF(OR(G87="", H87=""), "", IF(TODAY()&lt;G87, 0, IF(TODAY()&gt;H87, 1, (TODAY()-G87+1)/(H87-G87+1))))</f>
        <v/>
      </c>
      <c r="U87" s="287">
        <f>IFERROR(IF(AND(U$54&gt;=EOMONTH($J87,-1)+1,U$54&lt;=EOMONTH(EOMONTH($J87,-1)+1,$K87-1)),IF(NOT(ISBLANK($N87)),$N87/$K87,$I87/$K87),0),0)</f>
        <v>0</v>
      </c>
      <c r="V87" s="287">
        <f>IFERROR(IF(AND(V$54&gt;=EOMONTH($J87,-1)+1,V$54&lt;=EOMONTH(EOMONTH($J87,-1)+1,$K87-1)),IF(NOT(ISBLANK($N87)),$N87/$K87,$I87/$K87),0),0)</f>
        <v>0</v>
      </c>
      <c r="W87" s="287">
        <f>IFERROR(IF(AND(W$54&gt;=EOMONTH($J87,-1)+1,W$54&lt;=EOMONTH(EOMONTH($J87,-1)+1,$K87-1)),IF(NOT(ISBLANK($N87)),$N87/$K87,$I87/$K87),0),0)</f>
        <v>0</v>
      </c>
      <c r="X87" s="288">
        <f t="shared" si="15"/>
        <v>0</v>
      </c>
      <c r="Y87" s="287">
        <f>IFERROR(IF(AND(Y$54&gt;=EOMONTH($J87,-1)+1,Y$54&lt;=EOMONTH(EOMONTH($J87,-1)+1,$K87-1)),IF(NOT(ISBLANK($N87)),$N87/$K87,$I87/$K87),0),0)</f>
        <v>0</v>
      </c>
      <c r="Z87" s="287">
        <f>IFERROR(IF(AND(Z$54&gt;=EOMONTH($J87,-1)+1,Z$54&lt;=EOMONTH(EOMONTH($J87,-1)+1,$K87-1)),IF(NOT(ISBLANK($N87)),$N87/$K87,$I87/$K87),0),0)</f>
        <v>0</v>
      </c>
      <c r="AA87" s="287">
        <f>IFERROR(IF(AND(AA$54&gt;=EOMONTH($J87,-1)+1,AA$54&lt;=EOMONTH(EOMONTH($J87,-1)+1,$K87-1)),IF(NOT(ISBLANK($N87)),$N87/$K87,$I87/$K87),0),0)</f>
        <v>0</v>
      </c>
      <c r="AB87" s="89">
        <f t="shared" si="16"/>
        <v>0</v>
      </c>
      <c r="AC87" s="287">
        <f>IFERROR(IF(AND(AC$54&gt;=EOMONTH($J87,-1)+1,AC$54&lt;=EOMONTH(EOMONTH($J87,-1)+1,$K87-1)),IF(NOT(ISBLANK($N87)),$N87/$K87,$I87/$K87),0),0)</f>
        <v>0</v>
      </c>
      <c r="AD87" s="287">
        <f>IFERROR(IF(AND(AD$54&gt;=EOMONTH($J87,-1)+1,AD$54&lt;=EOMONTH(EOMONTH($J87,-1)+1,$K87-1)),IF(NOT(ISBLANK($N87)),$N87/$K87,$I87/$K87),0),0)</f>
        <v>0</v>
      </c>
      <c r="AE87" s="287">
        <f>IFERROR(IF(AND(AE$54&gt;=EOMONTH($J87,-1)+1,AE$54&lt;=EOMONTH(EOMONTH($J87,-1)+1,$K87-1)),IF(NOT(ISBLANK($N87)),$N87/$K87,$I87/$K87),0),0)</f>
        <v>0</v>
      </c>
      <c r="AF87" s="89">
        <f t="shared" si="17"/>
        <v>0</v>
      </c>
      <c r="AG87" s="287">
        <f>IFERROR(IF(AND(AG$54&gt;=EOMONTH($J87,-1)+1,AG$54&lt;=EOMONTH(EOMONTH($J87,-1)+1,$K87-1)),IF(NOT(ISBLANK($N87)),$N87/$K87,$I87/$K87),0),0)</f>
        <v>0</v>
      </c>
      <c r="AH87" s="287">
        <f>IFERROR(IF(AND(AH$54&gt;=EOMONTH($J87,-1)+1,AH$54&lt;=EOMONTH(EOMONTH($J87,-1)+1,$K87-1)),IF(NOT(ISBLANK($N87)),$N87/$K87,$I87/$K87),0),0)</f>
        <v>0</v>
      </c>
      <c r="AI87" s="287">
        <f>IFERROR(IF(AND(AI$54&gt;=EOMONTH($J87,-1)+1,AI$54&lt;=EOMONTH(EOMONTH($J87,-1)+1,$K87-1)),IF(NOT(ISBLANK($N87)),$N87/$K87,$I87/$K87),0),0)</f>
        <v>0</v>
      </c>
      <c r="AJ87" s="89">
        <f t="shared" si="72"/>
        <v>0</v>
      </c>
      <c r="AK87" s="90">
        <f t="shared" si="22"/>
        <v>0</v>
      </c>
      <c r="AL87" s="98"/>
      <c r="AM87" s="1370"/>
      <c r="AN87" s="1411"/>
      <c r="AO87" s="1405">
        <f>N87*AN87</f>
        <v>0</v>
      </c>
      <c r="AP87" s="62">
        <f>C87</f>
        <v>0</v>
      </c>
      <c r="AQ87" s="62" t="s">
        <v>311</v>
      </c>
      <c r="AR87" s="508" t="str" cm="1">
        <f t="array" aca="1" ref="AR87" ca="1">IF(OR(AP87="",AP87=0),"",IF(SUMPRODUCT(($C$55:$C$138=AP87)*(U$54:$AI$54&lt;EOMONTH(TODAY(),-1)+1)*(ISNUMBER(U$55:$AI$138)),U$55:$AI$138)=0,"",SUMPRODUCT(($C$55:$C$138=AP87)*(U$54:$AI$54&lt;EOMONTH(TODAY(),-1)+1)*(ISNUMBER(U$55:$AI$138)),U$55:$AI$138)))</f>
        <v/>
      </c>
      <c r="AS87" s="62">
        <f t="shared" ref="AS87" si="83">A87</f>
        <v>0</v>
      </c>
      <c r="AU87" s="1566">
        <f t="shared" ref="AU87" si="84">IF(OR(I87="",K87=""),0,(I87/12)*K87)</f>
        <v>0</v>
      </c>
      <c r="AV87" s="1566">
        <f t="shared" ref="AV87" si="85">IF(OR(N87="",K87="",K87=0),0,(N87/K87)*12)</f>
        <v>0</v>
      </c>
    </row>
    <row r="88" spans="1:48" ht="29.1" customHeight="1" x14ac:dyDescent="0.3">
      <c r="A88" s="1381"/>
      <c r="B88" s="1381"/>
      <c r="C88" s="1483"/>
      <c r="D88" s="1487"/>
      <c r="E88" s="1369"/>
      <c r="F88" s="1371"/>
      <c r="G88" s="1373"/>
      <c r="H88" s="1373"/>
      <c r="I88" s="1355"/>
      <c r="J88" s="1377"/>
      <c r="K88" s="1390"/>
      <c r="L88" s="1355"/>
      <c r="M88" s="1351"/>
      <c r="N88" s="1392"/>
      <c r="O88" s="1328"/>
      <c r="P88" s="1339"/>
      <c r="Q88" s="1328"/>
      <c r="R88" s="1328"/>
      <c r="S88" s="87" t="s">
        <v>117</v>
      </c>
      <c r="T88" s="91"/>
      <c r="U88" s="287"/>
      <c r="V88" s="287"/>
      <c r="W88" s="287"/>
      <c r="X88" s="288">
        <f t="shared" si="15"/>
        <v>0</v>
      </c>
      <c r="Y88" s="287"/>
      <c r="Z88" s="287"/>
      <c r="AA88" s="287"/>
      <c r="AB88" s="288">
        <f t="shared" si="16"/>
        <v>0</v>
      </c>
      <c r="AC88" s="287"/>
      <c r="AD88" s="287"/>
      <c r="AE88" s="287"/>
      <c r="AF88" s="288">
        <f t="shared" si="17"/>
        <v>0</v>
      </c>
      <c r="AG88" s="287"/>
      <c r="AH88" s="287"/>
      <c r="AI88" s="287"/>
      <c r="AJ88" s="288">
        <f t="shared" si="72"/>
        <v>0</v>
      </c>
      <c r="AK88" s="289">
        <f t="shared" si="22"/>
        <v>0</v>
      </c>
      <c r="AL88" s="337"/>
      <c r="AM88" s="1371"/>
      <c r="AN88" s="1412"/>
      <c r="AO88" s="1406"/>
      <c r="AP88" s="62">
        <f>C87</f>
        <v>0</v>
      </c>
      <c r="AQ88" s="62" t="s">
        <v>313</v>
      </c>
      <c r="AR88" s="508" t="str" cm="1">
        <f t="array" aca="1" ref="AR88" ca="1">IF(OR(AP88="",AP88=0),"",IF(SUMPRODUCT(($C$55:$C$153=AP88)*($U$54:AI$54&lt;=TODAY())*(ISNUMBER($U$56:AI$154)),$U$56:AI$154)=0,"",SUMPRODUCT(($C$55:$C$153=AP88)*($U$54:AI$54&lt;=TODAY())*(ISNUMBER($U$56:AI$154)),$U$56:AI$154)))</f>
        <v/>
      </c>
      <c r="AS88" s="62">
        <f t="shared" ref="AS88" si="86">A87</f>
        <v>0</v>
      </c>
      <c r="AU88" s="1567"/>
      <c r="AV88" s="1567"/>
    </row>
    <row r="89" spans="1:48" ht="29.1" customHeight="1" x14ac:dyDescent="0.3">
      <c r="A89" s="1407"/>
      <c r="B89" s="1407"/>
      <c r="C89" s="1465"/>
      <c r="D89" s="1356"/>
      <c r="E89" s="1449"/>
      <c r="F89" s="1451"/>
      <c r="G89" s="1366"/>
      <c r="H89" s="1366"/>
      <c r="I89" s="1488"/>
      <c r="J89" s="1378"/>
      <c r="K89" s="1387" t="str">
        <f t="shared" ref="K89" si="87">IF(J89="", "", 12 - MONTH(J89) + 1)</f>
        <v/>
      </c>
      <c r="L89" s="1395"/>
      <c r="M89" s="1352"/>
      <c r="N89" s="1393"/>
      <c r="O89" s="1334" t="str">
        <f ca="1">IF(OR(H89="", I89=""), "", IF(TODAY()&lt;H89, 0, IF(TODAY()&gt;I89, 1, (TODAY()-H89+1)/(I89-H89+1))))</f>
        <v/>
      </c>
      <c r="P89" s="1336"/>
      <c r="Q89" s="1334"/>
      <c r="R89" s="1334"/>
      <c r="S89" s="93" t="s">
        <v>116</v>
      </c>
      <c r="T89" s="96" t="str">
        <f ca="1">IF(OR(G89="", H89=""), "", IF(TODAY()&lt;G89, 0, IF(TODAY()&gt;H89, 1, (TODAY()-G89+1)/(H89-G89+1))))</f>
        <v/>
      </c>
      <c r="U89" s="498">
        <f>IFERROR(IF(AND(U$54&gt;=EOMONTH($J89,-1)+1,U$54&lt;=EOMONTH(EOMONTH($J89,-1)+1,$K89-1)),IF(NOT(ISBLANK($N89)),$N89/$K89,$I89/$K89),0),0)</f>
        <v>0</v>
      </c>
      <c r="V89" s="498">
        <f>IFERROR(IF(AND(V$54&gt;=EOMONTH($J89,-1)+1,V$54&lt;=EOMONTH(EOMONTH($J89,-1)+1,$K89-1)),IF(NOT(ISBLANK($N89)),$N89/$K89,$I89/$K89),0),0)</f>
        <v>0</v>
      </c>
      <c r="W89" s="498">
        <f>IFERROR(IF(AND(W$54&gt;=EOMONTH($J89,-1)+1,W$54&lt;=EOMONTH(EOMONTH($J89,-1)+1,$K89-1)),IF(NOT(ISBLANK($N89)),$N89/$K89,$I89/$K89),0),0)</f>
        <v>0</v>
      </c>
      <c r="X89" s="288">
        <f t="shared" si="15"/>
        <v>0</v>
      </c>
      <c r="Y89" s="498">
        <f>IFERROR(IF(AND(Y$54&gt;=EOMONTH($J89,-1)+1,Y$54&lt;=EOMONTH(EOMONTH($J89,-1)+1,$K89-1)),IF(NOT(ISBLANK($N89)),$N89/$K89,$I89/$K89),0),0)</f>
        <v>0</v>
      </c>
      <c r="Z89" s="498">
        <f>IFERROR(IF(AND(Z$54&gt;=EOMONTH($J89,-1)+1,Z$54&lt;=EOMONTH(EOMONTH($J89,-1)+1,$K89-1)),IF(NOT(ISBLANK($N89)),$N89/$K89,$I89/$K89),0),0)</f>
        <v>0</v>
      </c>
      <c r="AA89" s="498">
        <f>IFERROR(IF(AND(AA$54&gt;=EOMONTH($J89,-1)+1,AA$54&lt;=EOMONTH(EOMONTH($J89,-1)+1,$K89-1)),IF(NOT(ISBLANK($N89)),$N89/$K89,$I89/$K89),0),0)</f>
        <v>0</v>
      </c>
      <c r="AB89" s="89">
        <f t="shared" si="16"/>
        <v>0</v>
      </c>
      <c r="AC89" s="498">
        <f>IFERROR(IF(AND(AC$54&gt;=EOMONTH($J89,-1)+1,AC$54&lt;=EOMONTH(EOMONTH($J89,-1)+1,$K89-1)),IF(NOT(ISBLANK($N89)),$N89/$K89,$I89/$K89),0),0)</f>
        <v>0</v>
      </c>
      <c r="AD89" s="498">
        <f>IFERROR(IF(AND(AD$54&gt;=EOMONTH($J89,-1)+1,AD$54&lt;=EOMONTH(EOMONTH($J89,-1)+1,$K89-1)),IF(NOT(ISBLANK($N89)),$N89/$K89,$I89/$K89),0),0)</f>
        <v>0</v>
      </c>
      <c r="AE89" s="498">
        <f>IFERROR(IF(AND(AE$54&gt;=EOMONTH($J89,-1)+1,AE$54&lt;=EOMONTH(EOMONTH($J89,-1)+1,$K89-1)),IF(NOT(ISBLANK($N89)),$N89/$K89,$I89/$K89),0),0)</f>
        <v>0</v>
      </c>
      <c r="AF89" s="89">
        <f t="shared" si="17"/>
        <v>0</v>
      </c>
      <c r="AG89" s="498">
        <f>IFERROR(IF(AND(AG$54&gt;=EOMONTH($J89,-1)+1,AG$54&lt;=EOMONTH(EOMONTH($J89,-1)+1,$K89-1)),IF(NOT(ISBLANK($N89)),$N89/$K89,$I89/$K89),0),0)</f>
        <v>0</v>
      </c>
      <c r="AH89" s="498">
        <f>IFERROR(IF(AND(AH$54&gt;=EOMONTH($J89,-1)+1,AH$54&lt;=EOMONTH(EOMONTH($J89,-1)+1,$K89-1)),IF(NOT(ISBLANK($N89)),$N89/$K89,$I89/$K89),0),0)</f>
        <v>0</v>
      </c>
      <c r="AI89" s="498">
        <f>IFERROR(IF(AND(AI$54&gt;=EOMONTH($J89,-1)+1,AI$54&lt;=EOMONTH(EOMONTH($J89,-1)+1,$K89-1)),IF(NOT(ISBLANK($N89)),$N89/$K89,$I89/$K89),0),0)</f>
        <v>0</v>
      </c>
      <c r="AJ89" s="89">
        <f t="shared" si="72"/>
        <v>0</v>
      </c>
      <c r="AK89" s="95">
        <f t="shared" si="22"/>
        <v>0</v>
      </c>
      <c r="AL89" s="97"/>
      <c r="AM89" s="1407"/>
      <c r="AN89" s="1334"/>
      <c r="AO89" s="1403">
        <f>N89*AN89</f>
        <v>0</v>
      </c>
      <c r="AP89" s="62">
        <f>C89</f>
        <v>0</v>
      </c>
      <c r="AQ89" s="62" t="s">
        <v>311</v>
      </c>
      <c r="AR89" s="508" t="str" cm="1">
        <f t="array" aca="1" ref="AR89" ca="1">IF(OR(AP89="",AP89=0),"",IF(SUMPRODUCT(($C$55:$C$138=AP89)*(U$54:$AI$54&lt;EOMONTH(TODAY(),-1)+1)*(ISNUMBER(U$55:$AI$138)),U$55:$AI$138)=0,"",SUMPRODUCT(($C$55:$C$138=AP89)*(U$54:$AI$54&lt;EOMONTH(TODAY(),-1)+1)*(ISNUMBER(U$55:$AI$138)),U$55:$AI$138)))</f>
        <v/>
      </c>
      <c r="AS89" s="62">
        <f t="shared" ref="AS89" si="88">A89</f>
        <v>0</v>
      </c>
      <c r="AU89" s="1566">
        <f t="shared" ref="AU89" si="89">IF(OR(I89="",K89=""),0,(I89/12)*K89)</f>
        <v>0</v>
      </c>
      <c r="AV89" s="1566">
        <f t="shared" ref="AV89" si="90">IF(OR(N89="",K89="",K89=0),0,(N89/K89)*12)</f>
        <v>0</v>
      </c>
    </row>
    <row r="90" spans="1:48" ht="29.1" customHeight="1" x14ac:dyDescent="0.3">
      <c r="A90" s="1408"/>
      <c r="B90" s="1408"/>
      <c r="C90" s="1466"/>
      <c r="D90" s="1455"/>
      <c r="E90" s="1450"/>
      <c r="F90" s="1452"/>
      <c r="G90" s="1367"/>
      <c r="H90" s="1367"/>
      <c r="I90" s="1367"/>
      <c r="J90" s="1379"/>
      <c r="K90" s="1388"/>
      <c r="L90" s="1396"/>
      <c r="M90" s="1353"/>
      <c r="N90" s="1394"/>
      <c r="O90" s="1330"/>
      <c r="P90" s="1337"/>
      <c r="Q90" s="1330"/>
      <c r="R90" s="1330"/>
      <c r="S90" s="93" t="s">
        <v>117</v>
      </c>
      <c r="T90" s="96"/>
      <c r="U90" s="290"/>
      <c r="V90" s="290"/>
      <c r="W90" s="290"/>
      <c r="X90" s="288">
        <f t="shared" si="15"/>
        <v>0</v>
      </c>
      <c r="Y90" s="290"/>
      <c r="Z90" s="290"/>
      <c r="AA90" s="290"/>
      <c r="AB90" s="288">
        <f t="shared" si="16"/>
        <v>0</v>
      </c>
      <c r="AC90" s="290"/>
      <c r="AD90" s="290"/>
      <c r="AE90" s="290"/>
      <c r="AF90" s="288">
        <f t="shared" si="17"/>
        <v>0</v>
      </c>
      <c r="AG90" s="290"/>
      <c r="AH90" s="290"/>
      <c r="AI90" s="290"/>
      <c r="AJ90" s="288">
        <f t="shared" si="72"/>
        <v>0</v>
      </c>
      <c r="AK90" s="291">
        <f t="shared" si="22"/>
        <v>0</v>
      </c>
      <c r="AL90" s="97"/>
      <c r="AM90" s="1408"/>
      <c r="AN90" s="1330"/>
      <c r="AO90" s="1404"/>
      <c r="AP90" s="62">
        <f>C89</f>
        <v>0</v>
      </c>
      <c r="AQ90" s="62" t="s">
        <v>313</v>
      </c>
      <c r="AR90" s="508" t="str" cm="1">
        <f t="array" aca="1" ref="AR90" ca="1">IF(OR(AP90="",AP90=0),"",IF(SUMPRODUCT(($C$55:$C$153=AP90)*($U$54:AI$54&lt;=TODAY())*(ISNUMBER($U$56:AI$154)),$U$56:AI$154)=0,"",SUMPRODUCT(($C$55:$C$153=AP90)*($U$54:AI$54&lt;=TODAY())*(ISNUMBER($U$56:AI$154)),$U$56:AI$154)))</f>
        <v/>
      </c>
      <c r="AS90" s="62">
        <f t="shared" ref="AS90" si="91">A89</f>
        <v>0</v>
      </c>
      <c r="AU90" s="1567"/>
      <c r="AV90" s="1567"/>
    </row>
    <row r="91" spans="1:48" ht="29.1" customHeight="1" x14ac:dyDescent="0.3">
      <c r="A91" s="1380"/>
      <c r="B91" s="1380"/>
      <c r="C91" s="1482"/>
      <c r="D91" s="1486"/>
      <c r="E91" s="1368"/>
      <c r="F91" s="1370"/>
      <c r="G91" s="1372"/>
      <c r="H91" s="1372"/>
      <c r="I91" s="1354"/>
      <c r="J91" s="1376"/>
      <c r="K91" s="1389" t="str">
        <f t="shared" ref="K91" si="92">IF(J91="", "", 12 - MONTH(J91) + 1)</f>
        <v/>
      </c>
      <c r="L91" s="1354"/>
      <c r="M91" s="1350"/>
      <c r="N91" s="1391"/>
      <c r="O91" s="1327" t="str">
        <f ca="1">IF(OR(H91="", I91=""), "", IF(TODAY()&lt;H91, 0, IF(TODAY()&gt;I91, 1, (TODAY()-H91+1)/(I91-H91+1))))</f>
        <v/>
      </c>
      <c r="P91" s="1338"/>
      <c r="Q91" s="1327"/>
      <c r="R91" s="1327"/>
      <c r="S91" s="87" t="s">
        <v>116</v>
      </c>
      <c r="T91" s="91" t="str">
        <f ca="1">IF(OR(G91="", H91=""), "", IF(TODAY()&lt;G91, 0, IF(TODAY()&gt;H91, 1, (TODAY()-G91+1)/(H91-G91+1))))</f>
        <v/>
      </c>
      <c r="U91" s="287">
        <f>IFERROR(IF(AND(U$54&gt;=EOMONTH($J91,-1)+1,U$54&lt;=EOMONTH(EOMONTH($J91,-1)+1,$K91-1)),IF(NOT(ISBLANK($N91)),$N91/$K91,$I91/$K91),0),0)</f>
        <v>0</v>
      </c>
      <c r="V91" s="287">
        <f>IFERROR(IF(AND(V$54&gt;=EOMONTH($J91,-1)+1,V$54&lt;=EOMONTH(EOMONTH($J91,-1)+1,$K91-1)),IF(NOT(ISBLANK($N91)),$N91/$K91,$I91/$K91),0),0)</f>
        <v>0</v>
      </c>
      <c r="W91" s="287">
        <f>IFERROR(IF(AND(W$54&gt;=EOMONTH($J91,-1)+1,W$54&lt;=EOMONTH(EOMONTH($J91,-1)+1,$K91-1)),IF(NOT(ISBLANK($N91)),$N91/$K91,$I91/$K91),0),0)</f>
        <v>0</v>
      </c>
      <c r="X91" s="288">
        <f t="shared" si="15"/>
        <v>0</v>
      </c>
      <c r="Y91" s="287">
        <f>IFERROR(IF(AND(Y$54&gt;=EOMONTH($J91,-1)+1,Y$54&lt;=EOMONTH(EOMONTH($J91,-1)+1,$K91-1)),IF(NOT(ISBLANK($N91)),$N91/$K91,$I91/$K91),0),0)</f>
        <v>0</v>
      </c>
      <c r="Z91" s="287">
        <f>IFERROR(IF(AND(Z$54&gt;=EOMONTH($J91,-1)+1,Z$54&lt;=EOMONTH(EOMONTH($J91,-1)+1,$K91-1)),IF(NOT(ISBLANK($N91)),$N91/$K91,$I91/$K91),0),0)</f>
        <v>0</v>
      </c>
      <c r="AA91" s="287">
        <f>IFERROR(IF(AND(AA$54&gt;=EOMONTH($J91,-1)+1,AA$54&lt;=EOMONTH(EOMONTH($J91,-1)+1,$K91-1)),IF(NOT(ISBLANK($N91)),$N91/$K91,$I91/$K91),0),0)</f>
        <v>0</v>
      </c>
      <c r="AB91" s="89">
        <f t="shared" si="16"/>
        <v>0</v>
      </c>
      <c r="AC91" s="287">
        <f>IFERROR(IF(AND(AC$54&gt;=EOMONTH($J91,-1)+1,AC$54&lt;=EOMONTH(EOMONTH($J91,-1)+1,$K91-1)),IF(NOT(ISBLANK($N91)),$N91/$K91,$I91/$K91),0),0)</f>
        <v>0</v>
      </c>
      <c r="AD91" s="287">
        <f>IFERROR(IF(AND(AD$54&gt;=EOMONTH($J91,-1)+1,AD$54&lt;=EOMONTH(EOMONTH($J91,-1)+1,$K91-1)),IF(NOT(ISBLANK($N91)),$N91/$K91,$I91/$K91),0),0)</f>
        <v>0</v>
      </c>
      <c r="AE91" s="287">
        <f>IFERROR(IF(AND(AE$54&gt;=EOMONTH($J91,-1)+1,AE$54&lt;=EOMONTH(EOMONTH($J91,-1)+1,$K91-1)),IF(NOT(ISBLANK($N91)),$N91/$K91,$I91/$K91),0),0)</f>
        <v>0</v>
      </c>
      <c r="AF91" s="89">
        <f t="shared" si="17"/>
        <v>0</v>
      </c>
      <c r="AG91" s="287">
        <f>IFERROR(IF(AND(AG$54&gt;=EOMONTH($J91,-1)+1,AG$54&lt;=EOMONTH(EOMONTH($J91,-1)+1,$K91-1)),IF(NOT(ISBLANK($N91)),$N91/$K91,$I91/$K91),0),0)</f>
        <v>0</v>
      </c>
      <c r="AH91" s="287">
        <f>IFERROR(IF(AND(AH$54&gt;=EOMONTH($J91,-1)+1,AH$54&lt;=EOMONTH(EOMONTH($J91,-1)+1,$K91-1)),IF(NOT(ISBLANK($N91)),$N91/$K91,$I91/$K91),0),0)</f>
        <v>0</v>
      </c>
      <c r="AI91" s="287">
        <f>IFERROR(IF(AND(AI$54&gt;=EOMONTH($J91,-1)+1,AI$54&lt;=EOMONTH(EOMONTH($J91,-1)+1,$K91-1)),IF(NOT(ISBLANK($N91)),$N91/$K91,$I91/$K91),0),0)</f>
        <v>0</v>
      </c>
      <c r="AJ91" s="89">
        <f t="shared" si="72"/>
        <v>0</v>
      </c>
      <c r="AK91" s="90">
        <f t="shared" si="22"/>
        <v>0</v>
      </c>
      <c r="AL91" s="98"/>
      <c r="AM91" s="1370"/>
      <c r="AN91" s="1411"/>
      <c r="AO91" s="1405">
        <f>N91*AN91</f>
        <v>0</v>
      </c>
      <c r="AP91" s="62">
        <f>C91</f>
        <v>0</v>
      </c>
      <c r="AQ91" s="62" t="s">
        <v>311</v>
      </c>
      <c r="AR91" s="508" t="str" cm="1">
        <f t="array" aca="1" ref="AR91" ca="1">IF(OR(AP91="",AP91=0),"",IF(SUMPRODUCT(($C$55:$C$138=AP91)*(U$54:$AI$54&lt;EOMONTH(TODAY(),-1)+1)*(ISNUMBER(U$55:$AI$138)),U$55:$AI$138)=0,"",SUMPRODUCT(($C$55:$C$138=AP91)*(U$54:$AI$54&lt;EOMONTH(TODAY(),-1)+1)*(ISNUMBER(U$55:$AI$138)),U$55:$AI$138)))</f>
        <v/>
      </c>
      <c r="AS91" s="62">
        <f t="shared" ref="AS91" si="93">A91</f>
        <v>0</v>
      </c>
      <c r="AU91" s="1566">
        <f t="shared" ref="AU91" si="94">IF(OR(I91="",K91=""),0,(I91/12)*K91)</f>
        <v>0</v>
      </c>
      <c r="AV91" s="1566">
        <f t="shared" ref="AV91" si="95">IF(OR(N91="",K91="",K91=0),0,(N91/K91)*12)</f>
        <v>0</v>
      </c>
    </row>
    <row r="92" spans="1:48" ht="29.1" customHeight="1" x14ac:dyDescent="0.3">
      <c r="A92" s="1381"/>
      <c r="B92" s="1381"/>
      <c r="C92" s="1483"/>
      <c r="D92" s="1487"/>
      <c r="E92" s="1369"/>
      <c r="F92" s="1371"/>
      <c r="G92" s="1373"/>
      <c r="H92" s="1373"/>
      <c r="I92" s="1355"/>
      <c r="J92" s="1377"/>
      <c r="K92" s="1390"/>
      <c r="L92" s="1355"/>
      <c r="M92" s="1351"/>
      <c r="N92" s="1392"/>
      <c r="O92" s="1328"/>
      <c r="P92" s="1339"/>
      <c r="Q92" s="1328"/>
      <c r="R92" s="1328"/>
      <c r="S92" s="87" t="s">
        <v>117</v>
      </c>
      <c r="T92" s="91"/>
      <c r="U92" s="287"/>
      <c r="V92" s="287"/>
      <c r="W92" s="287"/>
      <c r="X92" s="288">
        <f t="shared" si="15"/>
        <v>0</v>
      </c>
      <c r="Y92" s="287"/>
      <c r="Z92" s="287"/>
      <c r="AA92" s="287"/>
      <c r="AB92" s="288">
        <f t="shared" si="16"/>
        <v>0</v>
      </c>
      <c r="AC92" s="287"/>
      <c r="AD92" s="287"/>
      <c r="AE92" s="287"/>
      <c r="AF92" s="288">
        <f t="shared" si="17"/>
        <v>0</v>
      </c>
      <c r="AG92" s="287"/>
      <c r="AH92" s="287"/>
      <c r="AI92" s="287"/>
      <c r="AJ92" s="288">
        <f t="shared" si="72"/>
        <v>0</v>
      </c>
      <c r="AK92" s="289">
        <f t="shared" si="22"/>
        <v>0</v>
      </c>
      <c r="AL92" s="337"/>
      <c r="AM92" s="1371"/>
      <c r="AN92" s="1412"/>
      <c r="AO92" s="1406"/>
      <c r="AP92" s="62">
        <f>C91</f>
        <v>0</v>
      </c>
      <c r="AQ92" s="62" t="s">
        <v>313</v>
      </c>
      <c r="AR92" s="508" t="str" cm="1">
        <f t="array" aca="1" ref="AR92" ca="1">IF(OR(AP92="",AP92=0),"",IF(SUMPRODUCT(($C$55:$C$153=AP92)*($U$54:AI$54&lt;=TODAY())*(ISNUMBER($U$56:AI$154)),$U$56:AI$154)=0,"",SUMPRODUCT(($C$55:$C$153=AP92)*($U$54:AI$54&lt;=TODAY())*(ISNUMBER($U$56:AI$154)),$U$56:AI$154)))</f>
        <v/>
      </c>
      <c r="AS92" s="62">
        <f t="shared" ref="AS92" si="96">A91</f>
        <v>0</v>
      </c>
      <c r="AU92" s="1567"/>
      <c r="AV92" s="1567"/>
    </row>
    <row r="93" spans="1:48" ht="29.1" customHeight="1" x14ac:dyDescent="0.3">
      <c r="A93" s="1407"/>
      <c r="B93" s="1407"/>
      <c r="C93" s="1465"/>
      <c r="D93" s="1356"/>
      <c r="E93" s="1449"/>
      <c r="F93" s="1451"/>
      <c r="G93" s="1366"/>
      <c r="H93" s="1366"/>
      <c r="I93" s="1488"/>
      <c r="J93" s="1378"/>
      <c r="K93" s="1387" t="str">
        <f t="shared" ref="K93" si="97">IF(J93="", "", 12 - MONTH(J93) + 1)</f>
        <v/>
      </c>
      <c r="L93" s="1395"/>
      <c r="M93" s="1352"/>
      <c r="N93" s="1393"/>
      <c r="O93" s="1334" t="str">
        <f ca="1">IF(OR(H93="", I93=""), "", IF(TODAY()&lt;H93, 0, IF(TODAY()&gt;I93, 1, (TODAY()-H93+1)/(I93-H93+1))))</f>
        <v/>
      </c>
      <c r="P93" s="1336"/>
      <c r="Q93" s="1334"/>
      <c r="R93" s="1334"/>
      <c r="S93" s="93" t="s">
        <v>116</v>
      </c>
      <c r="T93" s="96" t="str">
        <f ca="1">IF(OR(G93="", H93=""), "", IF(TODAY()&lt;G93, 0, IF(TODAY()&gt;H93, 1, (TODAY()-G93+1)/(H93-G93+1))))</f>
        <v/>
      </c>
      <c r="U93" s="498">
        <f>IFERROR(IF(AND(U$54&gt;=EOMONTH($J93,-1)+1,U$54&lt;=EOMONTH(EOMONTH($J93,-1)+1,$K93-1)),IF(NOT(ISBLANK($N93)),$N93/$K93,$I93/$K93),0),0)</f>
        <v>0</v>
      </c>
      <c r="V93" s="498">
        <f>IFERROR(IF(AND(V$54&gt;=EOMONTH($J93,-1)+1,V$54&lt;=EOMONTH(EOMONTH($J93,-1)+1,$K93-1)),IF(NOT(ISBLANK($N93)),$N93/$K93,$I93/$K93),0),0)</f>
        <v>0</v>
      </c>
      <c r="W93" s="498">
        <f>IFERROR(IF(AND(W$54&gt;=EOMONTH($J93,-1)+1,W$54&lt;=EOMONTH(EOMONTH($J93,-1)+1,$K93-1)),IF(NOT(ISBLANK($N93)),$N93/$K93,$I93/$K93),0),0)</f>
        <v>0</v>
      </c>
      <c r="X93" s="288">
        <f t="shared" si="15"/>
        <v>0</v>
      </c>
      <c r="Y93" s="498">
        <f>IFERROR(IF(AND(Y$54&gt;=EOMONTH($J93,-1)+1,Y$54&lt;=EOMONTH(EOMONTH($J93,-1)+1,$K93-1)),IF(NOT(ISBLANK($N93)),$N93/$K93,$I93/$K93),0),0)</f>
        <v>0</v>
      </c>
      <c r="Z93" s="498">
        <f>IFERROR(IF(AND(Z$54&gt;=EOMONTH($J93,-1)+1,Z$54&lt;=EOMONTH(EOMONTH($J93,-1)+1,$K93-1)),IF(NOT(ISBLANK($N93)),$N93/$K93,$I93/$K93),0),0)</f>
        <v>0</v>
      </c>
      <c r="AA93" s="498">
        <f>IFERROR(IF(AND(AA$54&gt;=EOMONTH($J93,-1)+1,AA$54&lt;=EOMONTH(EOMONTH($J93,-1)+1,$K93-1)),IF(NOT(ISBLANK($N93)),$N93/$K93,$I93/$K93),0),0)</f>
        <v>0</v>
      </c>
      <c r="AB93" s="89">
        <f t="shared" si="16"/>
        <v>0</v>
      </c>
      <c r="AC93" s="498">
        <f>IFERROR(IF(AND(AC$54&gt;=EOMONTH($J93,-1)+1,AC$54&lt;=EOMONTH(EOMONTH($J93,-1)+1,$K93-1)),IF(NOT(ISBLANK($N93)),$N93/$K93,$I93/$K93),0),0)</f>
        <v>0</v>
      </c>
      <c r="AD93" s="498">
        <f>IFERROR(IF(AND(AD$54&gt;=EOMONTH($J93,-1)+1,AD$54&lt;=EOMONTH(EOMONTH($J93,-1)+1,$K93-1)),IF(NOT(ISBLANK($N93)),$N93/$K93,$I93/$K93),0),0)</f>
        <v>0</v>
      </c>
      <c r="AE93" s="498">
        <f>IFERROR(IF(AND(AE$54&gt;=EOMONTH($J93,-1)+1,AE$54&lt;=EOMONTH(EOMONTH($J93,-1)+1,$K93-1)),IF(NOT(ISBLANK($N93)),$N93/$K93,$I93/$K93),0),0)</f>
        <v>0</v>
      </c>
      <c r="AF93" s="89">
        <f t="shared" si="17"/>
        <v>0</v>
      </c>
      <c r="AG93" s="498">
        <f>IFERROR(IF(AND(AG$54&gt;=EOMONTH($J93,-1)+1,AG$54&lt;=EOMONTH(EOMONTH($J93,-1)+1,$K93-1)),IF(NOT(ISBLANK($N93)),$N93/$K93,$I93/$K93),0),0)</f>
        <v>0</v>
      </c>
      <c r="AH93" s="498">
        <f>IFERROR(IF(AND(AH$54&gt;=EOMONTH($J93,-1)+1,AH$54&lt;=EOMONTH(EOMONTH($J93,-1)+1,$K93-1)),IF(NOT(ISBLANK($N93)),$N93/$K93,$I93/$K93),0),0)</f>
        <v>0</v>
      </c>
      <c r="AI93" s="498">
        <f>IFERROR(IF(AND(AI$54&gt;=EOMONTH($J93,-1)+1,AI$54&lt;=EOMONTH(EOMONTH($J93,-1)+1,$K93-1)),IF(NOT(ISBLANK($N93)),$N93/$K93,$I93/$K93),0),0)</f>
        <v>0</v>
      </c>
      <c r="AJ93" s="89">
        <f t="shared" si="72"/>
        <v>0</v>
      </c>
      <c r="AK93" s="95">
        <f t="shared" si="22"/>
        <v>0</v>
      </c>
      <c r="AL93" s="97"/>
      <c r="AM93" s="1407"/>
      <c r="AN93" s="1334"/>
      <c r="AO93" s="1403">
        <f>N93*AN93</f>
        <v>0</v>
      </c>
      <c r="AP93" s="62">
        <f>C93</f>
        <v>0</v>
      </c>
      <c r="AQ93" s="62" t="s">
        <v>311</v>
      </c>
      <c r="AR93" s="508" t="str" cm="1">
        <f t="array" aca="1" ref="AR93" ca="1">IF(OR(AP93="",AP93=0),"",IF(SUMPRODUCT(($C$55:$C$138=AP93)*(U$54:$AI$54&lt;EOMONTH(TODAY(),-1)+1)*(ISNUMBER(U$55:$AI$138)),U$55:$AI$138)=0,"",SUMPRODUCT(($C$55:$C$138=AP93)*(U$54:$AI$54&lt;EOMONTH(TODAY(),-1)+1)*(ISNUMBER(U$55:$AI$138)),U$55:$AI$138)))</f>
        <v/>
      </c>
      <c r="AS93" s="62">
        <f t="shared" ref="AS93" si="98">A93</f>
        <v>0</v>
      </c>
      <c r="AU93" s="1566">
        <f t="shared" ref="AU93" si="99">IF(OR(I93="",K93=""),0,(I93/12)*K93)</f>
        <v>0</v>
      </c>
      <c r="AV93" s="1566">
        <f t="shared" ref="AV93" si="100">IF(OR(N93="",K93="",K93=0),0,(N93/K93)*12)</f>
        <v>0</v>
      </c>
    </row>
    <row r="94" spans="1:48" ht="29.1" customHeight="1" x14ac:dyDescent="0.3">
      <c r="A94" s="1408"/>
      <c r="B94" s="1408"/>
      <c r="C94" s="1466"/>
      <c r="D94" s="1455"/>
      <c r="E94" s="1450"/>
      <c r="F94" s="1452"/>
      <c r="G94" s="1367"/>
      <c r="H94" s="1367"/>
      <c r="I94" s="1367"/>
      <c r="J94" s="1379"/>
      <c r="K94" s="1388"/>
      <c r="L94" s="1396"/>
      <c r="M94" s="1353"/>
      <c r="N94" s="1394"/>
      <c r="O94" s="1330"/>
      <c r="P94" s="1337"/>
      <c r="Q94" s="1330"/>
      <c r="R94" s="1330"/>
      <c r="S94" s="93" t="s">
        <v>117</v>
      </c>
      <c r="T94" s="96"/>
      <c r="U94" s="290"/>
      <c r="V94" s="290"/>
      <c r="W94" s="290"/>
      <c r="X94" s="288">
        <f t="shared" si="15"/>
        <v>0</v>
      </c>
      <c r="Y94" s="290"/>
      <c r="Z94" s="290"/>
      <c r="AA94" s="290"/>
      <c r="AB94" s="288">
        <f t="shared" si="16"/>
        <v>0</v>
      </c>
      <c r="AC94" s="290"/>
      <c r="AD94" s="290"/>
      <c r="AE94" s="290"/>
      <c r="AF94" s="288">
        <f t="shared" si="17"/>
        <v>0</v>
      </c>
      <c r="AG94" s="290"/>
      <c r="AH94" s="290"/>
      <c r="AI94" s="290"/>
      <c r="AJ94" s="288">
        <f t="shared" si="72"/>
        <v>0</v>
      </c>
      <c r="AK94" s="291">
        <f t="shared" si="22"/>
        <v>0</v>
      </c>
      <c r="AL94" s="97"/>
      <c r="AM94" s="1408"/>
      <c r="AN94" s="1330"/>
      <c r="AO94" s="1404"/>
      <c r="AP94" s="62">
        <f>C93</f>
        <v>0</v>
      </c>
      <c r="AQ94" s="62" t="s">
        <v>313</v>
      </c>
      <c r="AR94" s="508" t="str" cm="1">
        <f t="array" aca="1" ref="AR94" ca="1">IF(OR(AP94="",AP94=0),"",IF(SUMPRODUCT(($C$55:$C$153=AP94)*($U$54:AI$54&lt;=TODAY())*(ISNUMBER($U$56:AI$154)),$U$56:AI$154)=0,"",SUMPRODUCT(($C$55:$C$153=AP94)*($U$54:AI$54&lt;=TODAY())*(ISNUMBER($U$56:AI$154)),$U$56:AI$154)))</f>
        <v/>
      </c>
      <c r="AS94" s="62">
        <f t="shared" ref="AS94" si="101">A93</f>
        <v>0</v>
      </c>
      <c r="AU94" s="1567"/>
      <c r="AV94" s="1567"/>
    </row>
    <row r="95" spans="1:48" ht="29.1" customHeight="1" x14ac:dyDescent="0.3">
      <c r="A95" s="1380"/>
      <c r="B95" s="1380"/>
      <c r="C95" s="1482"/>
      <c r="D95" s="1486"/>
      <c r="E95" s="1368"/>
      <c r="F95" s="1370"/>
      <c r="G95" s="1372"/>
      <c r="H95" s="1372"/>
      <c r="I95" s="1354"/>
      <c r="J95" s="1376"/>
      <c r="K95" s="1389" t="str">
        <f t="shared" ref="K95" si="102">IF(J95="", "", 12 - MONTH(J95) + 1)</f>
        <v/>
      </c>
      <c r="L95" s="1354"/>
      <c r="M95" s="1350"/>
      <c r="N95" s="1391"/>
      <c r="O95" s="1327" t="str">
        <f ca="1">IF(OR(H95="", I95=""), "", IF(TODAY()&lt;H95, 0, IF(TODAY()&gt;I95, 1, (TODAY()-H95+1)/(I95-H95+1))))</f>
        <v/>
      </c>
      <c r="P95" s="1338"/>
      <c r="Q95" s="1327"/>
      <c r="R95" s="1327"/>
      <c r="S95" s="87" t="s">
        <v>116</v>
      </c>
      <c r="T95" s="91" t="str">
        <f ca="1">IF(OR(G95="", H95=""), "", IF(TODAY()&lt;G95, 0, IF(TODAY()&gt;H95, 1, (TODAY()-G95+1)/(H95-G95+1))))</f>
        <v/>
      </c>
      <c r="U95" s="287">
        <f>IFERROR(IF(AND(U$54&gt;=EOMONTH($J95,-1)+1,U$54&lt;=EOMONTH(EOMONTH($J95,-1)+1,$K95-1)),IF(NOT(ISBLANK($N95)),$N95/$K95,$I95/$K95),0),0)</f>
        <v>0</v>
      </c>
      <c r="V95" s="287">
        <f>IFERROR(IF(AND(V$54&gt;=EOMONTH($J95,-1)+1,V$54&lt;=EOMONTH(EOMONTH($J95,-1)+1,$K95-1)),IF(NOT(ISBLANK($N95)),$N95/$K95,$I95/$K95),0),0)</f>
        <v>0</v>
      </c>
      <c r="W95" s="287">
        <f>IFERROR(IF(AND(W$54&gt;=EOMONTH($J95,-1)+1,W$54&lt;=EOMONTH(EOMONTH($J95,-1)+1,$K95-1)),IF(NOT(ISBLANK($N95)),$N95/$K95,$I95/$K95),0),0)</f>
        <v>0</v>
      </c>
      <c r="X95" s="288">
        <f t="shared" si="15"/>
        <v>0</v>
      </c>
      <c r="Y95" s="287">
        <f>IFERROR(IF(AND(Y$54&gt;=EOMONTH($J95,-1)+1,Y$54&lt;=EOMONTH(EOMONTH($J95,-1)+1,$K95-1)),IF(NOT(ISBLANK($N95)),$N95/$K95,$I95/$K95),0),0)</f>
        <v>0</v>
      </c>
      <c r="Z95" s="287">
        <f>IFERROR(IF(AND(Z$54&gt;=EOMONTH($J95,-1)+1,Z$54&lt;=EOMONTH(EOMONTH($J95,-1)+1,$K95-1)),IF(NOT(ISBLANK($N95)),$N95/$K95,$I95/$K95),0),0)</f>
        <v>0</v>
      </c>
      <c r="AA95" s="287">
        <f>IFERROR(IF(AND(AA$54&gt;=EOMONTH($J95,-1)+1,AA$54&lt;=EOMONTH(EOMONTH($J95,-1)+1,$K95-1)),IF(NOT(ISBLANK($N95)),$N95/$K95,$I95/$K95),0),0)</f>
        <v>0</v>
      </c>
      <c r="AB95" s="89">
        <f t="shared" si="16"/>
        <v>0</v>
      </c>
      <c r="AC95" s="287">
        <f>IFERROR(IF(AND(AC$54&gt;=EOMONTH($J95,-1)+1,AC$54&lt;=EOMONTH(EOMONTH($J95,-1)+1,$K95-1)),IF(NOT(ISBLANK($N95)),$N95/$K95,$I95/$K95),0),0)</f>
        <v>0</v>
      </c>
      <c r="AD95" s="287">
        <f>IFERROR(IF(AND(AD$54&gt;=EOMONTH($J95,-1)+1,AD$54&lt;=EOMONTH(EOMONTH($J95,-1)+1,$K95-1)),IF(NOT(ISBLANK($N95)),$N95/$K95,$I95/$K95),0),0)</f>
        <v>0</v>
      </c>
      <c r="AE95" s="287">
        <f>IFERROR(IF(AND(AE$54&gt;=EOMONTH($J95,-1)+1,AE$54&lt;=EOMONTH(EOMONTH($J95,-1)+1,$K95-1)),IF(NOT(ISBLANK($N95)),$N95/$K95,$I95/$K95),0),0)</f>
        <v>0</v>
      </c>
      <c r="AF95" s="89">
        <f t="shared" si="17"/>
        <v>0</v>
      </c>
      <c r="AG95" s="287">
        <f>IFERROR(IF(AND(AG$54&gt;=EOMONTH($J95,-1)+1,AG$54&lt;=EOMONTH(EOMONTH($J95,-1)+1,$K95-1)),IF(NOT(ISBLANK($N95)),$N95/$K95,$I95/$K95),0),0)</f>
        <v>0</v>
      </c>
      <c r="AH95" s="287">
        <f>IFERROR(IF(AND(AH$54&gt;=EOMONTH($J95,-1)+1,AH$54&lt;=EOMONTH(EOMONTH($J95,-1)+1,$K95-1)),IF(NOT(ISBLANK($N95)),$N95/$K95,$I95/$K95),0),0)</f>
        <v>0</v>
      </c>
      <c r="AI95" s="287">
        <f>IFERROR(IF(AND(AI$54&gt;=EOMONTH($J95,-1)+1,AI$54&lt;=EOMONTH(EOMONTH($J95,-1)+1,$K95-1)),IF(NOT(ISBLANK($N95)),$N95/$K95,$I95/$K95),0),0)</f>
        <v>0</v>
      </c>
      <c r="AJ95" s="89">
        <f t="shared" si="72"/>
        <v>0</v>
      </c>
      <c r="AK95" s="90">
        <f t="shared" si="22"/>
        <v>0</v>
      </c>
      <c r="AL95" s="98"/>
      <c r="AM95" s="1370"/>
      <c r="AN95" s="1411"/>
      <c r="AO95" s="1405">
        <f>N95*AN95</f>
        <v>0</v>
      </c>
      <c r="AP95" s="62">
        <f>C95</f>
        <v>0</v>
      </c>
      <c r="AQ95" s="62" t="s">
        <v>311</v>
      </c>
      <c r="AR95" s="508" t="str" cm="1">
        <f t="array" aca="1" ref="AR95" ca="1">IF(OR(AP95="",AP95=0),"",IF(SUMPRODUCT(($C$55:$C$138=AP95)*(U$54:$AI$54&lt;EOMONTH(TODAY(),-1)+1)*(ISNUMBER(U$55:$AI$138)),U$55:$AI$138)=0,"",SUMPRODUCT(($C$55:$C$138=AP95)*(U$54:$AI$54&lt;EOMONTH(TODAY(),-1)+1)*(ISNUMBER(U$55:$AI$138)),U$55:$AI$138)))</f>
        <v/>
      </c>
      <c r="AS95" s="62">
        <f t="shared" ref="AS95" si="103">A95</f>
        <v>0</v>
      </c>
      <c r="AU95" s="1566">
        <f t="shared" ref="AU95" si="104">IF(OR(I95="",K95=""),0,(I95/12)*K95)</f>
        <v>0</v>
      </c>
      <c r="AV95" s="1566">
        <f t="shared" ref="AV95" si="105">IF(OR(N95="",K95="",K95=0),0,(N95/K95)*12)</f>
        <v>0</v>
      </c>
    </row>
    <row r="96" spans="1:48" ht="29.1" customHeight="1" x14ac:dyDescent="0.3">
      <c r="A96" s="1381"/>
      <c r="B96" s="1381"/>
      <c r="C96" s="1483"/>
      <c r="D96" s="1487"/>
      <c r="E96" s="1369"/>
      <c r="F96" s="1371"/>
      <c r="G96" s="1373"/>
      <c r="H96" s="1373"/>
      <c r="I96" s="1355"/>
      <c r="J96" s="1377"/>
      <c r="K96" s="1390"/>
      <c r="L96" s="1355"/>
      <c r="M96" s="1351"/>
      <c r="N96" s="1392"/>
      <c r="O96" s="1328"/>
      <c r="P96" s="1339"/>
      <c r="Q96" s="1328"/>
      <c r="R96" s="1328"/>
      <c r="S96" s="87" t="s">
        <v>117</v>
      </c>
      <c r="T96" s="91"/>
      <c r="U96" s="287"/>
      <c r="V96" s="287"/>
      <c r="W96" s="287"/>
      <c r="X96" s="288">
        <f t="shared" si="15"/>
        <v>0</v>
      </c>
      <c r="Y96" s="287"/>
      <c r="Z96" s="287"/>
      <c r="AA96" s="287"/>
      <c r="AB96" s="288">
        <f t="shared" si="16"/>
        <v>0</v>
      </c>
      <c r="AC96" s="287"/>
      <c r="AD96" s="287"/>
      <c r="AE96" s="287"/>
      <c r="AF96" s="288">
        <f t="shared" si="17"/>
        <v>0</v>
      </c>
      <c r="AG96" s="287"/>
      <c r="AH96" s="287"/>
      <c r="AI96" s="287"/>
      <c r="AJ96" s="288">
        <f t="shared" si="72"/>
        <v>0</v>
      </c>
      <c r="AK96" s="289">
        <f t="shared" si="22"/>
        <v>0</v>
      </c>
      <c r="AL96" s="337"/>
      <c r="AM96" s="1371"/>
      <c r="AN96" s="1412"/>
      <c r="AO96" s="1406"/>
      <c r="AP96" s="62">
        <f>C95</f>
        <v>0</v>
      </c>
      <c r="AQ96" s="62" t="s">
        <v>313</v>
      </c>
      <c r="AR96" s="508" t="str" cm="1">
        <f t="array" aca="1" ref="AR96" ca="1">IF(OR(AP96="",AP96=0),"",IF(SUMPRODUCT(($C$55:$C$153=AP96)*($U$54:AI$54&lt;=TODAY())*(ISNUMBER($U$56:AI$154)),$U$56:AI$154)=0,"",SUMPRODUCT(($C$55:$C$153=AP96)*($U$54:AI$54&lt;=TODAY())*(ISNUMBER($U$56:AI$154)),$U$56:AI$154)))</f>
        <v/>
      </c>
      <c r="AS96" s="62">
        <f t="shared" ref="AS96" si="106">A95</f>
        <v>0</v>
      </c>
      <c r="AU96" s="1567"/>
      <c r="AV96" s="1567"/>
    </row>
    <row r="97" spans="1:48" ht="29.1" customHeight="1" x14ac:dyDescent="0.3">
      <c r="A97" s="1407"/>
      <c r="B97" s="1407"/>
      <c r="C97" s="1465"/>
      <c r="D97" s="1356"/>
      <c r="E97" s="1449"/>
      <c r="F97" s="1451"/>
      <c r="G97" s="1366"/>
      <c r="H97" s="1366"/>
      <c r="I97" s="1488"/>
      <c r="J97" s="1378"/>
      <c r="K97" s="1387" t="str">
        <f t="shared" ref="K97" si="107">IF(J97="", "", 12 - MONTH(J97) + 1)</f>
        <v/>
      </c>
      <c r="L97" s="1395"/>
      <c r="M97" s="1352"/>
      <c r="N97" s="1393"/>
      <c r="O97" s="1334" t="str">
        <f ca="1">IF(OR(H97="", I97=""), "", IF(TODAY()&lt;H97, 0, IF(TODAY()&gt;I97, 1, (TODAY()-H97+1)/(I97-H97+1))))</f>
        <v/>
      </c>
      <c r="P97" s="1336"/>
      <c r="Q97" s="1334"/>
      <c r="R97" s="1334"/>
      <c r="S97" s="93" t="s">
        <v>116</v>
      </c>
      <c r="T97" s="96" t="str">
        <f ca="1">IF(OR(G97="", H97=""), "", IF(TODAY()&lt;G97, 0, IF(TODAY()&gt;H97, 1, (TODAY()-G97+1)/(H97-G97+1))))</f>
        <v/>
      </c>
      <c r="U97" s="498">
        <f>IFERROR(IF(AND(U$54&gt;=EOMONTH($J97,-1)+1,U$54&lt;=EOMONTH(EOMONTH($J97,-1)+1,$K97-1)),IF(NOT(ISBLANK($N97)),$N97/$K97,$I97/$K97),0),0)</f>
        <v>0</v>
      </c>
      <c r="V97" s="498">
        <f>IFERROR(IF(AND(V$54&gt;=EOMONTH($J97,-1)+1,V$54&lt;=EOMONTH(EOMONTH($J97,-1)+1,$K97-1)),IF(NOT(ISBLANK($N97)),$N97/$K97,$I97/$K97),0),0)</f>
        <v>0</v>
      </c>
      <c r="W97" s="498">
        <f>IFERROR(IF(AND(W$54&gt;=EOMONTH($J97,-1)+1,W$54&lt;=EOMONTH(EOMONTH($J97,-1)+1,$K97-1)),IF(NOT(ISBLANK($N97)),$N97/$K97,$I97/$K97),0),0)</f>
        <v>0</v>
      </c>
      <c r="X97" s="288">
        <f t="shared" si="15"/>
        <v>0</v>
      </c>
      <c r="Y97" s="498">
        <f>IFERROR(IF(AND(Y$54&gt;=EOMONTH($J97,-1)+1,Y$54&lt;=EOMONTH(EOMONTH($J97,-1)+1,$K97-1)),IF(NOT(ISBLANK($N97)),$N97/$K97,$I97/$K97),0),0)</f>
        <v>0</v>
      </c>
      <c r="Z97" s="498">
        <f>IFERROR(IF(AND(Z$54&gt;=EOMONTH($J97,-1)+1,Z$54&lt;=EOMONTH(EOMONTH($J97,-1)+1,$K97-1)),IF(NOT(ISBLANK($N97)),$N97/$K97,$I97/$K97),0),0)</f>
        <v>0</v>
      </c>
      <c r="AA97" s="498">
        <f>IFERROR(IF(AND(AA$54&gt;=EOMONTH($J97,-1)+1,AA$54&lt;=EOMONTH(EOMONTH($J97,-1)+1,$K97-1)),IF(NOT(ISBLANK($N97)),$N97/$K97,$I97/$K97),0),0)</f>
        <v>0</v>
      </c>
      <c r="AB97" s="89">
        <f t="shared" si="16"/>
        <v>0</v>
      </c>
      <c r="AC97" s="498">
        <f>IFERROR(IF(AND(AC$54&gt;=EOMONTH($J97,-1)+1,AC$54&lt;=EOMONTH(EOMONTH($J97,-1)+1,$K97-1)),IF(NOT(ISBLANK($N97)),$N97/$K97,$I97/$K97),0),0)</f>
        <v>0</v>
      </c>
      <c r="AD97" s="498">
        <f>IFERROR(IF(AND(AD$54&gt;=EOMONTH($J97,-1)+1,AD$54&lt;=EOMONTH(EOMONTH($J97,-1)+1,$K97-1)),IF(NOT(ISBLANK($N97)),$N97/$K97,$I97/$K97),0),0)</f>
        <v>0</v>
      </c>
      <c r="AE97" s="498">
        <f>IFERROR(IF(AND(AE$54&gt;=EOMONTH($J97,-1)+1,AE$54&lt;=EOMONTH(EOMONTH($J97,-1)+1,$K97-1)),IF(NOT(ISBLANK($N97)),$N97/$K97,$I97/$K97),0),0)</f>
        <v>0</v>
      </c>
      <c r="AF97" s="89">
        <f t="shared" si="17"/>
        <v>0</v>
      </c>
      <c r="AG97" s="498">
        <f>IFERROR(IF(AND(AG$54&gt;=EOMONTH($J97,-1)+1,AG$54&lt;=EOMONTH(EOMONTH($J97,-1)+1,$K97-1)),IF(NOT(ISBLANK($N97)),$N97/$K97,$I97/$K97),0),0)</f>
        <v>0</v>
      </c>
      <c r="AH97" s="498">
        <f>IFERROR(IF(AND(AH$54&gt;=EOMONTH($J97,-1)+1,AH$54&lt;=EOMONTH(EOMONTH($J97,-1)+1,$K97-1)),IF(NOT(ISBLANK($N97)),$N97/$K97,$I97/$K97),0),0)</f>
        <v>0</v>
      </c>
      <c r="AI97" s="498">
        <f>IFERROR(IF(AND(AI$54&gt;=EOMONTH($J97,-1)+1,AI$54&lt;=EOMONTH(EOMONTH($J97,-1)+1,$K97-1)),IF(NOT(ISBLANK($N97)),$N97/$K97,$I97/$K97),0),0)</f>
        <v>0</v>
      </c>
      <c r="AJ97" s="89">
        <f t="shared" si="72"/>
        <v>0</v>
      </c>
      <c r="AK97" s="95">
        <f t="shared" si="22"/>
        <v>0</v>
      </c>
      <c r="AL97" s="97"/>
      <c r="AM97" s="1407"/>
      <c r="AN97" s="1334"/>
      <c r="AO97" s="1403">
        <f>N97*AN97</f>
        <v>0</v>
      </c>
      <c r="AP97" s="62">
        <f>C97</f>
        <v>0</v>
      </c>
      <c r="AQ97" s="62" t="s">
        <v>311</v>
      </c>
      <c r="AR97" s="508" t="str" cm="1">
        <f t="array" aca="1" ref="AR97" ca="1">IF(OR(AP97="",AP97=0),"",IF(SUMPRODUCT(($C$55:$C$138=AP97)*(U$54:$AI$54&lt;EOMONTH(TODAY(),-1)+1)*(ISNUMBER(U$55:$AI$138)),U$55:$AI$138)=0,"",SUMPRODUCT(($C$55:$C$138=AP97)*(U$54:$AI$54&lt;EOMONTH(TODAY(),-1)+1)*(ISNUMBER(U$55:$AI$138)),U$55:$AI$138)))</f>
        <v/>
      </c>
      <c r="AS97" s="62">
        <f t="shared" ref="AS97" si="108">A97</f>
        <v>0</v>
      </c>
      <c r="AU97" s="1566">
        <f t="shared" ref="AU97" si="109">IF(OR(I97="",K97=""),0,(I97/12)*K97)</f>
        <v>0</v>
      </c>
      <c r="AV97" s="1566">
        <f t="shared" ref="AV97" si="110">IF(OR(N97="",K97="",K97=0),0,(N97/K97)*12)</f>
        <v>0</v>
      </c>
    </row>
    <row r="98" spans="1:48" ht="29.1" customHeight="1" x14ac:dyDescent="0.3">
      <c r="A98" s="1408"/>
      <c r="B98" s="1408"/>
      <c r="C98" s="1466"/>
      <c r="D98" s="1455"/>
      <c r="E98" s="1450"/>
      <c r="F98" s="1452"/>
      <c r="G98" s="1367"/>
      <c r="H98" s="1367"/>
      <c r="I98" s="1367"/>
      <c r="J98" s="1379"/>
      <c r="K98" s="1388"/>
      <c r="L98" s="1396"/>
      <c r="M98" s="1353"/>
      <c r="N98" s="1394"/>
      <c r="O98" s="1330"/>
      <c r="P98" s="1337"/>
      <c r="Q98" s="1330"/>
      <c r="R98" s="1330"/>
      <c r="S98" s="93" t="s">
        <v>117</v>
      </c>
      <c r="T98" s="96"/>
      <c r="U98" s="290"/>
      <c r="V98" s="290"/>
      <c r="W98" s="290"/>
      <c r="X98" s="288">
        <f t="shared" si="15"/>
        <v>0</v>
      </c>
      <c r="Y98" s="290"/>
      <c r="Z98" s="290"/>
      <c r="AA98" s="290"/>
      <c r="AB98" s="288">
        <f t="shared" si="16"/>
        <v>0</v>
      </c>
      <c r="AC98" s="290"/>
      <c r="AD98" s="290"/>
      <c r="AE98" s="290"/>
      <c r="AF98" s="288">
        <f t="shared" si="17"/>
        <v>0</v>
      </c>
      <c r="AG98" s="290"/>
      <c r="AH98" s="290"/>
      <c r="AI98" s="290"/>
      <c r="AJ98" s="288">
        <f t="shared" si="72"/>
        <v>0</v>
      </c>
      <c r="AK98" s="291">
        <f t="shared" si="22"/>
        <v>0</v>
      </c>
      <c r="AL98" s="97"/>
      <c r="AM98" s="1408"/>
      <c r="AN98" s="1330"/>
      <c r="AO98" s="1404"/>
      <c r="AP98" s="62">
        <f>C97</f>
        <v>0</v>
      </c>
      <c r="AQ98" s="62" t="s">
        <v>313</v>
      </c>
      <c r="AR98" s="508" t="str" cm="1">
        <f t="array" aca="1" ref="AR98" ca="1">IF(OR(AP98="",AP98=0),"",IF(SUMPRODUCT(($C$55:$C$153=AP98)*($U$54:AI$54&lt;=TODAY())*(ISNUMBER($U$56:AI$154)),$U$56:AI$154)=0,"",SUMPRODUCT(($C$55:$C$153=AP98)*($U$54:AI$54&lt;=TODAY())*(ISNUMBER($U$56:AI$154)),$U$56:AI$154)))</f>
        <v/>
      </c>
      <c r="AS98" s="62">
        <f t="shared" ref="AS98" si="111">A97</f>
        <v>0</v>
      </c>
      <c r="AU98" s="1567"/>
      <c r="AV98" s="1567"/>
    </row>
    <row r="99" spans="1:48" ht="29.1" customHeight="1" x14ac:dyDescent="0.3">
      <c r="A99" s="1380"/>
      <c r="B99" s="1380"/>
      <c r="C99" s="1482"/>
      <c r="D99" s="1486"/>
      <c r="E99" s="1368"/>
      <c r="F99" s="1370"/>
      <c r="G99" s="1372"/>
      <c r="H99" s="1372"/>
      <c r="I99" s="1354"/>
      <c r="J99" s="1376"/>
      <c r="K99" s="1389" t="str">
        <f t="shared" ref="K99" si="112">IF(J99="", "", 12 - MONTH(J99) + 1)</f>
        <v/>
      </c>
      <c r="L99" s="1354"/>
      <c r="M99" s="1350"/>
      <c r="N99" s="1391"/>
      <c r="O99" s="1327" t="str">
        <f ca="1">IF(OR(H99="", I99=""), "", IF(TODAY()&lt;H99, 0, IF(TODAY()&gt;I99, 1, (TODAY()-H99+1)/(I99-H99+1))))</f>
        <v/>
      </c>
      <c r="P99" s="1338"/>
      <c r="Q99" s="1327"/>
      <c r="R99" s="1327"/>
      <c r="S99" s="87" t="s">
        <v>116</v>
      </c>
      <c r="T99" s="91" t="str">
        <f ca="1">IF(OR(G99="", H99=""), "", IF(TODAY()&lt;G99, 0, IF(TODAY()&gt;H99, 1, (TODAY()-G99+1)/(H99-G99+1))))</f>
        <v/>
      </c>
      <c r="U99" s="287">
        <f>IFERROR(IF(AND(U$54&gt;=EOMONTH($J99,-1)+1,U$54&lt;=EOMONTH(EOMONTH($J99,-1)+1,$K99-1)),IF(NOT(ISBLANK($N99)),$N99/$K99,$I99/$K99),0),0)</f>
        <v>0</v>
      </c>
      <c r="V99" s="287">
        <f>IFERROR(IF(AND(V$54&gt;=EOMONTH($J99,-1)+1,V$54&lt;=EOMONTH(EOMONTH($J99,-1)+1,$K99-1)),IF(NOT(ISBLANK($N99)),$N99/$K99,$I99/$K99),0),0)</f>
        <v>0</v>
      </c>
      <c r="W99" s="287">
        <f>IFERROR(IF(AND(W$54&gt;=EOMONTH($J99,-1)+1,W$54&lt;=EOMONTH(EOMONTH($J99,-1)+1,$K99-1)),IF(NOT(ISBLANK($N99)),$N99/$K99,$I99/$K99),0),0)</f>
        <v>0</v>
      </c>
      <c r="X99" s="288">
        <f t="shared" si="15"/>
        <v>0</v>
      </c>
      <c r="Y99" s="287">
        <f>IFERROR(IF(AND(Y$54&gt;=EOMONTH($J99,-1)+1,Y$54&lt;=EOMONTH(EOMONTH($J99,-1)+1,$K99-1)),IF(NOT(ISBLANK($N99)),$N99/$K99,$I99/$K99),0),0)</f>
        <v>0</v>
      </c>
      <c r="Z99" s="287">
        <f>IFERROR(IF(AND(Z$54&gt;=EOMONTH($J99,-1)+1,Z$54&lt;=EOMONTH(EOMONTH($J99,-1)+1,$K99-1)),IF(NOT(ISBLANK($N99)),$N99/$K99,$I99/$K99),0),0)</f>
        <v>0</v>
      </c>
      <c r="AA99" s="287">
        <f>IFERROR(IF(AND(AA$54&gt;=EOMONTH($J99,-1)+1,AA$54&lt;=EOMONTH(EOMONTH($J99,-1)+1,$K99-1)),IF(NOT(ISBLANK($N99)),$N99/$K99,$I99/$K99),0),0)</f>
        <v>0</v>
      </c>
      <c r="AB99" s="89">
        <f t="shared" si="16"/>
        <v>0</v>
      </c>
      <c r="AC99" s="287">
        <f>IFERROR(IF(AND(AC$54&gt;=EOMONTH($J99,-1)+1,AC$54&lt;=EOMONTH(EOMONTH($J99,-1)+1,$K99-1)),IF(NOT(ISBLANK($N99)),$N99/$K99,$I99/$K99),0),0)</f>
        <v>0</v>
      </c>
      <c r="AD99" s="287">
        <f>IFERROR(IF(AND(AD$54&gt;=EOMONTH($J99,-1)+1,AD$54&lt;=EOMONTH(EOMONTH($J99,-1)+1,$K99-1)),IF(NOT(ISBLANK($N99)),$N99/$K99,$I99/$K99),0),0)</f>
        <v>0</v>
      </c>
      <c r="AE99" s="287">
        <f>IFERROR(IF(AND(AE$54&gt;=EOMONTH($J99,-1)+1,AE$54&lt;=EOMONTH(EOMONTH($J99,-1)+1,$K99-1)),IF(NOT(ISBLANK($N99)),$N99/$K99,$I99/$K99),0),0)</f>
        <v>0</v>
      </c>
      <c r="AF99" s="89">
        <f t="shared" si="17"/>
        <v>0</v>
      </c>
      <c r="AG99" s="287">
        <f>IFERROR(IF(AND(AG$54&gt;=EOMONTH($J99,-1)+1,AG$54&lt;=EOMONTH(EOMONTH($J99,-1)+1,$K99-1)),IF(NOT(ISBLANK($N99)),$N99/$K99,$I99/$K99),0),0)</f>
        <v>0</v>
      </c>
      <c r="AH99" s="287">
        <f>IFERROR(IF(AND(AH$54&gt;=EOMONTH($J99,-1)+1,AH$54&lt;=EOMONTH(EOMONTH($J99,-1)+1,$K99-1)),IF(NOT(ISBLANK($N99)),$N99/$K99,$I99/$K99),0),0)</f>
        <v>0</v>
      </c>
      <c r="AI99" s="287">
        <f>IFERROR(IF(AND(AI$54&gt;=EOMONTH($J99,-1)+1,AI$54&lt;=EOMONTH(EOMONTH($J99,-1)+1,$K99-1)),IF(NOT(ISBLANK($N99)),$N99/$K99,$I99/$K99),0),0)</f>
        <v>0</v>
      </c>
      <c r="AJ99" s="89">
        <f t="shared" si="72"/>
        <v>0</v>
      </c>
      <c r="AK99" s="90">
        <f t="shared" si="22"/>
        <v>0</v>
      </c>
      <c r="AL99" s="98"/>
      <c r="AM99" s="1370"/>
      <c r="AN99" s="1411"/>
      <c r="AO99" s="1405">
        <f>N99*AN99</f>
        <v>0</v>
      </c>
      <c r="AP99" s="62">
        <f>C99</f>
        <v>0</v>
      </c>
      <c r="AQ99" s="62" t="s">
        <v>311</v>
      </c>
      <c r="AR99" s="508" t="str" cm="1">
        <f t="array" aca="1" ref="AR99" ca="1">IF(OR(AP99="",AP99=0),"",IF(SUMPRODUCT(($C$55:$C$138=AP99)*(U$54:$AI$54&lt;EOMONTH(TODAY(),-1)+1)*(ISNUMBER(U$55:$AI$138)),U$55:$AI$138)=0,"",SUMPRODUCT(($C$55:$C$138=AP99)*(U$54:$AI$54&lt;EOMONTH(TODAY(),-1)+1)*(ISNUMBER(U$55:$AI$138)),U$55:$AI$138)))</f>
        <v/>
      </c>
      <c r="AS99" s="62">
        <f t="shared" ref="AS99" si="113">A99</f>
        <v>0</v>
      </c>
      <c r="AU99" s="1566">
        <f t="shared" ref="AU99" si="114">IF(OR(I99="",K99=""),0,(I99/12)*K99)</f>
        <v>0</v>
      </c>
      <c r="AV99" s="1566">
        <f t="shared" ref="AV99" si="115">IF(OR(N99="",K99="",K99=0),0,(N99/K99)*12)</f>
        <v>0</v>
      </c>
    </row>
    <row r="100" spans="1:48" ht="29.1" customHeight="1" x14ac:dyDescent="0.3">
      <c r="A100" s="1381"/>
      <c r="B100" s="1381"/>
      <c r="C100" s="1483"/>
      <c r="D100" s="1487"/>
      <c r="E100" s="1369"/>
      <c r="F100" s="1371"/>
      <c r="G100" s="1373"/>
      <c r="H100" s="1373"/>
      <c r="I100" s="1355"/>
      <c r="J100" s="1377"/>
      <c r="K100" s="1390"/>
      <c r="L100" s="1355"/>
      <c r="M100" s="1351"/>
      <c r="N100" s="1392"/>
      <c r="O100" s="1328"/>
      <c r="P100" s="1339"/>
      <c r="Q100" s="1328"/>
      <c r="R100" s="1328"/>
      <c r="S100" s="87" t="s">
        <v>117</v>
      </c>
      <c r="T100" s="91"/>
      <c r="U100" s="287"/>
      <c r="V100" s="287"/>
      <c r="W100" s="287"/>
      <c r="X100" s="288">
        <f t="shared" si="15"/>
        <v>0</v>
      </c>
      <c r="Y100" s="287"/>
      <c r="Z100" s="287"/>
      <c r="AA100" s="287"/>
      <c r="AB100" s="288">
        <f t="shared" si="16"/>
        <v>0</v>
      </c>
      <c r="AC100" s="287"/>
      <c r="AD100" s="287"/>
      <c r="AE100" s="287"/>
      <c r="AF100" s="288">
        <f t="shared" si="17"/>
        <v>0</v>
      </c>
      <c r="AG100" s="287"/>
      <c r="AH100" s="287"/>
      <c r="AI100" s="287"/>
      <c r="AJ100" s="288">
        <f t="shared" si="72"/>
        <v>0</v>
      </c>
      <c r="AK100" s="289">
        <f t="shared" si="22"/>
        <v>0</v>
      </c>
      <c r="AL100" s="337"/>
      <c r="AM100" s="1371"/>
      <c r="AN100" s="1412"/>
      <c r="AO100" s="1406"/>
      <c r="AP100" s="62">
        <f>C99</f>
        <v>0</v>
      </c>
      <c r="AQ100" s="62" t="s">
        <v>313</v>
      </c>
      <c r="AR100" s="508" t="str" cm="1">
        <f t="array" aca="1" ref="AR100" ca="1">IF(OR(AP100="",AP100=0),"",IF(SUMPRODUCT(($C$55:$C$153=AP100)*($U$54:AI$54&lt;=TODAY())*(ISNUMBER($U$56:AI$154)),$U$56:AI$154)=0,"",SUMPRODUCT(($C$55:$C$153=AP100)*($U$54:AI$54&lt;=TODAY())*(ISNUMBER($U$56:AI$154)),$U$56:AI$154)))</f>
        <v/>
      </c>
      <c r="AS100" s="62">
        <f t="shared" ref="AS100" si="116">A99</f>
        <v>0</v>
      </c>
      <c r="AU100" s="1567"/>
      <c r="AV100" s="1567"/>
    </row>
    <row r="101" spans="1:48" ht="29.1" customHeight="1" x14ac:dyDescent="0.3">
      <c r="A101" s="1407"/>
      <c r="B101" s="1407"/>
      <c r="C101" s="1465"/>
      <c r="D101" s="1356"/>
      <c r="E101" s="1449"/>
      <c r="F101" s="1451"/>
      <c r="G101" s="1366"/>
      <c r="H101" s="1366"/>
      <c r="I101" s="1488"/>
      <c r="J101" s="1378"/>
      <c r="K101" s="1387" t="str">
        <f t="shared" ref="K101" si="117">IF(J101="", "", 12 - MONTH(J101) + 1)</f>
        <v/>
      </c>
      <c r="L101" s="1395"/>
      <c r="M101" s="1352"/>
      <c r="N101" s="1393"/>
      <c r="O101" s="1334" t="str">
        <f ca="1">IF(OR(H101="", I101=""), "", IF(TODAY()&lt;H101, 0, IF(TODAY()&gt;I101, 1, (TODAY()-H101+1)/(I101-H101+1))))</f>
        <v/>
      </c>
      <c r="P101" s="1336"/>
      <c r="Q101" s="1334"/>
      <c r="R101" s="1334"/>
      <c r="S101" s="93" t="s">
        <v>116</v>
      </c>
      <c r="T101" s="96" t="str">
        <f ca="1">IF(OR(G101="", H101=""), "", IF(TODAY()&lt;G101, 0, IF(TODAY()&gt;H101, 1, (TODAY()-G101+1)/(H101-G101+1))))</f>
        <v/>
      </c>
      <c r="U101" s="498">
        <f>IFERROR(IF(AND(U$54&gt;=EOMONTH($J101,-1)+1,U$54&lt;=EOMONTH(EOMONTH($J101,-1)+1,$K101-1)),IF(NOT(ISBLANK($N101)),$N101/$K101,$I101/$K101),0),0)</f>
        <v>0</v>
      </c>
      <c r="V101" s="498">
        <f>IFERROR(IF(AND(V$54&gt;=EOMONTH($J101,-1)+1,V$54&lt;=EOMONTH(EOMONTH($J101,-1)+1,$K101-1)),IF(NOT(ISBLANK($N101)),$N101/$K101,$I101/$K101),0),0)</f>
        <v>0</v>
      </c>
      <c r="W101" s="498">
        <f>IFERROR(IF(AND(W$54&gt;=EOMONTH($J101,-1)+1,W$54&lt;=EOMONTH(EOMONTH($J101,-1)+1,$K101-1)),IF(NOT(ISBLANK($N101)),$N101/$K101,$I101/$K101),0),0)</f>
        <v>0</v>
      </c>
      <c r="X101" s="288">
        <f t="shared" si="15"/>
        <v>0</v>
      </c>
      <c r="Y101" s="498">
        <f>IFERROR(IF(AND(Y$54&gt;=EOMONTH($J101,-1)+1,Y$54&lt;=EOMONTH(EOMONTH($J101,-1)+1,$K101-1)),IF(NOT(ISBLANK($N101)),$N101/$K101,$I101/$K101),0),0)</f>
        <v>0</v>
      </c>
      <c r="Z101" s="498">
        <f>IFERROR(IF(AND(Z$54&gt;=EOMONTH($J101,-1)+1,Z$54&lt;=EOMONTH(EOMONTH($J101,-1)+1,$K101-1)),IF(NOT(ISBLANK($N101)),$N101/$K101,$I101/$K101),0),0)</f>
        <v>0</v>
      </c>
      <c r="AA101" s="498">
        <f>IFERROR(IF(AND(AA$54&gt;=EOMONTH($J101,-1)+1,AA$54&lt;=EOMONTH(EOMONTH($J101,-1)+1,$K101-1)),IF(NOT(ISBLANK($N101)),$N101/$K101,$I101/$K101),0),0)</f>
        <v>0</v>
      </c>
      <c r="AB101" s="89">
        <f t="shared" si="16"/>
        <v>0</v>
      </c>
      <c r="AC101" s="498">
        <f>IFERROR(IF(AND(AC$54&gt;=EOMONTH($J101,-1)+1,AC$54&lt;=EOMONTH(EOMONTH($J101,-1)+1,$K101-1)),IF(NOT(ISBLANK($N101)),$N101/$K101,$I101/$K101),0),0)</f>
        <v>0</v>
      </c>
      <c r="AD101" s="498">
        <f>IFERROR(IF(AND(AD$54&gt;=EOMONTH($J101,-1)+1,AD$54&lt;=EOMONTH(EOMONTH($J101,-1)+1,$K101-1)),IF(NOT(ISBLANK($N101)),$N101/$K101,$I101/$K101),0),0)</f>
        <v>0</v>
      </c>
      <c r="AE101" s="498">
        <f>IFERROR(IF(AND(AE$54&gt;=EOMONTH($J101,-1)+1,AE$54&lt;=EOMONTH(EOMONTH($J101,-1)+1,$K101-1)),IF(NOT(ISBLANK($N101)),$N101/$K101,$I101/$K101),0),0)</f>
        <v>0</v>
      </c>
      <c r="AF101" s="89">
        <f t="shared" si="17"/>
        <v>0</v>
      </c>
      <c r="AG101" s="498">
        <f>IFERROR(IF(AND(AG$54&gt;=EOMONTH($J101,-1)+1,AG$54&lt;=EOMONTH(EOMONTH($J101,-1)+1,$K101-1)),IF(NOT(ISBLANK($N101)),$N101/$K101,$I101/$K101),0),0)</f>
        <v>0</v>
      </c>
      <c r="AH101" s="498">
        <f>IFERROR(IF(AND(AH$54&gt;=EOMONTH($J101,-1)+1,AH$54&lt;=EOMONTH(EOMONTH($J101,-1)+1,$K101-1)),IF(NOT(ISBLANK($N101)),$N101/$K101,$I101/$K101),0),0)</f>
        <v>0</v>
      </c>
      <c r="AI101" s="498">
        <f>IFERROR(IF(AND(AI$54&gt;=EOMONTH($J101,-1)+1,AI$54&lt;=EOMONTH(EOMONTH($J101,-1)+1,$K101-1)),IF(NOT(ISBLANK($N101)),$N101/$K101,$I101/$K101),0),0)</f>
        <v>0</v>
      </c>
      <c r="AJ101" s="89">
        <f t="shared" si="72"/>
        <v>0</v>
      </c>
      <c r="AK101" s="95">
        <f t="shared" si="22"/>
        <v>0</v>
      </c>
      <c r="AL101" s="97"/>
      <c r="AM101" s="1407"/>
      <c r="AN101" s="1334"/>
      <c r="AO101" s="1403">
        <f>N101*AN101</f>
        <v>0</v>
      </c>
      <c r="AP101" s="62">
        <f>C101</f>
        <v>0</v>
      </c>
      <c r="AQ101" s="62" t="s">
        <v>311</v>
      </c>
      <c r="AR101" s="508" t="str" cm="1">
        <f t="array" aca="1" ref="AR101" ca="1">IF(OR(AP101="",AP101=0),"",IF(SUMPRODUCT(($C$55:$C$138=AP101)*(U$54:$AI$54&lt;EOMONTH(TODAY(),-1)+1)*(ISNUMBER(U$55:$AI$138)),U$55:$AI$138)=0,"",SUMPRODUCT(($C$55:$C$138=AP101)*(U$54:$AI$54&lt;EOMONTH(TODAY(),-1)+1)*(ISNUMBER(U$55:$AI$138)),U$55:$AI$138)))</f>
        <v/>
      </c>
      <c r="AS101" s="62">
        <f t="shared" ref="AS101" si="118">A101</f>
        <v>0</v>
      </c>
      <c r="AU101" s="1566">
        <f t="shared" ref="AU101" si="119">IF(OR(I101="",K101=""),0,(I101/12)*K101)</f>
        <v>0</v>
      </c>
      <c r="AV101" s="1566">
        <f t="shared" ref="AV101" si="120">IF(OR(N101="",K101="",K101=0),0,(N101/K101)*12)</f>
        <v>0</v>
      </c>
    </row>
    <row r="102" spans="1:48" ht="29.1" customHeight="1" x14ac:dyDescent="0.3">
      <c r="A102" s="1408"/>
      <c r="B102" s="1408"/>
      <c r="C102" s="1466"/>
      <c r="D102" s="1455"/>
      <c r="E102" s="1450"/>
      <c r="F102" s="1452"/>
      <c r="G102" s="1367"/>
      <c r="H102" s="1367"/>
      <c r="I102" s="1367"/>
      <c r="J102" s="1379"/>
      <c r="K102" s="1388"/>
      <c r="L102" s="1396"/>
      <c r="M102" s="1353"/>
      <c r="N102" s="1394"/>
      <c r="O102" s="1330"/>
      <c r="P102" s="1337"/>
      <c r="Q102" s="1330"/>
      <c r="R102" s="1330"/>
      <c r="S102" s="93" t="s">
        <v>117</v>
      </c>
      <c r="T102" s="96"/>
      <c r="U102" s="290"/>
      <c r="V102" s="290"/>
      <c r="W102" s="290"/>
      <c r="X102" s="288">
        <f t="shared" si="15"/>
        <v>0</v>
      </c>
      <c r="Y102" s="290"/>
      <c r="Z102" s="290"/>
      <c r="AA102" s="290"/>
      <c r="AB102" s="288">
        <f t="shared" si="16"/>
        <v>0</v>
      </c>
      <c r="AC102" s="290"/>
      <c r="AD102" s="290"/>
      <c r="AE102" s="290"/>
      <c r="AF102" s="288">
        <f t="shared" si="17"/>
        <v>0</v>
      </c>
      <c r="AG102" s="290"/>
      <c r="AH102" s="290"/>
      <c r="AI102" s="290"/>
      <c r="AJ102" s="288">
        <f t="shared" si="72"/>
        <v>0</v>
      </c>
      <c r="AK102" s="291">
        <f t="shared" si="22"/>
        <v>0</v>
      </c>
      <c r="AL102" s="97"/>
      <c r="AM102" s="1408"/>
      <c r="AN102" s="1330"/>
      <c r="AO102" s="1404"/>
      <c r="AP102" s="62">
        <f>C101</f>
        <v>0</v>
      </c>
      <c r="AQ102" s="62" t="s">
        <v>313</v>
      </c>
      <c r="AR102" s="508" t="str" cm="1">
        <f t="array" aca="1" ref="AR102" ca="1">IF(OR(AP102="",AP102=0),"",IF(SUMPRODUCT(($C$55:$C$153=AP102)*($U$54:AI$54&lt;=TODAY())*(ISNUMBER($U$56:AI$154)),$U$56:AI$154)=0,"",SUMPRODUCT(($C$55:$C$153=AP102)*($U$54:AI$54&lt;=TODAY())*(ISNUMBER($U$56:AI$154)),$U$56:AI$154)))</f>
        <v/>
      </c>
      <c r="AS102" s="62">
        <f t="shared" ref="AS102" si="121">A101</f>
        <v>0</v>
      </c>
      <c r="AU102" s="1567"/>
      <c r="AV102" s="1567"/>
    </row>
    <row r="103" spans="1:48" ht="14.85" customHeight="1" x14ac:dyDescent="0.3"/>
    <row r="104" spans="1:48" ht="15.6" customHeight="1" x14ac:dyDescent="0.3">
      <c r="A104" s="100" t="s">
        <v>572</v>
      </c>
      <c r="B104" s="100"/>
      <c r="C104" s="100"/>
      <c r="D104" s="99" t="s">
        <v>573</v>
      </c>
      <c r="E104" s="99" t="s">
        <v>78</v>
      </c>
      <c r="F104" s="99" t="s">
        <v>79</v>
      </c>
      <c r="H104" s="1346" t="s">
        <v>2216</v>
      </c>
      <c r="I104" s="1346"/>
      <c r="J104" s="1346"/>
      <c r="K104" s="1346"/>
      <c r="L104" s="1346"/>
      <c r="M104" s="1385"/>
      <c r="N104" s="1385"/>
      <c r="O104" s="1384"/>
      <c r="P104" s="1384"/>
      <c r="Q104" s="104"/>
      <c r="R104" s="151"/>
      <c r="S104" s="85">
        <v>46023</v>
      </c>
      <c r="T104" s="151">
        <v>46054</v>
      </c>
      <c r="U104" s="151">
        <v>46082</v>
      </c>
      <c r="V104" s="151">
        <v>46113</v>
      </c>
      <c r="W104" s="151">
        <v>46143</v>
      </c>
      <c r="X104" s="151">
        <v>46174</v>
      </c>
      <c r="Y104" s="151">
        <v>46204</v>
      </c>
      <c r="Z104" s="151">
        <v>46235</v>
      </c>
      <c r="AA104" s="151">
        <v>46266</v>
      </c>
      <c r="AB104" s="151">
        <v>46296</v>
      </c>
      <c r="AC104" s="151">
        <v>46327</v>
      </c>
      <c r="AD104" s="151">
        <v>46357</v>
      </c>
      <c r="AE104" s="151" t="s">
        <v>115</v>
      </c>
    </row>
    <row r="105" spans="1:48" ht="15.6" customHeight="1" x14ac:dyDescent="0.3">
      <c r="A105" s="112" t="s">
        <v>575</v>
      </c>
      <c r="B105" s="112" t="s">
        <v>576</v>
      </c>
      <c r="C105" s="310"/>
      <c r="D105" s="649" t="s">
        <v>577</v>
      </c>
      <c r="E105" s="894">
        <v>1</v>
      </c>
      <c r="F105" s="894">
        <v>1</v>
      </c>
      <c r="H105" s="104" t="s">
        <v>578</v>
      </c>
      <c r="I105" s="104" t="s">
        <v>579</v>
      </c>
      <c r="J105" s="104" t="s">
        <v>580</v>
      </c>
      <c r="K105" s="104" t="s">
        <v>581</v>
      </c>
      <c r="L105" s="104" t="s">
        <v>183</v>
      </c>
      <c r="M105" s="548" t="s">
        <v>582</v>
      </c>
      <c r="N105" s="548"/>
      <c r="O105" s="548"/>
      <c r="P105" s="102" t="s">
        <v>583</v>
      </c>
      <c r="Q105" s="777" t="s">
        <v>584</v>
      </c>
      <c r="R105" s="471" t="s">
        <v>116</v>
      </c>
      <c r="S105" s="152">
        <f>SUMIF($S$55:$S$102,$R$105,U55:U102)</f>
        <v>50000</v>
      </c>
      <c r="T105" s="152">
        <f>SUMIF($S$55:$S$102,$R$105,V55:V102)</f>
        <v>17231.310034090911</v>
      </c>
      <c r="U105" s="152">
        <f>SUMIF($S$55:$S$102,$R$105,W55:W102)</f>
        <v>20188.30303409091</v>
      </c>
      <c r="V105" s="152">
        <f>SUMIF($S$55:$S$102,$R$105,Y55:Y102)</f>
        <v>48502.049422979806</v>
      </c>
      <c r="W105" s="152">
        <f>SUMIF($S$55:$S$102,$R$105,Z55:Z102)</f>
        <v>48502.049422979806</v>
      </c>
      <c r="X105" s="152">
        <f>SUMIF($S$55:$S$102,$R$105,AA55:AA102)</f>
        <v>48502.049422979806</v>
      </c>
      <c r="Y105" s="152">
        <f>SUMIF($S$55:$S$102,$R$105,AC55:AC102)</f>
        <v>115168.71608964649</v>
      </c>
      <c r="Z105" s="152">
        <f>SUMIF($S$55:$S$102,$R$105,AD55:AD102)</f>
        <v>125368.71608964649</v>
      </c>
      <c r="AA105" s="152">
        <f>SUMIF($S$55:$S$102,$R$105,AE55:AE102)</f>
        <v>139105.32608964649</v>
      </c>
      <c r="AB105" s="152">
        <f>SUMIF($S$55:$S$102,$R$105,AG55:AG102)</f>
        <v>139105.32608964649</v>
      </c>
      <c r="AC105" s="152">
        <f>SUMIF($S$55:$S$102,$R$105,AH55:AH102)</f>
        <v>139105.32608964649</v>
      </c>
      <c r="AD105" s="152">
        <f>SUMIF($S$55:$S$102,$R$105,AI55:AI102)</f>
        <v>144234.11396843437</v>
      </c>
      <c r="AE105" s="152">
        <f>SUM(S105:AD105)</f>
        <v>1035013.2857537881</v>
      </c>
    </row>
    <row r="106" spans="1:48" ht="14.85" customHeight="1" x14ac:dyDescent="0.3">
      <c r="A106" s="679" t="s">
        <v>585</v>
      </c>
      <c r="B106" s="679" t="s">
        <v>586</v>
      </c>
      <c r="C106" s="678"/>
      <c r="D106" s="680" t="s">
        <v>577</v>
      </c>
      <c r="E106" s="895">
        <v>0.75</v>
      </c>
      <c r="F106" s="895">
        <v>0.75</v>
      </c>
      <c r="H106" s="883" t="s">
        <v>2217</v>
      </c>
      <c r="I106" s="817" t="s">
        <v>308</v>
      </c>
      <c r="J106" s="106" t="s">
        <v>363</v>
      </c>
      <c r="K106" s="106" t="s">
        <v>363</v>
      </c>
      <c r="L106" s="107">
        <f>(COUNTIF(I106:K106,"OK"))*33.333333/100</f>
        <v>0.33333333000000004</v>
      </c>
      <c r="M106" s="778" t="s">
        <v>653</v>
      </c>
      <c r="N106" s="779"/>
      <c r="O106" s="779"/>
      <c r="P106" s="823" t="s">
        <v>32</v>
      </c>
      <c r="Q106" s="823" t="s">
        <v>2218</v>
      </c>
      <c r="R106" s="472" t="s">
        <v>117</v>
      </c>
      <c r="S106" s="154">
        <f>SUMIF($S$55:$S$102,$R$106,U55:U102)</f>
        <v>50000</v>
      </c>
      <c r="T106" s="154">
        <f>SUMIF($S$55:$S$102,$R$106,V55:V102)</f>
        <v>66080.55</v>
      </c>
      <c r="U106" s="154">
        <f>SUMIF($S$55:$S$102,$R$106,W55:W102)</f>
        <v>7167.5747453259228</v>
      </c>
      <c r="V106" s="154">
        <f>SUMIF($S$55:$S$102,$R$106,Y55:Y102)</f>
        <v>56823.789429004551</v>
      </c>
      <c r="W106" s="154">
        <f>SUMIF($S$55:$S$102,$R$106,Z55:Z102)</f>
        <v>5212.170000000001</v>
      </c>
      <c r="X106" s="154">
        <f>SUMIF($S$55:$S$102,$R$106,AA55:AA102)</f>
        <v>126354.20000000001</v>
      </c>
      <c r="Y106" s="154">
        <f>SUMIF($S$55:$S$102,$R$106,AC55:AC102)</f>
        <v>19805.663</v>
      </c>
      <c r="Z106" s="154">
        <f>SUMIF($S$55:$S$102,$R$106,AD55:AD102)</f>
        <v>0</v>
      </c>
      <c r="AA106" s="154">
        <f>SUMIF($S$55:$S$102,$R$106,AE55:AE102)</f>
        <v>0</v>
      </c>
      <c r="AB106" s="154">
        <f>SUMIF($S$55:$S$102,$R$106,AG55:AG102)</f>
        <v>0</v>
      </c>
      <c r="AC106" s="154">
        <f>SUMIF($S$55:$S$102,$R$106,AH55:AH102)</f>
        <v>0</v>
      </c>
      <c r="AD106" s="154">
        <f>SUMIF($S$55:$S$102,$R$106,AI55:AI102)</f>
        <v>0</v>
      </c>
      <c r="AE106" s="154">
        <f>SUM(S106:AD106)</f>
        <v>331443.94717433053</v>
      </c>
    </row>
    <row r="107" spans="1:48" ht="14.85" customHeight="1" x14ac:dyDescent="0.3">
      <c r="A107" s="112" t="s">
        <v>590</v>
      </c>
      <c r="B107" s="112" t="s">
        <v>591</v>
      </c>
      <c r="C107" s="310"/>
      <c r="D107" s="649" t="s">
        <v>577</v>
      </c>
      <c r="E107" s="894">
        <v>1</v>
      </c>
      <c r="F107" s="894">
        <v>1</v>
      </c>
      <c r="H107" s="882" t="s">
        <v>2219</v>
      </c>
      <c r="I107" s="819" t="s">
        <v>308</v>
      </c>
      <c r="J107" s="109" t="s">
        <v>363</v>
      </c>
      <c r="K107" s="109" t="s">
        <v>363</v>
      </c>
      <c r="L107" s="107">
        <f t="shared" ref="L107:L117" si="122">(COUNTIF(I107:K107,"OK"))*33.333333/100</f>
        <v>0.33333333000000004</v>
      </c>
      <c r="M107" s="780" t="s">
        <v>656</v>
      </c>
      <c r="N107" s="781"/>
      <c r="O107" s="781"/>
      <c r="P107" s="824" t="s">
        <v>32</v>
      </c>
      <c r="Q107" s="824" t="s">
        <v>2220</v>
      </c>
      <c r="R107" s="473" t="s">
        <v>118</v>
      </c>
      <c r="S107" s="160" cm="1">
        <f t="array" ref="S107">SUMPRODUCT(
($G$55:$G$102&lt;&gt;"")*
($G$55:$G$102&lt;=S$104)*
(($H$55:$H$102="")+($H$55:$H$102&gt;=S$104))
)</f>
        <v>2</v>
      </c>
      <c r="T107" s="160" cm="1">
        <f t="array" ref="T107">SUMPRODUCT(
($G$55:$G$102&lt;&gt;"")*
($G$55:$G$102&lt;=T$104)*
(($H$55:$H$102="")+($H$55:$H$102&gt;=T$104))
)</f>
        <v>10</v>
      </c>
      <c r="U107" s="160" cm="1">
        <f t="array" ref="U107">SUMPRODUCT(
($G$55:$G$102&lt;&gt;"")*
($G$55:$G$102&lt;=U$104)*
(($H$55:$H$102="")+($H$55:$H$102&gt;=U$104))
)</f>
        <v>11</v>
      </c>
      <c r="V107" s="160" cm="1">
        <f t="array" ref="V107">SUMPRODUCT(
($G$55:$G$102&lt;&gt;"")*
($G$55:$G$102&lt;=V$104)*
(($H$55:$H$102="")+($H$55:$H$102&gt;=V$104))
)</f>
        <v>14</v>
      </c>
      <c r="W107" s="160" cm="1">
        <f t="array" ref="W107">SUMPRODUCT(
($G$55:$G$102&lt;&gt;"")*
($G$55:$G$102&lt;=W$104)*
(($H$55:$H$102="")+($H$55:$H$102&gt;=W$104))
)</f>
        <v>9</v>
      </c>
      <c r="X107" s="160" cm="1">
        <f t="array" ref="X107">SUMPRODUCT(
($G$55:$G$102&lt;&gt;"")*
($G$55:$G$102&lt;=X$104)*
(($H$55:$H$102="")+($H$55:$H$102&gt;=X$104))
)</f>
        <v>8</v>
      </c>
      <c r="Y107" s="160" cm="1">
        <f t="array" ref="Y107">SUMPRODUCT(
($G$55:$G$102&lt;&gt;"")*
($G$55:$G$102&lt;=Y$104)*
(($H$55:$H$102="")+($H$55:$H$102&gt;=Y$104))
)</f>
        <v>7</v>
      </c>
      <c r="Z107" s="160" cm="1">
        <f t="array" ref="Z107">SUMPRODUCT(
($G$55:$G$102&lt;&gt;"")*
($G$55:$G$102&lt;=Z$104)*
(($H$55:$H$102="")+($H$55:$H$102&gt;=Z$104))
)</f>
        <v>4</v>
      </c>
      <c r="AA107" s="160" cm="1">
        <f t="array" ref="AA107">SUMPRODUCT(
($G$55:$G$102&lt;&gt;"")*
($G$55:$G$102&lt;=AA$104)*
(($H$55:$H$102="")+($H$55:$H$102&gt;=AA$104))
)</f>
        <v>3</v>
      </c>
      <c r="AB107" s="160" cm="1">
        <f t="array" ref="AB107">SUMPRODUCT(
($G$55:$G$102&lt;&gt;"")*
($G$55:$G$102&lt;=AB$104)*
(($H$55:$H$102="")+($H$55:$H$102&gt;=AB$104))
)</f>
        <v>3</v>
      </c>
      <c r="AC107" s="160" cm="1">
        <f t="array" ref="AC107">SUMPRODUCT(
($G$55:$G$102&lt;&gt;"")*
($G$55:$G$102&lt;=AC$104)*
(($H$55:$H$102="")+($H$55:$H$102&gt;=AC$104))
)</f>
        <v>3</v>
      </c>
      <c r="AD107" s="160" cm="1">
        <f t="array" ref="AD107">SUMPRODUCT(
($G$55:$G$102&lt;&gt;"")*
($G$55:$G$102&lt;=AD$104)*
(($H$55:$H$102="")+($H$55:$H$102&gt;=AD$104))
)</f>
        <v>3</v>
      </c>
      <c r="AE107" s="160"/>
    </row>
    <row r="108" spans="1:48" ht="14.85" customHeight="1" x14ac:dyDescent="0.3">
      <c r="A108" s="679" t="s">
        <v>594</v>
      </c>
      <c r="B108" s="679" t="s">
        <v>595</v>
      </c>
      <c r="C108" s="678"/>
      <c r="D108" s="680" t="s">
        <v>596</v>
      </c>
      <c r="E108" s="895">
        <v>1</v>
      </c>
      <c r="F108" s="895">
        <v>1</v>
      </c>
      <c r="H108" s="879" t="s">
        <v>2221</v>
      </c>
      <c r="I108" s="817" t="s">
        <v>308</v>
      </c>
      <c r="J108" s="106" t="s">
        <v>363</v>
      </c>
      <c r="K108" s="106" t="s">
        <v>363</v>
      </c>
      <c r="L108" s="107">
        <f t="shared" si="122"/>
        <v>0.33333333000000004</v>
      </c>
      <c r="M108" s="778" t="s">
        <v>658</v>
      </c>
      <c r="N108" s="779"/>
      <c r="O108" s="779"/>
      <c r="P108" s="823" t="s">
        <v>32</v>
      </c>
      <c r="Q108" s="823" t="s">
        <v>2222</v>
      </c>
      <c r="R108" s="472" t="s">
        <v>119</v>
      </c>
      <c r="S108" s="154">
        <f>S105</f>
        <v>50000</v>
      </c>
      <c r="T108" s="154">
        <f>S108+T105</f>
        <v>67231.310034090915</v>
      </c>
      <c r="U108" s="154">
        <f t="shared" ref="U108:AD109" si="123">T108+U105</f>
        <v>87419.613068181818</v>
      </c>
      <c r="V108" s="154">
        <f t="shared" si="123"/>
        <v>135921.66249116161</v>
      </c>
      <c r="W108" s="154">
        <f t="shared" si="123"/>
        <v>184423.71191414143</v>
      </c>
      <c r="X108" s="154">
        <f t="shared" si="123"/>
        <v>232925.76133712125</v>
      </c>
      <c r="Y108" s="154">
        <f t="shared" si="123"/>
        <v>348094.47742676776</v>
      </c>
      <c r="Z108" s="154">
        <f t="shared" si="123"/>
        <v>473463.19351641426</v>
      </c>
      <c r="AA108" s="154">
        <f t="shared" si="123"/>
        <v>612568.51960606081</v>
      </c>
      <c r="AB108" s="154">
        <f t="shared" si="123"/>
        <v>751673.84569570725</v>
      </c>
      <c r="AC108" s="154">
        <f t="shared" si="123"/>
        <v>890779.17178535368</v>
      </c>
      <c r="AD108" s="154">
        <f t="shared" si="123"/>
        <v>1035013.2857537881</v>
      </c>
      <c r="AE108" s="154"/>
    </row>
    <row r="109" spans="1:48" x14ac:dyDescent="0.3">
      <c r="A109" s="112" t="s">
        <v>594</v>
      </c>
      <c r="B109" s="112" t="s">
        <v>599</v>
      </c>
      <c r="C109" s="310"/>
      <c r="D109" s="649" t="s">
        <v>596</v>
      </c>
      <c r="E109" s="894">
        <v>1</v>
      </c>
      <c r="F109" s="894">
        <v>1</v>
      </c>
      <c r="H109" s="881" t="s">
        <v>2223</v>
      </c>
      <c r="I109" s="819" t="s">
        <v>308</v>
      </c>
      <c r="J109" s="109" t="s">
        <v>363</v>
      </c>
      <c r="K109" s="109" t="s">
        <v>363</v>
      </c>
      <c r="L109" s="107">
        <f t="shared" si="122"/>
        <v>0.33333333000000004</v>
      </c>
      <c r="M109" s="780" t="s">
        <v>1524</v>
      </c>
      <c r="N109" s="781"/>
      <c r="O109" s="781"/>
      <c r="P109" s="824" t="s">
        <v>33</v>
      </c>
      <c r="Q109" s="825" t="s">
        <v>1523</v>
      </c>
      <c r="R109" s="473" t="s">
        <v>120</v>
      </c>
      <c r="S109" s="474">
        <f>S106</f>
        <v>50000</v>
      </c>
      <c r="T109" s="474">
        <f>S109+T106</f>
        <v>116080.55</v>
      </c>
      <c r="U109" s="474">
        <f t="shared" si="123"/>
        <v>123248.12474532593</v>
      </c>
      <c r="V109" s="474">
        <f t="shared" si="123"/>
        <v>180071.91417433048</v>
      </c>
      <c r="W109" s="474">
        <f t="shared" si="123"/>
        <v>185284.08417433049</v>
      </c>
      <c r="X109" s="474">
        <f t="shared" si="123"/>
        <v>311638.28417433053</v>
      </c>
      <c r="Y109" s="474">
        <f t="shared" si="123"/>
        <v>331443.94717433053</v>
      </c>
      <c r="Z109" s="474">
        <f t="shared" si="123"/>
        <v>331443.94717433053</v>
      </c>
      <c r="AA109" s="474">
        <f t="shared" si="123"/>
        <v>331443.94717433053</v>
      </c>
      <c r="AB109" s="474">
        <f t="shared" si="123"/>
        <v>331443.94717433053</v>
      </c>
      <c r="AC109" s="474">
        <f t="shared" si="123"/>
        <v>331443.94717433053</v>
      </c>
      <c r="AD109" s="474">
        <f t="shared" si="123"/>
        <v>331443.94717433053</v>
      </c>
      <c r="AE109" s="474"/>
    </row>
    <row r="110" spans="1:48" ht="14.85" customHeight="1" x14ac:dyDescent="0.3">
      <c r="A110" s="679" t="s">
        <v>594</v>
      </c>
      <c r="B110" s="679" t="s">
        <v>602</v>
      </c>
      <c r="C110" s="678"/>
      <c r="D110" s="680" t="s">
        <v>596</v>
      </c>
      <c r="E110" s="895">
        <v>1</v>
      </c>
      <c r="F110" s="895">
        <v>1</v>
      </c>
      <c r="H110" s="879" t="s">
        <v>2224</v>
      </c>
      <c r="I110" s="817" t="s">
        <v>308</v>
      </c>
      <c r="J110" s="106" t="s">
        <v>363</v>
      </c>
      <c r="K110" s="106" t="s">
        <v>363</v>
      </c>
      <c r="L110" s="107">
        <f t="shared" si="122"/>
        <v>0.33333333000000004</v>
      </c>
      <c r="M110" s="778" t="s">
        <v>1527</v>
      </c>
      <c r="N110" s="779"/>
      <c r="O110" s="779"/>
      <c r="P110" s="823" t="s">
        <v>33</v>
      </c>
      <c r="Q110" s="823" t="s">
        <v>1526</v>
      </c>
      <c r="R110" s="472" t="s">
        <v>121</v>
      </c>
      <c r="S110" s="154">
        <f>IF(AND(ISNUMBER(S106),S106&lt;&gt;0), S109, R110 + (($A$5 - MAX($S$161:$AD$161)) / COUNTIF($S$158:$AD$158,0)))</f>
        <v>50000</v>
      </c>
      <c r="T110" s="154">
        <f t="shared" ref="T110:AD110" si="124">IF(AND(ISNUMBER(T106),T106&lt;&gt;0), T109, S110 + (($A$5 - MAX($S$109:$AD$109)) / COUNTIF($S$106:$AD$106,0)))</f>
        <v>116080.55</v>
      </c>
      <c r="U110" s="154">
        <f t="shared" si="124"/>
        <v>123248.12474532593</v>
      </c>
      <c r="V110" s="154">
        <f t="shared" si="124"/>
        <v>180071.91417433048</v>
      </c>
      <c r="W110" s="154">
        <f t="shared" si="124"/>
        <v>185284.08417433049</v>
      </c>
      <c r="X110" s="154">
        <f t="shared" si="124"/>
        <v>311638.28417433053</v>
      </c>
      <c r="Y110" s="154">
        <f t="shared" si="124"/>
        <v>331443.94717433053</v>
      </c>
      <c r="Z110" s="154">
        <f t="shared" si="124"/>
        <v>1033355.1577394644</v>
      </c>
      <c r="AA110" s="154">
        <f t="shared" si="124"/>
        <v>1735266.3683045981</v>
      </c>
      <c r="AB110" s="154">
        <f t="shared" si="124"/>
        <v>2437177.5788697321</v>
      </c>
      <c r="AC110" s="154">
        <f t="shared" si="124"/>
        <v>3139088.789434866</v>
      </c>
      <c r="AD110" s="154">
        <f t="shared" si="124"/>
        <v>3841000</v>
      </c>
      <c r="AE110" s="154"/>
    </row>
    <row r="111" spans="1:48" ht="14.85" customHeight="1" x14ac:dyDescent="0.3">
      <c r="A111" s="112"/>
      <c r="B111" s="112"/>
      <c r="C111" s="310"/>
      <c r="D111" s="649"/>
      <c r="E111" s="109"/>
      <c r="F111" s="109"/>
      <c r="H111" s="882" t="s">
        <v>2225</v>
      </c>
      <c r="I111" s="819" t="s">
        <v>308</v>
      </c>
      <c r="J111" s="818" t="s">
        <v>363</v>
      </c>
      <c r="K111" s="820" t="s">
        <v>363</v>
      </c>
      <c r="L111" s="107">
        <f t="shared" si="122"/>
        <v>0.33333333000000004</v>
      </c>
      <c r="M111" s="780" t="s">
        <v>1529</v>
      </c>
      <c r="N111" s="781"/>
      <c r="O111" s="781"/>
      <c r="P111" s="824" t="s">
        <v>33</v>
      </c>
      <c r="Q111" s="824" t="s">
        <v>1528</v>
      </c>
      <c r="R111" s="62" t="s">
        <v>122</v>
      </c>
      <c r="S111" s="1003">
        <f>SUMIFS(U55:U102,$S$55:$S$102,$S$55,$M$55:$M$102,"ok")</f>
        <v>50000</v>
      </c>
      <c r="T111" s="1003">
        <f t="shared" ref="T111:U111" si="125">SUMIFS(V55:V102,$S$55:$S$102,$S$55,$M$55:$M$102,"ok")</f>
        <v>11322.219125000001</v>
      </c>
      <c r="U111" s="1003">
        <f t="shared" si="125"/>
        <v>14279.212125000002</v>
      </c>
      <c r="V111" s="1003">
        <f>SUMIFS(Y55:Y102,$S$55:$S$102,$S$55,$M$55:$M$102,"ok")</f>
        <v>37037.402958333332</v>
      </c>
      <c r="W111" s="1003">
        <f t="shared" ref="W111" si="126">SUMIFS(Z55:Z102,$S$55:$S$102,$S$55,$M$55:$M$102,"ok")</f>
        <v>37037.402958333332</v>
      </c>
      <c r="X111" s="1003">
        <f>SUMIFS(AA55:AA102,$S$55:$S$102,$S$55,$M$55:$M$102,"ok")</f>
        <v>37037.402958333332</v>
      </c>
      <c r="Y111" s="1003">
        <f>SUMIFS(AC55:AC102,$S$55:$S$102,$S$55,$M$55:$M$102,"ok")</f>
        <v>37037.402958333332</v>
      </c>
      <c r="Z111" s="1003">
        <f t="shared" ref="Z111" si="127">SUMIFS(AD55:AD102,$S$55:$S$102,$S$55,$M$55:$M$102,"ok")</f>
        <v>37037.402958333332</v>
      </c>
      <c r="AA111" s="1003">
        <f>SUMIFS(AE55:AE102,$S$55:$S$102,$S$55,$M$55:$M$102,"ok")</f>
        <v>50774.012958333333</v>
      </c>
      <c r="AB111" s="1003">
        <f>SUMIFS(AG55:AG102,$S$55:$S$102,$S$55,$M$55:$M$102,"ok")</f>
        <v>50774.012958333333</v>
      </c>
      <c r="AC111" s="1003">
        <f t="shared" ref="AC111" si="128">SUMIFS(AH55:AH102,$S$55:$S$102,$S$55,$M$55:$M$102,"ok")</f>
        <v>50774.012958333333</v>
      </c>
      <c r="AD111" s="1003">
        <f>SUMIFS(AI55:AI102,$S$55:$S$102,$S$55,$M$55:$M$102,"ok")</f>
        <v>55902.80083712122</v>
      </c>
      <c r="AE111" s="154">
        <f>SUM(S111:AD111)</f>
        <v>469013.28575378784</v>
      </c>
    </row>
    <row r="112" spans="1:48" ht="14.85" customHeight="1" x14ac:dyDescent="0.3">
      <c r="A112" s="679"/>
      <c r="B112" s="679"/>
      <c r="C112" s="678"/>
      <c r="D112" s="680"/>
      <c r="E112" s="732"/>
      <c r="F112" s="732"/>
      <c r="H112" s="879" t="s">
        <v>2226</v>
      </c>
      <c r="I112" s="817" t="s">
        <v>308</v>
      </c>
      <c r="J112" s="106" t="s">
        <v>363</v>
      </c>
      <c r="K112" s="106" t="s">
        <v>363</v>
      </c>
      <c r="L112" s="107">
        <f t="shared" si="122"/>
        <v>0.33333333000000004</v>
      </c>
      <c r="M112" s="778" t="s">
        <v>1531</v>
      </c>
      <c r="N112" s="779"/>
      <c r="O112" s="779"/>
      <c r="P112" s="823" t="s">
        <v>33</v>
      </c>
      <c r="Q112" s="823" t="s">
        <v>1530</v>
      </c>
    </row>
    <row r="113" spans="1:17" ht="14.85" customHeight="1" x14ac:dyDescent="0.3">
      <c r="A113" s="112"/>
      <c r="B113" s="112"/>
      <c r="C113" s="310"/>
      <c r="D113" s="649"/>
      <c r="E113" s="712"/>
      <c r="F113" s="712"/>
      <c r="G113" s="111"/>
      <c r="H113" s="882" t="s">
        <v>2227</v>
      </c>
      <c r="I113" s="819" t="s">
        <v>308</v>
      </c>
      <c r="J113" s="109" t="s">
        <v>363</v>
      </c>
      <c r="K113" s="109" t="s">
        <v>363</v>
      </c>
      <c r="L113" s="107">
        <f t="shared" si="122"/>
        <v>0.33333333000000004</v>
      </c>
      <c r="M113" s="780" t="s">
        <v>660</v>
      </c>
      <c r="N113" s="781"/>
      <c r="O113" s="781"/>
      <c r="P113" s="824" t="s">
        <v>32</v>
      </c>
      <c r="Q113" s="824" t="s">
        <v>2228</v>
      </c>
    </row>
    <row r="114" spans="1:17" ht="14.85" customHeight="1" x14ac:dyDescent="0.3">
      <c r="A114" s="679"/>
      <c r="B114" s="679"/>
      <c r="C114" s="678"/>
      <c r="D114" s="680"/>
      <c r="E114" s="711"/>
      <c r="F114" s="711"/>
      <c r="G114" s="111"/>
      <c r="H114" s="879" t="s">
        <v>2229</v>
      </c>
      <c r="I114" s="817" t="s">
        <v>308</v>
      </c>
      <c r="J114" s="106" t="s">
        <v>363</v>
      </c>
      <c r="K114" s="106" t="s">
        <v>363</v>
      </c>
      <c r="L114" s="107">
        <f t="shared" si="122"/>
        <v>0.33333333000000004</v>
      </c>
      <c r="M114" s="778" t="s">
        <v>1533</v>
      </c>
      <c r="N114" s="779"/>
      <c r="O114" s="779"/>
      <c r="P114" s="823" t="s">
        <v>33</v>
      </c>
      <c r="Q114" s="823" t="s">
        <v>1532</v>
      </c>
    </row>
    <row r="115" spans="1:17" x14ac:dyDescent="0.3">
      <c r="A115" s="112"/>
      <c r="B115" s="112"/>
      <c r="C115" s="310"/>
      <c r="D115" s="649"/>
      <c r="E115" s="109"/>
      <c r="F115" s="109"/>
      <c r="G115" s="111"/>
      <c r="H115" s="881" t="s">
        <v>2230</v>
      </c>
      <c r="I115" s="819" t="s">
        <v>308</v>
      </c>
      <c r="J115" s="109" t="s">
        <v>363</v>
      </c>
      <c r="K115" s="109" t="s">
        <v>363</v>
      </c>
      <c r="L115" s="107">
        <f t="shared" si="122"/>
        <v>0.33333333000000004</v>
      </c>
      <c r="M115" s="780" t="s">
        <v>1535</v>
      </c>
      <c r="N115" s="781"/>
      <c r="O115" s="781"/>
      <c r="P115" s="824" t="s">
        <v>33</v>
      </c>
      <c r="Q115" s="825" t="s">
        <v>1534</v>
      </c>
    </row>
    <row r="116" spans="1:17" ht="14.85" customHeight="1" x14ac:dyDescent="0.3">
      <c r="A116" s="679"/>
      <c r="B116" s="679"/>
      <c r="C116" s="678"/>
      <c r="D116" s="680"/>
      <c r="E116" s="738"/>
      <c r="F116" s="732"/>
      <c r="G116" s="111"/>
      <c r="H116" s="879" t="s">
        <v>2231</v>
      </c>
      <c r="I116" s="817" t="s">
        <v>308</v>
      </c>
      <c r="J116" s="106" t="s">
        <v>363</v>
      </c>
      <c r="K116" s="106" t="s">
        <v>363</v>
      </c>
      <c r="L116" s="107">
        <f t="shared" si="122"/>
        <v>0.33333333000000004</v>
      </c>
      <c r="M116" s="778" t="s">
        <v>662</v>
      </c>
      <c r="N116" s="779"/>
      <c r="O116" s="779"/>
      <c r="P116" s="823" t="s">
        <v>32</v>
      </c>
      <c r="Q116" s="823" t="s">
        <v>2232</v>
      </c>
    </row>
    <row r="117" spans="1:17" ht="14.85" customHeight="1" x14ac:dyDescent="0.3">
      <c r="A117" s="112"/>
      <c r="B117" s="112"/>
      <c r="C117" s="310"/>
      <c r="D117" s="649"/>
      <c r="E117" s="109"/>
      <c r="F117" s="109"/>
      <c r="G117" s="111"/>
      <c r="H117" s="880" t="s">
        <v>2233</v>
      </c>
      <c r="I117" s="819" t="s">
        <v>308</v>
      </c>
      <c r="J117" s="109" t="s">
        <v>363</v>
      </c>
      <c r="K117" s="109" t="s">
        <v>363</v>
      </c>
      <c r="L117" s="107">
        <f t="shared" si="122"/>
        <v>0.33333333000000004</v>
      </c>
      <c r="M117" s="780" t="s">
        <v>664</v>
      </c>
      <c r="N117" s="781"/>
      <c r="O117" s="781"/>
      <c r="P117" s="824" t="s">
        <v>32</v>
      </c>
      <c r="Q117" s="824" t="s">
        <v>2234</v>
      </c>
    </row>
    <row r="118" spans="1:17" ht="14.85" customHeight="1" x14ac:dyDescent="0.3">
      <c r="A118" s="679"/>
      <c r="B118" s="679"/>
      <c r="C118" s="678"/>
      <c r="D118" s="680"/>
      <c r="E118" s="711"/>
      <c r="F118" s="711"/>
      <c r="G118" s="111"/>
      <c r="H118" s="874" t="s">
        <v>2235</v>
      </c>
      <c r="I118" s="817" t="s">
        <v>308</v>
      </c>
      <c r="J118" s="106" t="s">
        <v>363</v>
      </c>
      <c r="K118" s="106" t="s">
        <v>363</v>
      </c>
      <c r="L118" s="107">
        <f>(COUNTIF(I118:K118,"OK"))*33.333333/100</f>
        <v>0.33333333000000004</v>
      </c>
      <c r="M118" s="1563" t="s">
        <v>1097</v>
      </c>
      <c r="N118" s="1564"/>
      <c r="O118" s="1565"/>
      <c r="P118" s="823" t="s">
        <v>2236</v>
      </c>
      <c r="Q118" s="105" t="s">
        <v>2237</v>
      </c>
    </row>
    <row r="119" spans="1:17" ht="14.85" customHeight="1" x14ac:dyDescent="0.3">
      <c r="A119" s="112"/>
      <c r="B119" s="112"/>
      <c r="C119" s="310"/>
      <c r="D119" s="649"/>
      <c r="E119" s="109"/>
      <c r="F119" s="109"/>
      <c r="G119" s="111"/>
      <c r="H119" s="108"/>
      <c r="I119" s="282"/>
      <c r="J119" s="109"/>
      <c r="K119" s="109"/>
      <c r="L119" s="110"/>
      <c r="M119" s="780" t="s">
        <v>128</v>
      </c>
      <c r="N119" s="781"/>
      <c r="O119" s="781"/>
      <c r="P119" s="824"/>
      <c r="Q119" s="110"/>
    </row>
    <row r="120" spans="1:17" x14ac:dyDescent="0.3">
      <c r="A120" s="679"/>
      <c r="B120" s="679"/>
      <c r="C120" s="678"/>
      <c r="D120" s="680"/>
      <c r="E120" s="711"/>
      <c r="F120" s="711"/>
      <c r="G120" s="111"/>
      <c r="H120" s="105"/>
      <c r="I120" s="281"/>
      <c r="J120" s="106"/>
      <c r="K120" s="106"/>
      <c r="L120" s="107"/>
      <c r="M120" s="778" t="s">
        <v>128</v>
      </c>
      <c r="N120" s="779"/>
      <c r="O120" s="779"/>
      <c r="P120" s="823"/>
      <c r="Q120" s="107"/>
    </row>
    <row r="121" spans="1:17" x14ac:dyDescent="0.3">
      <c r="A121" s="112"/>
      <c r="B121" s="112"/>
      <c r="C121" s="310"/>
      <c r="D121" s="649"/>
      <c r="E121" s="109"/>
      <c r="F121" s="109"/>
      <c r="G121" s="111"/>
      <c r="H121" s="108"/>
      <c r="I121" s="282"/>
      <c r="J121" s="109"/>
      <c r="K121" s="109"/>
      <c r="L121" s="110"/>
      <c r="M121" s="780" t="s">
        <v>128</v>
      </c>
      <c r="N121" s="781"/>
      <c r="O121" s="781"/>
      <c r="P121" s="824"/>
      <c r="Q121" s="110"/>
    </row>
    <row r="122" spans="1:17" x14ac:dyDescent="0.3">
      <c r="A122" s="679"/>
      <c r="B122" s="679"/>
      <c r="C122" s="678"/>
      <c r="D122" s="680"/>
      <c r="E122" s="711"/>
      <c r="F122" s="711"/>
      <c r="G122" s="111"/>
      <c r="H122" s="105"/>
      <c r="I122" s="281"/>
      <c r="J122" s="106"/>
      <c r="K122" s="106"/>
      <c r="L122" s="107"/>
      <c r="M122" s="778" t="s">
        <v>128</v>
      </c>
      <c r="N122" s="779"/>
      <c r="O122" s="779"/>
      <c r="P122" s="823"/>
      <c r="Q122" s="107"/>
    </row>
    <row r="123" spans="1:17" x14ac:dyDescent="0.3">
      <c r="A123" s="112"/>
      <c r="B123" s="112"/>
      <c r="C123" s="310"/>
      <c r="D123" s="649"/>
      <c r="E123" s="109"/>
      <c r="F123" s="109"/>
      <c r="G123" s="111"/>
      <c r="H123" s="108"/>
      <c r="I123" s="282"/>
      <c r="J123" s="109"/>
      <c r="K123" s="109"/>
      <c r="L123" s="110"/>
      <c r="M123" s="780" t="s">
        <v>128</v>
      </c>
      <c r="N123" s="781"/>
      <c r="O123" s="781"/>
      <c r="P123" s="824"/>
      <c r="Q123" s="110"/>
    </row>
    <row r="124" spans="1:17" x14ac:dyDescent="0.3">
      <c r="A124" s="679"/>
      <c r="B124" s="679"/>
      <c r="C124" s="678"/>
      <c r="D124" s="680"/>
      <c r="E124" s="711"/>
      <c r="F124" s="711"/>
      <c r="G124" s="111"/>
      <c r="H124" s="105"/>
      <c r="I124" s="281"/>
      <c r="J124" s="106"/>
      <c r="K124" s="106"/>
      <c r="L124" s="107"/>
      <c r="M124" s="778" t="s">
        <v>128</v>
      </c>
      <c r="N124" s="779"/>
      <c r="O124" s="779"/>
      <c r="P124" s="823"/>
      <c r="Q124" s="107"/>
    </row>
    <row r="125" spans="1:17" x14ac:dyDescent="0.3">
      <c r="A125" s="112"/>
      <c r="B125" s="112"/>
      <c r="C125" s="310"/>
      <c r="D125" s="649"/>
      <c r="E125" s="109"/>
      <c r="F125" s="109"/>
      <c r="G125" s="111"/>
      <c r="H125" s="108"/>
      <c r="I125" s="282"/>
      <c r="J125" s="109"/>
      <c r="K125" s="109"/>
      <c r="L125" s="110"/>
      <c r="M125" s="780" t="s">
        <v>128</v>
      </c>
      <c r="N125" s="781"/>
      <c r="O125" s="781"/>
      <c r="P125" s="824"/>
      <c r="Q125" s="110"/>
    </row>
    <row r="126" spans="1:17" x14ac:dyDescent="0.3">
      <c r="A126" s="679"/>
      <c r="B126" s="679"/>
      <c r="C126" s="678"/>
      <c r="D126" s="680"/>
      <c r="E126" s="711"/>
      <c r="F126" s="711"/>
      <c r="G126" s="111"/>
      <c r="H126" s="105"/>
      <c r="I126" s="281"/>
      <c r="J126" s="106"/>
      <c r="K126" s="106"/>
      <c r="L126" s="107"/>
      <c r="M126" s="778" t="s">
        <v>128</v>
      </c>
      <c r="N126" s="779"/>
      <c r="O126" s="779"/>
      <c r="P126" s="823"/>
      <c r="Q126" s="107"/>
    </row>
    <row r="127" spans="1:17" x14ac:dyDescent="0.3">
      <c r="A127" s="112"/>
      <c r="B127" s="112"/>
      <c r="C127" s="310"/>
      <c r="D127" s="649"/>
      <c r="E127" s="109"/>
      <c r="F127" s="109"/>
      <c r="G127" s="111"/>
      <c r="H127" s="108"/>
      <c r="I127" s="282"/>
      <c r="J127" s="109"/>
      <c r="K127" s="109"/>
      <c r="L127" s="110"/>
      <c r="M127" s="780" t="s">
        <v>128</v>
      </c>
      <c r="N127" s="781"/>
      <c r="O127" s="781"/>
      <c r="P127" s="824"/>
      <c r="Q127" s="110"/>
    </row>
    <row r="128" spans="1:17" ht="15.6" x14ac:dyDescent="0.3">
      <c r="A128" s="679"/>
      <c r="B128" s="679"/>
      <c r="C128" s="678"/>
      <c r="D128" s="680"/>
      <c r="E128" s="711"/>
      <c r="F128" s="711"/>
      <c r="G128" s="111"/>
      <c r="H128" s="155"/>
      <c r="I128" s="443">
        <f>COUNTIF(I106:I127,"OK")/(COUNTIF(I106:I127,"OK")+COUNTIF(I106:I127,"Não OK"))</f>
        <v>1</v>
      </c>
      <c r="J128" s="443">
        <f>COUNTIF(J106:J127,"OK")/(COUNTIF(J106:J127,"OK")+COUNTIF(J106:J127,"Não OK"))</f>
        <v>0</v>
      </c>
      <c r="K128" s="443">
        <f>COUNTIF(K106:K127,"OK")/(COUNTIF(K106:K127,"OK")+COUNTIF(K106:K127,"Não OK"))</f>
        <v>0</v>
      </c>
      <c r="L128" s="104">
        <f>AVERAGE(L106:L127)</f>
        <v>0.33333332999999998</v>
      </c>
      <c r="M128" s="548"/>
      <c r="N128" s="548"/>
      <c r="O128" s="782"/>
      <c r="P128" s="102"/>
      <c r="Q128" s="104"/>
    </row>
    <row r="129" spans="1:20" x14ac:dyDescent="0.3">
      <c r="A129" s="112"/>
      <c r="B129" s="112"/>
      <c r="C129" s="310"/>
      <c r="D129" s="649"/>
      <c r="E129" s="109"/>
      <c r="F129" s="109"/>
      <c r="H129" s="59"/>
      <c r="I129" s="47"/>
      <c r="J129" s="59"/>
      <c r="K129" s="59"/>
      <c r="L129" s="59"/>
      <c r="M129" s="59"/>
      <c r="N129" s="59"/>
      <c r="O129" s="59"/>
    </row>
    <row r="130" spans="1:20" ht="15.6" x14ac:dyDescent="0.3">
      <c r="A130" s="679"/>
      <c r="B130" s="679"/>
      <c r="C130" s="678"/>
      <c r="D130" s="680"/>
      <c r="E130" s="711"/>
      <c r="F130" s="711"/>
      <c r="H130" s="368" t="s">
        <v>675</v>
      </c>
      <c r="I130" s="368"/>
      <c r="J130" s="368"/>
      <c r="K130" s="368"/>
      <c r="L130" s="99"/>
      <c r="M130" s="99"/>
      <c r="N130" s="99"/>
      <c r="O130" s="369"/>
      <c r="P130" s="517"/>
    </row>
    <row r="131" spans="1:20" x14ac:dyDescent="0.3">
      <c r="A131" s="112"/>
      <c r="B131" s="112"/>
      <c r="C131" s="310"/>
      <c r="D131" s="649"/>
      <c r="E131" s="109"/>
      <c r="F131" s="109"/>
      <c r="H131" s="312" t="s">
        <v>77</v>
      </c>
      <c r="I131" s="312" t="s">
        <v>78</v>
      </c>
      <c r="J131" s="312" t="s">
        <v>80</v>
      </c>
      <c r="K131" s="312" t="s">
        <v>79</v>
      </c>
      <c r="L131" s="312" t="s">
        <v>78</v>
      </c>
      <c r="M131" s="312" t="s">
        <v>79</v>
      </c>
      <c r="N131" s="312" t="s">
        <v>80</v>
      </c>
      <c r="O131" s="369"/>
      <c r="P131" s="517"/>
      <c r="S131" s="62" t="s">
        <v>1524</v>
      </c>
      <c r="T131" s="62" t="s">
        <v>1523</v>
      </c>
    </row>
    <row r="132" spans="1:20" x14ac:dyDescent="0.3">
      <c r="A132" s="679"/>
      <c r="B132" s="679"/>
      <c r="C132" s="678"/>
      <c r="D132" s="680"/>
      <c r="E132" s="711"/>
      <c r="F132" s="711"/>
      <c r="H132" s="677" t="s">
        <v>82</v>
      </c>
      <c r="I132" s="319">
        <f>E105</f>
        <v>1</v>
      </c>
      <c r="J132" s="299">
        <v>1</v>
      </c>
      <c r="K132" s="297"/>
      <c r="L132" s="299">
        <f>IF(I132=0,"0",I132/J132)</f>
        <v>1</v>
      </c>
      <c r="M132" s="299">
        <f>F105</f>
        <v>1</v>
      </c>
      <c r="N132" s="319">
        <v>1</v>
      </c>
      <c r="O132" s="369"/>
      <c r="P132" s="517"/>
      <c r="S132" s="62" t="s">
        <v>1527</v>
      </c>
      <c r="T132" s="62" t="s">
        <v>1526</v>
      </c>
    </row>
    <row r="133" spans="1:20" ht="21" x14ac:dyDescent="0.3">
      <c r="A133" s="100"/>
      <c r="B133" s="100"/>
      <c r="C133" s="100"/>
      <c r="D133" s="113"/>
      <c r="E133" s="113">
        <v>1</v>
      </c>
      <c r="F133" s="113">
        <f>AVERAGE(F105:F110)</f>
        <v>0.95833333333333337</v>
      </c>
      <c r="H133" s="681" t="s">
        <v>84</v>
      </c>
      <c r="I133" s="695">
        <f>E106</f>
        <v>0.75</v>
      </c>
      <c r="J133" s="694">
        <v>1</v>
      </c>
      <c r="K133" s="693"/>
      <c r="L133" s="694">
        <f>IF(I133=0,"0",I133/J133)</f>
        <v>0.75</v>
      </c>
      <c r="M133" s="694">
        <f>F106</f>
        <v>0.75</v>
      </c>
      <c r="N133" s="695">
        <v>1</v>
      </c>
      <c r="O133" s="369"/>
      <c r="P133" s="517"/>
      <c r="S133" s="62" t="s">
        <v>1529</v>
      </c>
      <c r="T133" s="62" t="s">
        <v>1528</v>
      </c>
    </row>
    <row r="134" spans="1:20" x14ac:dyDescent="0.3">
      <c r="H134" s="329" t="s">
        <v>86</v>
      </c>
      <c r="I134" s="319">
        <f>AVERAGE(E108:E110)</f>
        <v>1</v>
      </c>
      <c r="J134" s="299">
        <v>1</v>
      </c>
      <c r="K134" s="297"/>
      <c r="L134" s="299">
        <f>IF(I134=0,"0",I134/J134)</f>
        <v>1</v>
      </c>
      <c r="M134" s="299">
        <f>AVERAGE(F108:F110)</f>
        <v>1</v>
      </c>
      <c r="N134" s="319">
        <v>1</v>
      </c>
      <c r="O134" s="369"/>
      <c r="P134" s="517"/>
      <c r="S134" s="62" t="s">
        <v>1531</v>
      </c>
      <c r="T134" s="62" t="s">
        <v>1530</v>
      </c>
    </row>
    <row r="135" spans="1:20" x14ac:dyDescent="0.3">
      <c r="H135" s="681" t="s">
        <v>88</v>
      </c>
      <c r="I135" s="695">
        <f>E107</f>
        <v>1</v>
      </c>
      <c r="J135" s="694">
        <v>1</v>
      </c>
      <c r="K135" s="693"/>
      <c r="L135" s="694">
        <f>IF(I135=0,"0",I135/J135)</f>
        <v>1</v>
      </c>
      <c r="M135" s="694">
        <f>F107</f>
        <v>1</v>
      </c>
      <c r="N135" s="695">
        <v>1</v>
      </c>
      <c r="O135" s="369"/>
      <c r="P135" s="517"/>
      <c r="S135" s="62" t="s">
        <v>1533</v>
      </c>
      <c r="T135" s="62" t="s">
        <v>1532</v>
      </c>
    </row>
    <row r="136" spans="1:20" x14ac:dyDescent="0.3">
      <c r="H136" s="517"/>
      <c r="I136" s="369"/>
      <c r="J136" s="369"/>
      <c r="K136" s="369"/>
      <c r="L136" s="369"/>
      <c r="M136" s="369"/>
      <c r="N136" s="369"/>
      <c r="O136" s="369"/>
      <c r="P136" s="517"/>
      <c r="S136" s="62" t="s">
        <v>1535</v>
      </c>
      <c r="T136" s="62" t="s">
        <v>1534</v>
      </c>
    </row>
    <row r="137" spans="1:20" x14ac:dyDescent="0.3">
      <c r="H137" s="312" t="s">
        <v>666</v>
      </c>
      <c r="I137" s="312" t="s">
        <v>667</v>
      </c>
      <c r="J137" s="312" t="s">
        <v>668</v>
      </c>
      <c r="K137" s="312" t="s">
        <v>669</v>
      </c>
      <c r="L137" s="312" t="s">
        <v>670</v>
      </c>
      <c r="M137" s="312" t="s">
        <v>671</v>
      </c>
      <c r="N137" s="312" t="s">
        <v>672</v>
      </c>
      <c r="O137" s="312" t="s">
        <v>673</v>
      </c>
      <c r="P137" s="1010" t="s">
        <v>674</v>
      </c>
    </row>
    <row r="138" spans="1:20" x14ac:dyDescent="0.3">
      <c r="H138" s="706">
        <v>1</v>
      </c>
      <c r="I138" s="706">
        <v>3</v>
      </c>
      <c r="J138" s="706"/>
      <c r="K138" s="707"/>
      <c r="L138" s="708">
        <f>AVERAGE(E105:E107)</f>
        <v>0.91666666666666663</v>
      </c>
      <c r="M138" s="706"/>
      <c r="N138" s="706"/>
      <c r="O138" s="708">
        <f>AVERAGE(F105:F107)</f>
        <v>0.91666666666666663</v>
      </c>
      <c r="P138" s="1011"/>
    </row>
    <row r="139" spans="1:20" x14ac:dyDescent="0.3">
      <c r="H139" s="693">
        <v>2</v>
      </c>
      <c r="I139" s="693">
        <v>3</v>
      </c>
      <c r="J139" s="693"/>
      <c r="K139" s="693"/>
      <c r="L139" s="694">
        <f>AVERAGE(E108:E110)</f>
        <v>1</v>
      </c>
      <c r="M139" s="693"/>
      <c r="N139" s="693"/>
      <c r="O139" s="694">
        <f>AVERAGE(F108:F110)</f>
        <v>1</v>
      </c>
      <c r="P139" s="1012"/>
    </row>
    <row r="140" spans="1:20" x14ac:dyDescent="0.3">
      <c r="H140" s="297">
        <v>3</v>
      </c>
      <c r="I140" s="297">
        <f>COUNTIF($D$105:$D$132,H140)</f>
        <v>0</v>
      </c>
      <c r="J140" s="297"/>
      <c r="K140" s="300"/>
      <c r="L140" s="299" t="e">
        <f>COUNTIFS(E107:E153,"OK",D107:D153,H140)/I140</f>
        <v>#DIV/0!</v>
      </c>
      <c r="M140" s="297"/>
      <c r="N140" s="297"/>
      <c r="O140" s="299" t="e">
        <f>M140/I140</f>
        <v>#DIV/0!</v>
      </c>
      <c r="P140" s="1011"/>
    </row>
    <row r="141" spans="1:20" x14ac:dyDescent="0.3">
      <c r="H141" s="312" t="s">
        <v>149</v>
      </c>
      <c r="I141" s="312">
        <f>SUM(I138:I140)</f>
        <v>6</v>
      </c>
      <c r="J141" s="312"/>
      <c r="K141" s="312"/>
      <c r="L141" s="312"/>
      <c r="M141" s="312"/>
      <c r="N141" s="312"/>
      <c r="O141" s="312"/>
      <c r="P141" s="1010"/>
    </row>
    <row r="142" spans="1:20" x14ac:dyDescent="0.3">
      <c r="H142" s="714" t="s">
        <v>1536</v>
      </c>
    </row>
    <row r="146" spans="1:10" x14ac:dyDescent="0.3">
      <c r="J146" s="114"/>
    </row>
    <row r="154" spans="1:10" ht="21" x14ac:dyDescent="0.3">
      <c r="A154" s="513" t="s">
        <v>676</v>
      </c>
      <c r="B154" s="513" t="s">
        <v>677</v>
      </c>
      <c r="C154" s="513" t="s">
        <v>678</v>
      </c>
      <c r="D154" s="513" t="s">
        <v>679</v>
      </c>
      <c r="E154" s="513" t="s">
        <v>680</v>
      </c>
      <c r="F154" s="523"/>
    </row>
    <row r="155" spans="1:10" x14ac:dyDescent="0.3">
      <c r="A155" s="515" t="s">
        <v>713</v>
      </c>
      <c r="B155" s="515" t="s">
        <v>2217</v>
      </c>
      <c r="C155" s="515" t="s">
        <v>653</v>
      </c>
      <c r="D155" s="515" t="s">
        <v>2238</v>
      </c>
      <c r="E155" s="512"/>
    </row>
    <row r="156" spans="1:10" x14ac:dyDescent="0.3">
      <c r="A156" s="516" t="s">
        <v>713</v>
      </c>
      <c r="B156" s="516" t="s">
        <v>2219</v>
      </c>
      <c r="C156" s="516" t="s">
        <v>656</v>
      </c>
      <c r="D156" s="516" t="s">
        <v>1542</v>
      </c>
      <c r="E156" s="514"/>
    </row>
    <row r="157" spans="1:10" x14ac:dyDescent="0.3">
      <c r="A157" s="515" t="s">
        <v>713</v>
      </c>
      <c r="B157" s="515" t="s">
        <v>2239</v>
      </c>
      <c r="C157" s="515" t="s">
        <v>2240</v>
      </c>
      <c r="D157" s="515" t="s">
        <v>1542</v>
      </c>
      <c r="E157" s="512"/>
    </row>
    <row r="158" spans="1:10" x14ac:dyDescent="0.3">
      <c r="A158" s="516" t="s">
        <v>713</v>
      </c>
      <c r="B158" s="516" t="s">
        <v>2241</v>
      </c>
      <c r="C158" s="516" t="s">
        <v>2242</v>
      </c>
      <c r="D158" s="516" t="s">
        <v>737</v>
      </c>
      <c r="E158" s="514"/>
    </row>
    <row r="159" spans="1:10" x14ac:dyDescent="0.3">
      <c r="A159" s="515" t="s">
        <v>713</v>
      </c>
      <c r="B159" s="515" t="s">
        <v>2243</v>
      </c>
      <c r="C159" s="515" t="s">
        <v>2240</v>
      </c>
      <c r="D159" s="515" t="s">
        <v>1542</v>
      </c>
      <c r="E159" s="512"/>
    </row>
    <row r="160" spans="1:10" x14ac:dyDescent="0.3">
      <c r="A160" s="516" t="s">
        <v>713</v>
      </c>
      <c r="B160" s="516" t="s">
        <v>2244</v>
      </c>
      <c r="C160" s="516" t="s">
        <v>2245</v>
      </c>
      <c r="D160" s="516" t="s">
        <v>737</v>
      </c>
      <c r="E160" s="514"/>
    </row>
    <row r="161" spans="1:5" x14ac:dyDescent="0.3">
      <c r="A161" s="515" t="s">
        <v>713</v>
      </c>
      <c r="B161" s="515" t="s">
        <v>2246</v>
      </c>
      <c r="C161" s="515" t="s">
        <v>2247</v>
      </c>
      <c r="D161" s="515" t="s">
        <v>1542</v>
      </c>
      <c r="E161" s="512"/>
    </row>
    <row r="162" spans="1:5" x14ac:dyDescent="0.3">
      <c r="A162" s="516" t="s">
        <v>713</v>
      </c>
      <c r="B162" s="516" t="s">
        <v>2248</v>
      </c>
      <c r="C162" s="516" t="s">
        <v>2240</v>
      </c>
      <c r="D162" s="516" t="s">
        <v>1542</v>
      </c>
      <c r="E162" s="514"/>
    </row>
    <row r="163" spans="1:5" x14ac:dyDescent="0.3">
      <c r="A163" s="515" t="s">
        <v>713</v>
      </c>
      <c r="B163" s="515" t="s">
        <v>2249</v>
      </c>
      <c r="C163" s="515" t="s">
        <v>2250</v>
      </c>
      <c r="D163" s="515" t="s">
        <v>737</v>
      </c>
      <c r="E163" s="512"/>
    </row>
    <row r="164" spans="1:5" x14ac:dyDescent="0.3">
      <c r="A164" s="516" t="s">
        <v>713</v>
      </c>
      <c r="B164" s="516" t="s">
        <v>2225</v>
      </c>
      <c r="C164" s="516" t="s">
        <v>1529</v>
      </c>
      <c r="D164" s="516" t="s">
        <v>2251</v>
      </c>
      <c r="E164" s="514"/>
    </row>
    <row r="165" spans="1:5" x14ac:dyDescent="0.3">
      <c r="A165" s="515" t="s">
        <v>713</v>
      </c>
      <c r="B165" s="515" t="s">
        <v>2224</v>
      </c>
      <c r="C165" s="515" t="s">
        <v>1527</v>
      </c>
      <c r="D165" s="515" t="s">
        <v>737</v>
      </c>
      <c r="E165" s="512"/>
    </row>
    <row r="166" spans="1:5" x14ac:dyDescent="0.3">
      <c r="A166" s="516" t="s">
        <v>713</v>
      </c>
      <c r="B166" s="516" t="s">
        <v>2252</v>
      </c>
      <c r="C166" s="516" t="s">
        <v>2253</v>
      </c>
      <c r="D166" s="516" t="s">
        <v>1542</v>
      </c>
      <c r="E166" s="514"/>
    </row>
    <row r="167" spans="1:5" x14ac:dyDescent="0.3">
      <c r="A167" s="515" t="s">
        <v>713</v>
      </c>
      <c r="B167" s="515" t="s">
        <v>2254</v>
      </c>
      <c r="C167" s="515" t="s">
        <v>2240</v>
      </c>
      <c r="D167" s="515" t="s">
        <v>1542</v>
      </c>
      <c r="E167" s="512"/>
    </row>
    <row r="168" spans="1:5" x14ac:dyDescent="0.3">
      <c r="A168" s="516" t="s">
        <v>713</v>
      </c>
      <c r="B168" s="516" t="s">
        <v>2229</v>
      </c>
      <c r="C168" s="516" t="s">
        <v>1533</v>
      </c>
      <c r="D168" s="516" t="s">
        <v>2251</v>
      </c>
      <c r="E168" s="514"/>
    </row>
    <row r="169" spans="1:5" x14ac:dyDescent="0.3">
      <c r="A169" s="515" t="s">
        <v>713</v>
      </c>
      <c r="B169" s="515" t="s">
        <v>2255</v>
      </c>
      <c r="C169" s="515" t="s">
        <v>2256</v>
      </c>
      <c r="D169" s="515" t="s">
        <v>1542</v>
      </c>
      <c r="E169" s="512"/>
    </row>
    <row r="170" spans="1:5" x14ac:dyDescent="0.3">
      <c r="A170" s="516" t="s">
        <v>713</v>
      </c>
      <c r="B170" s="516" t="s">
        <v>2257</v>
      </c>
      <c r="C170" s="516" t="s">
        <v>2258</v>
      </c>
      <c r="D170" s="516" t="s">
        <v>737</v>
      </c>
      <c r="E170" s="514"/>
    </row>
    <row r="171" spans="1:5" x14ac:dyDescent="0.3">
      <c r="A171" s="515" t="s">
        <v>713</v>
      </c>
      <c r="B171" s="515" t="s">
        <v>2259</v>
      </c>
      <c r="C171" s="515" t="s">
        <v>2240</v>
      </c>
      <c r="D171" s="515" t="s">
        <v>1542</v>
      </c>
      <c r="E171" s="512"/>
    </row>
    <row r="172" spans="1:5" x14ac:dyDescent="0.3">
      <c r="A172" s="516" t="s">
        <v>713</v>
      </c>
      <c r="B172" s="516" t="s">
        <v>2260</v>
      </c>
      <c r="C172" s="516" t="s">
        <v>2261</v>
      </c>
      <c r="D172" s="516" t="s">
        <v>1542</v>
      </c>
      <c r="E172" s="514"/>
    </row>
    <row r="173" spans="1:5" x14ac:dyDescent="0.3">
      <c r="A173" s="515" t="s">
        <v>713</v>
      </c>
      <c r="B173" s="515" t="s">
        <v>2230</v>
      </c>
      <c r="C173" s="515" t="s">
        <v>1535</v>
      </c>
      <c r="D173" s="515" t="s">
        <v>716</v>
      </c>
      <c r="E173" s="512"/>
    </row>
    <row r="174" spans="1:5" x14ac:dyDescent="0.3">
      <c r="A174" s="516" t="s">
        <v>713</v>
      </c>
      <c r="B174" s="516" t="s">
        <v>2262</v>
      </c>
      <c r="C174" s="516" t="s">
        <v>2240</v>
      </c>
      <c r="D174" s="516" t="s">
        <v>1542</v>
      </c>
      <c r="E174" s="514"/>
    </row>
    <row r="175" spans="1:5" x14ac:dyDescent="0.3">
      <c r="A175" s="515" t="s">
        <v>713</v>
      </c>
      <c r="B175" s="515" t="s">
        <v>2263</v>
      </c>
      <c r="C175" s="515" t="s">
        <v>2264</v>
      </c>
      <c r="D175" s="515" t="s">
        <v>1542</v>
      </c>
      <c r="E175" s="512"/>
    </row>
    <row r="176" spans="1:5" x14ac:dyDescent="0.3">
      <c r="A176" s="516" t="s">
        <v>713</v>
      </c>
      <c r="B176" s="516" t="s">
        <v>2265</v>
      </c>
      <c r="C176" s="516" t="s">
        <v>2240</v>
      </c>
      <c r="D176" s="516" t="s">
        <v>1542</v>
      </c>
      <c r="E176" s="514"/>
    </row>
    <row r="177" spans="1:5" x14ac:dyDescent="0.3">
      <c r="A177" s="515" t="s">
        <v>713</v>
      </c>
      <c r="B177" s="515" t="s">
        <v>2266</v>
      </c>
      <c r="C177" s="515" t="s">
        <v>2240</v>
      </c>
      <c r="D177" s="515" t="s">
        <v>1542</v>
      </c>
      <c r="E177" s="512"/>
    </row>
    <row r="178" spans="1:5" x14ac:dyDescent="0.3">
      <c r="A178" s="516" t="s">
        <v>713</v>
      </c>
      <c r="B178" s="516" t="s">
        <v>2267</v>
      </c>
      <c r="C178" s="516" t="s">
        <v>2268</v>
      </c>
      <c r="D178" s="516" t="s">
        <v>1542</v>
      </c>
      <c r="E178" s="514"/>
    </row>
    <row r="179" spans="1:5" x14ac:dyDescent="0.3">
      <c r="A179" s="515" t="s">
        <v>713</v>
      </c>
      <c r="B179" s="515" t="s">
        <v>2269</v>
      </c>
      <c r="C179" s="515" t="s">
        <v>2270</v>
      </c>
      <c r="D179" s="515" t="s">
        <v>737</v>
      </c>
      <c r="E179" s="512"/>
    </row>
    <row r="180" spans="1:5" x14ac:dyDescent="0.3">
      <c r="A180" s="516" t="s">
        <v>713</v>
      </c>
      <c r="B180" s="516" t="s">
        <v>2271</v>
      </c>
      <c r="C180" s="516" t="s">
        <v>2240</v>
      </c>
      <c r="D180" s="516" t="s">
        <v>1542</v>
      </c>
      <c r="E180" s="514"/>
    </row>
    <row r="181" spans="1:5" x14ac:dyDescent="0.3">
      <c r="A181" s="515" t="s">
        <v>713</v>
      </c>
      <c r="B181" s="515" t="s">
        <v>2272</v>
      </c>
      <c r="C181" s="515" t="s">
        <v>2273</v>
      </c>
      <c r="D181" s="515" t="s">
        <v>1542</v>
      </c>
      <c r="E181" s="512"/>
    </row>
    <row r="182" spans="1:5" x14ac:dyDescent="0.3">
      <c r="A182" s="516" t="s">
        <v>713</v>
      </c>
      <c r="B182" s="516" t="s">
        <v>2274</v>
      </c>
      <c r="C182" s="516" t="s">
        <v>2275</v>
      </c>
      <c r="D182" s="516" t="s">
        <v>737</v>
      </c>
      <c r="E182" s="514"/>
    </row>
    <row r="183" spans="1:5" x14ac:dyDescent="0.3">
      <c r="A183" s="515" t="s">
        <v>713</v>
      </c>
      <c r="B183" s="515" t="s">
        <v>2276</v>
      </c>
      <c r="C183" s="515" t="s">
        <v>2277</v>
      </c>
      <c r="D183" s="515" t="s">
        <v>2238</v>
      </c>
      <c r="E183" s="512"/>
    </row>
    <row r="184" spans="1:5" x14ac:dyDescent="0.3">
      <c r="A184" s="516" t="s">
        <v>713</v>
      </c>
      <c r="B184" s="516" t="s">
        <v>2278</v>
      </c>
      <c r="C184" s="516" t="s">
        <v>2279</v>
      </c>
      <c r="D184" s="516" t="s">
        <v>737</v>
      </c>
      <c r="E184" s="514"/>
    </row>
    <row r="185" spans="1:5" x14ac:dyDescent="0.3">
      <c r="A185" s="515" t="s">
        <v>713</v>
      </c>
      <c r="B185" s="515" t="s">
        <v>2280</v>
      </c>
      <c r="C185" s="515" t="s">
        <v>2240</v>
      </c>
      <c r="D185" s="515" t="s">
        <v>1542</v>
      </c>
      <c r="E185" s="512"/>
    </row>
    <row r="186" spans="1:5" x14ac:dyDescent="0.3">
      <c r="A186" s="516" t="s">
        <v>713</v>
      </c>
      <c r="B186" s="516" t="s">
        <v>2281</v>
      </c>
      <c r="C186" s="516" t="s">
        <v>2282</v>
      </c>
      <c r="D186" s="516" t="s">
        <v>737</v>
      </c>
      <c r="E186" s="514"/>
    </row>
    <row r="187" spans="1:5" x14ac:dyDescent="0.3">
      <c r="A187" s="515" t="s">
        <v>713</v>
      </c>
      <c r="B187" s="515" t="s">
        <v>2283</v>
      </c>
      <c r="C187" s="515" t="s">
        <v>2284</v>
      </c>
      <c r="D187" s="515" t="s">
        <v>2238</v>
      </c>
      <c r="E187" s="512"/>
    </row>
    <row r="188" spans="1:5" x14ac:dyDescent="0.3">
      <c r="A188" s="516" t="s">
        <v>713</v>
      </c>
      <c r="B188" s="516" t="s">
        <v>2285</v>
      </c>
      <c r="C188" s="516" t="s">
        <v>2286</v>
      </c>
      <c r="D188" s="516" t="s">
        <v>737</v>
      </c>
      <c r="E188" s="514"/>
    </row>
    <row r="189" spans="1:5" x14ac:dyDescent="0.3">
      <c r="A189" s="515" t="s">
        <v>713</v>
      </c>
      <c r="B189" s="515" t="s">
        <v>2287</v>
      </c>
      <c r="C189" s="515" t="s">
        <v>2240</v>
      </c>
      <c r="D189" s="515" t="s">
        <v>1542</v>
      </c>
      <c r="E189" s="512"/>
    </row>
    <row r="190" spans="1:5" x14ac:dyDescent="0.3">
      <c r="A190" s="516" t="s">
        <v>713</v>
      </c>
      <c r="B190" s="516" t="s">
        <v>2288</v>
      </c>
      <c r="C190" s="516" t="s">
        <v>2289</v>
      </c>
      <c r="D190" s="516" t="s">
        <v>737</v>
      </c>
      <c r="E190" s="514"/>
    </row>
    <row r="191" spans="1:5" x14ac:dyDescent="0.3">
      <c r="A191" s="515" t="s">
        <v>713</v>
      </c>
      <c r="B191" s="515" t="s">
        <v>2290</v>
      </c>
      <c r="C191" s="515" t="s">
        <v>2291</v>
      </c>
      <c r="D191" s="515" t="s">
        <v>737</v>
      </c>
      <c r="E191" s="512"/>
    </row>
    <row r="192" spans="1:5" x14ac:dyDescent="0.3">
      <c r="A192" s="516" t="s">
        <v>713</v>
      </c>
      <c r="B192" s="516" t="s">
        <v>2292</v>
      </c>
      <c r="C192" s="516" t="s">
        <v>2293</v>
      </c>
      <c r="D192" s="516" t="s">
        <v>737</v>
      </c>
      <c r="E192" s="514"/>
    </row>
    <row r="193" spans="1:5" x14ac:dyDescent="0.3">
      <c r="A193" s="515" t="s">
        <v>713</v>
      </c>
      <c r="B193" s="515" t="s">
        <v>2294</v>
      </c>
      <c r="C193" s="515" t="s">
        <v>2240</v>
      </c>
      <c r="D193" s="515" t="s">
        <v>1542</v>
      </c>
      <c r="E193" s="512"/>
    </row>
    <row r="194" spans="1:5" x14ac:dyDescent="0.3">
      <c r="A194" s="516" t="s">
        <v>713</v>
      </c>
      <c r="B194" s="516" t="s">
        <v>2295</v>
      </c>
      <c r="C194" s="516" t="s">
        <v>2296</v>
      </c>
      <c r="D194" s="516" t="s">
        <v>2238</v>
      </c>
      <c r="E194" s="514"/>
    </row>
    <row r="195" spans="1:5" x14ac:dyDescent="0.3">
      <c r="A195" s="515" t="s">
        <v>713</v>
      </c>
      <c r="B195" s="515" t="s">
        <v>2297</v>
      </c>
      <c r="C195" s="515" t="s">
        <v>2298</v>
      </c>
      <c r="D195" s="515" t="s">
        <v>737</v>
      </c>
      <c r="E195" s="512"/>
    </row>
    <row r="196" spans="1:5" x14ac:dyDescent="0.3">
      <c r="A196" s="516" t="s">
        <v>713</v>
      </c>
      <c r="B196" s="516" t="s">
        <v>2299</v>
      </c>
      <c r="C196" s="516" t="s">
        <v>2300</v>
      </c>
      <c r="D196" s="516" t="s">
        <v>737</v>
      </c>
      <c r="E196" s="514"/>
    </row>
    <row r="197" spans="1:5" x14ac:dyDescent="0.3">
      <c r="A197" s="515" t="s">
        <v>713</v>
      </c>
      <c r="B197" s="515" t="s">
        <v>2301</v>
      </c>
      <c r="C197" s="515" t="s">
        <v>2302</v>
      </c>
      <c r="D197" s="515" t="s">
        <v>737</v>
      </c>
      <c r="E197" s="512"/>
    </row>
    <row r="198" spans="1:5" x14ac:dyDescent="0.3">
      <c r="A198" s="516" t="s">
        <v>713</v>
      </c>
      <c r="B198" s="516" t="s">
        <v>2303</v>
      </c>
      <c r="C198" s="516" t="s">
        <v>2304</v>
      </c>
      <c r="D198" s="516" t="s">
        <v>737</v>
      </c>
      <c r="E198" s="514"/>
    </row>
    <row r="199" spans="1:5" x14ac:dyDescent="0.3">
      <c r="A199" s="515" t="s">
        <v>713</v>
      </c>
      <c r="B199" s="515" t="s">
        <v>2305</v>
      </c>
      <c r="C199" s="515" t="s">
        <v>2306</v>
      </c>
      <c r="D199" s="515" t="s">
        <v>716</v>
      </c>
      <c r="E199" s="512"/>
    </row>
    <row r="200" spans="1:5" x14ac:dyDescent="0.3">
      <c r="A200" s="516" t="s">
        <v>713</v>
      </c>
      <c r="B200" s="516" t="s">
        <v>2307</v>
      </c>
      <c r="C200" s="516" t="s">
        <v>2308</v>
      </c>
      <c r="D200" s="516" t="s">
        <v>1542</v>
      </c>
      <c r="E200" s="514"/>
    </row>
    <row r="201" spans="1:5" x14ac:dyDescent="0.3">
      <c r="A201" s="515" t="s">
        <v>713</v>
      </c>
      <c r="B201" s="515" t="s">
        <v>2309</v>
      </c>
      <c r="C201" s="515" t="s">
        <v>2240</v>
      </c>
      <c r="D201" s="515" t="s">
        <v>1542</v>
      </c>
      <c r="E201" s="512"/>
    </row>
    <row r="202" spans="1:5" x14ac:dyDescent="0.3">
      <c r="A202" s="516" t="s">
        <v>713</v>
      </c>
      <c r="B202" s="516" t="s">
        <v>2310</v>
      </c>
      <c r="C202" s="516" t="s">
        <v>2311</v>
      </c>
      <c r="D202" s="516" t="s">
        <v>737</v>
      </c>
      <c r="E202" s="514"/>
    </row>
    <row r="203" spans="1:5" x14ac:dyDescent="0.3">
      <c r="A203" s="515" t="s">
        <v>713</v>
      </c>
      <c r="B203" s="515" t="s">
        <v>2312</v>
      </c>
      <c r="C203" s="515" t="s">
        <v>2313</v>
      </c>
      <c r="D203" s="515" t="s">
        <v>737</v>
      </c>
      <c r="E203" s="512"/>
    </row>
    <row r="204" spans="1:5" x14ac:dyDescent="0.3">
      <c r="A204" s="516" t="s">
        <v>713</v>
      </c>
      <c r="B204" s="516" t="s">
        <v>2314</v>
      </c>
      <c r="C204" s="516" t="s">
        <v>2240</v>
      </c>
      <c r="D204" s="516" t="s">
        <v>1542</v>
      </c>
      <c r="E204" s="514"/>
    </row>
    <row r="205" spans="1:5" x14ac:dyDescent="0.3">
      <c r="A205" s="515" t="s">
        <v>713</v>
      </c>
      <c r="B205" s="515" t="s">
        <v>2315</v>
      </c>
      <c r="C205" s="515" t="s">
        <v>2316</v>
      </c>
      <c r="D205" s="515" t="s">
        <v>1542</v>
      </c>
      <c r="E205" s="512"/>
    </row>
    <row r="206" spans="1:5" x14ac:dyDescent="0.3">
      <c r="A206" s="516" t="s">
        <v>713</v>
      </c>
      <c r="B206" s="516" t="s">
        <v>2317</v>
      </c>
      <c r="C206" s="516" t="s">
        <v>2240</v>
      </c>
      <c r="D206" s="516" t="s">
        <v>1542</v>
      </c>
      <c r="E206" s="514"/>
    </row>
    <row r="207" spans="1:5" x14ac:dyDescent="0.3">
      <c r="A207" s="515" t="s">
        <v>713</v>
      </c>
      <c r="B207" s="515" t="s">
        <v>2318</v>
      </c>
      <c r="C207" s="515" t="s">
        <v>2319</v>
      </c>
      <c r="D207" s="515" t="s">
        <v>1542</v>
      </c>
      <c r="E207" s="512"/>
    </row>
    <row r="208" spans="1:5" x14ac:dyDescent="0.3">
      <c r="A208" s="516" t="s">
        <v>713</v>
      </c>
      <c r="B208" s="516" t="s">
        <v>2320</v>
      </c>
      <c r="C208" s="516" t="s">
        <v>2321</v>
      </c>
      <c r="D208" s="516" t="s">
        <v>716</v>
      </c>
      <c r="E208" s="514"/>
    </row>
    <row r="209" spans="1:5" x14ac:dyDescent="0.3">
      <c r="A209" s="515" t="s">
        <v>713</v>
      </c>
      <c r="B209" s="515" t="s">
        <v>2322</v>
      </c>
      <c r="C209" s="515" t="s">
        <v>2323</v>
      </c>
      <c r="D209" s="515" t="s">
        <v>737</v>
      </c>
      <c r="E209" s="512"/>
    </row>
    <row r="210" spans="1:5" x14ac:dyDescent="0.3">
      <c r="A210" s="516" t="s">
        <v>713</v>
      </c>
      <c r="B210" s="516" t="s">
        <v>2324</v>
      </c>
      <c r="C210" s="516" t="s">
        <v>2325</v>
      </c>
      <c r="D210" s="516" t="s">
        <v>737</v>
      </c>
      <c r="E210" s="514"/>
    </row>
    <row r="211" spans="1:5" x14ac:dyDescent="0.3">
      <c r="A211" s="515" t="s">
        <v>713</v>
      </c>
      <c r="B211" s="515" t="s">
        <v>2326</v>
      </c>
      <c r="C211" s="515" t="s">
        <v>2327</v>
      </c>
      <c r="D211" s="515" t="s">
        <v>737</v>
      </c>
      <c r="E211" s="512"/>
    </row>
    <row r="212" spans="1:5" x14ac:dyDescent="0.3">
      <c r="A212" s="516" t="s">
        <v>713</v>
      </c>
      <c r="B212" s="516" t="s">
        <v>2328</v>
      </c>
      <c r="C212" s="516" t="s">
        <v>2240</v>
      </c>
      <c r="D212" s="516" t="s">
        <v>1542</v>
      </c>
      <c r="E212" s="514"/>
    </row>
    <row r="213" spans="1:5" x14ac:dyDescent="0.3">
      <c r="A213" s="515" t="s">
        <v>713</v>
      </c>
      <c r="B213" s="515" t="s">
        <v>2329</v>
      </c>
      <c r="C213" s="515" t="s">
        <v>2240</v>
      </c>
      <c r="D213" s="515" t="s">
        <v>1542</v>
      </c>
      <c r="E213" s="512"/>
    </row>
    <row r="214" spans="1:5" x14ac:dyDescent="0.3">
      <c r="A214" s="516" t="s">
        <v>713</v>
      </c>
      <c r="B214" s="516" t="s">
        <v>2330</v>
      </c>
      <c r="C214" s="516" t="s">
        <v>2331</v>
      </c>
      <c r="D214" s="516" t="s">
        <v>737</v>
      </c>
      <c r="E214" s="514"/>
    </row>
    <row r="215" spans="1:5" x14ac:dyDescent="0.3">
      <c r="A215" s="515" t="s">
        <v>713</v>
      </c>
      <c r="B215" s="515" t="s">
        <v>2332</v>
      </c>
      <c r="C215" s="515" t="s">
        <v>2333</v>
      </c>
      <c r="D215" s="515" t="s">
        <v>737</v>
      </c>
      <c r="E215" s="512"/>
    </row>
    <row r="216" spans="1:5" x14ac:dyDescent="0.3">
      <c r="A216" s="516" t="s">
        <v>713</v>
      </c>
      <c r="B216" s="516" t="s">
        <v>2334</v>
      </c>
      <c r="C216" s="516" t="s">
        <v>2240</v>
      </c>
      <c r="D216" s="516" t="s">
        <v>1542</v>
      </c>
      <c r="E216" s="514"/>
    </row>
    <row r="217" spans="1:5" x14ac:dyDescent="0.3">
      <c r="A217" s="515" t="s">
        <v>713</v>
      </c>
      <c r="B217" s="515" t="s">
        <v>2335</v>
      </c>
      <c r="C217" s="515" t="s">
        <v>2336</v>
      </c>
      <c r="D217" s="515" t="s">
        <v>737</v>
      </c>
      <c r="E217" s="512"/>
    </row>
    <row r="218" spans="1:5" x14ac:dyDescent="0.3">
      <c r="A218" s="516" t="s">
        <v>713</v>
      </c>
      <c r="B218" s="516" t="s">
        <v>2337</v>
      </c>
      <c r="C218" s="516" t="s">
        <v>2338</v>
      </c>
      <c r="D218" s="516" t="s">
        <v>737</v>
      </c>
      <c r="E218" s="514"/>
    </row>
    <row r="219" spans="1:5" x14ac:dyDescent="0.3">
      <c r="A219" s="515" t="s">
        <v>713</v>
      </c>
      <c r="B219" s="515" t="s">
        <v>2339</v>
      </c>
      <c r="C219" s="515" t="s">
        <v>2340</v>
      </c>
      <c r="D219" s="515" t="s">
        <v>737</v>
      </c>
      <c r="E219" s="512"/>
    </row>
    <row r="220" spans="1:5" x14ac:dyDescent="0.3">
      <c r="A220" s="516" t="s">
        <v>713</v>
      </c>
      <c r="B220" s="516" t="s">
        <v>2341</v>
      </c>
      <c r="C220" s="516" t="s">
        <v>2342</v>
      </c>
      <c r="D220" s="516" t="s">
        <v>1542</v>
      </c>
      <c r="E220" s="514"/>
    </row>
    <row r="221" spans="1:5" x14ac:dyDescent="0.3">
      <c r="A221" s="515" t="s">
        <v>713</v>
      </c>
      <c r="B221" s="515" t="s">
        <v>2343</v>
      </c>
      <c r="C221" s="515" t="s">
        <v>2240</v>
      </c>
      <c r="D221" s="515" t="s">
        <v>1542</v>
      </c>
      <c r="E221" s="512"/>
    </row>
    <row r="222" spans="1:5" x14ac:dyDescent="0.3">
      <c r="A222" s="516" t="s">
        <v>713</v>
      </c>
      <c r="B222" s="516" t="s">
        <v>2344</v>
      </c>
      <c r="C222" s="516" t="s">
        <v>2345</v>
      </c>
      <c r="D222" s="516" t="s">
        <v>716</v>
      </c>
      <c r="E222" s="514"/>
    </row>
    <row r="223" spans="1:5" x14ac:dyDescent="0.3">
      <c r="A223" s="515" t="s">
        <v>713</v>
      </c>
      <c r="B223" s="515" t="s">
        <v>2346</v>
      </c>
      <c r="C223" s="515" t="s">
        <v>2240</v>
      </c>
      <c r="D223" s="515" t="s">
        <v>1542</v>
      </c>
      <c r="E223" s="512"/>
    </row>
    <row r="224" spans="1:5" x14ac:dyDescent="0.3">
      <c r="A224" s="516" t="s">
        <v>713</v>
      </c>
      <c r="B224" s="516" t="s">
        <v>2347</v>
      </c>
      <c r="C224" s="516" t="s">
        <v>2240</v>
      </c>
      <c r="D224" s="516" t="s">
        <v>1542</v>
      </c>
      <c r="E224" s="514"/>
    </row>
    <row r="225" spans="1:5" x14ac:dyDescent="0.3">
      <c r="A225" s="515" t="s">
        <v>713</v>
      </c>
      <c r="B225" s="515" t="s">
        <v>2348</v>
      </c>
      <c r="C225" s="515" t="s">
        <v>2240</v>
      </c>
      <c r="D225" s="515" t="s">
        <v>1542</v>
      </c>
      <c r="E225" s="512"/>
    </row>
    <row r="226" spans="1:5" x14ac:dyDescent="0.3">
      <c r="A226" s="516" t="s">
        <v>713</v>
      </c>
      <c r="B226" s="516" t="s">
        <v>2349</v>
      </c>
      <c r="C226" s="516" t="s">
        <v>2350</v>
      </c>
      <c r="D226" s="516" t="s">
        <v>737</v>
      </c>
      <c r="E226" s="514"/>
    </row>
    <row r="227" spans="1:5" x14ac:dyDescent="0.3">
      <c r="A227" s="515" t="s">
        <v>713</v>
      </c>
      <c r="B227" s="515" t="s">
        <v>2351</v>
      </c>
      <c r="C227" s="515" t="s">
        <v>2240</v>
      </c>
      <c r="D227" s="515" t="s">
        <v>1542</v>
      </c>
      <c r="E227" s="512"/>
    </row>
    <row r="228" spans="1:5" x14ac:dyDescent="0.3">
      <c r="A228" s="516" t="s">
        <v>713</v>
      </c>
      <c r="B228" s="516" t="s">
        <v>2352</v>
      </c>
      <c r="C228" s="516" t="s">
        <v>2240</v>
      </c>
      <c r="D228" s="516" t="s">
        <v>1542</v>
      </c>
      <c r="E228" s="514"/>
    </row>
    <row r="229" spans="1:5" x14ac:dyDescent="0.3">
      <c r="A229" s="515" t="s">
        <v>713</v>
      </c>
      <c r="B229" s="515" t="s">
        <v>2353</v>
      </c>
      <c r="C229" s="515" t="s">
        <v>2240</v>
      </c>
      <c r="D229" s="515" t="s">
        <v>1542</v>
      </c>
      <c r="E229" s="512"/>
    </row>
    <row r="230" spans="1:5" x14ac:dyDescent="0.3">
      <c r="A230" s="516" t="s">
        <v>713</v>
      </c>
      <c r="B230" s="516" t="s">
        <v>2354</v>
      </c>
      <c r="C230" s="516" t="s">
        <v>2355</v>
      </c>
      <c r="D230" s="516" t="s">
        <v>737</v>
      </c>
      <c r="E230" s="514"/>
    </row>
    <row r="231" spans="1:5" x14ac:dyDescent="0.3">
      <c r="A231" s="515" t="s">
        <v>713</v>
      </c>
      <c r="B231" s="515" t="s">
        <v>2356</v>
      </c>
      <c r="C231" s="515" t="s">
        <v>2357</v>
      </c>
      <c r="D231" s="515" t="s">
        <v>737</v>
      </c>
      <c r="E231" s="512"/>
    </row>
    <row r="232" spans="1:5" x14ac:dyDescent="0.3">
      <c r="A232" s="516" t="s">
        <v>713</v>
      </c>
      <c r="B232" s="516" t="s">
        <v>2358</v>
      </c>
      <c r="C232" s="516" t="s">
        <v>2359</v>
      </c>
      <c r="D232" s="516" t="s">
        <v>1542</v>
      </c>
      <c r="E232" s="514"/>
    </row>
    <row r="233" spans="1:5" x14ac:dyDescent="0.3">
      <c r="A233" s="515" t="s">
        <v>713</v>
      </c>
      <c r="B233" s="515" t="s">
        <v>2221</v>
      </c>
      <c r="C233" s="515" t="s">
        <v>658</v>
      </c>
      <c r="D233" s="515" t="s">
        <v>737</v>
      </c>
      <c r="E233" s="512"/>
    </row>
    <row r="234" spans="1:5" x14ac:dyDescent="0.3">
      <c r="A234" s="516" t="s">
        <v>713</v>
      </c>
      <c r="B234" s="516" t="s">
        <v>2360</v>
      </c>
      <c r="C234" s="516" t="s">
        <v>2240</v>
      </c>
      <c r="D234" s="516" t="s">
        <v>1542</v>
      </c>
      <c r="E234" s="514"/>
    </row>
    <row r="235" spans="1:5" x14ac:dyDescent="0.3">
      <c r="A235" s="515" t="s">
        <v>713</v>
      </c>
      <c r="B235" s="515" t="s">
        <v>2223</v>
      </c>
      <c r="C235" s="515" t="s">
        <v>1524</v>
      </c>
      <c r="D235" s="515" t="s">
        <v>2251</v>
      </c>
      <c r="E235" s="512"/>
    </row>
    <row r="236" spans="1:5" x14ac:dyDescent="0.3">
      <c r="A236" s="516" t="s">
        <v>713</v>
      </c>
      <c r="B236" s="516" t="s">
        <v>2361</v>
      </c>
      <c r="C236" s="516" t="s">
        <v>2362</v>
      </c>
      <c r="D236" s="516" t="s">
        <v>737</v>
      </c>
      <c r="E236" s="514"/>
    </row>
    <row r="237" spans="1:5" x14ac:dyDescent="0.3">
      <c r="A237" s="515" t="s">
        <v>713</v>
      </c>
      <c r="B237" s="515" t="s">
        <v>2226</v>
      </c>
      <c r="C237" s="515" t="s">
        <v>1531</v>
      </c>
      <c r="D237" s="515" t="s">
        <v>737</v>
      </c>
      <c r="E237" s="512"/>
    </row>
    <row r="238" spans="1:5" x14ac:dyDescent="0.3">
      <c r="A238" s="516" t="s">
        <v>713</v>
      </c>
      <c r="B238" s="516" t="s">
        <v>2363</v>
      </c>
      <c r="C238" s="516" t="s">
        <v>2364</v>
      </c>
      <c r="D238" s="516" t="s">
        <v>1542</v>
      </c>
      <c r="E238" s="514"/>
    </row>
    <row r="239" spans="1:5" x14ac:dyDescent="0.3">
      <c r="A239" s="515" t="s">
        <v>713</v>
      </c>
      <c r="B239" s="515" t="s">
        <v>2227</v>
      </c>
      <c r="C239" s="515" t="s">
        <v>660</v>
      </c>
      <c r="D239" s="515" t="s">
        <v>1542</v>
      </c>
      <c r="E239" s="512"/>
    </row>
    <row r="240" spans="1:5" x14ac:dyDescent="0.3">
      <c r="A240" s="516" t="s">
        <v>713</v>
      </c>
      <c r="B240" s="516" t="s">
        <v>2231</v>
      </c>
      <c r="C240" s="516" t="s">
        <v>662</v>
      </c>
      <c r="D240" s="516" t="s">
        <v>737</v>
      </c>
      <c r="E240" s="514"/>
    </row>
    <row r="241" spans="1:5" x14ac:dyDescent="0.3">
      <c r="A241" s="515" t="s">
        <v>713</v>
      </c>
      <c r="B241" s="515" t="s">
        <v>2233</v>
      </c>
      <c r="C241" s="515" t="s">
        <v>664</v>
      </c>
      <c r="D241" s="515" t="s">
        <v>737</v>
      </c>
      <c r="E241" s="512"/>
    </row>
    <row r="242" spans="1:5" x14ac:dyDescent="0.3">
      <c r="A242" s="516" t="s">
        <v>713</v>
      </c>
      <c r="B242" s="516" t="s">
        <v>2365</v>
      </c>
      <c r="C242" s="516" t="s">
        <v>2366</v>
      </c>
      <c r="D242" s="516" t="s">
        <v>1542</v>
      </c>
      <c r="E242" s="514"/>
    </row>
    <row r="243" spans="1:5" x14ac:dyDescent="0.3">
      <c r="A243" s="515" t="s">
        <v>713</v>
      </c>
      <c r="B243" s="515" t="s">
        <v>2367</v>
      </c>
      <c r="C243" s="515" t="s">
        <v>2368</v>
      </c>
      <c r="D243" s="515" t="s">
        <v>1542</v>
      </c>
      <c r="E243" s="512"/>
    </row>
    <row r="244" spans="1:5" x14ac:dyDescent="0.3">
      <c r="A244" s="516" t="s">
        <v>713</v>
      </c>
      <c r="B244" s="516" t="s">
        <v>2369</v>
      </c>
      <c r="C244" s="516" t="s">
        <v>2240</v>
      </c>
      <c r="D244" s="516" t="s">
        <v>1542</v>
      </c>
      <c r="E244" s="514"/>
    </row>
    <row r="245" spans="1:5" x14ac:dyDescent="0.3">
      <c r="A245" s="515" t="s">
        <v>713</v>
      </c>
      <c r="B245" s="515" t="s">
        <v>2370</v>
      </c>
      <c r="C245" s="515" t="s">
        <v>2371</v>
      </c>
      <c r="D245" s="515" t="s">
        <v>2251</v>
      </c>
      <c r="E245" s="512"/>
    </row>
    <row r="246" spans="1:5" x14ac:dyDescent="0.3">
      <c r="A246" s="516" t="s">
        <v>713</v>
      </c>
      <c r="B246" s="516" t="s">
        <v>2372</v>
      </c>
      <c r="C246" s="516" t="s">
        <v>2240</v>
      </c>
      <c r="D246" s="516" t="s">
        <v>1542</v>
      </c>
      <c r="E246" s="514"/>
    </row>
    <row r="247" spans="1:5" x14ac:dyDescent="0.3">
      <c r="A247" s="515" t="s">
        <v>713</v>
      </c>
      <c r="B247" s="515" t="s">
        <v>2373</v>
      </c>
      <c r="C247" s="515" t="s">
        <v>2374</v>
      </c>
      <c r="D247" s="515" t="s">
        <v>2238</v>
      </c>
      <c r="E247" s="512"/>
    </row>
    <row r="248" spans="1:5" x14ac:dyDescent="0.3">
      <c r="A248" s="516" t="s">
        <v>713</v>
      </c>
      <c r="B248" s="516" t="s">
        <v>2375</v>
      </c>
      <c r="C248" s="516" t="s">
        <v>2376</v>
      </c>
      <c r="D248" s="516" t="s">
        <v>737</v>
      </c>
      <c r="E248" s="514"/>
    </row>
    <row r="249" spans="1:5" x14ac:dyDescent="0.3">
      <c r="A249" s="515" t="s">
        <v>713</v>
      </c>
      <c r="B249" s="515" t="s">
        <v>2377</v>
      </c>
      <c r="C249" s="515" t="s">
        <v>2378</v>
      </c>
      <c r="D249" s="515" t="s">
        <v>2238</v>
      </c>
      <c r="E249" s="512"/>
    </row>
    <row r="250" spans="1:5" x14ac:dyDescent="0.3">
      <c r="A250" s="516" t="s">
        <v>713</v>
      </c>
      <c r="B250" s="516" t="s">
        <v>2379</v>
      </c>
      <c r="C250" s="516" t="s">
        <v>2240</v>
      </c>
      <c r="D250" s="516" t="s">
        <v>1542</v>
      </c>
      <c r="E250" s="514"/>
    </row>
    <row r="251" spans="1:5" x14ac:dyDescent="0.3">
      <c r="A251" s="515" t="s">
        <v>713</v>
      </c>
      <c r="B251" s="515" t="s">
        <v>2380</v>
      </c>
      <c r="C251" s="515" t="s">
        <v>2381</v>
      </c>
      <c r="D251" s="515" t="s">
        <v>737</v>
      </c>
      <c r="E251" s="512"/>
    </row>
    <row r="252" spans="1:5" x14ac:dyDescent="0.3">
      <c r="A252" s="516" t="s">
        <v>713</v>
      </c>
      <c r="B252" s="516" t="s">
        <v>2382</v>
      </c>
      <c r="C252" s="516" t="s">
        <v>2383</v>
      </c>
      <c r="D252" s="516" t="s">
        <v>737</v>
      </c>
      <c r="E252" s="514"/>
    </row>
    <row r="253" spans="1:5" x14ac:dyDescent="0.3">
      <c r="A253" s="515" t="s">
        <v>713</v>
      </c>
      <c r="B253" s="515" t="s">
        <v>2384</v>
      </c>
      <c r="C253" s="515" t="s">
        <v>2385</v>
      </c>
      <c r="D253" s="515" t="s">
        <v>1542</v>
      </c>
      <c r="E253" s="512"/>
    </row>
    <row r="254" spans="1:5" x14ac:dyDescent="0.3">
      <c r="A254" s="516" t="s">
        <v>713</v>
      </c>
      <c r="B254" s="516" t="s">
        <v>2386</v>
      </c>
      <c r="C254" s="516" t="s">
        <v>2387</v>
      </c>
      <c r="D254" s="516" t="s">
        <v>737</v>
      </c>
      <c r="E254" s="514"/>
    </row>
    <row r="255" spans="1:5" x14ac:dyDescent="0.3">
      <c r="A255" s="515" t="s">
        <v>713</v>
      </c>
      <c r="B255" s="515" t="s">
        <v>2388</v>
      </c>
      <c r="C255" s="515" t="s">
        <v>2389</v>
      </c>
      <c r="D255" s="515" t="s">
        <v>1542</v>
      </c>
      <c r="E255" s="512"/>
    </row>
    <row r="256" spans="1:5" x14ac:dyDescent="0.3">
      <c r="A256" s="516" t="s">
        <v>713</v>
      </c>
      <c r="B256" s="516" t="s">
        <v>2390</v>
      </c>
      <c r="C256" s="516" t="s">
        <v>2240</v>
      </c>
      <c r="D256" s="516" t="s">
        <v>1542</v>
      </c>
      <c r="E256" s="514"/>
    </row>
    <row r="257" spans="1:5" x14ac:dyDescent="0.3">
      <c r="A257" s="515" t="s">
        <v>713</v>
      </c>
      <c r="B257" s="515" t="s">
        <v>2391</v>
      </c>
      <c r="C257" s="515" t="s">
        <v>2392</v>
      </c>
      <c r="D257" s="515" t="s">
        <v>737</v>
      </c>
      <c r="E257" s="512"/>
    </row>
    <row r="258" spans="1:5" x14ac:dyDescent="0.3">
      <c r="A258" s="516" t="s">
        <v>713</v>
      </c>
      <c r="B258" s="516" t="s">
        <v>2393</v>
      </c>
      <c r="C258" s="516" t="s">
        <v>2394</v>
      </c>
      <c r="D258" s="516" t="s">
        <v>1542</v>
      </c>
      <c r="E258" s="514"/>
    </row>
    <row r="259" spans="1:5" x14ac:dyDescent="0.3">
      <c r="A259" s="515" t="s">
        <v>713</v>
      </c>
      <c r="B259" s="515" t="s">
        <v>2395</v>
      </c>
      <c r="C259" s="515" t="s">
        <v>2396</v>
      </c>
      <c r="D259" s="515" t="s">
        <v>737</v>
      </c>
      <c r="E259" s="512"/>
    </row>
    <row r="260" spans="1:5" x14ac:dyDescent="0.3">
      <c r="A260" s="516" t="s">
        <v>713</v>
      </c>
      <c r="B260" s="516" t="s">
        <v>2397</v>
      </c>
      <c r="C260" s="516" t="s">
        <v>2398</v>
      </c>
      <c r="D260" s="516" t="s">
        <v>737</v>
      </c>
      <c r="E260" s="514"/>
    </row>
    <row r="261" spans="1:5" x14ac:dyDescent="0.3">
      <c r="A261" s="515" t="s">
        <v>713</v>
      </c>
      <c r="B261" s="515" t="s">
        <v>2399</v>
      </c>
      <c r="C261" s="515" t="s">
        <v>2400</v>
      </c>
      <c r="D261" s="515" t="s">
        <v>737</v>
      </c>
      <c r="E261" s="512"/>
    </row>
    <row r="262" spans="1:5" x14ac:dyDescent="0.3">
      <c r="A262" s="516" t="s">
        <v>713</v>
      </c>
      <c r="B262" s="516" t="s">
        <v>2401</v>
      </c>
      <c r="C262" s="516" t="s">
        <v>2402</v>
      </c>
      <c r="D262" s="516" t="s">
        <v>737</v>
      </c>
      <c r="E262" s="514"/>
    </row>
    <row r="263" spans="1:5" x14ac:dyDescent="0.3">
      <c r="A263" s="515" t="s">
        <v>713</v>
      </c>
      <c r="B263" s="515" t="s">
        <v>2403</v>
      </c>
      <c r="C263" s="515" t="s">
        <v>2404</v>
      </c>
      <c r="D263" s="515" t="s">
        <v>737</v>
      </c>
      <c r="E263" s="512"/>
    </row>
    <row r="264" spans="1:5" x14ac:dyDescent="0.3">
      <c r="A264" s="516" t="s">
        <v>713</v>
      </c>
      <c r="B264" s="516" t="s">
        <v>2405</v>
      </c>
      <c r="C264" s="516" t="s">
        <v>2406</v>
      </c>
      <c r="D264" s="516" t="s">
        <v>737</v>
      </c>
      <c r="E264" s="514"/>
    </row>
    <row r="265" spans="1:5" x14ac:dyDescent="0.3">
      <c r="A265" s="515" t="s">
        <v>713</v>
      </c>
      <c r="B265" s="515" t="s">
        <v>2407</v>
      </c>
      <c r="C265" s="515" t="s">
        <v>2408</v>
      </c>
      <c r="D265" s="515" t="s">
        <v>737</v>
      </c>
      <c r="E265" s="512"/>
    </row>
    <row r="266" spans="1:5" x14ac:dyDescent="0.3">
      <c r="A266" s="516" t="s">
        <v>713</v>
      </c>
      <c r="B266" s="516" t="s">
        <v>2409</v>
      </c>
      <c r="C266" s="516" t="s">
        <v>2240</v>
      </c>
      <c r="D266" s="516" t="s">
        <v>1542</v>
      </c>
      <c r="E266" s="514"/>
    </row>
    <row r="267" spans="1:5" x14ac:dyDescent="0.3">
      <c r="A267" s="515" t="s">
        <v>713</v>
      </c>
      <c r="B267" s="515" t="s">
        <v>2410</v>
      </c>
      <c r="C267" s="515" t="s">
        <v>2240</v>
      </c>
      <c r="D267" s="515" t="s">
        <v>1542</v>
      </c>
      <c r="E267" s="512"/>
    </row>
    <row r="268" spans="1:5" x14ac:dyDescent="0.3">
      <c r="A268" s="516" t="s">
        <v>713</v>
      </c>
      <c r="B268" s="516" t="s">
        <v>2411</v>
      </c>
      <c r="C268" s="516" t="s">
        <v>2412</v>
      </c>
      <c r="D268" s="516" t="s">
        <v>2251</v>
      </c>
      <c r="E268" s="514"/>
    </row>
    <row r="269" spans="1:5" x14ac:dyDescent="0.3">
      <c r="A269" s="515" t="s">
        <v>713</v>
      </c>
      <c r="B269" s="515" t="s">
        <v>2413</v>
      </c>
      <c r="C269" s="515" t="s">
        <v>2240</v>
      </c>
      <c r="D269" s="515" t="s">
        <v>1542</v>
      </c>
      <c r="E269" s="512"/>
    </row>
    <row r="270" spans="1:5" x14ac:dyDescent="0.3">
      <c r="A270" s="516" t="s">
        <v>713</v>
      </c>
      <c r="B270" s="516" t="s">
        <v>2414</v>
      </c>
      <c r="C270" s="516" t="s">
        <v>2240</v>
      </c>
      <c r="D270" s="516" t="s">
        <v>1542</v>
      </c>
      <c r="E270" s="514"/>
    </row>
    <row r="271" spans="1:5" x14ac:dyDescent="0.3">
      <c r="A271" s="515" t="s">
        <v>713</v>
      </c>
      <c r="B271" s="515" t="s">
        <v>2415</v>
      </c>
      <c r="C271" s="515" t="s">
        <v>2416</v>
      </c>
      <c r="D271" s="515" t="s">
        <v>737</v>
      </c>
      <c r="E271" s="512"/>
    </row>
    <row r="272" spans="1:5" x14ac:dyDescent="0.3">
      <c r="A272" s="516" t="s">
        <v>713</v>
      </c>
      <c r="B272" s="516" t="s">
        <v>2417</v>
      </c>
      <c r="C272" s="516" t="s">
        <v>2418</v>
      </c>
      <c r="D272" s="516" t="s">
        <v>716</v>
      </c>
      <c r="E272" s="514"/>
    </row>
    <row r="273" spans="1:5" x14ac:dyDescent="0.3">
      <c r="A273" s="515" t="s">
        <v>713</v>
      </c>
      <c r="B273" s="515" t="s">
        <v>2419</v>
      </c>
      <c r="C273" s="515" t="s">
        <v>2420</v>
      </c>
      <c r="D273" s="515" t="s">
        <v>737</v>
      </c>
      <c r="E273" s="512"/>
    </row>
    <row r="274" spans="1:5" x14ac:dyDescent="0.3">
      <c r="A274" s="516" t="s">
        <v>713</v>
      </c>
      <c r="B274" s="516" t="s">
        <v>2421</v>
      </c>
      <c r="C274" s="516" t="s">
        <v>2422</v>
      </c>
      <c r="D274" s="516" t="s">
        <v>737</v>
      </c>
      <c r="E274" s="514"/>
    </row>
    <row r="275" spans="1:5" x14ac:dyDescent="0.3">
      <c r="A275" s="515" t="s">
        <v>713</v>
      </c>
      <c r="B275" s="515" t="s">
        <v>2423</v>
      </c>
      <c r="C275" s="515" t="s">
        <v>2240</v>
      </c>
      <c r="D275" s="515" t="s">
        <v>1542</v>
      </c>
      <c r="E275" s="512"/>
    </row>
    <row r="276" spans="1:5" x14ac:dyDescent="0.3">
      <c r="A276" s="516" t="s">
        <v>713</v>
      </c>
      <c r="B276" s="516" t="s">
        <v>2424</v>
      </c>
      <c r="C276" s="516" t="s">
        <v>2425</v>
      </c>
      <c r="D276" s="516" t="s">
        <v>2238</v>
      </c>
      <c r="E276" s="514"/>
    </row>
    <row r="277" spans="1:5" x14ac:dyDescent="0.3">
      <c r="A277" s="515" t="s">
        <v>713</v>
      </c>
      <c r="B277" s="515" t="s">
        <v>2426</v>
      </c>
      <c r="C277" s="515" t="s">
        <v>2427</v>
      </c>
      <c r="D277" s="515" t="s">
        <v>737</v>
      </c>
      <c r="E277" s="512"/>
    </row>
    <row r="278" spans="1:5" x14ac:dyDescent="0.3">
      <c r="A278" s="516" t="s">
        <v>713</v>
      </c>
      <c r="B278" s="516" t="s">
        <v>2428</v>
      </c>
      <c r="C278" s="516" t="s">
        <v>2429</v>
      </c>
      <c r="D278" s="516" t="s">
        <v>2238</v>
      </c>
      <c r="E278" s="514"/>
    </row>
    <row r="279" spans="1:5" x14ac:dyDescent="0.3">
      <c r="A279" s="515" t="s">
        <v>713</v>
      </c>
      <c r="B279" s="515" t="s">
        <v>2430</v>
      </c>
      <c r="C279" s="515" t="s">
        <v>2240</v>
      </c>
      <c r="D279" s="515" t="s">
        <v>1542</v>
      </c>
      <c r="E279" s="512"/>
    </row>
    <row r="280" spans="1:5" x14ac:dyDescent="0.3">
      <c r="A280" s="516" t="s">
        <v>713</v>
      </c>
      <c r="B280" s="516" t="s">
        <v>2431</v>
      </c>
      <c r="C280" s="516" t="s">
        <v>2432</v>
      </c>
      <c r="D280" s="516" t="s">
        <v>737</v>
      </c>
      <c r="E280" s="514"/>
    </row>
    <row r="281" spans="1:5" x14ac:dyDescent="0.3">
      <c r="A281" s="515" t="s">
        <v>713</v>
      </c>
      <c r="B281" s="515" t="s">
        <v>2433</v>
      </c>
      <c r="C281" s="515" t="s">
        <v>2434</v>
      </c>
      <c r="D281" s="515" t="s">
        <v>737</v>
      </c>
      <c r="E281" s="512"/>
    </row>
    <row r="282" spans="1:5" x14ac:dyDescent="0.3">
      <c r="A282" s="516" t="s">
        <v>713</v>
      </c>
      <c r="B282" s="516" t="s">
        <v>2435</v>
      </c>
      <c r="C282" s="516" t="s">
        <v>2240</v>
      </c>
      <c r="D282" s="516" t="s">
        <v>1542</v>
      </c>
      <c r="E282" s="514"/>
    </row>
    <row r="283" spans="1:5" x14ac:dyDescent="0.3">
      <c r="A283" s="515" t="s">
        <v>713</v>
      </c>
      <c r="B283" s="515" t="s">
        <v>2436</v>
      </c>
      <c r="C283" s="515" t="s">
        <v>2437</v>
      </c>
      <c r="D283" s="515" t="s">
        <v>2238</v>
      </c>
      <c r="E283" s="512"/>
    </row>
    <row r="284" spans="1:5" x14ac:dyDescent="0.3">
      <c r="A284" s="516" t="s">
        <v>713</v>
      </c>
      <c r="B284" s="516" t="s">
        <v>2438</v>
      </c>
      <c r="C284" s="516" t="s">
        <v>2240</v>
      </c>
      <c r="D284" s="516" t="s">
        <v>1542</v>
      </c>
      <c r="E284" s="514"/>
    </row>
    <row r="285" spans="1:5" x14ac:dyDescent="0.3">
      <c r="A285" s="515" t="s">
        <v>713</v>
      </c>
      <c r="B285" s="515" t="s">
        <v>2439</v>
      </c>
      <c r="C285" s="515" t="s">
        <v>2240</v>
      </c>
      <c r="D285" s="515" t="s">
        <v>1542</v>
      </c>
      <c r="E285" s="512"/>
    </row>
    <row r="286" spans="1:5" x14ac:dyDescent="0.3">
      <c r="A286" s="516" t="s">
        <v>713</v>
      </c>
      <c r="B286" s="516" t="s">
        <v>2440</v>
      </c>
      <c r="C286" s="516" t="s">
        <v>2240</v>
      </c>
      <c r="D286" s="516" t="s">
        <v>1542</v>
      </c>
      <c r="E286" s="514"/>
    </row>
    <row r="287" spans="1:5" x14ac:dyDescent="0.3">
      <c r="A287" s="515" t="s">
        <v>713</v>
      </c>
      <c r="B287" s="515" t="s">
        <v>2441</v>
      </c>
      <c r="C287" s="515" t="s">
        <v>2240</v>
      </c>
      <c r="D287" s="515" t="s">
        <v>1542</v>
      </c>
      <c r="E287" s="512"/>
    </row>
    <row r="288" spans="1:5" x14ac:dyDescent="0.3">
      <c r="A288" s="516" t="s">
        <v>713</v>
      </c>
      <c r="B288" s="516" t="s">
        <v>2442</v>
      </c>
      <c r="C288" s="516" t="s">
        <v>2240</v>
      </c>
      <c r="D288" s="516" t="s">
        <v>1542</v>
      </c>
      <c r="E288" s="514"/>
    </row>
    <row r="289" spans="1:5" x14ac:dyDescent="0.3">
      <c r="A289" s="515" t="s">
        <v>713</v>
      </c>
      <c r="B289" s="515" t="s">
        <v>2443</v>
      </c>
      <c r="C289" s="515" t="s">
        <v>2444</v>
      </c>
      <c r="D289" s="515" t="s">
        <v>737</v>
      </c>
      <c r="E289" s="512"/>
    </row>
    <row r="290" spans="1:5" x14ac:dyDescent="0.3">
      <c r="A290" s="516" t="s">
        <v>713</v>
      </c>
      <c r="B290" s="516" t="s">
        <v>2445</v>
      </c>
      <c r="C290" s="516" t="s">
        <v>2446</v>
      </c>
      <c r="D290" s="516" t="s">
        <v>1542</v>
      </c>
      <c r="E290" s="514"/>
    </row>
    <row r="291" spans="1:5" x14ac:dyDescent="0.3">
      <c r="A291" s="515" t="s">
        <v>713</v>
      </c>
      <c r="B291" s="515" t="s">
        <v>2447</v>
      </c>
      <c r="C291" s="515" t="s">
        <v>2448</v>
      </c>
      <c r="D291" s="515" t="s">
        <v>737</v>
      </c>
      <c r="E291" s="512"/>
    </row>
    <row r="292" spans="1:5" x14ac:dyDescent="0.3">
      <c r="A292" s="516" t="s">
        <v>713</v>
      </c>
      <c r="B292" s="516" t="s">
        <v>2449</v>
      </c>
      <c r="C292" s="516" t="s">
        <v>2450</v>
      </c>
      <c r="D292" s="516" t="s">
        <v>737</v>
      </c>
      <c r="E292" s="514"/>
    </row>
    <row r="293" spans="1:5" x14ac:dyDescent="0.3">
      <c r="A293" s="515" t="s">
        <v>713</v>
      </c>
      <c r="B293" s="515" t="s">
        <v>2451</v>
      </c>
      <c r="C293" s="515" t="s">
        <v>2452</v>
      </c>
      <c r="D293" s="515" t="s">
        <v>2251</v>
      </c>
      <c r="E293" s="512"/>
    </row>
    <row r="294" spans="1:5" x14ac:dyDescent="0.3">
      <c r="A294" s="516" t="s">
        <v>713</v>
      </c>
      <c r="B294" s="516" t="s">
        <v>2453</v>
      </c>
      <c r="C294" s="516" t="s">
        <v>2454</v>
      </c>
      <c r="D294" s="516" t="s">
        <v>737</v>
      </c>
      <c r="E294" s="514"/>
    </row>
    <row r="295" spans="1:5" x14ac:dyDescent="0.3">
      <c r="A295" s="515" t="s">
        <v>713</v>
      </c>
      <c r="B295" s="515" t="s">
        <v>2455</v>
      </c>
      <c r="C295" s="515" t="s">
        <v>2240</v>
      </c>
      <c r="D295" s="515" t="s">
        <v>1542</v>
      </c>
      <c r="E295" s="512"/>
    </row>
    <row r="296" spans="1:5" x14ac:dyDescent="0.3">
      <c r="A296" s="516" t="s">
        <v>713</v>
      </c>
      <c r="B296" s="516" t="s">
        <v>2456</v>
      </c>
      <c r="C296" s="516" t="s">
        <v>2457</v>
      </c>
      <c r="D296" s="516" t="s">
        <v>737</v>
      </c>
      <c r="E296" s="514"/>
    </row>
    <row r="297" spans="1:5" x14ac:dyDescent="0.3">
      <c r="A297" s="515" t="s">
        <v>713</v>
      </c>
      <c r="B297" s="515" t="s">
        <v>2458</v>
      </c>
      <c r="C297" s="515" t="s">
        <v>2240</v>
      </c>
      <c r="D297" s="515" t="s">
        <v>1542</v>
      </c>
      <c r="E297" s="512"/>
    </row>
    <row r="298" spans="1:5" x14ac:dyDescent="0.3">
      <c r="A298" s="516" t="s">
        <v>713</v>
      </c>
      <c r="B298" s="516" t="s">
        <v>2459</v>
      </c>
      <c r="C298" s="516" t="s">
        <v>2240</v>
      </c>
      <c r="D298" s="516" t="s">
        <v>1542</v>
      </c>
      <c r="E298" s="514"/>
    </row>
    <row r="299" spans="1:5" x14ac:dyDescent="0.3">
      <c r="A299" s="515" t="s">
        <v>713</v>
      </c>
      <c r="B299" s="515" t="s">
        <v>2460</v>
      </c>
      <c r="C299" s="515" t="s">
        <v>2461</v>
      </c>
      <c r="D299" s="515" t="s">
        <v>2238</v>
      </c>
      <c r="E299" s="512"/>
    </row>
    <row r="300" spans="1:5" x14ac:dyDescent="0.3">
      <c r="A300" s="516" t="s">
        <v>713</v>
      </c>
      <c r="B300" s="516" t="s">
        <v>2462</v>
      </c>
      <c r="C300" s="516" t="s">
        <v>2240</v>
      </c>
      <c r="D300" s="516" t="s">
        <v>1542</v>
      </c>
      <c r="E300" s="514"/>
    </row>
    <row r="301" spans="1:5" x14ac:dyDescent="0.3">
      <c r="A301" s="515" t="s">
        <v>713</v>
      </c>
      <c r="B301" s="515" t="s">
        <v>2463</v>
      </c>
      <c r="C301" s="515" t="s">
        <v>2240</v>
      </c>
      <c r="D301" s="515" t="s">
        <v>1542</v>
      </c>
      <c r="E301" s="512"/>
    </row>
    <row r="302" spans="1:5" x14ac:dyDescent="0.3">
      <c r="A302" s="516" t="s">
        <v>713</v>
      </c>
      <c r="B302" s="516" t="s">
        <v>2464</v>
      </c>
      <c r="C302" s="516" t="s">
        <v>2465</v>
      </c>
      <c r="D302" s="516" t="s">
        <v>2238</v>
      </c>
      <c r="E302" s="514"/>
    </row>
    <row r="303" spans="1:5" x14ac:dyDescent="0.3">
      <c r="A303" s="515" t="s">
        <v>713</v>
      </c>
      <c r="B303" s="515" t="s">
        <v>2466</v>
      </c>
      <c r="C303" s="515" t="s">
        <v>2467</v>
      </c>
      <c r="D303" s="515" t="s">
        <v>716</v>
      </c>
      <c r="E303" s="512"/>
    </row>
    <row r="304" spans="1:5" x14ac:dyDescent="0.3">
      <c r="A304" s="516" t="s">
        <v>713</v>
      </c>
      <c r="B304" s="516" t="s">
        <v>2468</v>
      </c>
      <c r="C304" s="516" t="s">
        <v>2240</v>
      </c>
      <c r="D304" s="516" t="s">
        <v>1542</v>
      </c>
      <c r="E304" s="514"/>
    </row>
    <row r="305" spans="1:5" x14ac:dyDescent="0.3">
      <c r="A305" s="515" t="s">
        <v>713</v>
      </c>
      <c r="B305" s="515" t="s">
        <v>2469</v>
      </c>
      <c r="C305" s="515" t="s">
        <v>2240</v>
      </c>
      <c r="D305" s="515" t="s">
        <v>1542</v>
      </c>
      <c r="E305" s="512"/>
    </row>
    <row r="306" spans="1:5" x14ac:dyDescent="0.3">
      <c r="A306" s="516" t="s">
        <v>713</v>
      </c>
      <c r="B306" s="516" t="s">
        <v>2470</v>
      </c>
      <c r="C306" s="516" t="s">
        <v>2240</v>
      </c>
      <c r="D306" s="516" t="s">
        <v>1542</v>
      </c>
      <c r="E306" s="514"/>
    </row>
    <row r="307" spans="1:5" x14ac:dyDescent="0.3">
      <c r="A307" s="515" t="s">
        <v>713</v>
      </c>
      <c r="B307" s="515" t="s">
        <v>2471</v>
      </c>
      <c r="C307" s="515" t="s">
        <v>2240</v>
      </c>
      <c r="D307" s="515" t="s">
        <v>1542</v>
      </c>
      <c r="E307" s="512"/>
    </row>
    <row r="308" spans="1:5" x14ac:dyDescent="0.3">
      <c r="A308" s="516" t="s">
        <v>713</v>
      </c>
      <c r="B308" s="516" t="s">
        <v>2472</v>
      </c>
      <c r="C308" s="516" t="s">
        <v>2240</v>
      </c>
      <c r="D308" s="516" t="s">
        <v>1542</v>
      </c>
      <c r="E308" s="514"/>
    </row>
    <row r="309" spans="1:5" x14ac:dyDescent="0.3">
      <c r="A309" s="515" t="s">
        <v>713</v>
      </c>
      <c r="B309" s="515" t="s">
        <v>2473</v>
      </c>
      <c r="C309" s="515" t="s">
        <v>2240</v>
      </c>
      <c r="D309" s="515" t="s">
        <v>1542</v>
      </c>
      <c r="E309" s="512"/>
    </row>
    <row r="310" spans="1:5" x14ac:dyDescent="0.3">
      <c r="A310" s="516" t="s">
        <v>713</v>
      </c>
      <c r="B310" s="516" t="s">
        <v>2474</v>
      </c>
      <c r="C310" s="516" t="s">
        <v>2475</v>
      </c>
      <c r="D310" s="516" t="s">
        <v>1542</v>
      </c>
      <c r="E310" s="514"/>
    </row>
    <row r="311" spans="1:5" x14ac:dyDescent="0.3">
      <c r="A311" s="515" t="s">
        <v>713</v>
      </c>
      <c r="B311" s="515" t="s">
        <v>2476</v>
      </c>
      <c r="C311" s="515" t="s">
        <v>2477</v>
      </c>
      <c r="D311" s="515" t="s">
        <v>737</v>
      </c>
      <c r="E311" s="512"/>
    </row>
    <row r="312" spans="1:5" x14ac:dyDescent="0.3">
      <c r="A312" s="516" t="s">
        <v>713</v>
      </c>
      <c r="B312" s="516" t="s">
        <v>2478</v>
      </c>
      <c r="C312" s="516" t="s">
        <v>2479</v>
      </c>
      <c r="D312" s="516" t="s">
        <v>1542</v>
      </c>
      <c r="E312" s="514"/>
    </row>
    <row r="313" spans="1:5" x14ac:dyDescent="0.3">
      <c r="A313" s="515" t="s">
        <v>713</v>
      </c>
      <c r="B313" s="515" t="s">
        <v>2480</v>
      </c>
      <c r="C313" s="515" t="s">
        <v>2481</v>
      </c>
      <c r="D313" s="515" t="s">
        <v>2238</v>
      </c>
      <c r="E313" s="512"/>
    </row>
    <row r="314" spans="1:5" x14ac:dyDescent="0.3">
      <c r="A314" s="516" t="s">
        <v>713</v>
      </c>
      <c r="B314" s="516" t="s">
        <v>2482</v>
      </c>
      <c r="C314" s="516" t="s">
        <v>2483</v>
      </c>
      <c r="D314" s="516" t="s">
        <v>2238</v>
      </c>
      <c r="E314" s="514"/>
    </row>
    <row r="315" spans="1:5" x14ac:dyDescent="0.3">
      <c r="A315" s="515" t="s">
        <v>713</v>
      </c>
      <c r="B315" s="515" t="s">
        <v>2484</v>
      </c>
      <c r="C315" s="515" t="s">
        <v>2485</v>
      </c>
      <c r="D315" s="515" t="s">
        <v>737</v>
      </c>
      <c r="E315" s="512"/>
    </row>
    <row r="316" spans="1:5" x14ac:dyDescent="0.3">
      <c r="A316" s="516" t="s">
        <v>713</v>
      </c>
      <c r="B316" s="516" t="s">
        <v>2486</v>
      </c>
      <c r="C316" s="516" t="s">
        <v>2240</v>
      </c>
      <c r="D316" s="516" t="s">
        <v>1542</v>
      </c>
      <c r="E316" s="514"/>
    </row>
    <row r="317" spans="1:5" x14ac:dyDescent="0.3">
      <c r="A317" s="515" t="s">
        <v>713</v>
      </c>
      <c r="B317" s="515" t="s">
        <v>2487</v>
      </c>
      <c r="C317" s="515" t="s">
        <v>2240</v>
      </c>
      <c r="D317" s="515" t="s">
        <v>1542</v>
      </c>
      <c r="E317" s="512"/>
    </row>
    <row r="318" spans="1:5" x14ac:dyDescent="0.3">
      <c r="A318" s="516" t="s">
        <v>713</v>
      </c>
      <c r="B318" s="516" t="s">
        <v>2488</v>
      </c>
      <c r="C318" s="516" t="s">
        <v>2489</v>
      </c>
      <c r="D318" s="516" t="s">
        <v>2238</v>
      </c>
      <c r="E318" s="514"/>
    </row>
    <row r="319" spans="1:5" x14ac:dyDescent="0.3">
      <c r="A319" s="515" t="s">
        <v>713</v>
      </c>
      <c r="B319" s="515" t="s">
        <v>2490</v>
      </c>
      <c r="C319" s="515" t="s">
        <v>2491</v>
      </c>
      <c r="D319" s="515" t="s">
        <v>737</v>
      </c>
      <c r="E319" s="512"/>
    </row>
    <row r="320" spans="1:5" x14ac:dyDescent="0.3">
      <c r="A320" s="516" t="s">
        <v>713</v>
      </c>
      <c r="B320" s="516" t="s">
        <v>2492</v>
      </c>
      <c r="C320" s="516" t="s">
        <v>2493</v>
      </c>
      <c r="D320" s="516" t="s">
        <v>737</v>
      </c>
      <c r="E320" s="514"/>
    </row>
    <row r="321" spans="1:5" x14ac:dyDescent="0.3">
      <c r="A321" s="515" t="s">
        <v>713</v>
      </c>
      <c r="B321" s="515" t="s">
        <v>2494</v>
      </c>
      <c r="C321" s="515" t="s">
        <v>2495</v>
      </c>
      <c r="D321" s="515" t="s">
        <v>2238</v>
      </c>
      <c r="E321" s="512"/>
    </row>
    <row r="322" spans="1:5" ht="21" x14ac:dyDescent="0.3">
      <c r="A322" s="113"/>
      <c r="B322" s="113"/>
      <c r="C322" s="113"/>
      <c r="D322" s="113"/>
      <c r="E322" s="341">
        <f>(COUNTIF(E155:E321,"Sim")/(COUNTA(B155:B321)))</f>
        <v>0</v>
      </c>
    </row>
    <row r="342" spans="1:6" ht="21" x14ac:dyDescent="0.4">
      <c r="A342" s="1349" t="s">
        <v>572</v>
      </c>
      <c r="B342" s="1349"/>
      <c r="C342" s="1349"/>
      <c r="D342" s="347" t="s">
        <v>573</v>
      </c>
      <c r="E342" s="347" t="s">
        <v>78</v>
      </c>
      <c r="F342" s="347" t="s">
        <v>79</v>
      </c>
    </row>
    <row r="343" spans="1:6" x14ac:dyDescent="0.3">
      <c r="A343" s="112" t="s">
        <v>871</v>
      </c>
      <c r="B343" s="604" t="s">
        <v>872</v>
      </c>
      <c r="C343" s="310"/>
      <c r="D343" s="109">
        <v>1</v>
      </c>
      <c r="E343" s="685" t="s">
        <v>873</v>
      </c>
      <c r="F343" s="685" t="s">
        <v>873</v>
      </c>
    </row>
    <row r="344" spans="1:6" x14ac:dyDescent="0.3">
      <c r="A344" s="315" t="s">
        <v>871</v>
      </c>
      <c r="B344" s="605" t="s">
        <v>874</v>
      </c>
      <c r="C344" s="316"/>
      <c r="D344" s="686">
        <v>1</v>
      </c>
      <c r="E344" s="687" t="s">
        <v>308</v>
      </c>
      <c r="F344" s="687" t="s">
        <v>308</v>
      </c>
    </row>
    <row r="345" spans="1:6" x14ac:dyDescent="0.3">
      <c r="A345" s="112" t="s">
        <v>871</v>
      </c>
      <c r="B345" s="604" t="s">
        <v>875</v>
      </c>
      <c r="C345" s="310"/>
      <c r="D345" s="109">
        <v>1</v>
      </c>
      <c r="E345" s="685" t="s">
        <v>308</v>
      </c>
      <c r="F345" s="685" t="s">
        <v>308</v>
      </c>
    </row>
    <row r="346" spans="1:6" x14ac:dyDescent="0.3">
      <c r="A346" s="315" t="s">
        <v>871</v>
      </c>
      <c r="B346" s="605" t="s">
        <v>876</v>
      </c>
      <c r="C346" s="316"/>
      <c r="D346" s="686">
        <v>1</v>
      </c>
      <c r="E346" s="687" t="s">
        <v>873</v>
      </c>
      <c r="F346" s="687" t="s">
        <v>873</v>
      </c>
    </row>
    <row r="347" spans="1:6" x14ac:dyDescent="0.3">
      <c r="A347" s="112" t="s">
        <v>871</v>
      </c>
      <c r="B347" s="604" t="s">
        <v>877</v>
      </c>
      <c r="C347" s="310"/>
      <c r="D347" s="109">
        <v>1</v>
      </c>
      <c r="E347" s="688" t="s">
        <v>308</v>
      </c>
      <c r="F347" s="688" t="s">
        <v>308</v>
      </c>
    </row>
    <row r="348" spans="1:6" x14ac:dyDescent="0.3">
      <c r="A348" s="315" t="s">
        <v>878</v>
      </c>
      <c r="B348" s="605" t="s">
        <v>879</v>
      </c>
      <c r="C348" s="316"/>
      <c r="D348" s="686">
        <v>1</v>
      </c>
      <c r="E348" s="689" t="s">
        <v>873</v>
      </c>
      <c r="F348" s="689" t="s">
        <v>873</v>
      </c>
    </row>
    <row r="349" spans="1:6" x14ac:dyDescent="0.3">
      <c r="A349" s="112" t="s">
        <v>878</v>
      </c>
      <c r="B349" s="604" t="s">
        <v>880</v>
      </c>
      <c r="C349" s="310"/>
      <c r="D349" s="109">
        <v>1</v>
      </c>
      <c r="E349" s="690" t="s">
        <v>873</v>
      </c>
      <c r="F349" s="690" t="s">
        <v>873</v>
      </c>
    </row>
    <row r="350" spans="1:6" x14ac:dyDescent="0.3">
      <c r="A350" s="315" t="s">
        <v>878</v>
      </c>
      <c r="B350" s="605" t="s">
        <v>881</v>
      </c>
      <c r="C350" s="316"/>
      <c r="D350" s="686">
        <v>1</v>
      </c>
      <c r="E350" s="689" t="s">
        <v>873</v>
      </c>
      <c r="F350" s="689" t="s">
        <v>873</v>
      </c>
    </row>
    <row r="351" spans="1:6" x14ac:dyDescent="0.3">
      <c r="A351" s="112" t="s">
        <v>878</v>
      </c>
      <c r="B351" s="604" t="s">
        <v>882</v>
      </c>
      <c r="C351" s="310"/>
      <c r="D351" s="109">
        <v>1</v>
      </c>
      <c r="E351" s="690" t="s">
        <v>873</v>
      </c>
      <c r="F351" s="690" t="s">
        <v>873</v>
      </c>
    </row>
    <row r="352" spans="1:6" x14ac:dyDescent="0.3">
      <c r="A352" s="315" t="s">
        <v>878</v>
      </c>
      <c r="B352" s="605" t="s">
        <v>883</v>
      </c>
      <c r="C352" s="316"/>
      <c r="D352" s="686">
        <v>1</v>
      </c>
      <c r="E352" s="689" t="s">
        <v>873</v>
      </c>
      <c r="F352" s="689" t="s">
        <v>873</v>
      </c>
    </row>
    <row r="353" spans="1:6" x14ac:dyDescent="0.3">
      <c r="A353" s="112" t="s">
        <v>884</v>
      </c>
      <c r="B353" s="604" t="s">
        <v>885</v>
      </c>
      <c r="C353" s="310"/>
      <c r="D353" s="109">
        <v>1</v>
      </c>
      <c r="E353" s="690" t="s">
        <v>308</v>
      </c>
      <c r="F353" s="690" t="s">
        <v>308</v>
      </c>
    </row>
    <row r="354" spans="1:6" x14ac:dyDescent="0.3">
      <c r="A354" s="315" t="s">
        <v>884</v>
      </c>
      <c r="B354" s="605" t="s">
        <v>886</v>
      </c>
      <c r="C354" s="316"/>
      <c r="D354" s="686">
        <v>1</v>
      </c>
      <c r="E354" s="689" t="s">
        <v>308</v>
      </c>
      <c r="F354" s="689" t="s">
        <v>308</v>
      </c>
    </row>
    <row r="355" spans="1:6" x14ac:dyDescent="0.3">
      <c r="A355" s="112" t="s">
        <v>884</v>
      </c>
      <c r="B355" s="604" t="s">
        <v>887</v>
      </c>
      <c r="C355" s="310"/>
      <c r="D355" s="109">
        <v>1</v>
      </c>
      <c r="E355" s="690" t="s">
        <v>308</v>
      </c>
      <c r="F355" s="690" t="s">
        <v>308</v>
      </c>
    </row>
    <row r="356" spans="1:6" x14ac:dyDescent="0.3">
      <c r="A356" s="315" t="s">
        <v>884</v>
      </c>
      <c r="B356" s="605" t="s">
        <v>888</v>
      </c>
      <c r="C356" s="316"/>
      <c r="D356" s="686">
        <v>1</v>
      </c>
      <c r="E356" s="689" t="s">
        <v>873</v>
      </c>
      <c r="F356" s="689" t="s">
        <v>873</v>
      </c>
    </row>
    <row r="357" spans="1:6" x14ac:dyDescent="0.3">
      <c r="A357" s="112" t="s">
        <v>884</v>
      </c>
      <c r="B357" s="604" t="s">
        <v>889</v>
      </c>
      <c r="C357" s="310"/>
      <c r="D357" s="109">
        <v>1</v>
      </c>
      <c r="E357" s="690" t="s">
        <v>873</v>
      </c>
      <c r="F357" s="690" t="s">
        <v>873</v>
      </c>
    </row>
    <row r="358" spans="1:6" x14ac:dyDescent="0.3">
      <c r="A358" s="315" t="s">
        <v>884</v>
      </c>
      <c r="B358" s="605" t="s">
        <v>890</v>
      </c>
      <c r="C358" s="316"/>
      <c r="D358" s="686">
        <v>1</v>
      </c>
      <c r="E358" s="689" t="s">
        <v>873</v>
      </c>
      <c r="F358" s="689" t="s">
        <v>873</v>
      </c>
    </row>
    <row r="359" spans="1:6" x14ac:dyDescent="0.3">
      <c r="A359" s="112" t="s">
        <v>884</v>
      </c>
      <c r="B359" s="604" t="s">
        <v>891</v>
      </c>
      <c r="C359" s="310"/>
      <c r="D359" s="109">
        <v>1</v>
      </c>
      <c r="E359" s="690" t="s">
        <v>873</v>
      </c>
      <c r="F359" s="690" t="s">
        <v>873</v>
      </c>
    </row>
    <row r="360" spans="1:6" x14ac:dyDescent="0.3">
      <c r="A360" s="315" t="s">
        <v>892</v>
      </c>
      <c r="B360" s="605" t="s">
        <v>893</v>
      </c>
      <c r="C360" s="316"/>
      <c r="D360" s="686">
        <v>1</v>
      </c>
      <c r="E360" s="689" t="s">
        <v>308</v>
      </c>
      <c r="F360" s="689" t="s">
        <v>308</v>
      </c>
    </row>
    <row r="361" spans="1:6" x14ac:dyDescent="0.3">
      <c r="A361" s="632" t="s">
        <v>892</v>
      </c>
      <c r="B361" s="633" t="s">
        <v>894</v>
      </c>
      <c r="C361" s="634"/>
      <c r="D361" s="691">
        <v>1</v>
      </c>
      <c r="E361" s="692" t="s">
        <v>308</v>
      </c>
      <c r="F361" s="692" t="s">
        <v>308</v>
      </c>
    </row>
    <row r="362" spans="1:6" x14ac:dyDescent="0.3">
      <c r="A362" s="315" t="s">
        <v>892</v>
      </c>
      <c r="B362" s="605" t="s">
        <v>895</v>
      </c>
      <c r="C362" s="316"/>
      <c r="D362" s="686">
        <v>1</v>
      </c>
      <c r="E362" s="689" t="s">
        <v>308</v>
      </c>
      <c r="F362" s="689" t="s">
        <v>308</v>
      </c>
    </row>
    <row r="363" spans="1:6" x14ac:dyDescent="0.3">
      <c r="A363" s="112" t="s">
        <v>892</v>
      </c>
      <c r="B363" s="604" t="s">
        <v>896</v>
      </c>
      <c r="C363" s="310"/>
      <c r="D363" s="109">
        <v>1</v>
      </c>
      <c r="E363" s="690" t="s">
        <v>873</v>
      </c>
      <c r="F363" s="690" t="s">
        <v>873</v>
      </c>
    </row>
    <row r="364" spans="1:6" x14ac:dyDescent="0.3">
      <c r="A364" s="315" t="s">
        <v>892</v>
      </c>
      <c r="B364" s="605" t="s">
        <v>897</v>
      </c>
      <c r="C364" s="316"/>
      <c r="D364" s="686">
        <v>1</v>
      </c>
      <c r="E364" s="689" t="s">
        <v>308</v>
      </c>
      <c r="F364" s="689" t="s">
        <v>308</v>
      </c>
    </row>
    <row r="365" spans="1:6" x14ac:dyDescent="0.3">
      <c r="A365" s="112" t="s">
        <v>892</v>
      </c>
      <c r="B365" s="604" t="s">
        <v>898</v>
      </c>
      <c r="C365" s="310"/>
      <c r="D365" s="109">
        <v>1</v>
      </c>
      <c r="E365" s="690" t="s">
        <v>308</v>
      </c>
      <c r="F365" s="690" t="s">
        <v>308</v>
      </c>
    </row>
    <row r="366" spans="1:6" x14ac:dyDescent="0.3">
      <c r="A366" s="315" t="s">
        <v>892</v>
      </c>
      <c r="B366" s="605" t="s">
        <v>899</v>
      </c>
      <c r="C366" s="316"/>
      <c r="D366" s="686">
        <v>1</v>
      </c>
      <c r="E366" s="689" t="s">
        <v>308</v>
      </c>
      <c r="F366" s="689" t="s">
        <v>308</v>
      </c>
    </row>
    <row r="367" spans="1:6" x14ac:dyDescent="0.3">
      <c r="A367" s="112" t="s">
        <v>892</v>
      </c>
      <c r="B367" s="604" t="s">
        <v>900</v>
      </c>
      <c r="C367" s="310"/>
      <c r="D367" s="109">
        <v>1</v>
      </c>
      <c r="E367" s="690" t="s">
        <v>309</v>
      </c>
      <c r="F367" s="690" t="s">
        <v>309</v>
      </c>
    </row>
    <row r="368" spans="1:6" x14ac:dyDescent="0.3">
      <c r="A368" s="315" t="s">
        <v>892</v>
      </c>
      <c r="B368" s="605" t="s">
        <v>901</v>
      </c>
      <c r="C368" s="316"/>
      <c r="D368" s="686">
        <v>1</v>
      </c>
      <c r="E368" s="689" t="s">
        <v>873</v>
      </c>
      <c r="F368" s="689" t="s">
        <v>873</v>
      </c>
    </row>
    <row r="369" spans="1:6" x14ac:dyDescent="0.3">
      <c r="A369" s="112" t="s">
        <v>892</v>
      </c>
      <c r="B369" s="604" t="s">
        <v>902</v>
      </c>
      <c r="C369" s="310"/>
      <c r="D369" s="109">
        <v>1</v>
      </c>
      <c r="E369" s="690" t="s">
        <v>873</v>
      </c>
      <c r="F369" s="690" t="s">
        <v>873</v>
      </c>
    </row>
    <row r="370" spans="1:6" x14ac:dyDescent="0.3">
      <c r="A370" s="315" t="s">
        <v>892</v>
      </c>
      <c r="B370" s="605" t="s">
        <v>903</v>
      </c>
      <c r="C370" s="316"/>
      <c r="D370" s="686">
        <v>1</v>
      </c>
      <c r="E370" s="689" t="s">
        <v>873</v>
      </c>
      <c r="F370" s="689" t="s">
        <v>873</v>
      </c>
    </row>
    <row r="371" spans="1:6" x14ac:dyDescent="0.3">
      <c r="A371" s="112" t="s">
        <v>892</v>
      </c>
      <c r="B371" s="604" t="s">
        <v>904</v>
      </c>
      <c r="C371" s="310"/>
      <c r="D371" s="109">
        <v>1</v>
      </c>
      <c r="E371" s="690" t="s">
        <v>873</v>
      </c>
      <c r="F371" s="690" t="s">
        <v>873</v>
      </c>
    </row>
    <row r="372" spans="1:6" x14ac:dyDescent="0.3">
      <c r="A372" s="315" t="s">
        <v>892</v>
      </c>
      <c r="B372" s="605" t="s">
        <v>905</v>
      </c>
      <c r="C372" s="316"/>
      <c r="D372" s="686">
        <v>1</v>
      </c>
      <c r="E372" s="689" t="s">
        <v>873</v>
      </c>
      <c r="F372" s="689" t="s">
        <v>873</v>
      </c>
    </row>
    <row r="373" spans="1:6" x14ac:dyDescent="0.3">
      <c r="A373" s="112" t="s">
        <v>884</v>
      </c>
      <c r="B373" s="604" t="s">
        <v>906</v>
      </c>
      <c r="C373" s="310"/>
      <c r="D373" s="109">
        <v>2</v>
      </c>
      <c r="E373" s="690" t="s">
        <v>873</v>
      </c>
      <c r="F373" s="690" t="s">
        <v>873</v>
      </c>
    </row>
    <row r="374" spans="1:6" x14ac:dyDescent="0.3">
      <c r="A374" s="315" t="s">
        <v>884</v>
      </c>
      <c r="B374" s="605" t="s">
        <v>907</v>
      </c>
      <c r="C374" s="316"/>
      <c r="D374" s="686">
        <v>2</v>
      </c>
      <c r="E374" s="689" t="s">
        <v>308</v>
      </c>
      <c r="F374" s="689" t="s">
        <v>308</v>
      </c>
    </row>
    <row r="375" spans="1:6" x14ac:dyDescent="0.3">
      <c r="A375" s="112" t="s">
        <v>884</v>
      </c>
      <c r="B375" s="604" t="s">
        <v>908</v>
      </c>
      <c r="C375" s="310"/>
      <c r="D375" s="109">
        <v>2</v>
      </c>
      <c r="E375" s="690" t="s">
        <v>308</v>
      </c>
      <c r="F375" s="690" t="s">
        <v>308</v>
      </c>
    </row>
    <row r="376" spans="1:6" x14ac:dyDescent="0.3">
      <c r="A376" s="315" t="s">
        <v>884</v>
      </c>
      <c r="B376" s="605" t="s">
        <v>909</v>
      </c>
      <c r="C376" s="316"/>
      <c r="D376" s="686">
        <v>2</v>
      </c>
      <c r="E376" s="689" t="s">
        <v>873</v>
      </c>
      <c r="F376" s="689" t="s">
        <v>873</v>
      </c>
    </row>
    <row r="377" spans="1:6" x14ac:dyDescent="0.3">
      <c r="A377" s="112" t="s">
        <v>884</v>
      </c>
      <c r="B377" s="604" t="s">
        <v>910</v>
      </c>
      <c r="C377" s="310"/>
      <c r="D377" s="109">
        <v>2</v>
      </c>
      <c r="E377" s="720" t="s">
        <v>873</v>
      </c>
      <c r="F377" s="720" t="s">
        <v>873</v>
      </c>
    </row>
    <row r="378" spans="1:6" x14ac:dyDescent="0.3">
      <c r="A378" s="315" t="s">
        <v>892</v>
      </c>
      <c r="B378" s="605" t="s">
        <v>911</v>
      </c>
      <c r="C378" s="316"/>
      <c r="D378" s="686">
        <v>2</v>
      </c>
      <c r="E378" s="689" t="s">
        <v>873</v>
      </c>
      <c r="F378" s="689" t="s">
        <v>873</v>
      </c>
    </row>
    <row r="379" spans="1:6" x14ac:dyDescent="0.3">
      <c r="A379" s="112" t="s">
        <v>892</v>
      </c>
      <c r="B379" s="604" t="s">
        <v>912</v>
      </c>
      <c r="C379" s="310"/>
      <c r="D379" s="109">
        <v>2</v>
      </c>
      <c r="E379" s="690" t="s">
        <v>308</v>
      </c>
      <c r="F379" s="690" t="s">
        <v>308</v>
      </c>
    </row>
    <row r="380" spans="1:6" x14ac:dyDescent="0.3">
      <c r="A380" s="315" t="s">
        <v>892</v>
      </c>
      <c r="B380" s="605" t="s">
        <v>913</v>
      </c>
      <c r="C380" s="316"/>
      <c r="D380" s="686">
        <v>2</v>
      </c>
      <c r="E380" s="689" t="s">
        <v>873</v>
      </c>
      <c r="F380" s="689" t="s">
        <v>873</v>
      </c>
    </row>
    <row r="381" spans="1:6" x14ac:dyDescent="0.3">
      <c r="A381" s="112" t="s">
        <v>892</v>
      </c>
      <c r="B381" s="604" t="s">
        <v>914</v>
      </c>
      <c r="C381" s="310"/>
      <c r="D381" s="109">
        <v>2</v>
      </c>
      <c r="E381" s="690" t="s">
        <v>589</v>
      </c>
      <c r="F381" s="690" t="s">
        <v>589</v>
      </c>
    </row>
    <row r="382" spans="1:6" x14ac:dyDescent="0.3">
      <c r="A382" s="315" t="s">
        <v>892</v>
      </c>
      <c r="B382" s="605" t="s">
        <v>915</v>
      </c>
      <c r="C382" s="316"/>
      <c r="D382" s="686">
        <v>2</v>
      </c>
      <c r="E382" s="689" t="s">
        <v>589</v>
      </c>
      <c r="F382" s="689" t="s">
        <v>589</v>
      </c>
    </row>
    <row r="383" spans="1:6" x14ac:dyDescent="0.3">
      <c r="A383" s="112" t="s">
        <v>892</v>
      </c>
      <c r="B383" s="604" t="s">
        <v>916</v>
      </c>
      <c r="C383" s="310"/>
      <c r="D383" s="109">
        <v>2</v>
      </c>
      <c r="E383" s="690" t="s">
        <v>873</v>
      </c>
      <c r="F383" s="690" t="s">
        <v>873</v>
      </c>
    </row>
    <row r="384" spans="1:6" x14ac:dyDescent="0.3">
      <c r="A384" s="315" t="s">
        <v>892</v>
      </c>
      <c r="B384" s="605" t="s">
        <v>917</v>
      </c>
      <c r="C384" s="316"/>
      <c r="D384" s="686">
        <v>2</v>
      </c>
      <c r="E384" s="689" t="s">
        <v>873</v>
      </c>
      <c r="F384" s="689" t="s">
        <v>873</v>
      </c>
    </row>
    <row r="385" spans="1:6" x14ac:dyDescent="0.3">
      <c r="A385" s="112" t="s">
        <v>884</v>
      </c>
      <c r="B385" s="604" t="s">
        <v>918</v>
      </c>
      <c r="C385" s="310"/>
      <c r="D385" s="109">
        <v>3</v>
      </c>
      <c r="E385" s="690" t="s">
        <v>873</v>
      </c>
      <c r="F385" s="690" t="s">
        <v>873</v>
      </c>
    </row>
    <row r="386" spans="1:6" x14ac:dyDescent="0.3">
      <c r="A386" s="315" t="s">
        <v>884</v>
      </c>
      <c r="B386" s="605" t="s">
        <v>919</v>
      </c>
      <c r="C386" s="316"/>
      <c r="D386" s="686">
        <v>3</v>
      </c>
      <c r="E386" s="689" t="s">
        <v>308</v>
      </c>
      <c r="F386" s="689" t="s">
        <v>308</v>
      </c>
    </row>
    <row r="387" spans="1:6" x14ac:dyDescent="0.3">
      <c r="A387" s="112" t="s">
        <v>892</v>
      </c>
      <c r="B387" s="604" t="s">
        <v>920</v>
      </c>
      <c r="C387" s="310"/>
      <c r="D387" s="109">
        <v>3</v>
      </c>
      <c r="E387" s="690" t="s">
        <v>309</v>
      </c>
      <c r="F387" s="690" t="s">
        <v>309</v>
      </c>
    </row>
    <row r="388" spans="1:6" x14ac:dyDescent="0.3">
      <c r="A388" s="315" t="s">
        <v>892</v>
      </c>
      <c r="B388" s="605" t="s">
        <v>921</v>
      </c>
      <c r="C388" s="316"/>
      <c r="D388" s="686">
        <v>3</v>
      </c>
      <c r="E388" s="689" t="s">
        <v>309</v>
      </c>
      <c r="F388" s="689" t="s">
        <v>309</v>
      </c>
    </row>
    <row r="389" spans="1:6" x14ac:dyDescent="0.3">
      <c r="A389" s="112" t="s">
        <v>892</v>
      </c>
      <c r="B389" s="604" t="s">
        <v>922</v>
      </c>
      <c r="C389" s="310"/>
      <c r="D389" s="109">
        <v>3</v>
      </c>
      <c r="E389" s="690" t="s">
        <v>308</v>
      </c>
      <c r="F389" s="690" t="s">
        <v>308</v>
      </c>
    </row>
    <row r="390" spans="1:6" ht="21" x14ac:dyDescent="0.3">
      <c r="A390" s="1386"/>
      <c r="B390" s="1386"/>
      <c r="C390" s="1386"/>
      <c r="D390" s="113"/>
      <c r="E390" s="113">
        <f>(COUNTIF(E343:E389,"OK")+COUNTIF(E343:E389,"N/A"))/47</f>
        <v>0.40425531914893614</v>
      </c>
      <c r="F390" s="113">
        <f>(COUNTIF(F343:F389,"OK")+COUNTIF(F343:F389,"N/A"))/47</f>
        <v>0.40425531914893614</v>
      </c>
    </row>
  </sheetData>
  <sheetProtection formatCells="0" formatColumns="0" formatRows="0" insertHyperlinks="0"/>
  <autoFilter ref="A54:AF102" xr:uid="{8D60C14C-6D4C-47F3-AEE6-8386BDC53B83}"/>
  <mergeCells count="601">
    <mergeCell ref="AU55:AU56"/>
    <mergeCell ref="AV55:AV56"/>
    <mergeCell ref="AU57:AU58"/>
    <mergeCell ref="AV57:AV58"/>
    <mergeCell ref="AU59:AU60"/>
    <mergeCell ref="AU95:AU96"/>
    <mergeCell ref="AV95:AV96"/>
    <mergeCell ref="AU97:AU98"/>
    <mergeCell ref="AV97:AV98"/>
    <mergeCell ref="AV59:AV60"/>
    <mergeCell ref="AU61:AU62"/>
    <mergeCell ref="AV61:AV62"/>
    <mergeCell ref="AU63:AU64"/>
    <mergeCell ref="AV63:AV64"/>
    <mergeCell ref="AU99:AU100"/>
    <mergeCell ref="AV99:AV100"/>
    <mergeCell ref="AU65:AU66"/>
    <mergeCell ref="AV65:AV66"/>
    <mergeCell ref="AU67:AU68"/>
    <mergeCell ref="AV67:AV68"/>
    <mergeCell ref="AU69:AU70"/>
    <mergeCell ref="AV69:AV70"/>
    <mergeCell ref="AU71:AU72"/>
    <mergeCell ref="AV71:AV72"/>
    <mergeCell ref="AU73:AU74"/>
    <mergeCell ref="AV73:AV74"/>
    <mergeCell ref="AU101:AU102"/>
    <mergeCell ref="AV101:AV102"/>
    <mergeCell ref="J7:J8"/>
    <mergeCell ref="K7:K8"/>
    <mergeCell ref="AU85:AU86"/>
    <mergeCell ref="AV85:AV86"/>
    <mergeCell ref="AU87:AU88"/>
    <mergeCell ref="AV87:AV88"/>
    <mergeCell ref="AU89:AU90"/>
    <mergeCell ref="AV89:AV90"/>
    <mergeCell ref="AU91:AU92"/>
    <mergeCell ref="AV91:AV92"/>
    <mergeCell ref="AU93:AU94"/>
    <mergeCell ref="AV93:AV94"/>
    <mergeCell ref="AU75:AU76"/>
    <mergeCell ref="AV75:AV76"/>
    <mergeCell ref="AU77:AU78"/>
    <mergeCell ref="AV77:AV78"/>
    <mergeCell ref="AU79:AU80"/>
    <mergeCell ref="AV79:AV80"/>
    <mergeCell ref="AU81:AU82"/>
    <mergeCell ref="AV81:AV82"/>
    <mergeCell ref="AU83:AU84"/>
    <mergeCell ref="AV83:AV84"/>
    <mergeCell ref="M118:O118"/>
    <mergeCell ref="B79:B80"/>
    <mergeCell ref="A81:A82"/>
    <mergeCell ref="B83:B84"/>
    <mergeCell ref="B85:B86"/>
    <mergeCell ref="B87:B88"/>
    <mergeCell ref="B89:B90"/>
    <mergeCell ref="B91:B92"/>
    <mergeCell ref="B93:B94"/>
    <mergeCell ref="B95:B96"/>
    <mergeCell ref="K85:K86"/>
    <mergeCell ref="J79:J80"/>
    <mergeCell ref="K79:K80"/>
    <mergeCell ref="N79:N80"/>
    <mergeCell ref="K83:K84"/>
    <mergeCell ref="C83:C84"/>
    <mergeCell ref="E83:E84"/>
    <mergeCell ref="F83:F84"/>
    <mergeCell ref="M83:M84"/>
    <mergeCell ref="J89:J90"/>
    <mergeCell ref="A85:A86"/>
    <mergeCell ref="C85:C86"/>
    <mergeCell ref="E85:E86"/>
    <mergeCell ref="F85:F86"/>
    <mergeCell ref="B61:B62"/>
    <mergeCell ref="B63:B64"/>
    <mergeCell ref="B65:B66"/>
    <mergeCell ref="B67:B68"/>
    <mergeCell ref="B69:B70"/>
    <mergeCell ref="B71:B72"/>
    <mergeCell ref="B73:B74"/>
    <mergeCell ref="B75:B76"/>
    <mergeCell ref="B77:B78"/>
    <mergeCell ref="D73:D74"/>
    <mergeCell ref="F75:F76"/>
    <mergeCell ref="R69:R70"/>
    <mergeCell ref="O69:O70"/>
    <mergeCell ref="H71:H72"/>
    <mergeCell ref="I71:I72"/>
    <mergeCell ref="M71:M72"/>
    <mergeCell ref="N71:N72"/>
    <mergeCell ref="O67:O68"/>
    <mergeCell ref="R67:R68"/>
    <mergeCell ref="N69:N70"/>
    <mergeCell ref="O71:O72"/>
    <mergeCell ref="R71:R72"/>
    <mergeCell ref="M67:M68"/>
    <mergeCell ref="L67:L68"/>
    <mergeCell ref="R73:R74"/>
    <mergeCell ref="O73:O74"/>
    <mergeCell ref="L75:L76"/>
    <mergeCell ref="M75:M76"/>
    <mergeCell ref="L71:L72"/>
    <mergeCell ref="L73:L74"/>
    <mergeCell ref="D71:D72"/>
    <mergeCell ref="I73:I74"/>
    <mergeCell ref="K73:K74"/>
    <mergeCell ref="D59:D60"/>
    <mergeCell ref="I65:I66"/>
    <mergeCell ref="L65:L66"/>
    <mergeCell ref="D65:D66"/>
    <mergeCell ref="G67:G68"/>
    <mergeCell ref="L69:L70"/>
    <mergeCell ref="D63:D64"/>
    <mergeCell ref="D61:D62"/>
    <mergeCell ref="D67:D68"/>
    <mergeCell ref="J67:J68"/>
    <mergeCell ref="K67:K68"/>
    <mergeCell ref="H59:H60"/>
    <mergeCell ref="K59:K60"/>
    <mergeCell ref="L61:L62"/>
    <mergeCell ref="H63:H64"/>
    <mergeCell ref="I63:I64"/>
    <mergeCell ref="K61:K62"/>
    <mergeCell ref="K63:K64"/>
    <mergeCell ref="K65:K66"/>
    <mergeCell ref="J65:J66"/>
    <mergeCell ref="J59:J60"/>
    <mergeCell ref="J61:J62"/>
    <mergeCell ref="L59:L60"/>
    <mergeCell ref="L63:L64"/>
    <mergeCell ref="Q65:Q66"/>
    <mergeCell ref="R59:R60"/>
    <mergeCell ref="R65:R66"/>
    <mergeCell ref="O65:O66"/>
    <mergeCell ref="O61:O62"/>
    <mergeCell ref="N61:N62"/>
    <mergeCell ref="M59:M60"/>
    <mergeCell ref="N59:N60"/>
    <mergeCell ref="O59:O60"/>
    <mergeCell ref="R61:R62"/>
    <mergeCell ref="O63:O64"/>
    <mergeCell ref="R63:R64"/>
    <mergeCell ref="M65:M66"/>
    <mergeCell ref="Q61:Q62"/>
    <mergeCell ref="Q63:Q64"/>
    <mergeCell ref="M77:M78"/>
    <mergeCell ref="D77:D78"/>
    <mergeCell ref="M79:M80"/>
    <mergeCell ref="E79:E80"/>
    <mergeCell ref="F79:F80"/>
    <mergeCell ref="D75:D76"/>
    <mergeCell ref="L77:L78"/>
    <mergeCell ref="D79:D80"/>
    <mergeCell ref="A63:A64"/>
    <mergeCell ref="C63:C64"/>
    <mergeCell ref="E63:E64"/>
    <mergeCell ref="F63:F64"/>
    <mergeCell ref="G63:G64"/>
    <mergeCell ref="C67:C68"/>
    <mergeCell ref="E67:E68"/>
    <mergeCell ref="F67:F68"/>
    <mergeCell ref="A71:A72"/>
    <mergeCell ref="C71:C72"/>
    <mergeCell ref="E71:E72"/>
    <mergeCell ref="G65:G66"/>
    <mergeCell ref="A73:A74"/>
    <mergeCell ref="C73:C74"/>
    <mergeCell ref="E73:E74"/>
    <mergeCell ref="F73:F74"/>
    <mergeCell ref="N83:N84"/>
    <mergeCell ref="D83:D84"/>
    <mergeCell ref="L83:L84"/>
    <mergeCell ref="J83:J84"/>
    <mergeCell ref="G83:G84"/>
    <mergeCell ref="H83:H84"/>
    <mergeCell ref="M81:M82"/>
    <mergeCell ref="N81:N82"/>
    <mergeCell ref="D81:D82"/>
    <mergeCell ref="L81:L82"/>
    <mergeCell ref="J81:J82"/>
    <mergeCell ref="K81:K82"/>
    <mergeCell ref="A59:A60"/>
    <mergeCell ref="A79:A80"/>
    <mergeCell ref="C79:C80"/>
    <mergeCell ref="H69:H70"/>
    <mergeCell ref="I69:I70"/>
    <mergeCell ref="G69:G70"/>
    <mergeCell ref="H65:H66"/>
    <mergeCell ref="C75:C76"/>
    <mergeCell ref="E75:E76"/>
    <mergeCell ref="I77:I78"/>
    <mergeCell ref="G73:G74"/>
    <mergeCell ref="A67:A68"/>
    <mergeCell ref="A65:A66"/>
    <mergeCell ref="C65:C66"/>
    <mergeCell ref="E65:E66"/>
    <mergeCell ref="F65:F66"/>
    <mergeCell ref="C69:C70"/>
    <mergeCell ref="E69:E70"/>
    <mergeCell ref="I59:I60"/>
    <mergeCell ref="H67:H68"/>
    <mergeCell ref="I67:I68"/>
    <mergeCell ref="H73:H74"/>
    <mergeCell ref="G75:G76"/>
    <mergeCell ref="H75:H76"/>
    <mergeCell ref="A55:A56"/>
    <mergeCell ref="C55:C56"/>
    <mergeCell ref="E55:E56"/>
    <mergeCell ref="F55:F56"/>
    <mergeCell ref="G55:G56"/>
    <mergeCell ref="H55:H56"/>
    <mergeCell ref="I55:I56"/>
    <mergeCell ref="D55:D56"/>
    <mergeCell ref="A57:A58"/>
    <mergeCell ref="C57:C58"/>
    <mergeCell ref="E57:E58"/>
    <mergeCell ref="F57:F58"/>
    <mergeCell ref="G57:G58"/>
    <mergeCell ref="H57:H58"/>
    <mergeCell ref="I57:I58"/>
    <mergeCell ref="B55:B56"/>
    <mergeCell ref="B57:B58"/>
    <mergeCell ref="M85:M86"/>
    <mergeCell ref="N85:N86"/>
    <mergeCell ref="D85:D86"/>
    <mergeCell ref="L85:L86"/>
    <mergeCell ref="J85:J86"/>
    <mergeCell ref="A95:A96"/>
    <mergeCell ref="I87:I88"/>
    <mergeCell ref="D87:D88"/>
    <mergeCell ref="L93:L94"/>
    <mergeCell ref="L91:L92"/>
    <mergeCell ref="J91:J92"/>
    <mergeCell ref="J93:J94"/>
    <mergeCell ref="D91:D92"/>
    <mergeCell ref="D93:D94"/>
    <mergeCell ref="A91:A92"/>
    <mergeCell ref="C91:C92"/>
    <mergeCell ref="E91:E92"/>
    <mergeCell ref="F91:F92"/>
    <mergeCell ref="G91:G92"/>
    <mergeCell ref="H91:H92"/>
    <mergeCell ref="I93:I94"/>
    <mergeCell ref="K91:K92"/>
    <mergeCell ref="I91:I92"/>
    <mergeCell ref="K87:K88"/>
    <mergeCell ref="J69:J70"/>
    <mergeCell ref="J71:J72"/>
    <mergeCell ref="J75:J76"/>
    <mergeCell ref="K69:K70"/>
    <mergeCell ref="K71:K72"/>
    <mergeCell ref="G85:G86"/>
    <mergeCell ref="H85:H86"/>
    <mergeCell ref="I85:I86"/>
    <mergeCell ref="G79:G80"/>
    <mergeCell ref="H79:H80"/>
    <mergeCell ref="J77:J78"/>
    <mergeCell ref="K77:K78"/>
    <mergeCell ref="K75:K76"/>
    <mergeCell ref="I75:I76"/>
    <mergeCell ref="I95:I96"/>
    <mergeCell ref="G77:G78"/>
    <mergeCell ref="E77:E78"/>
    <mergeCell ref="I79:I80"/>
    <mergeCell ref="I81:I82"/>
    <mergeCell ref="K89:K90"/>
    <mergeCell ref="I89:I90"/>
    <mergeCell ref="L87:L88"/>
    <mergeCell ref="L89:L90"/>
    <mergeCell ref="J87:J88"/>
    <mergeCell ref="E89:E90"/>
    <mergeCell ref="H77:H78"/>
    <mergeCell ref="L79:L80"/>
    <mergeCell ref="A83:A84"/>
    <mergeCell ref="C81:C82"/>
    <mergeCell ref="E81:E82"/>
    <mergeCell ref="F81:F82"/>
    <mergeCell ref="G81:G82"/>
    <mergeCell ref="H81:H82"/>
    <mergeCell ref="E95:E96"/>
    <mergeCell ref="F95:F96"/>
    <mergeCell ref="G95:G96"/>
    <mergeCell ref="H95:H96"/>
    <mergeCell ref="F89:F90"/>
    <mergeCell ref="G89:G90"/>
    <mergeCell ref="D89:D90"/>
    <mergeCell ref="A87:A88"/>
    <mergeCell ref="C87:C88"/>
    <mergeCell ref="H89:H90"/>
    <mergeCell ref="A93:A94"/>
    <mergeCell ref="C93:C94"/>
    <mergeCell ref="E93:E94"/>
    <mergeCell ref="F93:F94"/>
    <mergeCell ref="G93:G94"/>
    <mergeCell ref="H93:H94"/>
    <mergeCell ref="A89:A90"/>
    <mergeCell ref="C89:C90"/>
    <mergeCell ref="B59:B60"/>
    <mergeCell ref="C77:C78"/>
    <mergeCell ref="D95:D96"/>
    <mergeCell ref="N101:N102"/>
    <mergeCell ref="I101:I102"/>
    <mergeCell ref="I97:I98"/>
    <mergeCell ref="A99:A100"/>
    <mergeCell ref="C99:C100"/>
    <mergeCell ref="E99:E100"/>
    <mergeCell ref="F99:F100"/>
    <mergeCell ref="G99:G100"/>
    <mergeCell ref="B97:B98"/>
    <mergeCell ref="B99:B100"/>
    <mergeCell ref="B101:B102"/>
    <mergeCell ref="F97:F98"/>
    <mergeCell ref="G97:G98"/>
    <mergeCell ref="A97:A98"/>
    <mergeCell ref="C97:C98"/>
    <mergeCell ref="E97:E98"/>
    <mergeCell ref="D99:D100"/>
    <mergeCell ref="D101:D102"/>
    <mergeCell ref="D97:D98"/>
    <mergeCell ref="A101:A102"/>
    <mergeCell ref="A77:A78"/>
    <mergeCell ref="C101:C102"/>
    <mergeCell ref="E101:E102"/>
    <mergeCell ref="F101:F102"/>
    <mergeCell ref="G101:G102"/>
    <mergeCell ref="N57:N58"/>
    <mergeCell ref="L55:L56"/>
    <mergeCell ref="J55:J56"/>
    <mergeCell ref="K55:K56"/>
    <mergeCell ref="M57:M58"/>
    <mergeCell ref="J57:J58"/>
    <mergeCell ref="K57:K58"/>
    <mergeCell ref="N73:N74"/>
    <mergeCell ref="N65:N66"/>
    <mergeCell ref="N67:N68"/>
    <mergeCell ref="M69:M70"/>
    <mergeCell ref="N77:N78"/>
    <mergeCell ref="N75:N76"/>
    <mergeCell ref="N87:N88"/>
    <mergeCell ref="N99:N100"/>
    <mergeCell ref="N89:N90"/>
    <mergeCell ref="M61:M62"/>
    <mergeCell ref="N91:N92"/>
    <mergeCell ref="F69:F70"/>
    <mergeCell ref="C95:C96"/>
    <mergeCell ref="U16:Y16"/>
    <mergeCell ref="U17:Y17"/>
    <mergeCell ref="U18:Y18"/>
    <mergeCell ref="U19:Y19"/>
    <mergeCell ref="M55:M56"/>
    <mergeCell ref="N55:N56"/>
    <mergeCell ref="O26:P26"/>
    <mergeCell ref="O55:O56"/>
    <mergeCell ref="L57:L58"/>
    <mergeCell ref="U23:Y23"/>
    <mergeCell ref="U24:Y24"/>
    <mergeCell ref="U25:Y25"/>
    <mergeCell ref="P55:P56"/>
    <mergeCell ref="P57:P58"/>
    <mergeCell ref="Q55:Q56"/>
    <mergeCell ref="Q57:Q58"/>
    <mergeCell ref="U15:Y15"/>
    <mergeCell ref="U14:Y14"/>
    <mergeCell ref="J63:J64"/>
    <mergeCell ref="A61:A62"/>
    <mergeCell ref="C61:C62"/>
    <mergeCell ref="E61:E62"/>
    <mergeCell ref="F61:F62"/>
    <mergeCell ref="G61:G62"/>
    <mergeCell ref="H61:H62"/>
    <mergeCell ref="I61:I62"/>
    <mergeCell ref="C59:C60"/>
    <mergeCell ref="E59:E60"/>
    <mergeCell ref="F59:F60"/>
    <mergeCell ref="G59:G60"/>
    <mergeCell ref="D57:D58"/>
    <mergeCell ref="R55:R56"/>
    <mergeCell ref="O57:O58"/>
    <mergeCell ref="R57:R58"/>
    <mergeCell ref="M63:M64"/>
    <mergeCell ref="N63:N64"/>
    <mergeCell ref="U20:Y20"/>
    <mergeCell ref="U21:Y21"/>
    <mergeCell ref="U22:Y22"/>
    <mergeCell ref="Q59:Q60"/>
    <mergeCell ref="A1:V1"/>
    <mergeCell ref="J4:K4"/>
    <mergeCell ref="J5:K5"/>
    <mergeCell ref="L4:M4"/>
    <mergeCell ref="L5:M5"/>
    <mergeCell ref="O4:AF4"/>
    <mergeCell ref="W1:AF1"/>
    <mergeCell ref="A2:AF2"/>
    <mergeCell ref="U5:Y5"/>
    <mergeCell ref="U6:Y6"/>
    <mergeCell ref="E4:F4"/>
    <mergeCell ref="E5:F5"/>
    <mergeCell ref="U7:Y7"/>
    <mergeCell ref="U8:Y8"/>
    <mergeCell ref="U9:Y9"/>
    <mergeCell ref="G4:H4"/>
    <mergeCell ref="G5:H5"/>
    <mergeCell ref="I7:I8"/>
    <mergeCell ref="I9:I10"/>
    <mergeCell ref="J9:J10"/>
    <mergeCell ref="K9:K10"/>
    <mergeCell ref="U10:Y10"/>
    <mergeCell ref="L6:M11"/>
    <mergeCell ref="U11:Y11"/>
    <mergeCell ref="R97:R98"/>
    <mergeCell ref="R99:R100"/>
    <mergeCell ref="R101:R102"/>
    <mergeCell ref="AM87:AM88"/>
    <mergeCell ref="AN79:AN80"/>
    <mergeCell ref="AN81:AN82"/>
    <mergeCell ref="AM75:AM76"/>
    <mergeCell ref="AM101:AM102"/>
    <mergeCell ref="O101:O102"/>
    <mergeCell ref="O97:O98"/>
    <mergeCell ref="O99:O100"/>
    <mergeCell ref="R81:R82"/>
    <mergeCell ref="R83:R84"/>
    <mergeCell ref="O77:O78"/>
    <mergeCell ref="O79:O80"/>
    <mergeCell ref="R75:R76"/>
    <mergeCell ref="O75:O76"/>
    <mergeCell ref="O81:O82"/>
    <mergeCell ref="O83:O84"/>
    <mergeCell ref="R77:R78"/>
    <mergeCell ref="R79:R80"/>
    <mergeCell ref="P77:P78"/>
    <mergeCell ref="P79:P80"/>
    <mergeCell ref="P81:P82"/>
    <mergeCell ref="R93:R94"/>
    <mergeCell ref="R95:R96"/>
    <mergeCell ref="R89:R90"/>
    <mergeCell ref="R91:R92"/>
    <mergeCell ref="R85:R86"/>
    <mergeCell ref="R87:R88"/>
    <mergeCell ref="O85:O86"/>
    <mergeCell ref="O87:O88"/>
    <mergeCell ref="O89:O90"/>
    <mergeCell ref="O91:O92"/>
    <mergeCell ref="O93:O94"/>
    <mergeCell ref="O95:O96"/>
    <mergeCell ref="Q95:Q96"/>
    <mergeCell ref="P85:P86"/>
    <mergeCell ref="P87:P88"/>
    <mergeCell ref="P89:P90"/>
    <mergeCell ref="P91:P92"/>
    <mergeCell ref="P93:P94"/>
    <mergeCell ref="P95:P96"/>
    <mergeCell ref="AN63:AN64"/>
    <mergeCell ref="AN65:AN66"/>
    <mergeCell ref="AN67:AN68"/>
    <mergeCell ref="AN69:AN70"/>
    <mergeCell ref="AN71:AN72"/>
    <mergeCell ref="AM61:AM62"/>
    <mergeCell ref="AM71:AM72"/>
    <mergeCell ref="AM73:AM74"/>
    <mergeCell ref="AO61:AO62"/>
    <mergeCell ref="AM63:AM64"/>
    <mergeCell ref="AO63:AO64"/>
    <mergeCell ref="AM65:AM66"/>
    <mergeCell ref="AO65:AO66"/>
    <mergeCell ref="AM67:AM68"/>
    <mergeCell ref="AM97:AM98"/>
    <mergeCell ref="AO97:AO98"/>
    <mergeCell ref="AM99:AM100"/>
    <mergeCell ref="AO99:AO100"/>
    <mergeCell ref="AO87:AO88"/>
    <mergeCell ref="AO101:AO102"/>
    <mergeCell ref="AN97:AN98"/>
    <mergeCell ref="AN99:AN100"/>
    <mergeCell ref="AN101:AN102"/>
    <mergeCell ref="AO91:AO92"/>
    <mergeCell ref="AM93:AM94"/>
    <mergeCell ref="AO93:AO94"/>
    <mergeCell ref="AM95:AM96"/>
    <mergeCell ref="AO95:AO96"/>
    <mergeCell ref="AN95:AN96"/>
    <mergeCell ref="AN93:AN94"/>
    <mergeCell ref="AM91:AM92"/>
    <mergeCell ref="AN91:AN92"/>
    <mergeCell ref="AM89:AM90"/>
    <mergeCell ref="AO89:AO90"/>
    <mergeCell ref="AN85:AN86"/>
    <mergeCell ref="AN87:AN88"/>
    <mergeCell ref="AN89:AN90"/>
    <mergeCell ref="AO79:AO80"/>
    <mergeCell ref="AM81:AM82"/>
    <mergeCell ref="AO81:AO82"/>
    <mergeCell ref="AN75:AN76"/>
    <mergeCell ref="AM85:AM86"/>
    <mergeCell ref="AO85:AO86"/>
    <mergeCell ref="AN77:AN78"/>
    <mergeCell ref="AO83:AO84"/>
    <mergeCell ref="AN83:AN84"/>
    <mergeCell ref="AM83:AM84"/>
    <mergeCell ref="U12:Y12"/>
    <mergeCell ref="U13:Y13"/>
    <mergeCell ref="AO73:AO74"/>
    <mergeCell ref="AN73:AN74"/>
    <mergeCell ref="AO75:AO76"/>
    <mergeCell ref="AM77:AM78"/>
    <mergeCell ref="AO77:AO78"/>
    <mergeCell ref="AM79:AM80"/>
    <mergeCell ref="AJ45:AK45"/>
    <mergeCell ref="AM53:AO53"/>
    <mergeCell ref="AM55:AM56"/>
    <mergeCell ref="AN55:AN56"/>
    <mergeCell ref="AO55:AO56"/>
    <mergeCell ref="AM57:AM58"/>
    <mergeCell ref="AN57:AN58"/>
    <mergeCell ref="AO57:AO58"/>
    <mergeCell ref="AM59:AM60"/>
    <mergeCell ref="AN59:AN60"/>
    <mergeCell ref="AO67:AO68"/>
    <mergeCell ref="AM69:AM70"/>
    <mergeCell ref="AO69:AO70"/>
    <mergeCell ref="AN61:AN62"/>
    <mergeCell ref="AO71:AO72"/>
    <mergeCell ref="AO59:AO60"/>
    <mergeCell ref="O104:P104"/>
    <mergeCell ref="M104:N104"/>
    <mergeCell ref="A390:C390"/>
    <mergeCell ref="K93:K94"/>
    <mergeCell ref="K95:K96"/>
    <mergeCell ref="K97:K98"/>
    <mergeCell ref="K99:K100"/>
    <mergeCell ref="J101:J102"/>
    <mergeCell ref="P101:P102"/>
    <mergeCell ref="M95:M96"/>
    <mergeCell ref="N95:N96"/>
    <mergeCell ref="N93:N94"/>
    <mergeCell ref="M93:M94"/>
    <mergeCell ref="M101:M102"/>
    <mergeCell ref="L101:L102"/>
    <mergeCell ref="L97:L98"/>
    <mergeCell ref="L99:L100"/>
    <mergeCell ref="M97:M98"/>
    <mergeCell ref="N97:N98"/>
    <mergeCell ref="K101:K102"/>
    <mergeCell ref="H97:H98"/>
    <mergeCell ref="J97:J98"/>
    <mergeCell ref="J99:J100"/>
    <mergeCell ref="H99:H100"/>
    <mergeCell ref="H104:L104"/>
    <mergeCell ref="M73:M74"/>
    <mergeCell ref="A342:C342"/>
    <mergeCell ref="M87:M88"/>
    <mergeCell ref="M89:M90"/>
    <mergeCell ref="I99:I100"/>
    <mergeCell ref="M99:M100"/>
    <mergeCell ref="D69:D70"/>
    <mergeCell ref="A69:A70"/>
    <mergeCell ref="B81:B82"/>
    <mergeCell ref="F71:F72"/>
    <mergeCell ref="G71:G72"/>
    <mergeCell ref="H101:H102"/>
    <mergeCell ref="E87:E88"/>
    <mergeCell ref="F87:F88"/>
    <mergeCell ref="G87:G88"/>
    <mergeCell ref="H87:H88"/>
    <mergeCell ref="F77:F78"/>
    <mergeCell ref="M91:M92"/>
    <mergeCell ref="L95:L96"/>
    <mergeCell ref="J95:J96"/>
    <mergeCell ref="J73:J74"/>
    <mergeCell ref="A75:A76"/>
    <mergeCell ref="I83:I84"/>
    <mergeCell ref="P97:P98"/>
    <mergeCell ref="P99:P100"/>
    <mergeCell ref="P59:P60"/>
    <mergeCell ref="P61:P62"/>
    <mergeCell ref="P63:P64"/>
    <mergeCell ref="P65:P66"/>
    <mergeCell ref="P67:P68"/>
    <mergeCell ref="P69:P70"/>
    <mergeCell ref="P71:P72"/>
    <mergeCell ref="P73:P74"/>
    <mergeCell ref="P75:P76"/>
    <mergeCell ref="P83:P84"/>
    <mergeCell ref="Q67:Q68"/>
    <mergeCell ref="Q69:Q70"/>
    <mergeCell ref="Q71:Q72"/>
    <mergeCell ref="Q73:Q74"/>
    <mergeCell ref="Q75:Q76"/>
    <mergeCell ref="Q97:Q98"/>
    <mergeCell ref="Q99:Q100"/>
    <mergeCell ref="Q101:Q102"/>
    <mergeCell ref="Q77:Q78"/>
    <mergeCell ref="Q79:Q80"/>
    <mergeCell ref="Q81:Q82"/>
    <mergeCell ref="Q83:Q84"/>
    <mergeCell ref="Q85:Q86"/>
    <mergeCell ref="Q87:Q88"/>
    <mergeCell ref="Q89:Q90"/>
    <mergeCell ref="Q91:Q92"/>
    <mergeCell ref="Q93:Q94"/>
  </mergeCells>
  <conditionalFormatting sqref="G5">
    <cfRule type="cellIs" dxfId="53" priority="1" operator="lessThanOrEqual">
      <formula>0</formula>
    </cfRule>
  </conditionalFormatting>
  <conditionalFormatting sqref="S6:S25">
    <cfRule type="containsText" dxfId="52" priority="11" operator="containsText" text="Concluído">
      <formula>NOT(ISERROR(SEARCH("Concluído",S6)))</formula>
    </cfRule>
    <cfRule type="containsText" dxfId="51" priority="12" operator="containsText" text="Conforme Planejado">
      <formula>NOT(ISERROR(SEARCH("Conforme Planejado",S6)))</formula>
    </cfRule>
    <cfRule type="containsText" dxfId="50" priority="13" operator="containsText" text="FALTA PLANEJAMENTO">
      <formula>NOT(ISERROR(SEARCH("FALTA PLANEJAMENTO",S6)))</formula>
    </cfRule>
    <cfRule type="containsText" dxfId="49" priority="14" operator="containsText" text="Atraso">
      <formula>NOT(ISERROR(SEARCH("Atraso",S6)))</formula>
    </cfRule>
  </conditionalFormatting>
  <conditionalFormatting sqref="T6:T25">
    <cfRule type="cellIs" dxfId="48" priority="4" operator="lessThan">
      <formula>0</formula>
    </cfRule>
  </conditionalFormatting>
  <conditionalFormatting sqref="AA6:AA25">
    <cfRule type="cellIs" dxfId="47" priority="51" operator="lessThanOrEqual">
      <formula>0.81</formula>
    </cfRule>
  </conditionalFormatting>
  <conditionalFormatting sqref="AD6:AD25">
    <cfRule type="containsText" dxfId="46" priority="5" operator="containsText" text="ADIANTADO">
      <formula>NOT(ISERROR(SEARCH("ADIANTADO",AD6)))</formula>
    </cfRule>
    <cfRule type="containsText" dxfId="45" priority="6" operator="containsText" text="FALTA DE ACOMPANHAMENTO">
      <formula>NOT(ISERROR(SEARCH("FALTA DE ACOMPANHAMENTO",AD6)))</formula>
    </cfRule>
    <cfRule type="containsText" dxfId="44" priority="7" operator="containsText" text="Concluído">
      <formula>NOT(ISERROR(SEARCH("Concluído",AD6)))</formula>
    </cfRule>
    <cfRule type="containsText" dxfId="43" priority="8" operator="containsText" text="Conforme Planejado">
      <formula>NOT(ISERROR(SEARCH("Conforme Planejado",AD6)))</formula>
    </cfRule>
    <cfRule type="containsText" dxfId="42" priority="9" operator="containsText" text="PROJETO NÃO INICIADO">
      <formula>NOT(ISERROR(SEARCH("PROJETO NÃO INICIADO",AD6)))</formula>
    </cfRule>
    <cfRule type="containsText" dxfId="41" priority="10" operator="containsText" text="Atraso">
      <formula>NOT(ISERROR(SEARCH("Atraso",AD6)))</formula>
    </cfRule>
  </conditionalFormatting>
  <conditionalFormatting sqref="AR55:AR102">
    <cfRule type="cellIs" dxfId="40" priority="2" operator="lessThan">
      <formula>0</formula>
    </cfRule>
  </conditionalFormatting>
  <dataValidations count="5">
    <dataValidation type="list" allowBlank="1" showInputMessage="1" showErrorMessage="1" sqref="AM55:AM102" xr:uid="{FC0C3899-C391-4258-B6CA-5CB5D28779D4}">
      <formula1>$AJ$47:$AJ$51</formula1>
    </dataValidation>
    <dataValidation type="list" allowBlank="1" showInputMessage="1" showErrorMessage="1" sqref="E155:E321" xr:uid="{4A9F3C04-A8DC-4C88-BFF8-763994895D9B}">
      <formula1>"Sim,Não"</formula1>
    </dataValidation>
    <dataValidation type="list" allowBlank="1" showInputMessage="1" showErrorMessage="1" sqref="D104:D107 D112:D118 D126 D128 D130:D132" xr:uid="{2554711F-EA0B-4BA8-B5CE-BF420D69A75F}">
      <formula1>"1,2,3"</formula1>
    </dataValidation>
    <dataValidation type="list" allowBlank="1" showInputMessage="1" showErrorMessage="1" sqref="E105:F132" xr:uid="{69F89FFD-43C3-46EE-BD3B-FD72EE886B65}">
      <formula1>"0%,25%,50%,75%,100%"</formula1>
    </dataValidation>
    <dataValidation type="list" allowBlank="1" showInputMessage="1" showErrorMessage="1" sqref="A81:A82 B55:B102" xr:uid="{8B285C98-A620-476C-954E-703D38333D80}">
      <formula1>"VA,GGF,MA,Outros"</formula1>
    </dataValidation>
  </dataValidations>
  <hyperlinks>
    <hyperlink ref="D55" r:id="rId1" xr:uid="{8CE464D1-99FB-42B7-905D-488864A93120}"/>
    <hyperlink ref="D57" r:id="rId2" xr:uid="{F43679A7-9257-468A-8F63-9A7272A50AAC}"/>
    <hyperlink ref="D59" r:id="rId3" xr:uid="{49144724-16A2-4890-8D05-B192D03A3212}"/>
    <hyperlink ref="D61" r:id="rId4" xr:uid="{7975EF94-1FFF-456F-9851-FBC7F749597B}"/>
    <hyperlink ref="D79" r:id="rId5" display="\\DASRVFILE\Departamentos\ENGENHARIA\1.1 Projetos de redução custo\13 - CONSUMO DE MATERIAIS DA ETE\A3 Projeto 13 - CONSUMO DE MATERIAIS DA ETE.xlsx" xr:uid="{5253897D-ACA8-4B8E-847C-D2FC144666AB}"/>
    <hyperlink ref="D63" r:id="rId6" xr:uid="{0673FD9E-A341-4ADB-8732-336EB6E1132D}"/>
    <hyperlink ref="D65" r:id="rId7" xr:uid="{31CCC6F1-07EC-43D2-8318-6E1624281A65}"/>
    <hyperlink ref="D67" r:id="rId8" display="\\DASRVFILE\Departamentos\ENGENHARIA\1.1 Projetos de redução custo\07 - CONSUMO DE EPI e SERVIÇOS\A3 Projeto 07 - CONSUMO DE EPI e SERVIÇOS.xlsx" xr:uid="{4EC58DCE-2FEC-4C2F-AD89-ADE55CCAC3B6}"/>
    <hyperlink ref="D69" r:id="rId9" display="\\DASRVFILE\Departamentos\ENGENHARIA\1.1 Projetos de redução custo\08 - ÁGUA\A3 Projeto 08 - ÁGUA.xlsx" xr:uid="{1D3C61FF-2F18-40C1-94A9-380A8C8135E7}"/>
    <hyperlink ref="D71" r:id="rId10" display="\\DASRVFILE\Departamentos\ENGENHARIA\1.1 Projetos de redução custo\09 - ENERGIA ELÉTRICA\A3 Projeto 09 - ENERGIA ELÉTRICA.xlsx" xr:uid="{B367B6F8-0CDE-4AFA-9247-666E4687E267}"/>
    <hyperlink ref="D73" r:id="rId11" display="\\DASRVFILE\Departamentos\ENGENHARIA\1.1 Projetos de redução custo\10 - CONSUMO PERNA DE MOÇA\A3 Projeto 10 - CONSUMO PERNA DE MOÇA.xlsx" xr:uid="{74A411C3-D07B-44C6-A001-2704C5750456}"/>
    <hyperlink ref="D75" r:id="rId12" xr:uid="{671E728D-9778-49B4-85FD-DEEB0A87279A}"/>
    <hyperlink ref="D61:D62" r:id="rId13" display="\\DASRVFILE\Departamentos\ENGENHARIA\1.1 Projetos de redução custo\06 - CONSUMO DE TINTA PÓ\A3 Projeto 06 - CONSUMO DE TINTA PÓ.xlsx" xr:uid="{6E0A6BCE-60B6-401D-8D19-28D64E409390}"/>
    <hyperlink ref="D67:D68" r:id="rId14" display="R:\Departamentos\ENGENHARIA\1.1 Projetos de redução custo\07 - CONSUMO DE EPI e SERVIÇOS\A3 Projeto 07 - CONSUMO DE EPI e SERVIÇOS_Feveiro2026.xlsx" xr:uid="{02EF8B46-0533-4A70-8993-8C4F7424FBC6}"/>
    <hyperlink ref="D55:D56" r:id="rId15" display="\\DASRVFILE\Departamentos\ENGENHARIA\1.1 Projetos de redução custo\01 - VENDA DE ATIVOS\A3 Projeto 01 - VENDA DE ATIVOS.xlsx" xr:uid="{34772C95-BD96-451F-ADD0-653DBA948451}"/>
    <hyperlink ref="D59:D60" r:id="rId16" display="\\DASRVFILE\Departamentos\ENGENHARIA\1.1 Projetos de redução custo\03 - PRODUTOS QUÍMICOS KTL\A3 Projeto 03 - PRODUTOS QUÍMICOS KTL.xlsx" xr:uid="{9906F50A-E973-47B6-AF90-718FBB592C72}"/>
    <hyperlink ref="H142" r:id="rId17" xr:uid="{25623813-7829-4656-9E9D-0B45737BECD4}"/>
    <hyperlink ref="D79:D80" r:id="rId18" display="R:\Departamentos\ENGENHARIA\1.1 Projetos de redução custo\13 - CONSUMO DE MATERIAIS DA ETE\A3 Projeto 13 - CONSUMO DE MATERIAIS DA ETE.xlsx" xr:uid="{3A3EF8C7-BC3E-4DC7-AB1B-159B365133F4}"/>
    <hyperlink ref="H108" r:id="rId19" xr:uid="{27E7CAE0-20F0-4CBF-96EE-45445ED5A891}"/>
    <hyperlink ref="H110" r:id="rId20" xr:uid="{2DF6C2E8-11BA-4B0A-9A6F-0FF4E5E5499E}"/>
    <hyperlink ref="H112" r:id="rId21" xr:uid="{6B22BA8C-9E00-4474-A6E9-4AD3270465DF}"/>
    <hyperlink ref="H116" r:id="rId22" xr:uid="{F4E39AAD-D2CB-41B3-9F2D-7B9559B661B6}"/>
    <hyperlink ref="H117" r:id="rId23" xr:uid="{F5BFB5C7-8306-4B18-BF85-71E161888A8D}"/>
    <hyperlink ref="H109" r:id="rId24" xr:uid="{713A8ED3-6A82-48CF-A195-D11F8176C045}"/>
    <hyperlink ref="H114" r:id="rId25" xr:uid="{0F2470C5-ACC0-496F-915A-D2B17A8805BB}"/>
    <hyperlink ref="H113" r:id="rId26" xr:uid="{7BEFB757-1E30-4C7B-A656-92265B815D34}"/>
    <hyperlink ref="H107" r:id="rId27" xr:uid="{5B160AE9-57B7-4BC7-9957-2F9235696349}"/>
    <hyperlink ref="H106" r:id="rId28" xr:uid="{2D0DD1BB-C962-4BD7-8EE6-FCEB86306F9A}"/>
    <hyperlink ref="H115" r:id="rId29" xr:uid="{0C75F612-86FE-4F47-BABF-5C72AF2FAE9C}"/>
    <hyperlink ref="H111" r:id="rId30" xr:uid="{90B1C761-67D9-48E3-9A62-AC92C90CB007}"/>
    <hyperlink ref="D81:D82" r:id="rId31" display="R:\Departamentos\ENGENHARIA\1.1 Projetos de redução custo\14 - Produto Químico Decapagem\Redução de Custo - Produto Químico Decapagem.xlsx" xr:uid="{8B2255F0-21B2-4064-B96D-079E4A8DF404}"/>
    <hyperlink ref="D83:D84" r:id="rId32" display="R:\Departamentos\ENGENHARIA\1.1 Projetos de redução custo\15 - Alteração de Layout\Alteração de Layout do Poka Yoke das Travessas Mercedes.xlsx" xr:uid="{236F0F60-0C60-4166-B8EF-DDDED9C80CB9}"/>
    <hyperlink ref="D73:D74" r:id="rId33" display="R:\Departamentos\ENGENHARIA\1.1 Projetos de redução custo\10 - CONSUMO PERNA DE MOÇA\A3 - 10. CONSUMO PERNA DE MOÇA.xlsx" xr:uid="{65B60FFC-1698-4586-AF35-B54A57F5BD3C}"/>
    <hyperlink ref="D71:D72" r:id="rId34" display="R:\Departamentos\ENGENHARIA\1.1 Projetos de redução custo" xr:uid="{719CF7B1-C6D8-4DF5-9BCB-8E01873E12D6}"/>
    <hyperlink ref="D69:D70" r:id="rId35" display="R:\Departamentos\ENGENHARIA\1.1 Projetos de redução custo\08 - ÁGUA\08. ÁGUA - MELHORAR A EFICIÊNCIA DO CONSUMO DE ÀGUA.xlsx" xr:uid="{A2874FC2-F448-40A9-95B3-CC96E4A5B051}"/>
    <hyperlink ref="D77" r:id="rId36" display="\\DASRVFILE\Departamentos\ENGENHARIA\1.1 Projetos de redução custo\11 - WORKSHOP LIXAMENTO DD  DF\A3 Projeto 11 - WORKSHOP LIXAMENTO DD  DF.xlsx" xr:uid="{AAF5F1A9-D991-4094-AF39-581D158E0B1E}"/>
    <hyperlink ref="D77:D78" r:id="rId37" display="R:\Departamentos\ENGENHARIA\1.1 Projetos de redução custo\12 - VENDA DE DESCARTÁVEIS\A3 Projeto 12 - VENDA DE DESCARTÁVEIS.xlsx" xr:uid="{ED49E4A6-2E73-4D63-95E8-351399A51759}"/>
    <hyperlink ref="D85:D86" r:id="rId38" display="R:\Departamentos\ENGENHARIA\1.1 Projetos de redução custo\16 - Empilhadeira Elétrica\A3 Empilhadeira Eletrica.xlsx" xr:uid="{30EFB9ED-E3DD-436B-9CC6-C96CEBAEE028}"/>
  </hyperlinks>
  <pageMargins left="0.75" right="0.75" top="1" bottom="1" header="0.5" footer="0.5"/>
  <pageSetup paperSize="9" orientation="portrait" r:id="rId39"/>
  <drawing r:id="rId40"/>
  <legacyDrawing r:id="rId41"/>
  <mc:AlternateContent xmlns:mc="http://schemas.openxmlformats.org/markup-compatibility/2006">
    <mc:Choice Requires="x14">
      <controls>
        <mc:AlternateContent xmlns:mc="http://schemas.openxmlformats.org/markup-compatibility/2006">
          <mc:Choice Requires="x14">
            <control shapeId="6188" r:id="rId42" name="Check Box 44">
              <controlPr defaultSize="0" autoFill="0" autoLine="0" autoPict="0">
                <anchor moveWithCells="1">
                  <from>
                    <xdr:col>11</xdr:col>
                    <xdr:colOff>30480</xdr:colOff>
                    <xdr:row>54</xdr:row>
                    <xdr:rowOff>259080</xdr:rowOff>
                  </from>
                  <to>
                    <xdr:col>11</xdr:col>
                    <xdr:colOff>1821180</xdr:colOff>
                    <xdr:row>55</xdr:row>
                    <xdr:rowOff>106680</xdr:rowOff>
                  </to>
                </anchor>
              </controlPr>
            </control>
          </mc:Choice>
        </mc:AlternateContent>
        <mc:AlternateContent xmlns:mc="http://schemas.openxmlformats.org/markup-compatibility/2006">
          <mc:Choice Requires="x14">
            <control shapeId="6189" r:id="rId43" name="Check Box 45">
              <controlPr defaultSize="0" autoFill="0" autoLine="0" autoPict="0">
                <anchor moveWithCells="1">
                  <from>
                    <xdr:col>11</xdr:col>
                    <xdr:colOff>0</xdr:colOff>
                    <xdr:row>56</xdr:row>
                    <xdr:rowOff>266700</xdr:rowOff>
                  </from>
                  <to>
                    <xdr:col>11</xdr:col>
                    <xdr:colOff>1783080</xdr:colOff>
                    <xdr:row>57</xdr:row>
                    <xdr:rowOff>106680</xdr:rowOff>
                  </to>
                </anchor>
              </controlPr>
            </control>
          </mc:Choice>
        </mc:AlternateContent>
        <mc:AlternateContent xmlns:mc="http://schemas.openxmlformats.org/markup-compatibility/2006">
          <mc:Choice Requires="x14">
            <control shapeId="6190" r:id="rId44" name="Check Box 46">
              <controlPr defaultSize="0" autoFill="0" autoLine="0" autoPict="0">
                <anchor moveWithCells="1">
                  <from>
                    <xdr:col>11</xdr:col>
                    <xdr:colOff>0</xdr:colOff>
                    <xdr:row>57</xdr:row>
                    <xdr:rowOff>144780</xdr:rowOff>
                  </from>
                  <to>
                    <xdr:col>11</xdr:col>
                    <xdr:colOff>1783080</xdr:colOff>
                    <xdr:row>57</xdr:row>
                    <xdr:rowOff>342900</xdr:rowOff>
                  </to>
                </anchor>
              </controlPr>
            </control>
          </mc:Choice>
        </mc:AlternateContent>
        <mc:AlternateContent xmlns:mc="http://schemas.openxmlformats.org/markup-compatibility/2006">
          <mc:Choice Requires="x14">
            <control shapeId="6191" r:id="rId45" name="Check Box 47">
              <controlPr defaultSize="0" autoFill="0" autoLine="0" autoPict="0">
                <anchor moveWithCells="1">
                  <from>
                    <xdr:col>11</xdr:col>
                    <xdr:colOff>0</xdr:colOff>
                    <xdr:row>56</xdr:row>
                    <xdr:rowOff>30480</xdr:rowOff>
                  </from>
                  <to>
                    <xdr:col>11</xdr:col>
                    <xdr:colOff>1783080</xdr:colOff>
                    <xdr:row>56</xdr:row>
                    <xdr:rowOff>259080</xdr:rowOff>
                  </to>
                </anchor>
              </controlPr>
            </control>
          </mc:Choice>
        </mc:AlternateContent>
        <mc:AlternateContent xmlns:mc="http://schemas.openxmlformats.org/markup-compatibility/2006">
          <mc:Choice Requires="x14">
            <control shapeId="6192" r:id="rId46" name="Check Box 48">
              <controlPr defaultSize="0" autoFill="0" autoLine="0" autoPict="0">
                <anchor moveWithCells="1">
                  <from>
                    <xdr:col>11</xdr:col>
                    <xdr:colOff>0</xdr:colOff>
                    <xdr:row>58</xdr:row>
                    <xdr:rowOff>266700</xdr:rowOff>
                  </from>
                  <to>
                    <xdr:col>11</xdr:col>
                    <xdr:colOff>1783080</xdr:colOff>
                    <xdr:row>59</xdr:row>
                    <xdr:rowOff>121920</xdr:rowOff>
                  </to>
                </anchor>
              </controlPr>
            </control>
          </mc:Choice>
        </mc:AlternateContent>
        <mc:AlternateContent xmlns:mc="http://schemas.openxmlformats.org/markup-compatibility/2006">
          <mc:Choice Requires="x14">
            <control shapeId="6193" r:id="rId47" name="Check Box 49">
              <controlPr defaultSize="0" autoFill="0" autoLine="0" autoPict="0">
                <anchor moveWithCells="1">
                  <from>
                    <xdr:col>11</xdr:col>
                    <xdr:colOff>0</xdr:colOff>
                    <xdr:row>59</xdr:row>
                    <xdr:rowOff>144780</xdr:rowOff>
                  </from>
                  <to>
                    <xdr:col>11</xdr:col>
                    <xdr:colOff>1783080</xdr:colOff>
                    <xdr:row>59</xdr:row>
                    <xdr:rowOff>350520</xdr:rowOff>
                  </to>
                </anchor>
              </controlPr>
            </control>
          </mc:Choice>
        </mc:AlternateContent>
        <mc:AlternateContent xmlns:mc="http://schemas.openxmlformats.org/markup-compatibility/2006">
          <mc:Choice Requires="x14">
            <control shapeId="6194" r:id="rId48" name="Check Box 50">
              <controlPr defaultSize="0" autoFill="0" autoLine="0" autoPict="0">
                <anchor moveWithCells="1">
                  <from>
                    <xdr:col>11</xdr:col>
                    <xdr:colOff>0</xdr:colOff>
                    <xdr:row>58</xdr:row>
                    <xdr:rowOff>30480</xdr:rowOff>
                  </from>
                  <to>
                    <xdr:col>11</xdr:col>
                    <xdr:colOff>1783080</xdr:colOff>
                    <xdr:row>58</xdr:row>
                    <xdr:rowOff>259080</xdr:rowOff>
                  </to>
                </anchor>
              </controlPr>
            </control>
          </mc:Choice>
        </mc:AlternateContent>
        <mc:AlternateContent xmlns:mc="http://schemas.openxmlformats.org/markup-compatibility/2006">
          <mc:Choice Requires="x14">
            <control shapeId="6195" r:id="rId49" name="Check Box 51">
              <controlPr defaultSize="0" autoFill="0" autoLine="0" autoPict="0">
                <anchor moveWithCells="1">
                  <from>
                    <xdr:col>11</xdr:col>
                    <xdr:colOff>0</xdr:colOff>
                    <xdr:row>60</xdr:row>
                    <xdr:rowOff>266700</xdr:rowOff>
                  </from>
                  <to>
                    <xdr:col>11</xdr:col>
                    <xdr:colOff>1783080</xdr:colOff>
                    <xdr:row>61</xdr:row>
                    <xdr:rowOff>106680</xdr:rowOff>
                  </to>
                </anchor>
              </controlPr>
            </control>
          </mc:Choice>
        </mc:AlternateContent>
        <mc:AlternateContent xmlns:mc="http://schemas.openxmlformats.org/markup-compatibility/2006">
          <mc:Choice Requires="x14">
            <control shapeId="6196" r:id="rId50" name="Check Box 52">
              <controlPr defaultSize="0" autoFill="0" autoLine="0" autoPict="0">
                <anchor moveWithCells="1">
                  <from>
                    <xdr:col>11</xdr:col>
                    <xdr:colOff>0</xdr:colOff>
                    <xdr:row>61</xdr:row>
                    <xdr:rowOff>144780</xdr:rowOff>
                  </from>
                  <to>
                    <xdr:col>11</xdr:col>
                    <xdr:colOff>1783080</xdr:colOff>
                    <xdr:row>61</xdr:row>
                    <xdr:rowOff>342900</xdr:rowOff>
                  </to>
                </anchor>
              </controlPr>
            </control>
          </mc:Choice>
        </mc:AlternateContent>
        <mc:AlternateContent xmlns:mc="http://schemas.openxmlformats.org/markup-compatibility/2006">
          <mc:Choice Requires="x14">
            <control shapeId="6197" r:id="rId51" name="Check Box 53">
              <controlPr defaultSize="0" autoFill="0" autoLine="0" autoPict="0">
                <anchor moveWithCells="1">
                  <from>
                    <xdr:col>11</xdr:col>
                    <xdr:colOff>0</xdr:colOff>
                    <xdr:row>60</xdr:row>
                    <xdr:rowOff>30480</xdr:rowOff>
                  </from>
                  <to>
                    <xdr:col>11</xdr:col>
                    <xdr:colOff>1783080</xdr:colOff>
                    <xdr:row>60</xdr:row>
                    <xdr:rowOff>259080</xdr:rowOff>
                  </to>
                </anchor>
              </controlPr>
            </control>
          </mc:Choice>
        </mc:AlternateContent>
        <mc:AlternateContent xmlns:mc="http://schemas.openxmlformats.org/markup-compatibility/2006">
          <mc:Choice Requires="x14">
            <control shapeId="6202" r:id="rId52" name="Check Box 58">
              <controlPr defaultSize="0" autoFill="0" autoLine="0" autoPict="0">
                <anchor moveWithCells="1">
                  <from>
                    <xdr:col>11</xdr:col>
                    <xdr:colOff>0</xdr:colOff>
                    <xdr:row>62</xdr:row>
                    <xdr:rowOff>266700</xdr:rowOff>
                  </from>
                  <to>
                    <xdr:col>11</xdr:col>
                    <xdr:colOff>1783080</xdr:colOff>
                    <xdr:row>63</xdr:row>
                    <xdr:rowOff>106680</xdr:rowOff>
                  </to>
                </anchor>
              </controlPr>
            </control>
          </mc:Choice>
        </mc:AlternateContent>
        <mc:AlternateContent xmlns:mc="http://schemas.openxmlformats.org/markup-compatibility/2006">
          <mc:Choice Requires="x14">
            <control shapeId="6203" r:id="rId53" name="Check Box 59">
              <controlPr defaultSize="0" autoFill="0" autoLine="0" autoPict="0">
                <anchor moveWithCells="1">
                  <from>
                    <xdr:col>11</xdr:col>
                    <xdr:colOff>0</xdr:colOff>
                    <xdr:row>63</xdr:row>
                    <xdr:rowOff>144780</xdr:rowOff>
                  </from>
                  <to>
                    <xdr:col>11</xdr:col>
                    <xdr:colOff>1783080</xdr:colOff>
                    <xdr:row>63</xdr:row>
                    <xdr:rowOff>342900</xdr:rowOff>
                  </to>
                </anchor>
              </controlPr>
            </control>
          </mc:Choice>
        </mc:AlternateContent>
        <mc:AlternateContent xmlns:mc="http://schemas.openxmlformats.org/markup-compatibility/2006">
          <mc:Choice Requires="x14">
            <control shapeId="6204" r:id="rId54" name="Check Box 60">
              <controlPr defaultSize="0" autoFill="0" autoLine="0" autoPict="0">
                <anchor moveWithCells="1">
                  <from>
                    <xdr:col>11</xdr:col>
                    <xdr:colOff>0</xdr:colOff>
                    <xdr:row>62</xdr:row>
                    <xdr:rowOff>30480</xdr:rowOff>
                  </from>
                  <to>
                    <xdr:col>11</xdr:col>
                    <xdr:colOff>1783080</xdr:colOff>
                    <xdr:row>62</xdr:row>
                    <xdr:rowOff>259080</xdr:rowOff>
                  </to>
                </anchor>
              </controlPr>
            </control>
          </mc:Choice>
        </mc:AlternateContent>
        <mc:AlternateContent xmlns:mc="http://schemas.openxmlformats.org/markup-compatibility/2006">
          <mc:Choice Requires="x14">
            <control shapeId="6205" r:id="rId55" name="Check Box 61">
              <controlPr defaultSize="0" autoFill="0" autoLine="0" autoPict="0">
                <anchor moveWithCells="1">
                  <from>
                    <xdr:col>11</xdr:col>
                    <xdr:colOff>0</xdr:colOff>
                    <xdr:row>64</xdr:row>
                    <xdr:rowOff>266700</xdr:rowOff>
                  </from>
                  <to>
                    <xdr:col>11</xdr:col>
                    <xdr:colOff>1783080</xdr:colOff>
                    <xdr:row>65</xdr:row>
                    <xdr:rowOff>106680</xdr:rowOff>
                  </to>
                </anchor>
              </controlPr>
            </control>
          </mc:Choice>
        </mc:AlternateContent>
        <mc:AlternateContent xmlns:mc="http://schemas.openxmlformats.org/markup-compatibility/2006">
          <mc:Choice Requires="x14">
            <control shapeId="6206" r:id="rId56" name="Check Box 62">
              <controlPr defaultSize="0" autoFill="0" autoLine="0" autoPict="0">
                <anchor moveWithCells="1">
                  <from>
                    <xdr:col>11</xdr:col>
                    <xdr:colOff>0</xdr:colOff>
                    <xdr:row>65</xdr:row>
                    <xdr:rowOff>144780</xdr:rowOff>
                  </from>
                  <to>
                    <xdr:col>11</xdr:col>
                    <xdr:colOff>1783080</xdr:colOff>
                    <xdr:row>65</xdr:row>
                    <xdr:rowOff>342900</xdr:rowOff>
                  </to>
                </anchor>
              </controlPr>
            </control>
          </mc:Choice>
        </mc:AlternateContent>
        <mc:AlternateContent xmlns:mc="http://schemas.openxmlformats.org/markup-compatibility/2006">
          <mc:Choice Requires="x14">
            <control shapeId="6207" r:id="rId57" name="Check Box 63">
              <controlPr defaultSize="0" autoFill="0" autoLine="0" autoPict="0">
                <anchor moveWithCells="1">
                  <from>
                    <xdr:col>11</xdr:col>
                    <xdr:colOff>0</xdr:colOff>
                    <xdr:row>64</xdr:row>
                    <xdr:rowOff>30480</xdr:rowOff>
                  </from>
                  <to>
                    <xdr:col>11</xdr:col>
                    <xdr:colOff>1783080</xdr:colOff>
                    <xdr:row>64</xdr:row>
                    <xdr:rowOff>259080</xdr:rowOff>
                  </to>
                </anchor>
              </controlPr>
            </control>
          </mc:Choice>
        </mc:AlternateContent>
        <mc:AlternateContent xmlns:mc="http://schemas.openxmlformats.org/markup-compatibility/2006">
          <mc:Choice Requires="x14">
            <control shapeId="6208" r:id="rId58" name="Check Box 64">
              <controlPr defaultSize="0" autoFill="0" autoLine="0" autoPict="0">
                <anchor moveWithCells="1">
                  <from>
                    <xdr:col>11</xdr:col>
                    <xdr:colOff>0</xdr:colOff>
                    <xdr:row>66</xdr:row>
                    <xdr:rowOff>266700</xdr:rowOff>
                  </from>
                  <to>
                    <xdr:col>11</xdr:col>
                    <xdr:colOff>1783080</xdr:colOff>
                    <xdr:row>67</xdr:row>
                    <xdr:rowOff>106680</xdr:rowOff>
                  </to>
                </anchor>
              </controlPr>
            </control>
          </mc:Choice>
        </mc:AlternateContent>
        <mc:AlternateContent xmlns:mc="http://schemas.openxmlformats.org/markup-compatibility/2006">
          <mc:Choice Requires="x14">
            <control shapeId="6209" r:id="rId59" name="Check Box 65">
              <controlPr defaultSize="0" autoFill="0" autoLine="0" autoPict="0">
                <anchor moveWithCells="1">
                  <from>
                    <xdr:col>11</xdr:col>
                    <xdr:colOff>0</xdr:colOff>
                    <xdr:row>67</xdr:row>
                    <xdr:rowOff>144780</xdr:rowOff>
                  </from>
                  <to>
                    <xdr:col>11</xdr:col>
                    <xdr:colOff>1783080</xdr:colOff>
                    <xdr:row>67</xdr:row>
                    <xdr:rowOff>342900</xdr:rowOff>
                  </to>
                </anchor>
              </controlPr>
            </control>
          </mc:Choice>
        </mc:AlternateContent>
        <mc:AlternateContent xmlns:mc="http://schemas.openxmlformats.org/markup-compatibility/2006">
          <mc:Choice Requires="x14">
            <control shapeId="6210" r:id="rId60" name="Check Box 66">
              <controlPr defaultSize="0" autoFill="0" autoLine="0" autoPict="0">
                <anchor moveWithCells="1">
                  <from>
                    <xdr:col>11</xdr:col>
                    <xdr:colOff>0</xdr:colOff>
                    <xdr:row>66</xdr:row>
                    <xdr:rowOff>30480</xdr:rowOff>
                  </from>
                  <to>
                    <xdr:col>11</xdr:col>
                    <xdr:colOff>1783080</xdr:colOff>
                    <xdr:row>66</xdr:row>
                    <xdr:rowOff>259080</xdr:rowOff>
                  </to>
                </anchor>
              </controlPr>
            </control>
          </mc:Choice>
        </mc:AlternateContent>
        <mc:AlternateContent xmlns:mc="http://schemas.openxmlformats.org/markup-compatibility/2006">
          <mc:Choice Requires="x14">
            <control shapeId="6211" r:id="rId61" name="Check Box 67">
              <controlPr defaultSize="0" autoFill="0" autoLine="0" autoPict="0">
                <anchor moveWithCells="1">
                  <from>
                    <xdr:col>11</xdr:col>
                    <xdr:colOff>0</xdr:colOff>
                    <xdr:row>68</xdr:row>
                    <xdr:rowOff>266700</xdr:rowOff>
                  </from>
                  <to>
                    <xdr:col>11</xdr:col>
                    <xdr:colOff>1783080</xdr:colOff>
                    <xdr:row>68</xdr:row>
                    <xdr:rowOff>487680</xdr:rowOff>
                  </to>
                </anchor>
              </controlPr>
            </control>
          </mc:Choice>
        </mc:AlternateContent>
        <mc:AlternateContent xmlns:mc="http://schemas.openxmlformats.org/markup-compatibility/2006">
          <mc:Choice Requires="x14">
            <control shapeId="6212" r:id="rId62" name="Check Box 68">
              <controlPr defaultSize="0" autoFill="0" autoLine="0" autoPict="0">
                <anchor moveWithCells="1">
                  <from>
                    <xdr:col>11</xdr:col>
                    <xdr:colOff>0</xdr:colOff>
                    <xdr:row>69</xdr:row>
                    <xdr:rowOff>144780</xdr:rowOff>
                  </from>
                  <to>
                    <xdr:col>11</xdr:col>
                    <xdr:colOff>1783080</xdr:colOff>
                    <xdr:row>69</xdr:row>
                    <xdr:rowOff>342900</xdr:rowOff>
                  </to>
                </anchor>
              </controlPr>
            </control>
          </mc:Choice>
        </mc:AlternateContent>
        <mc:AlternateContent xmlns:mc="http://schemas.openxmlformats.org/markup-compatibility/2006">
          <mc:Choice Requires="x14">
            <control shapeId="6213" r:id="rId63" name="Check Box 69">
              <controlPr defaultSize="0" autoFill="0" autoLine="0" autoPict="0">
                <anchor moveWithCells="1">
                  <from>
                    <xdr:col>11</xdr:col>
                    <xdr:colOff>0</xdr:colOff>
                    <xdr:row>68</xdr:row>
                    <xdr:rowOff>30480</xdr:rowOff>
                  </from>
                  <to>
                    <xdr:col>11</xdr:col>
                    <xdr:colOff>1783080</xdr:colOff>
                    <xdr:row>68</xdr:row>
                    <xdr:rowOff>259080</xdr:rowOff>
                  </to>
                </anchor>
              </controlPr>
            </control>
          </mc:Choice>
        </mc:AlternateContent>
        <mc:AlternateContent xmlns:mc="http://schemas.openxmlformats.org/markup-compatibility/2006">
          <mc:Choice Requires="x14">
            <control shapeId="6214" r:id="rId64" name="Check Box 70">
              <controlPr defaultSize="0" autoFill="0" autoLine="0" autoPict="0">
                <anchor moveWithCells="1">
                  <from>
                    <xdr:col>11</xdr:col>
                    <xdr:colOff>0</xdr:colOff>
                    <xdr:row>70</xdr:row>
                    <xdr:rowOff>266700</xdr:rowOff>
                  </from>
                  <to>
                    <xdr:col>11</xdr:col>
                    <xdr:colOff>1783080</xdr:colOff>
                    <xdr:row>71</xdr:row>
                    <xdr:rowOff>106680</xdr:rowOff>
                  </to>
                </anchor>
              </controlPr>
            </control>
          </mc:Choice>
        </mc:AlternateContent>
        <mc:AlternateContent xmlns:mc="http://schemas.openxmlformats.org/markup-compatibility/2006">
          <mc:Choice Requires="x14">
            <control shapeId="6215" r:id="rId65" name="Check Box 71">
              <controlPr defaultSize="0" autoFill="0" autoLine="0" autoPict="0">
                <anchor moveWithCells="1">
                  <from>
                    <xdr:col>11</xdr:col>
                    <xdr:colOff>0</xdr:colOff>
                    <xdr:row>71</xdr:row>
                    <xdr:rowOff>144780</xdr:rowOff>
                  </from>
                  <to>
                    <xdr:col>11</xdr:col>
                    <xdr:colOff>1783080</xdr:colOff>
                    <xdr:row>71</xdr:row>
                    <xdr:rowOff>342900</xdr:rowOff>
                  </to>
                </anchor>
              </controlPr>
            </control>
          </mc:Choice>
        </mc:AlternateContent>
        <mc:AlternateContent xmlns:mc="http://schemas.openxmlformats.org/markup-compatibility/2006">
          <mc:Choice Requires="x14">
            <control shapeId="6216" r:id="rId66" name="Check Box 72">
              <controlPr defaultSize="0" autoFill="0" autoLine="0" autoPict="0">
                <anchor moveWithCells="1">
                  <from>
                    <xdr:col>11</xdr:col>
                    <xdr:colOff>0</xdr:colOff>
                    <xdr:row>70</xdr:row>
                    <xdr:rowOff>30480</xdr:rowOff>
                  </from>
                  <to>
                    <xdr:col>11</xdr:col>
                    <xdr:colOff>1783080</xdr:colOff>
                    <xdr:row>70</xdr:row>
                    <xdr:rowOff>259080</xdr:rowOff>
                  </to>
                </anchor>
              </controlPr>
            </control>
          </mc:Choice>
        </mc:AlternateContent>
        <mc:AlternateContent xmlns:mc="http://schemas.openxmlformats.org/markup-compatibility/2006">
          <mc:Choice Requires="x14">
            <control shapeId="6217" r:id="rId67" name="Check Box 73">
              <controlPr defaultSize="0" autoFill="0" autoLine="0" autoPict="0">
                <anchor moveWithCells="1">
                  <from>
                    <xdr:col>11</xdr:col>
                    <xdr:colOff>0</xdr:colOff>
                    <xdr:row>72</xdr:row>
                    <xdr:rowOff>266700</xdr:rowOff>
                  </from>
                  <to>
                    <xdr:col>11</xdr:col>
                    <xdr:colOff>1783080</xdr:colOff>
                    <xdr:row>73</xdr:row>
                    <xdr:rowOff>106680</xdr:rowOff>
                  </to>
                </anchor>
              </controlPr>
            </control>
          </mc:Choice>
        </mc:AlternateContent>
        <mc:AlternateContent xmlns:mc="http://schemas.openxmlformats.org/markup-compatibility/2006">
          <mc:Choice Requires="x14">
            <control shapeId="6218" r:id="rId68" name="Check Box 74">
              <controlPr defaultSize="0" autoFill="0" autoLine="0" autoPict="0">
                <anchor moveWithCells="1">
                  <from>
                    <xdr:col>11</xdr:col>
                    <xdr:colOff>0</xdr:colOff>
                    <xdr:row>73</xdr:row>
                    <xdr:rowOff>144780</xdr:rowOff>
                  </from>
                  <to>
                    <xdr:col>11</xdr:col>
                    <xdr:colOff>1783080</xdr:colOff>
                    <xdr:row>73</xdr:row>
                    <xdr:rowOff>342900</xdr:rowOff>
                  </to>
                </anchor>
              </controlPr>
            </control>
          </mc:Choice>
        </mc:AlternateContent>
        <mc:AlternateContent xmlns:mc="http://schemas.openxmlformats.org/markup-compatibility/2006">
          <mc:Choice Requires="x14">
            <control shapeId="6219" r:id="rId69" name="Check Box 75">
              <controlPr defaultSize="0" autoFill="0" autoLine="0" autoPict="0">
                <anchor moveWithCells="1">
                  <from>
                    <xdr:col>11</xdr:col>
                    <xdr:colOff>0</xdr:colOff>
                    <xdr:row>72</xdr:row>
                    <xdr:rowOff>30480</xdr:rowOff>
                  </from>
                  <to>
                    <xdr:col>11</xdr:col>
                    <xdr:colOff>1783080</xdr:colOff>
                    <xdr:row>72</xdr:row>
                    <xdr:rowOff>259080</xdr:rowOff>
                  </to>
                </anchor>
              </controlPr>
            </control>
          </mc:Choice>
        </mc:AlternateContent>
        <mc:AlternateContent xmlns:mc="http://schemas.openxmlformats.org/markup-compatibility/2006">
          <mc:Choice Requires="x14">
            <control shapeId="6224" r:id="rId70" name="Check Box 80">
              <controlPr defaultSize="0" autoFill="0" autoLine="0" autoPict="0">
                <anchor moveWithCells="1">
                  <from>
                    <xdr:col>11</xdr:col>
                    <xdr:colOff>0</xdr:colOff>
                    <xdr:row>76</xdr:row>
                    <xdr:rowOff>266700</xdr:rowOff>
                  </from>
                  <to>
                    <xdr:col>11</xdr:col>
                    <xdr:colOff>1783080</xdr:colOff>
                    <xdr:row>77</xdr:row>
                    <xdr:rowOff>106680</xdr:rowOff>
                  </to>
                </anchor>
              </controlPr>
            </control>
          </mc:Choice>
        </mc:AlternateContent>
        <mc:AlternateContent xmlns:mc="http://schemas.openxmlformats.org/markup-compatibility/2006">
          <mc:Choice Requires="x14">
            <control shapeId="6226" r:id="rId71" name="Check Box 82">
              <controlPr defaultSize="0" autoFill="0" autoLine="0" autoPict="0">
                <anchor moveWithCells="1">
                  <from>
                    <xdr:col>11</xdr:col>
                    <xdr:colOff>0</xdr:colOff>
                    <xdr:row>78</xdr:row>
                    <xdr:rowOff>266700</xdr:rowOff>
                  </from>
                  <to>
                    <xdr:col>11</xdr:col>
                    <xdr:colOff>1783080</xdr:colOff>
                    <xdr:row>79</xdr:row>
                    <xdr:rowOff>106680</xdr:rowOff>
                  </to>
                </anchor>
              </controlPr>
            </control>
          </mc:Choice>
        </mc:AlternateContent>
        <mc:AlternateContent xmlns:mc="http://schemas.openxmlformats.org/markup-compatibility/2006">
          <mc:Choice Requires="x14">
            <control shapeId="6227" r:id="rId72" name="Check Box 83">
              <controlPr defaultSize="0" autoFill="0" autoLine="0" autoPict="0">
                <anchor moveWithCells="1">
                  <from>
                    <xdr:col>11</xdr:col>
                    <xdr:colOff>0</xdr:colOff>
                    <xdr:row>79</xdr:row>
                    <xdr:rowOff>144780</xdr:rowOff>
                  </from>
                  <to>
                    <xdr:col>11</xdr:col>
                    <xdr:colOff>1783080</xdr:colOff>
                    <xdr:row>79</xdr:row>
                    <xdr:rowOff>342900</xdr:rowOff>
                  </to>
                </anchor>
              </controlPr>
            </control>
          </mc:Choice>
        </mc:AlternateContent>
        <mc:AlternateContent xmlns:mc="http://schemas.openxmlformats.org/markup-compatibility/2006">
          <mc:Choice Requires="x14">
            <control shapeId="6228" r:id="rId73" name="Check Box 84">
              <controlPr defaultSize="0" autoFill="0" autoLine="0" autoPict="0">
                <anchor moveWithCells="1">
                  <from>
                    <xdr:col>11</xdr:col>
                    <xdr:colOff>0</xdr:colOff>
                    <xdr:row>78</xdr:row>
                    <xdr:rowOff>30480</xdr:rowOff>
                  </from>
                  <to>
                    <xdr:col>11</xdr:col>
                    <xdr:colOff>1783080</xdr:colOff>
                    <xdr:row>78</xdr:row>
                    <xdr:rowOff>259080</xdr:rowOff>
                  </to>
                </anchor>
              </controlPr>
            </control>
          </mc:Choice>
        </mc:AlternateContent>
        <mc:AlternateContent xmlns:mc="http://schemas.openxmlformats.org/markup-compatibility/2006">
          <mc:Choice Requires="x14">
            <control shapeId="6229" r:id="rId74" name="Check Box 85">
              <controlPr defaultSize="0" autoFill="0" autoLine="0" autoPict="0">
                <anchor moveWithCells="1">
                  <from>
                    <xdr:col>11</xdr:col>
                    <xdr:colOff>0</xdr:colOff>
                    <xdr:row>80</xdr:row>
                    <xdr:rowOff>266700</xdr:rowOff>
                  </from>
                  <to>
                    <xdr:col>11</xdr:col>
                    <xdr:colOff>1783080</xdr:colOff>
                    <xdr:row>81</xdr:row>
                    <xdr:rowOff>106680</xdr:rowOff>
                  </to>
                </anchor>
              </controlPr>
            </control>
          </mc:Choice>
        </mc:AlternateContent>
        <mc:AlternateContent xmlns:mc="http://schemas.openxmlformats.org/markup-compatibility/2006">
          <mc:Choice Requires="x14">
            <control shapeId="6230" r:id="rId75" name="Check Box 86">
              <controlPr defaultSize="0" autoFill="0" autoLine="0" autoPict="0">
                <anchor moveWithCells="1">
                  <from>
                    <xdr:col>11</xdr:col>
                    <xdr:colOff>0</xdr:colOff>
                    <xdr:row>81</xdr:row>
                    <xdr:rowOff>144780</xdr:rowOff>
                  </from>
                  <to>
                    <xdr:col>11</xdr:col>
                    <xdr:colOff>1783080</xdr:colOff>
                    <xdr:row>81</xdr:row>
                    <xdr:rowOff>342900</xdr:rowOff>
                  </to>
                </anchor>
              </controlPr>
            </control>
          </mc:Choice>
        </mc:AlternateContent>
        <mc:AlternateContent xmlns:mc="http://schemas.openxmlformats.org/markup-compatibility/2006">
          <mc:Choice Requires="x14">
            <control shapeId="6231" r:id="rId76" name="Check Box 87">
              <controlPr defaultSize="0" autoFill="0" autoLine="0" autoPict="0">
                <anchor moveWithCells="1">
                  <from>
                    <xdr:col>11</xdr:col>
                    <xdr:colOff>0</xdr:colOff>
                    <xdr:row>80</xdr:row>
                    <xdr:rowOff>30480</xdr:rowOff>
                  </from>
                  <to>
                    <xdr:col>11</xdr:col>
                    <xdr:colOff>1783080</xdr:colOff>
                    <xdr:row>80</xdr:row>
                    <xdr:rowOff>274320</xdr:rowOff>
                  </to>
                </anchor>
              </controlPr>
            </control>
          </mc:Choice>
        </mc:AlternateContent>
        <mc:AlternateContent xmlns:mc="http://schemas.openxmlformats.org/markup-compatibility/2006">
          <mc:Choice Requires="x14">
            <control shapeId="6232" r:id="rId77" name="Check Box 88">
              <controlPr defaultSize="0" autoFill="0" autoLine="0" autoPict="0">
                <anchor moveWithCells="1">
                  <from>
                    <xdr:col>11</xdr:col>
                    <xdr:colOff>0</xdr:colOff>
                    <xdr:row>82</xdr:row>
                    <xdr:rowOff>266700</xdr:rowOff>
                  </from>
                  <to>
                    <xdr:col>11</xdr:col>
                    <xdr:colOff>1783080</xdr:colOff>
                    <xdr:row>85</xdr:row>
                    <xdr:rowOff>45720</xdr:rowOff>
                  </to>
                </anchor>
              </controlPr>
            </control>
          </mc:Choice>
        </mc:AlternateContent>
        <mc:AlternateContent xmlns:mc="http://schemas.openxmlformats.org/markup-compatibility/2006">
          <mc:Choice Requires="x14">
            <control shapeId="6235" r:id="rId78" name="Check Box 91">
              <controlPr defaultSize="0" autoFill="0" autoLine="0" autoPict="0">
                <anchor moveWithCells="1">
                  <from>
                    <xdr:col>11</xdr:col>
                    <xdr:colOff>0</xdr:colOff>
                    <xdr:row>84</xdr:row>
                    <xdr:rowOff>266700</xdr:rowOff>
                  </from>
                  <to>
                    <xdr:col>11</xdr:col>
                    <xdr:colOff>1783080</xdr:colOff>
                    <xdr:row>85</xdr:row>
                    <xdr:rowOff>106680</xdr:rowOff>
                  </to>
                </anchor>
              </controlPr>
            </control>
          </mc:Choice>
        </mc:AlternateContent>
        <mc:AlternateContent xmlns:mc="http://schemas.openxmlformats.org/markup-compatibility/2006">
          <mc:Choice Requires="x14">
            <control shapeId="6236" r:id="rId79" name="Check Box 92">
              <controlPr defaultSize="0" autoFill="0" autoLine="0" autoPict="0">
                <anchor moveWithCells="1">
                  <from>
                    <xdr:col>11</xdr:col>
                    <xdr:colOff>0</xdr:colOff>
                    <xdr:row>85</xdr:row>
                    <xdr:rowOff>144780</xdr:rowOff>
                  </from>
                  <to>
                    <xdr:col>11</xdr:col>
                    <xdr:colOff>1783080</xdr:colOff>
                    <xdr:row>85</xdr:row>
                    <xdr:rowOff>342900</xdr:rowOff>
                  </to>
                </anchor>
              </controlPr>
            </control>
          </mc:Choice>
        </mc:AlternateContent>
        <mc:AlternateContent xmlns:mc="http://schemas.openxmlformats.org/markup-compatibility/2006">
          <mc:Choice Requires="x14">
            <control shapeId="6238" r:id="rId80" name="Check Box 94">
              <controlPr defaultSize="0" autoFill="0" autoLine="0" autoPict="0">
                <anchor moveWithCells="1">
                  <from>
                    <xdr:col>11</xdr:col>
                    <xdr:colOff>0</xdr:colOff>
                    <xdr:row>86</xdr:row>
                    <xdr:rowOff>266700</xdr:rowOff>
                  </from>
                  <to>
                    <xdr:col>11</xdr:col>
                    <xdr:colOff>1783080</xdr:colOff>
                    <xdr:row>87</xdr:row>
                    <xdr:rowOff>106680</xdr:rowOff>
                  </to>
                </anchor>
              </controlPr>
            </control>
          </mc:Choice>
        </mc:AlternateContent>
        <mc:AlternateContent xmlns:mc="http://schemas.openxmlformats.org/markup-compatibility/2006">
          <mc:Choice Requires="x14">
            <control shapeId="6239" r:id="rId81" name="Check Box 95">
              <controlPr defaultSize="0" autoFill="0" autoLine="0" autoPict="0">
                <anchor moveWithCells="1">
                  <from>
                    <xdr:col>11</xdr:col>
                    <xdr:colOff>0</xdr:colOff>
                    <xdr:row>87</xdr:row>
                    <xdr:rowOff>144780</xdr:rowOff>
                  </from>
                  <to>
                    <xdr:col>11</xdr:col>
                    <xdr:colOff>1783080</xdr:colOff>
                    <xdr:row>87</xdr:row>
                    <xdr:rowOff>342900</xdr:rowOff>
                  </to>
                </anchor>
              </controlPr>
            </control>
          </mc:Choice>
        </mc:AlternateContent>
        <mc:AlternateContent xmlns:mc="http://schemas.openxmlformats.org/markup-compatibility/2006">
          <mc:Choice Requires="x14">
            <control shapeId="6240" r:id="rId82" name="Check Box 96">
              <controlPr defaultSize="0" autoFill="0" autoLine="0" autoPict="0">
                <anchor moveWithCells="1">
                  <from>
                    <xdr:col>11</xdr:col>
                    <xdr:colOff>0</xdr:colOff>
                    <xdr:row>86</xdr:row>
                    <xdr:rowOff>30480</xdr:rowOff>
                  </from>
                  <to>
                    <xdr:col>11</xdr:col>
                    <xdr:colOff>1783080</xdr:colOff>
                    <xdr:row>86</xdr:row>
                    <xdr:rowOff>274320</xdr:rowOff>
                  </to>
                </anchor>
              </controlPr>
            </control>
          </mc:Choice>
        </mc:AlternateContent>
        <mc:AlternateContent xmlns:mc="http://schemas.openxmlformats.org/markup-compatibility/2006">
          <mc:Choice Requires="x14">
            <control shapeId="6241" r:id="rId83" name="Check Box 97">
              <controlPr defaultSize="0" autoFill="0" autoLine="0" autoPict="0">
                <anchor moveWithCells="1">
                  <from>
                    <xdr:col>11</xdr:col>
                    <xdr:colOff>0</xdr:colOff>
                    <xdr:row>88</xdr:row>
                    <xdr:rowOff>266700</xdr:rowOff>
                  </from>
                  <to>
                    <xdr:col>11</xdr:col>
                    <xdr:colOff>1783080</xdr:colOff>
                    <xdr:row>89</xdr:row>
                    <xdr:rowOff>106680</xdr:rowOff>
                  </to>
                </anchor>
              </controlPr>
            </control>
          </mc:Choice>
        </mc:AlternateContent>
        <mc:AlternateContent xmlns:mc="http://schemas.openxmlformats.org/markup-compatibility/2006">
          <mc:Choice Requires="x14">
            <control shapeId="6242" r:id="rId84" name="Check Box 98">
              <controlPr defaultSize="0" autoFill="0" autoLine="0" autoPict="0">
                <anchor moveWithCells="1">
                  <from>
                    <xdr:col>11</xdr:col>
                    <xdr:colOff>0</xdr:colOff>
                    <xdr:row>89</xdr:row>
                    <xdr:rowOff>144780</xdr:rowOff>
                  </from>
                  <to>
                    <xdr:col>11</xdr:col>
                    <xdr:colOff>1783080</xdr:colOff>
                    <xdr:row>89</xdr:row>
                    <xdr:rowOff>342900</xdr:rowOff>
                  </to>
                </anchor>
              </controlPr>
            </control>
          </mc:Choice>
        </mc:AlternateContent>
        <mc:AlternateContent xmlns:mc="http://schemas.openxmlformats.org/markup-compatibility/2006">
          <mc:Choice Requires="x14">
            <control shapeId="6243" r:id="rId85" name="Check Box 99">
              <controlPr defaultSize="0" autoFill="0" autoLine="0" autoPict="0">
                <anchor moveWithCells="1">
                  <from>
                    <xdr:col>11</xdr:col>
                    <xdr:colOff>0</xdr:colOff>
                    <xdr:row>88</xdr:row>
                    <xdr:rowOff>30480</xdr:rowOff>
                  </from>
                  <to>
                    <xdr:col>11</xdr:col>
                    <xdr:colOff>1783080</xdr:colOff>
                    <xdr:row>88</xdr:row>
                    <xdr:rowOff>274320</xdr:rowOff>
                  </to>
                </anchor>
              </controlPr>
            </control>
          </mc:Choice>
        </mc:AlternateContent>
        <mc:AlternateContent xmlns:mc="http://schemas.openxmlformats.org/markup-compatibility/2006">
          <mc:Choice Requires="x14">
            <control shapeId="6244" r:id="rId86" name="Check Box 100">
              <controlPr defaultSize="0" autoFill="0" autoLine="0" autoPict="0">
                <anchor moveWithCells="1">
                  <from>
                    <xdr:col>11</xdr:col>
                    <xdr:colOff>0</xdr:colOff>
                    <xdr:row>90</xdr:row>
                    <xdr:rowOff>266700</xdr:rowOff>
                  </from>
                  <to>
                    <xdr:col>11</xdr:col>
                    <xdr:colOff>1783080</xdr:colOff>
                    <xdr:row>91</xdr:row>
                    <xdr:rowOff>106680</xdr:rowOff>
                  </to>
                </anchor>
              </controlPr>
            </control>
          </mc:Choice>
        </mc:AlternateContent>
        <mc:AlternateContent xmlns:mc="http://schemas.openxmlformats.org/markup-compatibility/2006">
          <mc:Choice Requires="x14">
            <control shapeId="6245" r:id="rId87" name="Check Box 101">
              <controlPr defaultSize="0" autoFill="0" autoLine="0" autoPict="0">
                <anchor moveWithCells="1">
                  <from>
                    <xdr:col>11</xdr:col>
                    <xdr:colOff>0</xdr:colOff>
                    <xdr:row>91</xdr:row>
                    <xdr:rowOff>144780</xdr:rowOff>
                  </from>
                  <to>
                    <xdr:col>11</xdr:col>
                    <xdr:colOff>1783080</xdr:colOff>
                    <xdr:row>91</xdr:row>
                    <xdr:rowOff>342900</xdr:rowOff>
                  </to>
                </anchor>
              </controlPr>
            </control>
          </mc:Choice>
        </mc:AlternateContent>
        <mc:AlternateContent xmlns:mc="http://schemas.openxmlformats.org/markup-compatibility/2006">
          <mc:Choice Requires="x14">
            <control shapeId="6246" r:id="rId88" name="Check Box 102">
              <controlPr defaultSize="0" autoFill="0" autoLine="0" autoPict="0">
                <anchor moveWithCells="1">
                  <from>
                    <xdr:col>11</xdr:col>
                    <xdr:colOff>0</xdr:colOff>
                    <xdr:row>90</xdr:row>
                    <xdr:rowOff>30480</xdr:rowOff>
                  </from>
                  <to>
                    <xdr:col>11</xdr:col>
                    <xdr:colOff>1783080</xdr:colOff>
                    <xdr:row>90</xdr:row>
                    <xdr:rowOff>274320</xdr:rowOff>
                  </to>
                </anchor>
              </controlPr>
            </control>
          </mc:Choice>
        </mc:AlternateContent>
        <mc:AlternateContent xmlns:mc="http://schemas.openxmlformats.org/markup-compatibility/2006">
          <mc:Choice Requires="x14">
            <control shapeId="6247" r:id="rId89" name="Check Box 103">
              <controlPr defaultSize="0" autoFill="0" autoLine="0" autoPict="0">
                <anchor moveWithCells="1">
                  <from>
                    <xdr:col>11</xdr:col>
                    <xdr:colOff>0</xdr:colOff>
                    <xdr:row>92</xdr:row>
                    <xdr:rowOff>266700</xdr:rowOff>
                  </from>
                  <to>
                    <xdr:col>11</xdr:col>
                    <xdr:colOff>1783080</xdr:colOff>
                    <xdr:row>93</xdr:row>
                    <xdr:rowOff>106680</xdr:rowOff>
                  </to>
                </anchor>
              </controlPr>
            </control>
          </mc:Choice>
        </mc:AlternateContent>
        <mc:AlternateContent xmlns:mc="http://schemas.openxmlformats.org/markup-compatibility/2006">
          <mc:Choice Requires="x14">
            <control shapeId="6248" r:id="rId90" name="Check Box 104">
              <controlPr defaultSize="0" autoFill="0" autoLine="0" autoPict="0">
                <anchor moveWithCells="1">
                  <from>
                    <xdr:col>11</xdr:col>
                    <xdr:colOff>0</xdr:colOff>
                    <xdr:row>93</xdr:row>
                    <xdr:rowOff>144780</xdr:rowOff>
                  </from>
                  <to>
                    <xdr:col>11</xdr:col>
                    <xdr:colOff>1783080</xdr:colOff>
                    <xdr:row>93</xdr:row>
                    <xdr:rowOff>342900</xdr:rowOff>
                  </to>
                </anchor>
              </controlPr>
            </control>
          </mc:Choice>
        </mc:AlternateContent>
        <mc:AlternateContent xmlns:mc="http://schemas.openxmlformats.org/markup-compatibility/2006">
          <mc:Choice Requires="x14">
            <control shapeId="6249" r:id="rId91" name="Check Box 105">
              <controlPr defaultSize="0" autoFill="0" autoLine="0" autoPict="0">
                <anchor moveWithCells="1">
                  <from>
                    <xdr:col>11</xdr:col>
                    <xdr:colOff>0</xdr:colOff>
                    <xdr:row>92</xdr:row>
                    <xdr:rowOff>30480</xdr:rowOff>
                  </from>
                  <to>
                    <xdr:col>11</xdr:col>
                    <xdr:colOff>1783080</xdr:colOff>
                    <xdr:row>92</xdr:row>
                    <xdr:rowOff>274320</xdr:rowOff>
                  </to>
                </anchor>
              </controlPr>
            </control>
          </mc:Choice>
        </mc:AlternateContent>
        <mc:AlternateContent xmlns:mc="http://schemas.openxmlformats.org/markup-compatibility/2006">
          <mc:Choice Requires="x14">
            <control shapeId="6250" r:id="rId92" name="Check Box 106">
              <controlPr defaultSize="0" autoFill="0" autoLine="0" autoPict="0">
                <anchor moveWithCells="1">
                  <from>
                    <xdr:col>11</xdr:col>
                    <xdr:colOff>0</xdr:colOff>
                    <xdr:row>94</xdr:row>
                    <xdr:rowOff>266700</xdr:rowOff>
                  </from>
                  <to>
                    <xdr:col>11</xdr:col>
                    <xdr:colOff>1783080</xdr:colOff>
                    <xdr:row>95</xdr:row>
                    <xdr:rowOff>106680</xdr:rowOff>
                  </to>
                </anchor>
              </controlPr>
            </control>
          </mc:Choice>
        </mc:AlternateContent>
        <mc:AlternateContent xmlns:mc="http://schemas.openxmlformats.org/markup-compatibility/2006">
          <mc:Choice Requires="x14">
            <control shapeId="6251" r:id="rId93" name="Check Box 107">
              <controlPr defaultSize="0" autoFill="0" autoLine="0" autoPict="0">
                <anchor moveWithCells="1">
                  <from>
                    <xdr:col>11</xdr:col>
                    <xdr:colOff>0</xdr:colOff>
                    <xdr:row>95</xdr:row>
                    <xdr:rowOff>144780</xdr:rowOff>
                  </from>
                  <to>
                    <xdr:col>11</xdr:col>
                    <xdr:colOff>1783080</xdr:colOff>
                    <xdr:row>95</xdr:row>
                    <xdr:rowOff>342900</xdr:rowOff>
                  </to>
                </anchor>
              </controlPr>
            </control>
          </mc:Choice>
        </mc:AlternateContent>
        <mc:AlternateContent xmlns:mc="http://schemas.openxmlformats.org/markup-compatibility/2006">
          <mc:Choice Requires="x14">
            <control shapeId="6252" r:id="rId94" name="Check Box 108">
              <controlPr defaultSize="0" autoFill="0" autoLine="0" autoPict="0">
                <anchor moveWithCells="1">
                  <from>
                    <xdr:col>11</xdr:col>
                    <xdr:colOff>0</xdr:colOff>
                    <xdr:row>94</xdr:row>
                    <xdr:rowOff>30480</xdr:rowOff>
                  </from>
                  <to>
                    <xdr:col>11</xdr:col>
                    <xdr:colOff>1783080</xdr:colOff>
                    <xdr:row>94</xdr:row>
                    <xdr:rowOff>274320</xdr:rowOff>
                  </to>
                </anchor>
              </controlPr>
            </control>
          </mc:Choice>
        </mc:AlternateContent>
        <mc:AlternateContent xmlns:mc="http://schemas.openxmlformats.org/markup-compatibility/2006">
          <mc:Choice Requires="x14">
            <control shapeId="6253" r:id="rId95" name="Check Box 109">
              <controlPr defaultSize="0" autoFill="0" autoLine="0" autoPict="0">
                <anchor moveWithCells="1">
                  <from>
                    <xdr:col>11</xdr:col>
                    <xdr:colOff>0</xdr:colOff>
                    <xdr:row>96</xdr:row>
                    <xdr:rowOff>266700</xdr:rowOff>
                  </from>
                  <to>
                    <xdr:col>11</xdr:col>
                    <xdr:colOff>1783080</xdr:colOff>
                    <xdr:row>97</xdr:row>
                    <xdr:rowOff>106680</xdr:rowOff>
                  </to>
                </anchor>
              </controlPr>
            </control>
          </mc:Choice>
        </mc:AlternateContent>
        <mc:AlternateContent xmlns:mc="http://schemas.openxmlformats.org/markup-compatibility/2006">
          <mc:Choice Requires="x14">
            <control shapeId="6254" r:id="rId96" name="Check Box 110">
              <controlPr defaultSize="0" autoFill="0" autoLine="0" autoPict="0">
                <anchor moveWithCells="1">
                  <from>
                    <xdr:col>11</xdr:col>
                    <xdr:colOff>0</xdr:colOff>
                    <xdr:row>97</xdr:row>
                    <xdr:rowOff>144780</xdr:rowOff>
                  </from>
                  <to>
                    <xdr:col>11</xdr:col>
                    <xdr:colOff>1783080</xdr:colOff>
                    <xdr:row>97</xdr:row>
                    <xdr:rowOff>342900</xdr:rowOff>
                  </to>
                </anchor>
              </controlPr>
            </control>
          </mc:Choice>
        </mc:AlternateContent>
        <mc:AlternateContent xmlns:mc="http://schemas.openxmlformats.org/markup-compatibility/2006">
          <mc:Choice Requires="x14">
            <control shapeId="6255" r:id="rId97" name="Check Box 111">
              <controlPr defaultSize="0" autoFill="0" autoLine="0" autoPict="0">
                <anchor moveWithCells="1">
                  <from>
                    <xdr:col>11</xdr:col>
                    <xdr:colOff>0</xdr:colOff>
                    <xdr:row>96</xdr:row>
                    <xdr:rowOff>30480</xdr:rowOff>
                  </from>
                  <to>
                    <xdr:col>11</xdr:col>
                    <xdr:colOff>1783080</xdr:colOff>
                    <xdr:row>96</xdr:row>
                    <xdr:rowOff>274320</xdr:rowOff>
                  </to>
                </anchor>
              </controlPr>
            </control>
          </mc:Choice>
        </mc:AlternateContent>
        <mc:AlternateContent xmlns:mc="http://schemas.openxmlformats.org/markup-compatibility/2006">
          <mc:Choice Requires="x14">
            <control shapeId="6256" r:id="rId98" name="Check Box 112">
              <controlPr defaultSize="0" autoFill="0" autoLine="0" autoPict="0">
                <anchor moveWithCells="1">
                  <from>
                    <xdr:col>11</xdr:col>
                    <xdr:colOff>0</xdr:colOff>
                    <xdr:row>98</xdr:row>
                    <xdr:rowOff>266700</xdr:rowOff>
                  </from>
                  <to>
                    <xdr:col>11</xdr:col>
                    <xdr:colOff>1783080</xdr:colOff>
                    <xdr:row>99</xdr:row>
                    <xdr:rowOff>106680</xdr:rowOff>
                  </to>
                </anchor>
              </controlPr>
            </control>
          </mc:Choice>
        </mc:AlternateContent>
        <mc:AlternateContent xmlns:mc="http://schemas.openxmlformats.org/markup-compatibility/2006">
          <mc:Choice Requires="x14">
            <control shapeId="6257" r:id="rId99" name="Check Box 113">
              <controlPr defaultSize="0" autoFill="0" autoLine="0" autoPict="0">
                <anchor moveWithCells="1">
                  <from>
                    <xdr:col>11</xdr:col>
                    <xdr:colOff>0</xdr:colOff>
                    <xdr:row>99</xdr:row>
                    <xdr:rowOff>144780</xdr:rowOff>
                  </from>
                  <to>
                    <xdr:col>11</xdr:col>
                    <xdr:colOff>1783080</xdr:colOff>
                    <xdr:row>99</xdr:row>
                    <xdr:rowOff>342900</xdr:rowOff>
                  </to>
                </anchor>
              </controlPr>
            </control>
          </mc:Choice>
        </mc:AlternateContent>
        <mc:AlternateContent xmlns:mc="http://schemas.openxmlformats.org/markup-compatibility/2006">
          <mc:Choice Requires="x14">
            <control shapeId="6258" r:id="rId100" name="Check Box 114">
              <controlPr defaultSize="0" autoFill="0" autoLine="0" autoPict="0">
                <anchor moveWithCells="1">
                  <from>
                    <xdr:col>11</xdr:col>
                    <xdr:colOff>0</xdr:colOff>
                    <xdr:row>98</xdr:row>
                    <xdr:rowOff>30480</xdr:rowOff>
                  </from>
                  <to>
                    <xdr:col>11</xdr:col>
                    <xdr:colOff>1783080</xdr:colOff>
                    <xdr:row>98</xdr:row>
                    <xdr:rowOff>274320</xdr:rowOff>
                  </to>
                </anchor>
              </controlPr>
            </control>
          </mc:Choice>
        </mc:AlternateContent>
        <mc:AlternateContent xmlns:mc="http://schemas.openxmlformats.org/markup-compatibility/2006">
          <mc:Choice Requires="x14">
            <control shapeId="6259" r:id="rId101" name="Check Box 115">
              <controlPr defaultSize="0" autoFill="0" autoLine="0" autoPict="0">
                <anchor moveWithCells="1">
                  <from>
                    <xdr:col>11</xdr:col>
                    <xdr:colOff>0</xdr:colOff>
                    <xdr:row>100</xdr:row>
                    <xdr:rowOff>266700</xdr:rowOff>
                  </from>
                  <to>
                    <xdr:col>11</xdr:col>
                    <xdr:colOff>1783080</xdr:colOff>
                    <xdr:row>101</xdr:row>
                    <xdr:rowOff>106680</xdr:rowOff>
                  </to>
                </anchor>
              </controlPr>
            </control>
          </mc:Choice>
        </mc:AlternateContent>
        <mc:AlternateContent xmlns:mc="http://schemas.openxmlformats.org/markup-compatibility/2006">
          <mc:Choice Requires="x14">
            <control shapeId="6260" r:id="rId102" name="Check Box 116">
              <controlPr defaultSize="0" autoFill="0" autoLine="0" autoPict="0">
                <anchor moveWithCells="1">
                  <from>
                    <xdr:col>11</xdr:col>
                    <xdr:colOff>0</xdr:colOff>
                    <xdr:row>101</xdr:row>
                    <xdr:rowOff>144780</xdr:rowOff>
                  </from>
                  <to>
                    <xdr:col>11</xdr:col>
                    <xdr:colOff>1783080</xdr:colOff>
                    <xdr:row>101</xdr:row>
                    <xdr:rowOff>342900</xdr:rowOff>
                  </to>
                </anchor>
              </controlPr>
            </control>
          </mc:Choice>
        </mc:AlternateContent>
        <mc:AlternateContent xmlns:mc="http://schemas.openxmlformats.org/markup-compatibility/2006">
          <mc:Choice Requires="x14">
            <control shapeId="6261" r:id="rId103" name="Check Box 117">
              <controlPr defaultSize="0" autoFill="0" autoLine="0" autoPict="0">
                <anchor moveWithCells="1">
                  <from>
                    <xdr:col>11</xdr:col>
                    <xdr:colOff>0</xdr:colOff>
                    <xdr:row>100</xdr:row>
                    <xdr:rowOff>30480</xdr:rowOff>
                  </from>
                  <to>
                    <xdr:col>11</xdr:col>
                    <xdr:colOff>1783080</xdr:colOff>
                    <xdr:row>100</xdr:row>
                    <xdr:rowOff>274320</xdr:rowOff>
                  </to>
                </anchor>
              </controlPr>
            </control>
          </mc:Choice>
        </mc:AlternateContent>
      </controls>
    </mc:Choice>
  </mc:AlternateContent>
  <tableParts count="1">
    <tablePart r:id="rId104"/>
  </tableParts>
  <extLst>
    <ext xmlns:x14="http://schemas.microsoft.com/office/spreadsheetml/2009/9/main" uri="{78C0D931-6437-407d-A8EE-F0AAD7539E65}">
      <x14:conditionalFormattings>
        <x14:conditionalFormatting xmlns:xm="http://schemas.microsoft.com/office/excel/2006/main">
          <x14:cfRule type="iconSet" priority="50" id="{989A5610-0FF3-4584-8837-8D44948572A0}">
            <x14:iconSet iconSet="3Stars">
              <x14:cfvo type="percent">
                <xm:f>0</xm:f>
              </x14:cfvo>
              <x14:cfvo type="percent">
                <xm:f>33</xm:f>
              </x14:cfvo>
              <x14:cfvo type="percent">
                <xm:f>67</xm:f>
              </x14:cfvo>
            </x14:iconSet>
          </x14:cfRule>
          <xm:sqref>O6</xm:sqref>
        </x14:conditionalFormatting>
        <x14:conditionalFormatting xmlns:xm="http://schemas.microsoft.com/office/excel/2006/main">
          <x14:cfRule type="iconSet" priority="37" id="{252508B4-8B50-49B4-A70F-C5219F148727}">
            <x14:iconSet iconSet="3Stars">
              <x14:cfvo type="percent">
                <xm:f>0</xm:f>
              </x14:cfvo>
              <x14:cfvo type="percent">
                <xm:f>33</xm:f>
              </x14:cfvo>
              <x14:cfvo type="percent">
                <xm:f>67</xm:f>
              </x14:cfvo>
            </x14:iconSet>
          </x14:cfRule>
          <xm:sqref>P6 P8 P10 P12 P14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4745FEB1-C5CA-44F1-AC1A-EC462FB1C2E8}">
          <x14:formula1>
            <xm:f>Parâmetros!$A$28:$A$29</xm:f>
          </x14:formula1>
          <xm:sqref>M55:M74 M77:M102</xm:sqref>
        </x14:dataValidation>
        <x14:dataValidation type="list" allowBlank="1" showInputMessage="1" showErrorMessage="1" xr:uid="{8A4D929D-5895-49CF-9F04-97C949CBF599}">
          <x14:formula1>
            <xm:f>Parâmetros!$A$31:$A$33</xm:f>
          </x14:formula1>
          <xm:sqref>AL55 AL57 AL59 AL63 AL67 AL71 AL75 AL79 AL83 AL87 AL91 AL95 AL99 AL61 AL65 AL69 AL73 AL77 AL81 AL85 AL89 AL93 AL97 AL101 O67:O102 O55:O59 O61:O65</xm:sqref>
        </x14:dataValidation>
        <x14:dataValidation type="list" allowBlank="1" showInputMessage="1" showErrorMessage="1" xr:uid="{40E92AE9-11AE-4A43-8BD9-A896EE701D22}">
          <x14:formula1>
            <xm:f>Parâmetros!$A$21:$A$27</xm:f>
          </x14:formula1>
          <xm:sqref>A55:A102</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51545-8593-4605-A1AD-B24552488CB1}">
  <sheetPr>
    <pageSetUpPr fitToPage="1"/>
  </sheetPr>
  <dimension ref="A1:AX153"/>
  <sheetViews>
    <sheetView topLeftCell="A26" zoomScale="55" zoomScaleNormal="70" workbookViewId="0">
      <selection activeCell="O33" sqref="O33:O34"/>
    </sheetView>
  </sheetViews>
  <sheetFormatPr defaultColWidth="8.5546875" defaultRowHeight="14.4" x14ac:dyDescent="0.3"/>
  <cols>
    <col min="1" max="1" width="20" style="62" customWidth="1"/>
    <col min="2" max="2" width="17.5546875" style="62" customWidth="1"/>
    <col min="3" max="3" width="37.5546875" style="62" customWidth="1"/>
    <col min="4" max="4" width="35.5546875" style="62" customWidth="1"/>
    <col min="5" max="5" width="46.5546875" style="62" customWidth="1"/>
    <col min="6" max="7" width="17.5546875" style="62" customWidth="1"/>
    <col min="8" max="8" width="24.5546875" style="62" customWidth="1"/>
    <col min="9" max="9" width="26.5546875" style="62" customWidth="1"/>
    <col min="10" max="10" width="25.5546875" style="62" customWidth="1"/>
    <col min="11" max="11" width="25.44140625" style="62" customWidth="1"/>
    <col min="12" max="12" width="26.44140625" style="62" bestFit="1" customWidth="1"/>
    <col min="13" max="13" width="22.44140625" style="62" bestFit="1" customWidth="1"/>
    <col min="14" max="14" width="22.5546875" style="62" customWidth="1"/>
    <col min="15" max="16" width="19.5546875" style="62" bestFit="1" customWidth="1"/>
    <col min="17" max="17" width="23.44140625" style="62" customWidth="1"/>
    <col min="18" max="18" width="18.5546875" style="62" customWidth="1"/>
    <col min="19" max="19" width="21.5546875" style="62" bestFit="1" customWidth="1"/>
    <col min="20" max="20" width="23.5546875" style="62" bestFit="1" customWidth="1"/>
    <col min="21" max="21" width="22.44140625" style="62" bestFit="1" customWidth="1"/>
    <col min="22" max="22" width="18.5546875" style="62" bestFit="1" customWidth="1"/>
    <col min="23" max="23" width="21.5546875" style="62" bestFit="1" customWidth="1"/>
    <col min="24" max="24" width="19.5546875" style="62" bestFit="1" customWidth="1"/>
    <col min="25" max="26" width="18.5546875" style="62" bestFit="1" customWidth="1"/>
    <col min="27" max="28" width="18.44140625" style="62" bestFit="1" customWidth="1"/>
    <col min="29" max="29" width="17.44140625" style="62" bestFit="1" customWidth="1"/>
    <col min="30" max="30" width="18.44140625" style="62" bestFit="1" customWidth="1"/>
    <col min="31" max="32" width="17.44140625" style="62" bestFit="1" customWidth="1"/>
    <col min="33" max="33" width="20.44140625" style="62" bestFit="1" customWidth="1"/>
    <col min="34" max="34" width="20.5546875" style="62" bestFit="1" customWidth="1"/>
    <col min="35" max="35" width="17.5546875" style="62" bestFit="1" customWidth="1"/>
    <col min="36" max="36" width="22.5546875" style="62" bestFit="1" customWidth="1"/>
    <col min="37" max="37" width="22.5546875" style="62" customWidth="1"/>
    <col min="38" max="39" width="20.44140625" style="62" bestFit="1" customWidth="1"/>
    <col min="40" max="40" width="93" style="62" bestFit="1" customWidth="1"/>
    <col min="41" max="41" width="8.5546875" style="62"/>
    <col min="42" max="42" width="20.44140625" style="62" bestFit="1" customWidth="1"/>
    <col min="43" max="43" width="123.5546875" style="62" bestFit="1" customWidth="1"/>
    <col min="44" max="44" width="3.44140625" style="62" bestFit="1" customWidth="1"/>
    <col min="45" max="45" width="25.5546875" style="62" bestFit="1" customWidth="1"/>
    <col min="46" max="46" width="20.5546875" style="62" bestFit="1" customWidth="1"/>
    <col min="47" max="47" width="8.5546875" style="62"/>
    <col min="48" max="48" width="24.5546875" style="62" customWidth="1"/>
    <col min="49" max="49" width="26.44140625" style="62" bestFit="1" customWidth="1"/>
    <col min="50" max="16383" width="8.5546875" style="62"/>
    <col min="16384" max="16384" width="8.5546875" style="62" bestFit="1"/>
  </cols>
  <sheetData>
    <row r="1" spans="1:41" ht="50.1" customHeight="1" x14ac:dyDescent="0.3">
      <c r="A1" s="1434" t="s">
        <v>2496</v>
      </c>
      <c r="B1" s="2214"/>
      <c r="C1" s="2214"/>
      <c r="D1" s="2214"/>
      <c r="E1" s="2214"/>
      <c r="F1" s="2214"/>
      <c r="G1" s="2214"/>
      <c r="H1" s="2214"/>
      <c r="I1" s="2214"/>
      <c r="J1" s="2214"/>
      <c r="K1" s="2214"/>
      <c r="L1" s="2214"/>
      <c r="M1" s="2214"/>
      <c r="N1" s="2214"/>
      <c r="O1" s="1434"/>
      <c r="P1" s="2214"/>
      <c r="Q1" s="2214"/>
      <c r="R1" s="2214"/>
      <c r="S1" s="2214"/>
      <c r="T1" s="2214"/>
      <c r="U1" s="2214"/>
      <c r="V1" s="2214"/>
      <c r="W1" s="2214"/>
      <c r="X1" s="2214"/>
      <c r="Y1" s="2214"/>
      <c r="Z1" s="2214"/>
      <c r="AA1" s="2214"/>
      <c r="AB1" s="2214"/>
      <c r="AC1" s="1434"/>
      <c r="AD1" s="1434"/>
      <c r="AE1" s="1434"/>
      <c r="AF1" s="1434"/>
      <c r="AG1" s="1434"/>
      <c r="AH1" s="1434"/>
      <c r="AI1" s="1434"/>
      <c r="AJ1" s="1434"/>
      <c r="AK1" s="1434"/>
      <c r="AL1" s="1434"/>
      <c r="AM1" s="1434"/>
    </row>
    <row r="2" spans="1:41" ht="25.35" customHeight="1" x14ac:dyDescent="0.3">
      <c r="A2" s="1443" t="s">
        <v>46</v>
      </c>
      <c r="B2" s="2215"/>
      <c r="C2" s="2215"/>
      <c r="D2" s="2215"/>
      <c r="E2" s="2215"/>
      <c r="F2" s="2215"/>
      <c r="G2" s="2215"/>
      <c r="H2" s="2215"/>
      <c r="I2" s="2215"/>
      <c r="J2" s="2215"/>
      <c r="K2" s="2215"/>
      <c r="L2" s="2215"/>
      <c r="M2" s="2215"/>
      <c r="N2" s="2215"/>
      <c r="O2" s="1443"/>
      <c r="P2" s="2215"/>
      <c r="Q2" s="2215"/>
      <c r="R2" s="2215"/>
      <c r="S2" s="2215"/>
      <c r="T2" s="2215"/>
      <c r="U2" s="2215"/>
      <c r="V2" s="2215"/>
      <c r="W2" s="2215"/>
      <c r="X2" s="2215"/>
      <c r="Y2" s="2215"/>
      <c r="Z2" s="2215"/>
      <c r="AA2" s="2215"/>
      <c r="AB2" s="2215"/>
      <c r="AC2" s="1443"/>
      <c r="AD2" s="1443"/>
      <c r="AE2" s="1443"/>
      <c r="AF2" s="1443"/>
      <c r="AG2" s="1443"/>
      <c r="AH2" s="1443"/>
      <c r="AI2" s="1443"/>
      <c r="AJ2" s="1443"/>
      <c r="AK2" s="1443"/>
      <c r="AL2" s="1443"/>
      <c r="AM2" s="1443"/>
    </row>
    <row r="3" spans="1:41"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row>
    <row r="4" spans="1:41" ht="22.35" customHeight="1" x14ac:dyDescent="0.3">
      <c r="A4" s="2211" t="s">
        <v>1675</v>
      </c>
      <c r="B4" s="2211"/>
      <c r="C4" s="475" t="s">
        <v>48</v>
      </c>
      <c r="D4" s="976" t="s">
        <v>49</v>
      </c>
      <c r="E4" s="2387" t="s">
        <v>50</v>
      </c>
      <c r="F4" s="2388"/>
      <c r="G4" s="1415" t="s">
        <v>51</v>
      </c>
      <c r="H4" s="1415"/>
      <c r="I4" s="2213" t="s">
        <v>102</v>
      </c>
      <c r="J4" s="2213"/>
      <c r="K4" s="2213"/>
      <c r="L4" s="1435" t="s">
        <v>54</v>
      </c>
      <c r="M4" s="2172"/>
      <c r="N4" s="1436"/>
      <c r="O4" s="1435" t="s">
        <v>55</v>
      </c>
      <c r="P4" s="1436"/>
      <c r="Q4" s="47"/>
      <c r="R4" s="1441" t="s">
        <v>129</v>
      </c>
      <c r="S4" s="1442"/>
      <c r="T4" s="1442"/>
      <c r="U4" s="1442"/>
      <c r="V4" s="1442"/>
      <c r="W4" s="1442"/>
      <c r="X4" s="1442"/>
      <c r="Y4" s="1442"/>
      <c r="Z4" s="1442"/>
      <c r="AA4" s="1442"/>
      <c r="AB4" s="1442"/>
      <c r="AC4" s="1442"/>
      <c r="AD4" s="1442"/>
      <c r="AE4" s="1442"/>
      <c r="AF4" s="1442"/>
      <c r="AG4" s="1442"/>
      <c r="AH4" s="1442"/>
      <c r="AI4" s="1442"/>
      <c r="AJ4" s="47"/>
      <c r="AK4" s="47"/>
      <c r="AL4" s="47"/>
      <c r="AM4" s="47"/>
    </row>
    <row r="5" spans="1:41" ht="45" customHeight="1" x14ac:dyDescent="0.3">
      <c r="A5" s="2204">
        <f>Parâmetros!E12</f>
        <v>7000000</v>
      </c>
      <c r="B5" s="2204"/>
      <c r="C5" s="477">
        <f>SUM(I31:I144)</f>
        <v>15589000.420000002</v>
      </c>
      <c r="D5" s="977">
        <f>AW29</f>
        <v>5841402.4552467531</v>
      </c>
      <c r="E5" s="2390">
        <f>AV29</f>
        <v>9190876.1141666658</v>
      </c>
      <c r="F5" s="2391"/>
      <c r="G5" s="1416">
        <f>SUM(N31:N144)</f>
        <v>4765049.3</v>
      </c>
      <c r="H5" s="1416"/>
      <c r="I5" s="2206">
        <f>SUMIF(T31:T144,"Real",AL31:AL144)</f>
        <v>1282436.3115068004</v>
      </c>
      <c r="J5" s="2206"/>
      <c r="K5" s="2206"/>
      <c r="L5" s="1437">
        <f>I5/A5</f>
        <v>0.18320518735811434</v>
      </c>
      <c r="M5" s="2184"/>
      <c r="N5" s="1438"/>
      <c r="O5" s="1439">
        <f>SUM(H9:H11)</f>
        <v>50</v>
      </c>
      <c r="P5" s="1440"/>
      <c r="Q5" s="47"/>
      <c r="R5" s="359" t="s">
        <v>132</v>
      </c>
      <c r="S5" s="359" t="s">
        <v>77</v>
      </c>
      <c r="T5" s="359" t="s">
        <v>924</v>
      </c>
      <c r="U5" s="363" t="s">
        <v>134</v>
      </c>
      <c r="V5" s="507" t="s">
        <v>2497</v>
      </c>
      <c r="W5" s="507" t="s">
        <v>136</v>
      </c>
      <c r="X5" s="2136" t="s">
        <v>137</v>
      </c>
      <c r="Y5" s="2136"/>
      <c r="Z5" s="2136"/>
      <c r="AA5" s="2136"/>
      <c r="AB5" s="2136"/>
      <c r="AC5" s="359" t="s">
        <v>138</v>
      </c>
      <c r="AD5" s="359" t="s">
        <v>139</v>
      </c>
      <c r="AE5" s="359" t="s">
        <v>140</v>
      </c>
      <c r="AF5" s="359" t="s">
        <v>141</v>
      </c>
      <c r="AG5" s="359" t="s">
        <v>142</v>
      </c>
      <c r="AH5" s="363" t="s">
        <v>143</v>
      </c>
      <c r="AI5" s="363" t="s">
        <v>135</v>
      </c>
      <c r="AJ5" s="47"/>
      <c r="AK5" s="47"/>
      <c r="AL5" s="47"/>
      <c r="AM5" s="47"/>
      <c r="AN5" s="47"/>
      <c r="AO5" s="47"/>
    </row>
    <row r="6" spans="1:41" ht="20.85" customHeight="1" x14ac:dyDescent="0.3">
      <c r="A6" s="20"/>
      <c r="B6" s="20"/>
      <c r="C6" s="20"/>
      <c r="D6" s="20"/>
      <c r="E6" s="20"/>
      <c r="F6" s="20"/>
      <c r="G6" s="20"/>
      <c r="H6" s="20"/>
      <c r="I6" s="20"/>
      <c r="J6" s="20"/>
      <c r="K6" s="20"/>
      <c r="L6" s="20"/>
      <c r="M6" s="20"/>
      <c r="N6" s="20"/>
      <c r="O6" s="47"/>
      <c r="P6" s="47"/>
      <c r="Q6" s="47"/>
      <c r="R6" s="349" cm="1">
        <f t="array" ref="R6:R25">_xlfn.SEQUENCE(20)</f>
        <v>1</v>
      </c>
      <c r="S6" s="380" t="str">
        <f t="shared" ref="S6:S25" si="0">_xlfn.XLOOKUP(X6,$D$31:$D$144,$A$31:$A$144)</f>
        <v>Redução de custo</v>
      </c>
      <c r="T6" s="350">
        <f>MAX(I31:I144)</f>
        <v>3256202</v>
      </c>
      <c r="U6" s="436">
        <f t="shared" ref="U6:U25" si="1">_xlfn.XLOOKUP(X6,$D$31:$D$144,$N$31:$N$144)</f>
        <v>1444478.73</v>
      </c>
      <c r="V6" s="350" cm="1">
        <f t="array" aca="1" ref="V6" ca="1">SUMPRODUCT(($D$31:$D$144=X6)*(V$30:$AJ$30&lt;EOMONTH(TODAY(),-1)+1)*(ISNUMBER(V$31:$AJ$144)),V$31:$AJ$144)</f>
        <v>412708.20857142855</v>
      </c>
      <c r="W6" s="508" t="e" cm="1">
        <f t="array" aca="1" ref="W6" ca="1">SUMPRODUCT(($D$31:$D$144=X6)*(V$30:$AJ$30&lt;=TODAY())*(ISNUMBER(S$32:$AG$145)),S$32:$AG$145)</f>
        <v>#REF!</v>
      </c>
      <c r="X6" s="2384" t="str">
        <f t="shared" ref="X6:X25" si="2">IFERROR(HYPERLINK(INDEX($E$31:$E$144,MATCH(T6,$I$31:$I$144,0)),INDEX($D$31:$D$144,MATCH(T6,$I$31:$I$144,0))
   ),
   ""
)</f>
        <v>Projeto DANA - Mudança de CH para BQ</v>
      </c>
      <c r="Y6" s="2385"/>
      <c r="Z6" s="2385"/>
      <c r="AA6" s="2385"/>
      <c r="AB6" s="2386"/>
      <c r="AC6" s="351">
        <f>Pareto!D216</f>
        <v>0.21846012379807322</v>
      </c>
      <c r="AD6" s="352">
        <f>Pareto!E216</f>
        <v>0.21846012379807322</v>
      </c>
      <c r="AE6" s="353" cm="1">
        <f t="array" ref="AE6">IFERROR(INDEX($U$31:$U$144,MATCH(1,($AQ$31:$AQ$144=X6)*($T$31:$T$144="Previsto"), 0) ), "")</f>
        <v>1</v>
      </c>
      <c r="AF6" s="353" cm="1">
        <f t="array" ref="AF6">IFERROR( INDEX($U$31:$U$144,MATCH(1,($AQ$31:$AQ$144=X6)*($T$31:$T$144="Real"),0)),"")</f>
        <v>1</v>
      </c>
      <c r="AG6" s="373" t="str">
        <f>IF(OR(AE6="",AF6=""),"",IF(AF6=100%,"CONCLUÍDO",IF(AF6=0,IF(AE6=0,"PROJETO NÃO INICIADO","FALTA DE ACOMPANHAMENTO"),IF(AF6&gt;AE6,"ADIANTADO",IF(AF6=AE6,"CONFORME PLANEJADO","ATRASO")))))</f>
        <v>CONCLUÍDO</v>
      </c>
      <c r="AH6" s="353">
        <f t="shared" ref="AH6:AH25" si="3">_xlfn.XLOOKUP(X6,$D$31:$D$144,$R$31:$R$144)</f>
        <v>0</v>
      </c>
      <c r="AI6" s="496">
        <f t="shared" ref="AI6:AI25" si="4">_xlfn.XLOOKUP(X6,$D$31:$D$144,$J$31:$J$144)</f>
        <v>46174</v>
      </c>
      <c r="AJ6" s="47"/>
      <c r="AK6" s="47"/>
      <c r="AL6" s="47"/>
      <c r="AM6" s="47"/>
    </row>
    <row r="7" spans="1:41" ht="20.85" customHeight="1" x14ac:dyDescent="0.3">
      <c r="A7" s="755" t="s">
        <v>145</v>
      </c>
      <c r="B7" s="755"/>
      <c r="C7" s="755"/>
      <c r="D7" s="755"/>
      <c r="E7" s="755"/>
      <c r="F7" s="20"/>
      <c r="G7" s="2202" t="s">
        <v>64</v>
      </c>
      <c r="H7" s="2202"/>
      <c r="I7" s="2202"/>
      <c r="J7" s="20"/>
      <c r="K7" s="2202" t="s">
        <v>2498</v>
      </c>
      <c r="L7" s="2202"/>
      <c r="M7" s="2202"/>
      <c r="N7" s="20"/>
      <c r="O7" s="47"/>
      <c r="P7" s="47"/>
      <c r="Q7" s="47"/>
      <c r="R7" s="354">
        <v>2</v>
      </c>
      <c r="S7" s="379" t="str">
        <f t="shared" si="0"/>
        <v>Redução de custo</v>
      </c>
      <c r="T7" s="355">
        <f t="shared" ref="T7:T25" si="5">IFERROR(LARGE($I$31:$I$144,R7)," ")</f>
        <v>2674685</v>
      </c>
      <c r="U7" s="437">
        <f t="shared" si="1"/>
        <v>2651202.3199999998</v>
      </c>
      <c r="V7" s="355" cm="1">
        <f t="array" aca="1" ref="V7" ca="1">SUMPRODUCT(($D$31:$D$144=X7)*(V$30:$AJ$30&lt;EOMONTH(TODAY(),-1)+1)*(ISNUMBER(V$31:$AJ$144)),V$31:$AJ$144)</f>
        <v>1546534.6866666665</v>
      </c>
      <c r="W7" s="509" t="e" cm="1">
        <f t="array" aca="1" ref="W7" ca="1">SUMPRODUCT(($D$31:$D$144=X7)*(V$30:$AJ$30&lt;=TODAY())*(ISNUMBER(S$32:$AG$145)),S$32:$AG$145)</f>
        <v>#REF!</v>
      </c>
      <c r="X7" s="1420" t="str">
        <f t="shared" si="2"/>
        <v>Negociação de preços materiais carcaça Dana</v>
      </c>
      <c r="Y7" s="1421"/>
      <c r="Z7" s="1421"/>
      <c r="AA7" s="1421"/>
      <c r="AB7" s="1422"/>
      <c r="AC7" s="356">
        <f>Pareto!D217</f>
        <v>0.17944587474021867</v>
      </c>
      <c r="AD7" s="357">
        <f>Pareto!E217</f>
        <v>0.39790599853829189</v>
      </c>
      <c r="AE7" s="358" cm="1">
        <f t="array" ref="AE7">IFERROR(INDEX($U$31:$U$144,MATCH(1,($AQ$31:$AQ$144=X7)*($T$31:$T$144="Previsto"), 0) ), "")</f>
        <v>1</v>
      </c>
      <c r="AF7" s="358" cm="1">
        <f t="array" ref="AF7">IFERROR( INDEX($U$31:$U$144,MATCH(1,($AQ$31:$AQ$144=X7)*($T$31:$T$144="Real"),0)),"")</f>
        <v>1</v>
      </c>
      <c r="AG7" s="374" t="str">
        <f t="shared" ref="AG7:AG25" si="6">IF(OR(AE7="",AF7=""),"",IF(AF7=100%,"CONCLUÍDO",IF(AF7=0,IF(AE7=0,"PROJETO NÃO INICIADO","FALTA DE ACOMPANHAMENTO"),IF(AF7&gt;AE7,"ADIANTADO",IF(AF7=AE7,"CONFORME PLANEJADO","ATRASO")))))</f>
        <v>CONCLUÍDO</v>
      </c>
      <c r="AH7" s="358">
        <f t="shared" si="3"/>
        <v>0</v>
      </c>
      <c r="AI7" s="497">
        <f t="shared" si="4"/>
        <v>46023</v>
      </c>
      <c r="AJ7" s="47"/>
      <c r="AK7" s="47"/>
      <c r="AL7" s="47"/>
      <c r="AM7" s="47"/>
    </row>
    <row r="8" spans="1:41" ht="20.85" customHeight="1" x14ac:dyDescent="0.3">
      <c r="A8" s="15" t="s">
        <v>67</v>
      </c>
      <c r="B8" s="15" t="s">
        <v>68</v>
      </c>
      <c r="C8" s="15" t="s">
        <v>69</v>
      </c>
      <c r="D8" s="15" t="s">
        <v>1678</v>
      </c>
      <c r="E8" s="49" t="s">
        <v>71</v>
      </c>
      <c r="F8" s="20"/>
      <c r="G8" s="15" t="s">
        <v>72</v>
      </c>
      <c r="H8" s="15" t="s">
        <v>68</v>
      </c>
      <c r="I8" s="15" t="s">
        <v>73</v>
      </c>
      <c r="J8" s="20"/>
      <c r="K8" s="382" t="s">
        <v>2499</v>
      </c>
      <c r="L8" s="383">
        <f t="shared" ref="L8:L13" si="7">COUNTIF($S$31:$S$144,K8)</f>
        <v>0</v>
      </c>
      <c r="M8" s="384">
        <f t="shared" ref="M8:M13" si="8">SUMIF($S$31:$S$144,K8,$I$31:$I$144)</f>
        <v>0</v>
      </c>
      <c r="N8" s="920"/>
      <c r="O8" s="47"/>
      <c r="P8" s="47"/>
      <c r="Q8" s="47"/>
      <c r="R8" s="349">
        <v>3</v>
      </c>
      <c r="S8" s="380" t="str">
        <f t="shared" si="0"/>
        <v>Redução de custo</v>
      </c>
      <c r="T8" s="350">
        <f t="shared" si="5"/>
        <v>1139000</v>
      </c>
      <c r="U8" s="436">
        <f t="shared" si="1"/>
        <v>0</v>
      </c>
      <c r="V8" s="350" cm="1">
        <f t="array" aca="1" ref="V8" ca="1">SUMPRODUCT(($D$31:$D$144=X8)*(V$30:$AJ$30&lt;EOMONTH(TODAY(),-1)+1)*(ISNUMBER(V$31:$AJ$144)),V$31:$AJ$144)</f>
        <v>0</v>
      </c>
      <c r="W8" s="508" t="e" cm="1">
        <f t="array" aca="1" ref="W8" ca="1">SUMPRODUCT(($D$31:$D$144=X8)*(V$30:$AJ$30&lt;=TODAY())*(ISNUMBER(S$32:$AG$145)),S$32:$AG$145)</f>
        <v>#REF!</v>
      </c>
      <c r="X8" s="2384" t="str">
        <f t="shared" si="2"/>
        <v>Recuperação de valores - Energia Elétrica</v>
      </c>
      <c r="Y8" s="2385"/>
      <c r="Z8" s="2385"/>
      <c r="AA8" s="2385"/>
      <c r="AB8" s="2386"/>
      <c r="AC8" s="351">
        <f>Pareto!D218</f>
        <v>7.6416045750848816E-2</v>
      </c>
      <c r="AD8" s="352">
        <f>Pareto!E218</f>
        <v>0.47432204428914071</v>
      </c>
      <c r="AE8" s="353" cm="1">
        <f t="array" ref="AE8">IFERROR(INDEX($U$31:$U$144,MATCH(1,($AQ$31:$AQ$144=X8)*($T$31:$T$144="Previsto"), 0) ), "")</f>
        <v>0.40972222222222221</v>
      </c>
      <c r="AF8" s="353" cm="1">
        <f t="array" ref="AF8">IFERROR( INDEX($U$31:$U$144,MATCH(1,($AQ$31:$AQ$144=X8)*($T$31:$T$144="Real"),0)),"")</f>
        <v>0.44444444444444442</v>
      </c>
      <c r="AG8" s="373" t="str">
        <f t="shared" si="6"/>
        <v>ADIANTADO</v>
      </c>
      <c r="AH8" s="353">
        <f t="shared" si="3"/>
        <v>0</v>
      </c>
      <c r="AI8" s="496">
        <f t="shared" si="4"/>
        <v>46174</v>
      </c>
      <c r="AJ8" s="47"/>
      <c r="AK8" s="47"/>
      <c r="AL8" s="47"/>
      <c r="AM8" s="47"/>
    </row>
    <row r="9" spans="1:41" ht="20.85" customHeight="1" x14ac:dyDescent="0.3">
      <c r="A9" s="16" t="s">
        <v>925</v>
      </c>
      <c r="B9" s="17">
        <f>COUNTIF($A$31:$A$144,A9)</f>
        <v>0</v>
      </c>
      <c r="C9" s="18">
        <f>SUMIF($A$31:$A$144,A9,$I$31:$I$144)</f>
        <v>0</v>
      </c>
      <c r="D9" s="18">
        <f>SUMIF($A$31:$A$144,A9,$N$31:$N$144)</f>
        <v>0</v>
      </c>
      <c r="E9" s="915">
        <f>SUMIFS($AL$31:$AL$144,$T$31:$T$144,"Real",$AT$31:$AT$144,A9)</f>
        <v>0</v>
      </c>
      <c r="F9" s="20"/>
      <c r="G9" s="21" t="s">
        <v>81</v>
      </c>
      <c r="H9" s="24">
        <f>COUNTIF($O$31:$O$144,G9)</f>
        <v>25</v>
      </c>
      <c r="I9" s="193">
        <f>SUMIF($O$31:$O$144,G9,$I$31:$I$144)</f>
        <v>9529691.0800000019</v>
      </c>
      <c r="J9" s="20"/>
      <c r="K9" s="385" t="s">
        <v>24</v>
      </c>
      <c r="L9" s="386">
        <f t="shared" si="7"/>
        <v>3</v>
      </c>
      <c r="M9" s="387">
        <f t="shared" si="8"/>
        <v>227764</v>
      </c>
      <c r="N9" s="20"/>
      <c r="O9" s="47"/>
      <c r="P9" s="47"/>
      <c r="Q9" s="47"/>
      <c r="R9" s="354">
        <v>4</v>
      </c>
      <c r="S9" s="379" t="str">
        <f t="shared" si="0"/>
        <v>Redução de Custo</v>
      </c>
      <c r="T9" s="355">
        <f t="shared" si="5"/>
        <v>794810</v>
      </c>
      <c r="U9" s="437">
        <f t="shared" si="1"/>
        <v>0</v>
      </c>
      <c r="V9" s="355" cm="1">
        <f t="array" aca="1" ref="V9" ca="1">SUMPRODUCT(($D$31:$D$144=X9)*(V$30:$AJ$30&lt;EOMONTH(TODAY(),-1)+1)*(ISNUMBER(V$31:$AJ$144)),V$31:$AJ$144)</f>
        <v>0</v>
      </c>
      <c r="W9" s="509" t="e" cm="1">
        <f t="array" aca="1" ref="W9" ca="1">SUMPRODUCT(($D$31:$D$144=X9)*(V$30:$AJ$30&lt;=TODAY())*(ISNUMBER(S$32:$AG$145)),S$32:$AG$145)</f>
        <v>#REF!</v>
      </c>
      <c r="X9" s="1420" t="str">
        <f t="shared" si="2"/>
        <v>Ex Tarifário Transfer Norda</v>
      </c>
      <c r="Y9" s="1421"/>
      <c r="Z9" s="1421"/>
      <c r="AA9" s="1421"/>
      <c r="AB9" s="1422"/>
      <c r="AC9" s="356">
        <f>Pareto!D219</f>
        <v>5.332417675437414E-2</v>
      </c>
      <c r="AD9" s="357">
        <f>Pareto!E219</f>
        <v>0.52764622104351488</v>
      </c>
      <c r="AE9" s="358" cm="1">
        <f t="array" ref="AE9">IFERROR(INDEX($U$31:$U$144,MATCH(1,($AQ$31:$AQ$144=X9)*($T$31:$T$144="Previsto"), 0) ), "")</f>
        <v>0.48192771084337349</v>
      </c>
      <c r="AF9" s="358" cm="1">
        <f t="array" ref="AF9">IFERROR( INDEX($U$31:$U$144,MATCH(1,($AQ$31:$AQ$144=X9)*($T$31:$T$144="Real"),0)),"")</f>
        <v>0.53500000000000003</v>
      </c>
      <c r="AG9" s="374" t="str">
        <f t="shared" si="6"/>
        <v>ADIANTADO</v>
      </c>
      <c r="AH9" s="358">
        <f t="shared" si="3"/>
        <v>0</v>
      </c>
      <c r="AI9" s="497">
        <f t="shared" si="4"/>
        <v>46311</v>
      </c>
      <c r="AJ9" s="47"/>
      <c r="AK9" s="47"/>
      <c r="AL9" s="47"/>
      <c r="AM9" s="47"/>
    </row>
    <row r="10" spans="1:41" ht="20.85" customHeight="1" x14ac:dyDescent="0.3">
      <c r="A10" s="16" t="s">
        <v>89</v>
      </c>
      <c r="B10" s="17">
        <f>COUNTIF($A$31:$A$144,A10)</f>
        <v>48</v>
      </c>
      <c r="C10" s="18">
        <f>SUMIF($A$31:$A$144,A10,$I$31:$I$144)</f>
        <v>15589000.420000002</v>
      </c>
      <c r="D10" s="18">
        <f>SUMIF($A$31:$A$144,A10,$N$31:$N$144)</f>
        <v>4765049.3</v>
      </c>
      <c r="E10" s="915">
        <f>SUMIFS($AL$31:$AL$144,$T$31:$T$144,"Real",$AT$31:$AT$144,A10)</f>
        <v>1282436.3115068004</v>
      </c>
      <c r="F10" s="20"/>
      <c r="G10" s="22" t="s">
        <v>83</v>
      </c>
      <c r="H10" s="25">
        <f>COUNTIF($O$31:$O$144,G10)</f>
        <v>21</v>
      </c>
      <c r="I10" s="194">
        <f>SUMIF($O$31:$O$144,G10,$I$31:$I$144)</f>
        <v>5694736.3399999999</v>
      </c>
      <c r="J10" s="20"/>
      <c r="K10" s="388" t="s">
        <v>25</v>
      </c>
      <c r="L10" s="389">
        <f t="shared" si="7"/>
        <v>6</v>
      </c>
      <c r="M10" s="390">
        <f t="shared" si="8"/>
        <v>936314.9</v>
      </c>
      <c r="N10" s="20"/>
      <c r="O10" s="47"/>
      <c r="P10" s="47"/>
      <c r="Q10" s="47"/>
      <c r="R10" s="349">
        <v>5</v>
      </c>
      <c r="S10" s="380" t="str">
        <f t="shared" si="0"/>
        <v>Redução de Custo</v>
      </c>
      <c r="T10" s="350">
        <f t="shared" si="5"/>
        <v>606000</v>
      </c>
      <c r="U10" s="436">
        <f t="shared" si="1"/>
        <v>0</v>
      </c>
      <c r="V10" s="350" cm="1">
        <f t="array" aca="1" ref="V10" ca="1">SUMPRODUCT(($D$31:$D$144=X10)*(V$30:$AJ$30&lt;EOMONTH(TODAY(),-1)+1)*(ISNUMBER(V$31:$AJ$144)),V$31:$AJ$144)</f>
        <v>0</v>
      </c>
      <c r="W10" s="508" t="e" cm="1">
        <f t="array" aca="1" ref="W10" ca="1">SUMPRODUCT(($D$31:$D$144=X10)*(V$30:$AJ$30&lt;=TODAY())*(ISNUMBER(S$32:$AG$145)),S$32:$AG$145)</f>
        <v>#REF!</v>
      </c>
      <c r="X10" s="2384" t="str">
        <f t="shared" si="2"/>
        <v>Negociação Produtos Pré tratamento</v>
      </c>
      <c r="Y10" s="2385"/>
      <c r="Z10" s="2385"/>
      <c r="AA10" s="2385"/>
      <c r="AB10" s="2386"/>
      <c r="AC10" s="351">
        <f>Pareto!D220</f>
        <v>4.0656825043910778E-2</v>
      </c>
      <c r="AD10" s="352">
        <f>Pareto!E220</f>
        <v>0.56830304608742566</v>
      </c>
      <c r="AE10" s="353" cm="1">
        <f t="array" ref="AE10">IFERROR(INDEX($U$31:$U$144,MATCH(1,($AQ$31:$AQ$144=X10)*($T$31:$T$144="Previsto"), 0) ), "")</f>
        <v>1</v>
      </c>
      <c r="AF10" s="353" cm="1">
        <f t="array" ref="AF10">IFERROR( INDEX($U$31:$U$144,MATCH(1,($AQ$31:$AQ$144=X10)*($T$31:$T$144="Real"),0)),"")</f>
        <v>1</v>
      </c>
      <c r="AG10" s="373" t="str">
        <f t="shared" si="6"/>
        <v>CONCLUÍDO</v>
      </c>
      <c r="AH10" s="353">
        <f t="shared" si="3"/>
        <v>0</v>
      </c>
      <c r="AI10" s="496">
        <f t="shared" si="4"/>
        <v>46300</v>
      </c>
      <c r="AJ10" s="47"/>
      <c r="AK10" s="47"/>
      <c r="AL10" s="47"/>
      <c r="AM10" s="47"/>
    </row>
    <row r="11" spans="1:41" ht="20.85" customHeight="1" x14ac:dyDescent="0.3">
      <c r="A11" s="16" t="s">
        <v>90</v>
      </c>
      <c r="B11" s="17">
        <f>COUNTIF($A$31:$A$144,A11)</f>
        <v>0</v>
      </c>
      <c r="C11" s="18">
        <f>SUMIF($A$31:$A$144,A11,$I$31:$I$144)</f>
        <v>0</v>
      </c>
      <c r="D11" s="18">
        <f>SUMIF($A$31:$A$144,A11,$N$31:$N$144)</f>
        <v>0</v>
      </c>
      <c r="E11" s="915">
        <f>SUMIFS($AL$31:$AL$144,$T$31:$T$144,"Real",$AT$31:$AT$144,A11)</f>
        <v>0</v>
      </c>
      <c r="F11" s="20"/>
      <c r="G11" s="23" t="s">
        <v>85</v>
      </c>
      <c r="H11" s="26">
        <f>COUNTIF($O$31:$O$144,G11)</f>
        <v>4</v>
      </c>
      <c r="I11" s="195">
        <f>SUMIF($O$31:$O$144,G11,$I$31:$I$144)</f>
        <v>364573</v>
      </c>
      <c r="J11" s="20"/>
      <c r="K11" s="391" t="s">
        <v>22</v>
      </c>
      <c r="L11" s="392">
        <f t="shared" si="7"/>
        <v>6</v>
      </c>
      <c r="M11" s="393">
        <f t="shared" si="8"/>
        <v>3332786.2800000003</v>
      </c>
      <c r="N11" s="20"/>
      <c r="O11" s="47"/>
      <c r="P11" s="47"/>
      <c r="Q11" s="47"/>
      <c r="R11" s="354">
        <v>6</v>
      </c>
      <c r="S11" s="379" t="str">
        <f t="shared" si="0"/>
        <v>Redução de custo</v>
      </c>
      <c r="T11" s="355">
        <f t="shared" si="5"/>
        <v>600868</v>
      </c>
      <c r="U11" s="437">
        <f t="shared" si="1"/>
        <v>0</v>
      </c>
      <c r="V11" s="355" cm="1">
        <f t="array" aca="1" ref="V11" ca="1">SUMPRODUCT(($D$31:$D$144=X11)*(V$30:$AJ$30&lt;EOMONTH(TODAY(),-1)+1)*(ISNUMBER(V$31:$AJ$144)),V$31:$AJ$144)</f>
        <v>171676.57142857142</v>
      </c>
      <c r="W11" s="509" t="e" cm="1">
        <f t="array" aca="1" ref="W11" ca="1">SUMPRODUCT(($D$31:$D$144=X11)*(V$30:$AJ$30&lt;=TODAY())*(ISNUMBER(S$32:$AG$145)),S$32:$AG$145)</f>
        <v>#REF!</v>
      </c>
      <c r="X11" s="1420" t="str">
        <f t="shared" si="2"/>
        <v>Mão de Obra Terceirizada</v>
      </c>
      <c r="Y11" s="1421"/>
      <c r="Z11" s="1421"/>
      <c r="AA11" s="1421"/>
      <c r="AB11" s="1422"/>
      <c r="AC11" s="356">
        <f>Pareto!D221</f>
        <v>4.0312516749974561E-2</v>
      </c>
      <c r="AD11" s="357">
        <f>Pareto!E221</f>
        <v>0.60861556283740026</v>
      </c>
      <c r="AE11" s="358" cm="1">
        <f t="array" ref="AE11">IFERROR(INDEX($U$31:$U$144,MATCH(1,($AQ$31:$AQ$144=X11)*($T$31:$T$144="Previsto"), 0) ), "")</f>
        <v>1</v>
      </c>
      <c r="AF11" s="358" cm="1">
        <f t="array" ref="AF11">IFERROR( INDEX($U$31:$U$144,MATCH(1,($AQ$31:$AQ$144=X11)*($T$31:$T$144="Real"),0)),"")</f>
        <v>1</v>
      </c>
      <c r="AG11" s="374" t="str">
        <f t="shared" si="6"/>
        <v>CONCLUÍDO</v>
      </c>
      <c r="AH11" s="358">
        <f t="shared" si="3"/>
        <v>0</v>
      </c>
      <c r="AI11" s="497">
        <f t="shared" si="4"/>
        <v>46174</v>
      </c>
      <c r="AJ11" s="47"/>
      <c r="AK11" s="47"/>
      <c r="AL11" s="47"/>
      <c r="AM11" s="47"/>
    </row>
    <row r="12" spans="1:41" ht="20.85" customHeight="1" x14ac:dyDescent="0.3">
      <c r="A12" s="16" t="s">
        <v>91</v>
      </c>
      <c r="B12" s="17">
        <f>COUNTIF($A$31:$A$144,A12)</f>
        <v>0</v>
      </c>
      <c r="C12" s="18">
        <f>SUMIF($A$31:$A$144,A12,$I$31:$I$144)</f>
        <v>0</v>
      </c>
      <c r="D12" s="18">
        <f>SUMIF($A$31:$A$144,A12,$N$31:$N$144)</f>
        <v>0</v>
      </c>
      <c r="E12" s="915">
        <f>SUMIFS($AL$31:$AL$144,$T$31:$T$144,"Real",$AT$31:$AT$144,A12)</f>
        <v>0</v>
      </c>
      <c r="F12" s="20"/>
      <c r="G12" s="20"/>
      <c r="H12" s="20"/>
      <c r="I12" s="20"/>
      <c r="J12" s="20"/>
      <c r="K12" s="394" t="s">
        <v>23</v>
      </c>
      <c r="L12" s="395">
        <f t="shared" si="7"/>
        <v>1</v>
      </c>
      <c r="M12" s="396">
        <f t="shared" si="8"/>
        <v>60231.6</v>
      </c>
      <c r="N12" s="20"/>
      <c r="O12" s="47"/>
      <c r="P12" s="47"/>
      <c r="Q12" s="47"/>
      <c r="R12" s="349">
        <v>7</v>
      </c>
      <c r="S12" s="380" t="str">
        <f t="shared" si="0"/>
        <v>Redução de Custo</v>
      </c>
      <c r="T12" s="350">
        <f t="shared" si="5"/>
        <v>572763</v>
      </c>
      <c r="U12" s="436">
        <f t="shared" si="1"/>
        <v>0</v>
      </c>
      <c r="V12" s="350" cm="1">
        <f t="array" aca="1" ref="V12" ca="1">SUMPRODUCT(($D$31:$D$144=X12)*(V$30:$AJ$30&lt;EOMONTH(TODAY(),-1)+1)*(ISNUMBER(V$31:$AJ$144)),V$31:$AJ$144)</f>
        <v>163646.57142857142</v>
      </c>
      <c r="W12" s="508" t="e" cm="1">
        <f t="array" aca="1" ref="W12" ca="1">SUMPRODUCT(($D$31:$D$144=X12)*(V$30:$AJ$30&lt;=TODAY())*(ISNUMBER(S$32:$AG$145)),S$32:$AG$145)</f>
        <v>#REF!</v>
      </c>
      <c r="X12" s="2384" t="str">
        <f t="shared" si="2"/>
        <v>Negociação de itens Usiminas (SAR55 / scania / Mercedes / demais itens e reajuste frete)</v>
      </c>
      <c r="Y12" s="2385"/>
      <c r="Z12" s="2385"/>
      <c r="AA12" s="2385"/>
      <c r="AB12" s="2386"/>
      <c r="AC12" s="351">
        <f>Pareto!D222</f>
        <v>3.8426939080240051E-2</v>
      </c>
      <c r="AD12" s="352">
        <f>Pareto!E222</f>
        <v>0.64704250191764034</v>
      </c>
      <c r="AE12" s="353" cm="1">
        <f t="array" ref="AE12">IFERROR(INDEX($U$31:$U$144,MATCH(1,($AQ$31:$AQ$144=X12)*($T$31:$T$144="Previsto"), 0) ), "")</f>
        <v>1</v>
      </c>
      <c r="AF12" s="353" cm="1">
        <f t="array" ref="AF12">IFERROR( INDEX($U$31:$U$144,MATCH(1,($AQ$31:$AQ$144=X12)*($T$31:$T$144="Real"),0)),"")</f>
        <v>1</v>
      </c>
      <c r="AG12" s="373" t="str">
        <f t="shared" si="6"/>
        <v>CONCLUÍDO</v>
      </c>
      <c r="AH12" s="353">
        <f t="shared" si="3"/>
        <v>0</v>
      </c>
      <c r="AI12" s="496">
        <f t="shared" si="4"/>
        <v>46174</v>
      </c>
      <c r="AJ12" s="47"/>
      <c r="AK12" s="47"/>
      <c r="AL12" s="47"/>
      <c r="AM12" s="47"/>
    </row>
    <row r="13" spans="1:41" ht="20.85" customHeight="1" x14ac:dyDescent="0.3">
      <c r="A13" s="481" t="s">
        <v>92</v>
      </c>
      <c r="B13" s="17">
        <f>COUNTIF($A$31:$A$144,A13)</f>
        <v>1</v>
      </c>
      <c r="C13" s="18">
        <f>SUMIF($A$31:$A$144,A13,$I$31:$I$144)</f>
        <v>0</v>
      </c>
      <c r="D13" s="18">
        <f>SUMIF($A$31:$A$144,A13,$N$31:$N$144)</f>
        <v>0</v>
      </c>
      <c r="E13" s="915">
        <f>SUMIFS($AL$31:$AL$144,$T$31:$T$144,"Real",$AT$31:$AT$144,A13)</f>
        <v>0</v>
      </c>
      <c r="F13" s="20"/>
      <c r="G13" s="20"/>
      <c r="H13" s="20"/>
      <c r="I13" s="20"/>
      <c r="J13" s="20"/>
      <c r="K13" s="397" t="s">
        <v>2500</v>
      </c>
      <c r="L13" s="398">
        <f t="shared" si="7"/>
        <v>18</v>
      </c>
      <c r="M13" s="399">
        <f t="shared" si="8"/>
        <v>7347367.1600000001</v>
      </c>
      <c r="N13" s="20"/>
      <c r="O13" s="47"/>
      <c r="P13" s="47"/>
      <c r="Q13" s="47"/>
      <c r="R13" s="354">
        <v>8</v>
      </c>
      <c r="S13" s="379" t="str">
        <f t="shared" si="0"/>
        <v>Redução de custo</v>
      </c>
      <c r="T13" s="355">
        <f t="shared" si="5"/>
        <v>500000</v>
      </c>
      <c r="U13" s="437">
        <f t="shared" si="1"/>
        <v>0</v>
      </c>
      <c r="V13" s="355" cm="1">
        <f t="array" aca="1" ref="V13" ca="1">SUMPRODUCT(($D$31:$D$144=X13)*(V$30:$AJ$30&lt;EOMONTH(TODAY(),-1)+1)*(ISNUMBER(V$31:$AJ$144)),V$31:$AJ$144)</f>
        <v>0</v>
      </c>
      <c r="W13" s="509" t="e" cm="1">
        <f t="array" aca="1" ref="W13" ca="1">SUMPRODUCT(($D$31:$D$144=X13)*(V$30:$AJ$30&lt;=TODAY())*(ISNUMBER(S$32:$AG$145)),S$32:$AG$145)</f>
        <v>#REF!</v>
      </c>
      <c r="X13" s="1420" t="str">
        <f t="shared" si="2"/>
        <v>Viabilizar Material Alternativo de Menor Custo para Utilização na Carcaça da Scania</v>
      </c>
      <c r="Y13" s="1421"/>
      <c r="Z13" s="1421"/>
      <c r="AA13" s="1421"/>
      <c r="AB13" s="1422"/>
      <c r="AC13" s="356">
        <f>Pareto!D223</f>
        <v>3.3545235184744872E-2</v>
      </c>
      <c r="AD13" s="357">
        <f>Pareto!E223</f>
        <v>0.68058773710238518</v>
      </c>
      <c r="AE13" s="358" cm="1">
        <f t="array" ref="AE13">IFERROR(INDEX($U$31:$U$144,MATCH(1,($AQ$31:$AQ$144=X13)*($T$31:$T$144="Previsto"), 0) ), "")</f>
        <v>1</v>
      </c>
      <c r="AF13" s="358" cm="1">
        <f t="array" ref="AF13">IFERROR( INDEX($U$31:$U$144,MATCH(1,($AQ$31:$AQ$144=X13)*($T$31:$T$144="Real"),0)),"")</f>
        <v>1</v>
      </c>
      <c r="AG13" s="374" t="str">
        <f t="shared" si="6"/>
        <v>CONCLUÍDO</v>
      </c>
      <c r="AH13" s="358">
        <f t="shared" si="3"/>
        <v>0</v>
      </c>
      <c r="AI13" s="497">
        <f t="shared" si="4"/>
        <v>46447</v>
      </c>
      <c r="AJ13" s="47"/>
      <c r="AK13" s="47"/>
      <c r="AL13" s="47"/>
      <c r="AM13" s="47"/>
    </row>
    <row r="14" spans="1:41" ht="20.85" customHeight="1" x14ac:dyDescent="0.3">
      <c r="A14" s="173"/>
      <c r="B14" s="174">
        <f>SUM(B9:B13)</f>
        <v>49</v>
      </c>
      <c r="C14" s="30">
        <f>SUM(C10:C13)</f>
        <v>15589000.420000002</v>
      </c>
      <c r="D14" s="30">
        <f>SUM(D10:D13)</f>
        <v>4765049.3</v>
      </c>
      <c r="E14" s="61">
        <f>SUM(E6:E12)</f>
        <v>1282436.3115068004</v>
      </c>
      <c r="F14" s="20"/>
      <c r="G14" s="20"/>
      <c r="H14" s="20"/>
      <c r="I14" s="20" t="s">
        <v>2501</v>
      </c>
      <c r="J14" s="20"/>
      <c r="K14" s="20"/>
      <c r="L14" s="20"/>
      <c r="M14" s="20"/>
      <c r="N14" s="20"/>
      <c r="O14" s="47"/>
      <c r="P14" s="47"/>
      <c r="Q14" s="47"/>
      <c r="R14" s="349">
        <v>9</v>
      </c>
      <c r="S14" s="380" t="str">
        <f t="shared" si="0"/>
        <v>Redução de Custo</v>
      </c>
      <c r="T14" s="350">
        <f t="shared" si="5"/>
        <v>437338</v>
      </c>
      <c r="U14" s="436">
        <f t="shared" si="1"/>
        <v>0</v>
      </c>
      <c r="V14" s="350" cm="1">
        <f t="array" aca="1" ref="V14" ca="1">SUMPRODUCT(($D$31:$D$144=X14)*(V$30:$AJ$30&lt;EOMONTH(TODAY(),-1)+1)*(ISNUMBER(V$31:$AJ$144)),V$31:$AJ$144)</f>
        <v>0</v>
      </c>
      <c r="W14" s="508" t="e" cm="1">
        <f t="array" aca="1" ref="W14" ca="1">SUMPRODUCT(($D$31:$D$144=X14)*(V$30:$AJ$30&lt;=TODAY())*(ISNUMBER(S$32:$AG$145)),S$32:$AG$145)</f>
        <v>#REF!</v>
      </c>
      <c r="X14" s="2384" t="str">
        <f t="shared" si="2"/>
        <v>Nacionalização RIBE - 
Item 75640 (Pino Rebite M6 x 16)</v>
      </c>
      <c r="Y14" s="2385"/>
      <c r="Z14" s="2385"/>
      <c r="AA14" s="2385"/>
      <c r="AB14" s="2386"/>
      <c r="AC14" s="351">
        <f>Pareto!D224</f>
        <v>2.9341212130451905E-2</v>
      </c>
      <c r="AD14" s="352">
        <f>Pareto!E224</f>
        <v>0.70992894923283711</v>
      </c>
      <c r="AE14" s="353" cm="1">
        <f t="array" ref="AE14">IFERROR(INDEX($U$31:$U$144,MATCH(1,($AQ$31:$AQ$144=X14)*($T$31:$T$144="Previsto"), 0) ), "")</f>
        <v>0.65217391304347827</v>
      </c>
      <c r="AF14" s="353" cm="1">
        <f t="array" ref="AF14">IFERROR( INDEX($U$31:$U$144,MATCH(1,($AQ$31:$AQ$144=X14)*($T$31:$T$144="Real"),0)),"")</f>
        <v>0.69565217391304346</v>
      </c>
      <c r="AG14" s="373" t="str">
        <f t="shared" si="6"/>
        <v>ADIANTADO</v>
      </c>
      <c r="AH14" s="353">
        <f t="shared" si="3"/>
        <v>0</v>
      </c>
      <c r="AI14" s="496">
        <f t="shared" si="4"/>
        <v>46371</v>
      </c>
      <c r="AJ14" s="47"/>
      <c r="AK14" s="47"/>
      <c r="AL14" s="47"/>
      <c r="AM14" s="47"/>
    </row>
    <row r="15" spans="1:41" ht="20.85" customHeight="1" x14ac:dyDescent="0.3">
      <c r="A15" s="325"/>
      <c r="B15" s="326"/>
      <c r="C15" s="327"/>
      <c r="D15" s="328"/>
      <c r="E15" s="328"/>
      <c r="F15" s="29"/>
      <c r="G15" s="20"/>
      <c r="H15" s="20"/>
      <c r="I15" s="20"/>
      <c r="J15" s="20"/>
      <c r="K15" s="20"/>
      <c r="L15" s="20"/>
      <c r="M15" s="20"/>
      <c r="N15" s="20"/>
      <c r="O15" s="29"/>
      <c r="P15" s="47"/>
      <c r="Q15" s="47"/>
      <c r="R15" s="354">
        <v>10</v>
      </c>
      <c r="S15" s="379" t="str">
        <f t="shared" si="0"/>
        <v>Redução de Custo</v>
      </c>
      <c r="T15" s="355">
        <f t="shared" si="5"/>
        <v>408000</v>
      </c>
      <c r="U15" s="437">
        <f t="shared" si="1"/>
        <v>0</v>
      </c>
      <c r="V15" s="355" cm="1">
        <f t="array" aca="1" ref="V15" ca="1">SUMPRODUCT(($D$31:$D$144=X15)*(V$30:$AJ$30&lt;EOMONTH(TODAY(),-1)+1)*(ISNUMBER(V$31:$AJ$144)),V$31:$AJ$144)</f>
        <v>0</v>
      </c>
      <c r="W15" s="509" t="e" cm="1">
        <f t="array" aca="1" ref="W15" ca="1">SUMPRODUCT(($D$31:$D$144=X15)*(V$30:$AJ$30&lt;=TODAY())*(ISNUMBER(S$32:$AG$145)),S$32:$AG$145)</f>
        <v>#REF!</v>
      </c>
      <c r="X15" s="1420" t="str">
        <f t="shared" si="2"/>
        <v>Venda de Equipamentos</v>
      </c>
      <c r="Y15" s="1421"/>
      <c r="Z15" s="1421"/>
      <c r="AA15" s="1421"/>
      <c r="AB15" s="1422"/>
      <c r="AC15" s="356">
        <f>Pareto!D225</f>
        <v>2.7372911910751814E-2</v>
      </c>
      <c r="AD15" s="357">
        <f>Pareto!E225</f>
        <v>0.73730186114358898</v>
      </c>
      <c r="AE15" s="358" cm="1">
        <f t="array" ref="AE15">IFERROR(INDEX($U$31:$U$144,MATCH(1,($AQ$31:$AQ$144=X15)*($T$31:$T$144="Previsto"), 0) ), "")</f>
        <v>1</v>
      </c>
      <c r="AF15" s="358" cm="1">
        <f t="array" ref="AF15">IFERROR( INDEX($U$31:$U$144,MATCH(1,($AQ$31:$AQ$144=X15)*($T$31:$T$144="Real"),0)),"")</f>
        <v>1</v>
      </c>
      <c r="AG15" s="374" t="str">
        <f>IF(OR(AE15="",AF15=""),"",IF(AF15=100%,"CONCLUÍDO",IF(AF15=0,IF(AE15=0,"PROJETO NÃO INICIADO","FALTA DE ACOMPANHAMENTO"),IF(AF15&gt;AE15,"ADIANTADO",IF(AF15=AE15,"CONFORME PLANEJADO","ATRASO")))))</f>
        <v>CONCLUÍDO</v>
      </c>
      <c r="AH15" s="358">
        <f t="shared" si="3"/>
        <v>0</v>
      </c>
      <c r="AI15" s="497">
        <f t="shared" si="4"/>
        <v>46357</v>
      </c>
      <c r="AJ15" s="47"/>
      <c r="AK15" s="47"/>
      <c r="AL15" s="47"/>
      <c r="AM15" s="47"/>
    </row>
    <row r="16" spans="1:41" ht="20.85" customHeight="1" x14ac:dyDescent="0.3">
      <c r="A16" s="325"/>
      <c r="B16" s="326"/>
      <c r="C16" s="327"/>
      <c r="D16" s="328"/>
      <c r="E16" s="328"/>
      <c r="F16" s="29"/>
      <c r="G16" s="20"/>
      <c r="H16" s="20"/>
      <c r="I16" s="20"/>
      <c r="J16" s="20"/>
      <c r="K16" s="20"/>
      <c r="L16" s="20"/>
      <c r="M16" s="20"/>
      <c r="N16" s="20"/>
      <c r="O16" s="47"/>
      <c r="P16" s="47"/>
      <c r="Q16" s="47"/>
      <c r="R16" s="349">
        <v>11</v>
      </c>
      <c r="S16" s="380" t="str">
        <f t="shared" si="0"/>
        <v>Redução de custo</v>
      </c>
      <c r="T16" s="350">
        <f t="shared" si="5"/>
        <v>372095</v>
      </c>
      <c r="U16" s="436">
        <f t="shared" si="1"/>
        <v>0</v>
      </c>
      <c r="V16" s="350" cm="1">
        <f t="array" aca="1" ref="V16" ca="1">SUMPRODUCT(($D$31:$D$144=X16)*(V$30:$AJ$30&lt;EOMONTH(TODAY(),-1)+1)*(ISNUMBER(V$31:$AJ$144)),V$31:$AJ$144)</f>
        <v>62015.833333333336</v>
      </c>
      <c r="W16" s="508" t="e" cm="1">
        <f t="array" aca="1" ref="W16" ca="1">SUMPRODUCT(($D$31:$D$144=X16)*(V$30:$AJ$30&lt;=TODAY())*(ISNUMBER(S$32:$AG$145)),S$32:$AG$145)</f>
        <v>#REF!</v>
      </c>
      <c r="X16" s="2384" t="str">
        <f t="shared" si="2"/>
        <v>Redução de custo Porca 73189 da curva A</v>
      </c>
      <c r="Y16" s="2385"/>
      <c r="Z16" s="2385"/>
      <c r="AA16" s="2385"/>
      <c r="AB16" s="2386"/>
      <c r="AC16" s="351">
        <f>Pareto!D226</f>
        <v>2.4964028572135283E-2</v>
      </c>
      <c r="AD16" s="352">
        <f>Pareto!E226</f>
        <v>0.76226588971572429</v>
      </c>
      <c r="AE16" s="353" cm="1">
        <f t="array" ref="AE16">IFERROR(INDEX($U$31:$U$144,MATCH(1,($AQ$31:$AQ$144=X16)*($T$31:$T$144="Previsto"), 0) ), "")</f>
        <v>1</v>
      </c>
      <c r="AF16" s="353" cm="1">
        <f t="array" ref="AF16">IFERROR( INDEX($U$31:$U$144,MATCH(1,($AQ$31:$AQ$144=X16)*($T$31:$T$144="Real"),0)),"")</f>
        <v>0.96</v>
      </c>
      <c r="AG16" s="373" t="str">
        <f t="shared" si="6"/>
        <v>ATRASO</v>
      </c>
      <c r="AH16" s="353">
        <f t="shared" si="3"/>
        <v>0</v>
      </c>
      <c r="AI16" s="496">
        <f t="shared" si="4"/>
        <v>46222</v>
      </c>
      <c r="AJ16" s="47"/>
      <c r="AK16" s="47"/>
      <c r="AL16" s="47"/>
      <c r="AM16" s="47"/>
    </row>
    <row r="17" spans="1:49" ht="20.85" customHeight="1" x14ac:dyDescent="0.3">
      <c r="A17" s="325"/>
      <c r="B17" s="326"/>
      <c r="C17" s="327"/>
      <c r="D17" s="328"/>
      <c r="E17" s="20"/>
      <c r="F17" s="29"/>
      <c r="G17" s="20"/>
      <c r="H17" s="20"/>
      <c r="I17" s="20"/>
      <c r="J17" s="20"/>
      <c r="K17" s="20"/>
      <c r="L17" s="20"/>
      <c r="M17" s="20"/>
      <c r="N17" s="20"/>
      <c r="O17" s="47" t="s">
        <v>95</v>
      </c>
      <c r="P17" s="832">
        <f>SUMIF($C$31:$C$144,O17,$N$31:$N$144)</f>
        <v>4182614.05</v>
      </c>
      <c r="Q17" s="47"/>
      <c r="R17" s="354">
        <v>12</v>
      </c>
      <c r="S17" s="379" t="str">
        <f t="shared" si="0"/>
        <v>Redução de Custo</v>
      </c>
      <c r="T17" s="355">
        <f t="shared" si="5"/>
        <v>364573</v>
      </c>
      <c r="U17" s="437">
        <f t="shared" si="1"/>
        <v>0</v>
      </c>
      <c r="V17" s="355" cm="1">
        <f t="array" aca="1" ref="V17" ca="1">SUMPRODUCT(($D$31:$D$144=X17)*(V$30:$AJ$30&lt;EOMONTH(TODAY(),-1)+1)*(ISNUMBER(V$31:$AJ$144)),V$31:$AJ$144)</f>
        <v>0</v>
      </c>
      <c r="W17" s="509" t="e" cm="1">
        <f t="array" aca="1" ref="W17" ca="1">SUMPRODUCT(($D$31:$D$144=X17)*(V$30:$AJ$30&lt;=TODAY())*(ISNUMBER(S$32:$AG$145)),S$32:$AG$145)</f>
        <v>#REF!</v>
      </c>
      <c r="X17" s="1420" t="str">
        <f t="shared" si="2"/>
        <v>Projeto DANA - Fornecimento MTL</v>
      </c>
      <c r="Y17" s="1421"/>
      <c r="Z17" s="1421"/>
      <c r="AA17" s="1421"/>
      <c r="AB17" s="1422"/>
      <c r="AC17" s="356">
        <f>Pareto!D227</f>
        <v>2.4459374054015982E-2</v>
      </c>
      <c r="AD17" s="357">
        <f>Pareto!E227</f>
        <v>0.78672526376974028</v>
      </c>
      <c r="AE17" s="358" cm="1">
        <f t="array" ref="AE17">IFERROR(INDEX($U$31:$U$144,MATCH(1,($AQ$31:$AQ$144=X17)*($T$31:$T$144="Previsto"), 0) ), "")</f>
        <v>0.39191919191919189</v>
      </c>
      <c r="AF17" s="358" cm="1">
        <f t="array" ref="AF17">IFERROR( INDEX($U$31:$U$144,MATCH(1,($AQ$31:$AQ$144=X17)*($T$31:$T$144="Real"),0)),"")</f>
        <v>0.39679999999999999</v>
      </c>
      <c r="AG17" s="374" t="str">
        <f t="shared" si="6"/>
        <v>ADIANTADO</v>
      </c>
      <c r="AH17" s="358">
        <f t="shared" si="3"/>
        <v>0</v>
      </c>
      <c r="AI17" s="497">
        <f t="shared" si="4"/>
        <v>46366</v>
      </c>
      <c r="AJ17" s="47"/>
      <c r="AK17" s="47"/>
      <c r="AL17" s="47"/>
      <c r="AM17" s="47"/>
    </row>
    <row r="18" spans="1:49" ht="20.85" customHeight="1" x14ac:dyDescent="0.3">
      <c r="A18" s="325"/>
      <c r="B18" s="326"/>
      <c r="C18" s="327"/>
      <c r="D18" s="328"/>
      <c r="E18" s="20"/>
      <c r="F18" s="29"/>
      <c r="G18" s="20"/>
      <c r="H18" s="20"/>
      <c r="I18" s="20"/>
      <c r="J18" s="20"/>
      <c r="K18" s="20"/>
      <c r="L18" s="20"/>
      <c r="M18" s="20"/>
      <c r="N18" s="20"/>
      <c r="O18" s="47" t="s">
        <v>97</v>
      </c>
      <c r="P18" s="832">
        <f>SUMIF($C$31:$C$144,O18,$N$31:$N$144)</f>
        <v>188115.25</v>
      </c>
      <c r="Q18" s="47"/>
      <c r="R18" s="349">
        <v>13</v>
      </c>
      <c r="S18" s="380" t="str">
        <f t="shared" si="0"/>
        <v>Redução de custo</v>
      </c>
      <c r="T18" s="350">
        <f t="shared" si="5"/>
        <v>353954</v>
      </c>
      <c r="U18" s="436">
        <f t="shared" si="1"/>
        <v>0</v>
      </c>
      <c r="V18" s="350" cm="1">
        <f t="array" aca="1" ref="V18" ca="1">SUMPRODUCT(($D$31:$D$144=X18)*(V$30:$AJ$30&lt;EOMONTH(TODAY(),-1)+1)*(ISNUMBER(V$31:$AJ$144)),V$31:$AJ$144)</f>
        <v>0</v>
      </c>
      <c r="W18" s="508" t="e" cm="1">
        <f t="array" aca="1" ref="W18" ca="1">SUMPRODUCT(($D$31:$D$144=X18)*(V$30:$AJ$30&lt;=TODAY())*(ISNUMBER(S$32:$AG$145)),S$32:$AG$145)</f>
        <v>#REF!</v>
      </c>
      <c r="X18" s="2384" t="str">
        <f t="shared" si="2"/>
        <v>Recuperação de valores - Água</v>
      </c>
      <c r="Y18" s="2385"/>
      <c r="Z18" s="2385"/>
      <c r="AA18" s="2385"/>
      <c r="AB18" s="2386"/>
      <c r="AC18" s="351">
        <f>Pareto!D228</f>
        <v>2.374694034916237E-2</v>
      </c>
      <c r="AD18" s="352">
        <f>Pareto!E228</f>
        <v>0.81047220411890264</v>
      </c>
      <c r="AE18" s="353" cm="1">
        <f t="array" ref="AE18">IFERROR(INDEX($U$31:$U$144,MATCH(1,($AQ$31:$AQ$144=X18)*($T$31:$T$144="Previsto"), 0) ), "")</f>
        <v>0.33779755283648499</v>
      </c>
      <c r="AF18" s="353" cm="1">
        <f t="array" ref="AF18">IFERROR( INDEX($U$31:$U$144,MATCH(1,($AQ$31:$AQ$144=X18)*($T$31:$T$144="Real"),0)),"")</f>
        <v>0.42499999999999999</v>
      </c>
      <c r="AG18" s="373" t="str">
        <f t="shared" si="6"/>
        <v>ADIANTADO</v>
      </c>
      <c r="AH18" s="353">
        <f t="shared" si="3"/>
        <v>0</v>
      </c>
      <c r="AI18" s="496">
        <f t="shared" si="4"/>
        <v>46539</v>
      </c>
      <c r="AJ18" s="47"/>
      <c r="AK18" s="47"/>
      <c r="AL18" s="47"/>
      <c r="AM18" s="47"/>
    </row>
    <row r="19" spans="1:49" ht="20.85" customHeight="1" x14ac:dyDescent="0.3">
      <c r="A19" s="325"/>
      <c r="B19" s="326"/>
      <c r="C19" s="327"/>
      <c r="D19" s="328"/>
      <c r="E19" s="20"/>
      <c r="F19" s="29"/>
      <c r="G19" s="20"/>
      <c r="H19" s="20"/>
      <c r="I19" s="20"/>
      <c r="J19" s="20"/>
      <c r="K19" s="20"/>
      <c r="L19" s="20"/>
      <c r="M19" s="20"/>
      <c r="N19" s="20"/>
      <c r="O19" s="47" t="s">
        <v>99</v>
      </c>
      <c r="P19" s="832">
        <f>SUMIF($C$31:$C$144,O19,$N$31:$N$144)</f>
        <v>394320</v>
      </c>
      <c r="Q19" s="47"/>
      <c r="R19" s="354">
        <v>14</v>
      </c>
      <c r="S19" s="379" t="str">
        <f t="shared" si="0"/>
        <v>Redução de custo</v>
      </c>
      <c r="T19" s="355">
        <f t="shared" si="5"/>
        <v>317391</v>
      </c>
      <c r="U19" s="437">
        <f t="shared" si="1"/>
        <v>0</v>
      </c>
      <c r="V19" s="355" cm="1">
        <f t="array" aca="1" ref="V19" ca="1">SUMPRODUCT(($D$31:$D$144=X19)*(V$30:$AJ$30&lt;EOMONTH(TODAY(),-1)+1)*(ISNUMBER(V$31:$AJ$144)),V$31:$AJ$144)</f>
        <v>158695.5</v>
      </c>
      <c r="W19" s="509" t="e" cm="1">
        <f t="array" aca="1" ref="W19" ca="1">SUMPRODUCT(($D$31:$D$144=X19)*(V$30:$AJ$30&lt;=TODAY())*(ISNUMBER(S$32:$AG$145)),S$32:$AG$145)</f>
        <v>#REF!</v>
      </c>
      <c r="X19" s="1420" t="str">
        <f t="shared" si="2"/>
        <v>Viabilizar itens Usiminas via Gonvarri-Full Service</v>
      </c>
      <c r="Y19" s="1421"/>
      <c r="Z19" s="1421"/>
      <c r="AA19" s="1421"/>
      <c r="AB19" s="1422"/>
      <c r="AC19" s="356">
        <f>Pareto!D229</f>
        <v>2.1293911481042718E-2</v>
      </c>
      <c r="AD19" s="357">
        <f>Pareto!E229</f>
        <v>0.8317661155999454</v>
      </c>
      <c r="AE19" s="358" cm="1">
        <f t="array" ref="AE19">IFERROR(INDEX($U$31:$U$144,MATCH(1,($AQ$31:$AQ$144=X19)*($T$31:$T$144="Previsto"), 0) ), "")</f>
        <v>1</v>
      </c>
      <c r="AF19" s="358" cm="1">
        <f t="array" ref="AF19">IFERROR( INDEX($U$31:$U$144,MATCH(1,($AQ$31:$AQ$144=X19)*($T$31:$T$144="Real"),0)),"")</f>
        <v>1</v>
      </c>
      <c r="AG19" s="374" t="str">
        <f t="shared" si="6"/>
        <v>CONCLUÍDO</v>
      </c>
      <c r="AH19" s="358">
        <f t="shared" si="3"/>
        <v>0</v>
      </c>
      <c r="AI19" s="497">
        <f t="shared" si="4"/>
        <v>46082</v>
      </c>
      <c r="AJ19" s="47"/>
      <c r="AK19" s="47"/>
      <c r="AL19" s="47"/>
      <c r="AM19" s="47"/>
    </row>
    <row r="20" spans="1:49" ht="20.85" customHeight="1" x14ac:dyDescent="0.3">
      <c r="A20" s="325"/>
      <c r="B20" s="326"/>
      <c r="C20" s="327"/>
      <c r="D20" s="328"/>
      <c r="E20" s="20"/>
      <c r="F20" s="29"/>
      <c r="G20" s="20"/>
      <c r="H20" s="20"/>
      <c r="I20" s="20"/>
      <c r="J20" s="20"/>
      <c r="K20" s="20"/>
      <c r="L20" s="20"/>
      <c r="M20" s="20"/>
      <c r="N20" s="20"/>
      <c r="O20" s="47" t="s">
        <v>101</v>
      </c>
      <c r="P20" s="832">
        <f>SUMIF($C$31:$C$144,O20,$N$31:$N$144)</f>
        <v>0</v>
      </c>
      <c r="Q20" s="47"/>
      <c r="R20" s="349">
        <v>15</v>
      </c>
      <c r="S20" s="380" t="str">
        <f t="shared" si="0"/>
        <v>Redução de custo</v>
      </c>
      <c r="T20" s="350">
        <f t="shared" si="5"/>
        <v>274259.52</v>
      </c>
      <c r="U20" s="436">
        <f t="shared" si="1"/>
        <v>0</v>
      </c>
      <c r="V20" s="350" cm="1">
        <f t="array" aca="1" ref="V20" ca="1">SUMPRODUCT(($D$31:$D$144=X20)*(V$30:$AJ$30&lt;EOMONTH(TODAY(),-1)+1)*(ISNUMBER(V$31:$AJ$144)),V$31:$AJ$144)</f>
        <v>78359.862857142856</v>
      </c>
      <c r="W20" s="508" t="e" cm="1">
        <f t="array" aca="1" ref="W20" ca="1">SUMPRODUCT(($D$31:$D$144=X20)*(V$30:$AJ$30&lt;=TODAY())*(ISNUMBER(S$32:$AG$145)),S$32:$AG$145)</f>
        <v>#REF!</v>
      </c>
      <c r="X20" s="2384" t="str">
        <f t="shared" si="2"/>
        <v>Troca de fonte do arame de solda de Belgo para Gerdau</v>
      </c>
      <c r="Y20" s="2385"/>
      <c r="Z20" s="2385"/>
      <c r="AA20" s="2385"/>
      <c r="AB20" s="2386"/>
      <c r="AC20" s="351">
        <f>Pareto!D230</f>
        <v>1.8400200200110479E-2</v>
      </c>
      <c r="AD20" s="352">
        <f>Pareto!E230</f>
        <v>0.85016631580005586</v>
      </c>
      <c r="AE20" s="353" cm="1">
        <f t="array" ref="AE20">IFERROR(INDEX($U$31:$U$144,MATCH(1,($AQ$31:$AQ$144=X20)*($T$31:$T$144="Previsto"), 0) ), "")</f>
        <v>1</v>
      </c>
      <c r="AF20" s="353" cm="1">
        <f t="array" ref="AF20">IFERROR( INDEX($U$31:$U$144,MATCH(1,($AQ$31:$AQ$144=X20)*($T$31:$T$144="Real"),0)),"")</f>
        <v>1</v>
      </c>
      <c r="AG20" s="373" t="str">
        <f t="shared" si="6"/>
        <v>CONCLUÍDO</v>
      </c>
      <c r="AH20" s="353">
        <f t="shared" si="3"/>
        <v>0</v>
      </c>
      <c r="AI20" s="496">
        <f t="shared" si="4"/>
        <v>46174</v>
      </c>
      <c r="AJ20" s="47"/>
      <c r="AK20" s="47"/>
      <c r="AL20" s="47"/>
      <c r="AM20" s="47"/>
    </row>
    <row r="21" spans="1:49" ht="20.85" customHeight="1" x14ac:dyDescent="0.3">
      <c r="A21" s="325"/>
      <c r="B21" s="326"/>
      <c r="C21" s="327"/>
      <c r="D21" s="328"/>
      <c r="E21" s="20"/>
      <c r="F21" s="29"/>
      <c r="G21" s="20"/>
      <c r="H21" s="20"/>
      <c r="I21" s="20"/>
      <c r="J21" s="20"/>
      <c r="K21" s="20"/>
      <c r="L21" s="20"/>
      <c r="M21" s="20"/>
      <c r="N21" s="20"/>
      <c r="O21" s="47"/>
      <c r="P21" s="47"/>
      <c r="Q21" s="47"/>
      <c r="R21" s="354">
        <v>16</v>
      </c>
      <c r="S21" s="379" t="str">
        <f t="shared" si="0"/>
        <v>Redução de Custo</v>
      </c>
      <c r="T21" s="355">
        <f t="shared" si="5"/>
        <v>226617</v>
      </c>
      <c r="U21" s="437">
        <f t="shared" si="1"/>
        <v>0</v>
      </c>
      <c r="V21" s="355" cm="1">
        <f t="array" aca="1" ref="V21" ca="1">SUMPRODUCT(($D$31:$D$144=X21)*(V$30:$AJ$30&lt;EOMONTH(TODAY(),-1)+1)*(ISNUMBER(V$31:$AJ$144)),V$31:$AJ$144)</f>
        <v>0</v>
      </c>
      <c r="W21" s="509" t="e" cm="1">
        <f t="array" aca="1" ref="W21" ca="1">SUMPRODUCT(($D$31:$D$144=X21)*(V$30:$AJ$30&lt;=TODAY())*(ISNUMBER(S$32:$AG$145)),S$32:$AG$145)</f>
        <v>#REF!</v>
      </c>
      <c r="X21" s="1420" t="str">
        <f t="shared" si="2"/>
        <v>MIGRAÇÃO ITENS CSN PARA ARCELOR MITTAL</v>
      </c>
      <c r="Y21" s="1421"/>
      <c r="Z21" s="1421"/>
      <c r="AA21" s="1421"/>
      <c r="AB21" s="1422"/>
      <c r="AC21" s="356">
        <f>Pareto!D231</f>
        <v>1.5203841123722656E-2</v>
      </c>
      <c r="AD21" s="357">
        <f>Pareto!E231</f>
        <v>0.8653701569237785</v>
      </c>
      <c r="AE21" s="358" cm="1">
        <f t="array" ref="AE21">IFERROR(INDEX($U$31:$U$144,MATCH(1,($AQ$31:$AQ$144=X21)*($T$31:$T$144="Previsto"), 0) ), "")</f>
        <v>0.60441441441441435</v>
      </c>
      <c r="AF21" s="358" cm="1">
        <f t="array" ref="AF21">IFERROR( INDEX($U$31:$U$144,MATCH(1,($AQ$31:$AQ$144=X21)*($T$31:$T$144="Real"),0)),"")</f>
        <v>0.61</v>
      </c>
      <c r="AG21" s="374" t="str">
        <f t="shared" si="6"/>
        <v>ADIANTADO</v>
      </c>
      <c r="AH21" s="358">
        <f t="shared" si="3"/>
        <v>0</v>
      </c>
      <c r="AI21" s="497">
        <f t="shared" si="4"/>
        <v>46366</v>
      </c>
      <c r="AJ21" s="47"/>
      <c r="AK21" s="47"/>
      <c r="AL21" s="1409" t="s">
        <v>244</v>
      </c>
      <c r="AM21" s="1409"/>
    </row>
    <row r="22" spans="1:49" ht="20.85" customHeight="1" x14ac:dyDescent="0.3">
      <c r="A22" s="325"/>
      <c r="B22" s="326"/>
      <c r="C22" s="327"/>
      <c r="D22" s="328"/>
      <c r="E22" s="20"/>
      <c r="F22" s="29"/>
      <c r="G22" s="20"/>
      <c r="H22" s="20"/>
      <c r="I22" s="20"/>
      <c r="J22" s="20"/>
      <c r="K22" s="20"/>
      <c r="L22" s="20"/>
      <c r="M22" s="20"/>
      <c r="N22" s="20"/>
      <c r="O22" s="47"/>
      <c r="P22" s="47"/>
      <c r="Q22" s="47"/>
      <c r="R22" s="349">
        <v>17</v>
      </c>
      <c r="S22" s="380" t="str">
        <f t="shared" si="0"/>
        <v>Redução de custo</v>
      </c>
      <c r="T22" s="350">
        <f t="shared" si="5"/>
        <v>219761</v>
      </c>
      <c r="U22" s="436">
        <f t="shared" si="1"/>
        <v>0</v>
      </c>
      <c r="V22" s="350" cm="1">
        <f t="array" aca="1" ref="V22" ca="1">SUMPRODUCT(($D$31:$D$144=X22)*(V$30:$AJ$30&lt;EOMONTH(TODAY(),-1)+1)*(ISNUMBER(V$31:$AJ$144)),V$31:$AJ$144)</f>
        <v>109880.5</v>
      </c>
      <c r="W22" s="508" t="e" cm="1">
        <f t="array" aca="1" ref="W22" ca="1">SUMPRODUCT(($D$31:$D$144=X22)*(V$30:$AJ$30&lt;=TODAY())*(ISNUMBER(S$32:$AG$145)),S$32:$AG$145)</f>
        <v>#REF!</v>
      </c>
      <c r="X22" s="2384" t="str">
        <f t="shared" si="2"/>
        <v>Resourcing Maletas Man (Mercante para Cartec)</v>
      </c>
      <c r="Y22" s="2385"/>
      <c r="Z22" s="2385"/>
      <c r="AA22" s="2385"/>
      <c r="AB22" s="2386"/>
      <c r="AC22" s="351">
        <f>Pareto!D232</f>
        <v>1.4743868858869434E-2</v>
      </c>
      <c r="AD22" s="352">
        <f>Pareto!E232</f>
        <v>0.88011402578264797</v>
      </c>
      <c r="AE22" s="353" cm="1">
        <f t="array" ref="AE22">IFERROR(INDEX($U$31:$U$144,MATCH(1,($AQ$31:$AQ$144=X22)*($T$31:$T$144="Previsto"), 0) ), "")</f>
        <v>1</v>
      </c>
      <c r="AF22" s="353" cm="1">
        <f t="array" ref="AF22">IFERROR( INDEX($U$31:$U$144,MATCH(1,($AQ$31:$AQ$144=X22)*($T$31:$T$144="Real"),0)),"")</f>
        <v>1</v>
      </c>
      <c r="AG22" s="373" t="str">
        <f t="shared" si="6"/>
        <v>CONCLUÍDO</v>
      </c>
      <c r="AH22" s="353">
        <f t="shared" si="3"/>
        <v>0</v>
      </c>
      <c r="AI22" s="496">
        <f t="shared" si="4"/>
        <v>46097</v>
      </c>
      <c r="AJ22" s="47"/>
      <c r="AK22" s="47"/>
      <c r="AL22" s="447" t="s">
        <v>249</v>
      </c>
      <c r="AM22" s="447" t="s">
        <v>250</v>
      </c>
    </row>
    <row r="23" spans="1:49" ht="20.85" customHeight="1" x14ac:dyDescent="0.3">
      <c r="A23" s="325"/>
      <c r="B23" s="326"/>
      <c r="C23" s="327"/>
      <c r="D23" s="328"/>
      <c r="E23" s="20"/>
      <c r="F23" s="29"/>
      <c r="G23" s="20"/>
      <c r="H23" s="20"/>
      <c r="I23" s="20"/>
      <c r="J23" s="20"/>
      <c r="K23" s="20"/>
      <c r="L23" s="20"/>
      <c r="M23" s="20"/>
      <c r="N23" s="20"/>
      <c r="O23" s="47"/>
      <c r="P23" s="47"/>
      <c r="Q23" s="47"/>
      <c r="R23" s="354">
        <v>18</v>
      </c>
      <c r="S23" s="379" t="str">
        <f t="shared" si="0"/>
        <v>Redução de Custo</v>
      </c>
      <c r="T23" s="355">
        <f t="shared" si="5"/>
        <v>214329</v>
      </c>
      <c r="U23" s="437">
        <f t="shared" si="1"/>
        <v>0</v>
      </c>
      <c r="V23" s="355" cm="1">
        <f t="array" aca="1" ref="V23" ca="1">SUMPRODUCT(($D$31:$D$144=X23)*(V$30:$AJ$30&lt;EOMONTH(TODAY(),-1)+1)*(ISNUMBER(V$31:$AJ$144)),V$31:$AJ$144)</f>
        <v>95257.333333333328</v>
      </c>
      <c r="W23" s="509" t="e" cm="1">
        <f t="array" aca="1" ref="W23" ca="1">SUMPRODUCT(($D$31:$D$144=X23)*(V$30:$AJ$30&lt;=TODAY())*(ISNUMBER(S$32:$AG$145)),S$32:$AG$145)</f>
        <v>#REF!</v>
      </c>
      <c r="X23" s="1420" t="str">
        <f t="shared" si="2"/>
        <v>Redução Itens Mercedes</v>
      </c>
      <c r="Y23" s="1421"/>
      <c r="Z23" s="1421"/>
      <c r="AA23" s="1421"/>
      <c r="AB23" s="1422"/>
      <c r="AC23" s="356">
        <f>Pareto!D233</f>
        <v>1.4379433423822367E-2</v>
      </c>
      <c r="AD23" s="357">
        <f>Pareto!E233</f>
        <v>0.89449345920647039</v>
      </c>
      <c r="AE23" s="358" cm="1">
        <f t="array" ref="AE23">IFERROR(INDEX($U$31:$U$144,MATCH(1,($AQ$31:$AQ$144=X23)*($T$31:$T$144="Previsto"), 0) ), "")</f>
        <v>1</v>
      </c>
      <c r="AF23" s="358" cm="1">
        <f t="array" ref="AF23">IFERROR( INDEX($U$31:$U$144,MATCH(1,($AQ$31:$AQ$144=X23)*($T$31:$T$144="Real"),0)),"")</f>
        <v>1</v>
      </c>
      <c r="AG23" s="374" t="str">
        <f t="shared" si="6"/>
        <v>CONCLUÍDO</v>
      </c>
      <c r="AH23" s="358">
        <f t="shared" si="3"/>
        <v>0</v>
      </c>
      <c r="AI23" s="497">
        <f t="shared" si="4"/>
        <v>46113</v>
      </c>
      <c r="AJ23" s="47"/>
      <c r="AK23" s="47"/>
      <c r="AL23" s="228" t="s">
        <v>26</v>
      </c>
      <c r="AM23" s="448">
        <f>SUMIF($AM$53:$AM$104,AL23,$AO$53:$AO$104)</f>
        <v>0</v>
      </c>
    </row>
    <row r="24" spans="1:49" ht="20.85" customHeight="1" x14ac:dyDescent="0.3">
      <c r="A24" s="325"/>
      <c r="B24" s="326"/>
      <c r="C24" s="327"/>
      <c r="D24" s="328"/>
      <c r="E24" s="20"/>
      <c r="F24" s="29"/>
      <c r="G24" s="20"/>
      <c r="H24" s="20"/>
      <c r="I24" s="20"/>
      <c r="J24" s="20"/>
      <c r="K24" s="20"/>
      <c r="L24" s="20"/>
      <c r="M24" s="20"/>
      <c r="N24" s="20"/>
      <c r="O24" s="47"/>
      <c r="P24" s="47"/>
      <c r="Q24" s="47"/>
      <c r="R24" s="349">
        <v>19</v>
      </c>
      <c r="S24" s="380" t="str">
        <f t="shared" si="0"/>
        <v>Redução de Custo</v>
      </c>
      <c r="T24" s="350">
        <f t="shared" si="5"/>
        <v>189797</v>
      </c>
      <c r="U24" s="436">
        <f t="shared" si="1"/>
        <v>0</v>
      </c>
      <c r="V24" s="350" cm="1">
        <f t="array" aca="1" ref="V24" ca="1">SUMPRODUCT(($D$31:$D$144=X24)*(V$30:$AJ$30&lt;EOMONTH(TODAY(),-1)+1)*(ISNUMBER(V$31:$AJ$144)),V$31:$AJ$144)</f>
        <v>0</v>
      </c>
      <c r="W24" s="508" t="e" cm="1">
        <f t="array" aca="1" ref="W24" ca="1">SUMPRODUCT(($D$31:$D$144=X24)*(V$30:$AJ$30&lt;=TODAY())*(ISNUMBER(S$32:$AG$145)),S$32:$AG$145)</f>
        <v>#REF!</v>
      </c>
      <c r="X24" s="2384" t="str">
        <f t="shared" si="2"/>
        <v>Negociação Mercante (Laser)</v>
      </c>
      <c r="Y24" s="2385"/>
      <c r="Z24" s="2385"/>
      <c r="AA24" s="2385"/>
      <c r="AB24" s="2386"/>
      <c r="AC24" s="351">
        <f>Pareto!D234</f>
        <v>1.2733570004718043E-2</v>
      </c>
      <c r="AD24" s="352">
        <f>Pareto!E234</f>
        <v>0.90722702921118847</v>
      </c>
      <c r="AE24" s="353" cm="1">
        <f t="array" ref="AE24">IFERROR(INDEX($U$31:$U$144,MATCH(1,($AQ$31:$AQ$144=X24)*($T$31:$T$144="Previsto"), 0) ), "")</f>
        <v>0.7142857142857143</v>
      </c>
      <c r="AF24" s="353" cm="1">
        <f t="array" ref="AF24">IFERROR( INDEX($U$31:$U$144,MATCH(1,($AQ$31:$AQ$144=X24)*($T$31:$T$144="Real"),0)),"")</f>
        <v>0.7142857142857143</v>
      </c>
      <c r="AG24" s="373" t="str">
        <f t="shared" si="6"/>
        <v>CONFORME PLANEJADO</v>
      </c>
      <c r="AH24" s="353">
        <f t="shared" si="3"/>
        <v>0</v>
      </c>
      <c r="AI24" s="496">
        <f t="shared" si="4"/>
        <v>46293</v>
      </c>
      <c r="AJ24" s="47"/>
      <c r="AK24" s="47"/>
      <c r="AL24" s="251" t="s">
        <v>27</v>
      </c>
      <c r="AM24" s="449">
        <f>SUMIF($AM$53:$AM$104,AL24,$AO$53:$AO$104)</f>
        <v>0</v>
      </c>
    </row>
    <row r="25" spans="1:49" ht="20.85" customHeight="1" x14ac:dyDescent="0.3">
      <c r="A25" s="325"/>
      <c r="B25" s="326"/>
      <c r="C25" s="327"/>
      <c r="D25" s="328"/>
      <c r="E25" s="20"/>
      <c r="F25" s="29"/>
      <c r="G25" s="20"/>
      <c r="H25" s="20"/>
      <c r="I25" s="20"/>
      <c r="J25" s="20"/>
      <c r="K25" s="20"/>
      <c r="L25" s="20"/>
      <c r="M25" s="20"/>
      <c r="N25" s="20"/>
      <c r="O25" s="47"/>
      <c r="P25" s="47"/>
      <c r="Q25" s="47"/>
      <c r="R25" s="354">
        <v>20</v>
      </c>
      <c r="S25" s="379" t="str">
        <f t="shared" si="0"/>
        <v>Redução de custo</v>
      </c>
      <c r="T25" s="355">
        <f t="shared" si="5"/>
        <v>171002</v>
      </c>
      <c r="U25" s="437">
        <f t="shared" si="1"/>
        <v>0</v>
      </c>
      <c r="V25" s="355" cm="1">
        <f t="array" aca="1" ref="V25" ca="1">SUMPRODUCT(($D$31:$D$144=X25)*(V$30:$AJ$30&lt;EOMONTH(TODAY(),-1)+1)*(ISNUMBER(V$31:$AJ$144)),V$31:$AJ$144)</f>
        <v>0</v>
      </c>
      <c r="W25" s="509" t="e" cm="1">
        <f t="array" aca="1" ref="W25" ca="1">SUMPRODUCT(($D$31:$D$144=X25)*(V$30:$AJ$30&lt;=TODAY())*(ISNUMBER(S$32:$AG$145)),S$32:$AG$145)</f>
        <v>#REF!</v>
      </c>
      <c r="X25" s="1420" t="str">
        <f t="shared" si="2"/>
        <v>Troca de fonte fita zebrada e etiqueta litografada</v>
      </c>
      <c r="Y25" s="1421"/>
      <c r="Z25" s="1421"/>
      <c r="AA25" s="1421"/>
      <c r="AB25" s="1422"/>
      <c r="AC25" s="356">
        <f>Pareto!D235</f>
        <v>1.1472604614123484E-2</v>
      </c>
      <c r="AD25" s="357">
        <f>Pareto!E235</f>
        <v>0.91869963382531195</v>
      </c>
      <c r="AE25" s="358" cm="1">
        <f t="array" ref="AE25">IFERROR(INDEX($U$31:$U$144,MATCH(1,($AQ$31:$AQ$144=X25)*($T$31:$T$144="Previsto"), 0) ), "")</f>
        <v>0.94117647058823528</v>
      </c>
      <c r="AF25" s="358" cm="1">
        <f t="array" ref="AF25">IFERROR( INDEX($U$31:$U$144,MATCH(1,($AQ$31:$AQ$144=X25)*($T$31:$T$144="Real"),0)),"")</f>
        <v>0.8529411764705882</v>
      </c>
      <c r="AG25" s="374" t="str">
        <f t="shared" si="6"/>
        <v>ATRASO</v>
      </c>
      <c r="AH25" s="358">
        <f t="shared" si="3"/>
        <v>0</v>
      </c>
      <c r="AI25" s="497">
        <f t="shared" si="4"/>
        <v>46433</v>
      </c>
      <c r="AJ25" s="47"/>
      <c r="AK25" s="47"/>
      <c r="AL25" s="228" t="s">
        <v>266</v>
      </c>
      <c r="AM25" s="448">
        <f>SUMIF($AM$53:$AM$104,AL25,$AO$53:$AO$104)</f>
        <v>0</v>
      </c>
    </row>
    <row r="26" spans="1:49" ht="20.85" customHeight="1" x14ac:dyDescent="0.3">
      <c r="A26" s="325"/>
      <c r="B26" s="326"/>
      <c r="C26" s="327"/>
      <c r="D26" s="328"/>
      <c r="E26" s="20"/>
      <c r="F26" s="29"/>
      <c r="G26" s="20"/>
      <c r="H26" s="20"/>
      <c r="I26" s="20"/>
      <c r="J26" s="20"/>
      <c r="K26" s="20"/>
      <c r="L26" s="20"/>
      <c r="M26" s="20"/>
      <c r="N26" s="20"/>
      <c r="O26" s="47"/>
      <c r="P26" s="47"/>
      <c r="Q26" s="47"/>
      <c r="R26" s="1461" t="s">
        <v>149</v>
      </c>
      <c r="S26" s="1462"/>
      <c r="T26" s="407">
        <f>SUM(T6:T25)</f>
        <v>13693444.52</v>
      </c>
      <c r="U26" s="407">
        <f>SUM(U6:U25)</f>
        <v>4095681.05</v>
      </c>
      <c r="V26" s="228"/>
      <c r="W26" s="228"/>
      <c r="X26" s="228"/>
      <c r="Y26" s="228"/>
      <c r="Z26" s="228"/>
      <c r="AA26" s="47"/>
      <c r="AB26" s="47"/>
      <c r="AC26" s="47"/>
      <c r="AD26" s="47"/>
      <c r="AE26" s="47"/>
      <c r="AF26" s="47"/>
      <c r="AG26" s="47"/>
      <c r="AH26" s="47"/>
      <c r="AI26" s="47"/>
      <c r="AJ26" s="47"/>
      <c r="AK26" s="47"/>
      <c r="AL26" s="251" t="s">
        <v>267</v>
      </c>
      <c r="AM26" s="449">
        <f>SUMIF($AM$53:$AM$104,AL26,$AO$53:$AO$104)</f>
        <v>0</v>
      </c>
    </row>
    <row r="27" spans="1:49" ht="20.85" customHeight="1" x14ac:dyDescent="0.3">
      <c r="A27" s="325"/>
      <c r="B27" s="326"/>
      <c r="C27" s="327"/>
      <c r="D27" s="328"/>
      <c r="E27" s="20"/>
      <c r="F27" s="29"/>
      <c r="G27" s="20"/>
      <c r="H27" s="20"/>
      <c r="I27" s="20"/>
      <c r="J27" s="20"/>
      <c r="K27" s="20"/>
      <c r="L27" s="20"/>
      <c r="M27" s="20"/>
      <c r="N27" s="20"/>
      <c r="O27" s="47"/>
      <c r="P27" s="47"/>
      <c r="Q27" s="47"/>
      <c r="R27" s="47"/>
      <c r="S27" s="47"/>
      <c r="T27" s="47"/>
      <c r="U27" s="47"/>
      <c r="V27" s="228"/>
      <c r="W27" s="228"/>
      <c r="X27" s="228"/>
      <c r="Y27" s="228"/>
      <c r="Z27" s="228"/>
      <c r="AA27" s="47"/>
      <c r="AB27" s="47"/>
      <c r="AC27" s="47"/>
      <c r="AD27" s="47"/>
      <c r="AE27" s="47"/>
      <c r="AF27" s="47"/>
      <c r="AG27" s="47"/>
      <c r="AH27" s="47"/>
      <c r="AI27" s="47"/>
      <c r="AJ27" s="47"/>
      <c r="AK27" s="47"/>
      <c r="AL27" s="228" t="s">
        <v>268</v>
      </c>
      <c r="AM27" s="448">
        <f>SUMIF($AM$53:$AM$104,AL27,$AO$53:$AO$104)</f>
        <v>0</v>
      </c>
    </row>
    <row r="28" spans="1:49" ht="20.85" customHeight="1" x14ac:dyDescent="0.3">
      <c r="A28" s="325"/>
      <c r="B28" s="326"/>
      <c r="C28" s="327"/>
      <c r="D28" s="328"/>
      <c r="E28" s="20"/>
      <c r="F28" s="29"/>
      <c r="G28" s="20"/>
      <c r="H28" s="20"/>
      <c r="I28" s="20"/>
      <c r="J28" s="20"/>
      <c r="K28" s="20"/>
      <c r="L28" s="20"/>
      <c r="M28" s="20"/>
      <c r="N28" s="20"/>
      <c r="O28" s="47"/>
      <c r="P28" s="47"/>
      <c r="Q28" s="47"/>
      <c r="R28" s="47"/>
      <c r="S28" s="47"/>
      <c r="T28" s="47"/>
      <c r="U28" s="47"/>
      <c r="V28" s="47"/>
      <c r="W28" s="47"/>
      <c r="X28" s="47"/>
      <c r="Y28" s="47"/>
      <c r="Z28" s="47"/>
      <c r="AA28" s="47"/>
      <c r="AB28" s="47"/>
      <c r="AC28" s="47"/>
      <c r="AD28" s="47"/>
      <c r="AE28" s="47"/>
      <c r="AF28" s="47"/>
      <c r="AG28" s="47"/>
      <c r="AH28" s="47"/>
      <c r="AI28" s="47"/>
      <c r="AJ28" s="47"/>
      <c r="AK28" s="47"/>
      <c r="AM28" s="47"/>
    </row>
    <row r="29" spans="1:49" ht="15.6" x14ac:dyDescent="0.3">
      <c r="A29" s="208" t="s">
        <v>2502</v>
      </c>
      <c r="B29" s="208"/>
      <c r="C29" s="208"/>
      <c r="D29" s="208"/>
      <c r="E29" s="208"/>
      <c r="F29" s="208"/>
      <c r="G29" s="208"/>
      <c r="H29" s="208"/>
      <c r="I29" s="208"/>
      <c r="J29" s="208"/>
      <c r="K29" s="208"/>
      <c r="L29" s="208"/>
      <c r="M29" s="208"/>
      <c r="N29" s="208"/>
      <c r="O29" s="82"/>
      <c r="P29" s="208"/>
      <c r="Q29" s="208"/>
      <c r="R29" s="82"/>
      <c r="S29" s="208"/>
      <c r="T29" s="82"/>
      <c r="U29" s="82"/>
      <c r="V29" s="204" t="s">
        <v>270</v>
      </c>
      <c r="W29" s="204"/>
      <c r="X29" s="204"/>
      <c r="Y29" s="204"/>
      <c r="Z29" s="204" t="s">
        <v>271</v>
      </c>
      <c r="AA29" s="204"/>
      <c r="AB29" s="204"/>
      <c r="AC29" s="204"/>
      <c r="AD29" s="204" t="s">
        <v>272</v>
      </c>
      <c r="AE29" s="204"/>
      <c r="AF29" s="204"/>
      <c r="AG29" s="204"/>
      <c r="AH29" s="204" t="s">
        <v>273</v>
      </c>
      <c r="AI29" s="204"/>
      <c r="AJ29" s="204"/>
      <c r="AK29" s="204"/>
      <c r="AL29" s="83"/>
      <c r="AM29" s="82"/>
      <c r="AN29" s="1410"/>
      <c r="AO29" s="1410"/>
      <c r="AP29" s="1410"/>
      <c r="AV29" s="975">
        <f>SUM(AV31:AV150)</f>
        <v>9190876.1141666658</v>
      </c>
      <c r="AW29" s="975">
        <f>SUM(AW31:AW150)</f>
        <v>5841402.4552467531</v>
      </c>
    </row>
    <row r="30" spans="1:49" ht="36" x14ac:dyDescent="0.3">
      <c r="A30" s="84" t="s">
        <v>950</v>
      </c>
      <c r="B30" s="84" t="s">
        <v>276</v>
      </c>
      <c r="C30" s="84" t="s">
        <v>275</v>
      </c>
      <c r="D30" s="84" t="s">
        <v>278</v>
      </c>
      <c r="E30" s="84" t="s">
        <v>277</v>
      </c>
      <c r="F30" s="84" t="s">
        <v>279</v>
      </c>
      <c r="G30" s="84" t="s">
        <v>280</v>
      </c>
      <c r="H30" s="84" t="s">
        <v>281</v>
      </c>
      <c r="I30" s="84" t="s">
        <v>951</v>
      </c>
      <c r="J30" s="84" t="s">
        <v>283</v>
      </c>
      <c r="K30" s="250" t="s">
        <v>284</v>
      </c>
      <c r="L30" s="84" t="s">
        <v>285</v>
      </c>
      <c r="M30" s="929" t="s">
        <v>952</v>
      </c>
      <c r="N30" s="7" t="s">
        <v>287</v>
      </c>
      <c r="O30" s="84" t="s">
        <v>72</v>
      </c>
      <c r="P30" s="84" t="s">
        <v>288</v>
      </c>
      <c r="Q30" s="84" t="s">
        <v>289</v>
      </c>
      <c r="R30" s="84" t="s">
        <v>143</v>
      </c>
      <c r="S30" s="84" t="s">
        <v>1694</v>
      </c>
      <c r="T30" s="84"/>
      <c r="U30" s="84" t="s">
        <v>291</v>
      </c>
      <c r="V30" s="85">
        <v>46023</v>
      </c>
      <c r="W30" s="85">
        <v>46054</v>
      </c>
      <c r="X30" s="85">
        <v>46082</v>
      </c>
      <c r="Y30" s="86" t="s">
        <v>292</v>
      </c>
      <c r="Z30" s="85">
        <v>46113</v>
      </c>
      <c r="AA30" s="85">
        <v>46143</v>
      </c>
      <c r="AB30" s="85">
        <v>46174</v>
      </c>
      <c r="AC30" s="86" t="s">
        <v>293</v>
      </c>
      <c r="AD30" s="85">
        <v>46204</v>
      </c>
      <c r="AE30" s="85">
        <v>46235</v>
      </c>
      <c r="AF30" s="85">
        <v>46266</v>
      </c>
      <c r="AG30" s="86" t="s">
        <v>294</v>
      </c>
      <c r="AH30" s="85">
        <v>46296</v>
      </c>
      <c r="AI30" s="85">
        <v>46327</v>
      </c>
      <c r="AJ30" s="85">
        <v>46357</v>
      </c>
      <c r="AK30" s="86" t="s">
        <v>295</v>
      </c>
      <c r="AL30" s="84" t="s">
        <v>296</v>
      </c>
      <c r="AM30" s="84" t="s">
        <v>297</v>
      </c>
      <c r="AN30" s="84" t="s">
        <v>244</v>
      </c>
      <c r="AO30" s="84" t="s">
        <v>298</v>
      </c>
      <c r="AP30" s="84" t="s">
        <v>299</v>
      </c>
      <c r="AQ30" s="250" t="s">
        <v>300</v>
      </c>
      <c r="AS30" s="507" t="s">
        <v>301</v>
      </c>
      <c r="AV30" s="507" t="s">
        <v>302</v>
      </c>
      <c r="AW30" s="507" t="s">
        <v>303</v>
      </c>
    </row>
    <row r="31" spans="1:49" ht="29.1" customHeight="1" x14ac:dyDescent="0.3">
      <c r="A31" s="1380" t="s">
        <v>89</v>
      </c>
      <c r="B31" s="2372" t="s">
        <v>2503</v>
      </c>
      <c r="C31" s="2392" t="s">
        <v>97</v>
      </c>
      <c r="D31" s="1486" t="s">
        <v>2504</v>
      </c>
      <c r="E31" s="2389" t="s">
        <v>2505</v>
      </c>
      <c r="F31" s="1370" t="s">
        <v>2506</v>
      </c>
      <c r="G31" s="1372">
        <f>_xlfn.XLOOKUP(B31,[50]Detalhamento!$A:$A,[50]Detalhamento!$I:$I)</f>
        <v>45775</v>
      </c>
      <c r="H31" s="1372">
        <f>_xlfn.XLOOKUP(B31,[50]Detalhamento!$A:$A,[50]Detalhamento!$J:$J)</f>
        <v>46418</v>
      </c>
      <c r="I31" s="1354">
        <f>IFERROR(_xlfn.XLOOKUP(B31,[50]Detalhamento!$A:$A,[50]Detalhamento!$E:$E)," - ")</f>
        <v>606000</v>
      </c>
      <c r="J31" s="1376">
        <f>_xlfn.XLOOKUP(B31,[50]Detalhamento!$A:$A,[50]Detalhamento!$O:$O)</f>
        <v>46300</v>
      </c>
      <c r="K31" s="1389">
        <f>IF(J31="", "", 12 - MONTH(J31) + 1)</f>
        <v>3</v>
      </c>
      <c r="L31" s="1354"/>
      <c r="M31" s="2356"/>
      <c r="N31" s="1391"/>
      <c r="O31" s="1327" t="s">
        <v>83</v>
      </c>
      <c r="P31" s="1327"/>
      <c r="Q31" s="1327"/>
      <c r="R31" s="1327"/>
      <c r="S31" s="2197" t="s">
        <v>25</v>
      </c>
      <c r="T31" s="91" t="s">
        <v>116</v>
      </c>
      <c r="U31" s="91">
        <f>_xlfn.XLOOKUP(B31,[50]Detalhamento!$A:$A,[50]Detalhamento!$M:$M)</f>
        <v>1</v>
      </c>
      <c r="V31" s="287">
        <f>IFERROR(IF(AND(V$30&gt;=EOMONTH($J31,-1)+1,V$30&lt;=EOMONTH(EOMONTH($J31,-1)+1,$K31-1)),IF(NOT(ISBLANK($N31)),$N31/$K31,$I31/$K31),0),0)</f>
        <v>0</v>
      </c>
      <c r="W31" s="287">
        <f>IFERROR(IF(AND(W$30&gt;=EOMONTH($J31,-1)+1,W$30&lt;=EOMONTH(EOMONTH($J31,-1)+1,$K31-1)),IF(NOT(ISBLANK($N31)),$N31/$K31,$I31/$K31),0),0)</f>
        <v>0</v>
      </c>
      <c r="X31" s="287">
        <f>IFERROR(IF(AND(X$30&gt;=EOMONTH($J31,-1)+1,X$30&lt;=EOMONTH(EOMONTH($J31,-1)+1,$K31-1)),IF(NOT(ISBLANK($N31)),$N31/$K31,$I31/$K31),0),0)</f>
        <v>0</v>
      </c>
      <c r="Y31" s="440">
        <f>SUM(V31:X31)</f>
        <v>0</v>
      </c>
      <c r="Z31" s="287">
        <f>IFERROR(IF(AND(Z$30&gt;=EOMONTH($J31,-1)+1,Z$30&lt;=EOMONTH(EOMONTH($J31,-1)+1,$K31-1)),IF(NOT(ISBLANK($N31)),$N31/$K31,$I31/$K31),0),0)</f>
        <v>0</v>
      </c>
      <c r="AA31" s="287">
        <f>IFERROR(IF(AND(AA$30&gt;=EOMONTH($J31,-1)+1,AA$30&lt;=EOMONTH(EOMONTH($J31,-1)+1,$K31-1)),IF(NOT(ISBLANK($N31)),$N31/$K31,$I31/$K31),0),0)</f>
        <v>0</v>
      </c>
      <c r="AB31" s="287">
        <f>IFERROR(IF(AND(AB$30&gt;=EOMONTH($J31,-1)+1,AB$30&lt;=EOMONTH(EOMONTH($J31,-1)+1,$K31-1)),IF(NOT(ISBLANK($N31)),$N31/$K31,$I31/$K31),0),0)</f>
        <v>0</v>
      </c>
      <c r="AC31" s="440">
        <f t="shared" ref="AC31:AC32" si="9">SUM(Z31:AB31)</f>
        <v>0</v>
      </c>
      <c r="AD31" s="287">
        <f>IFERROR(IF(AND(AD$30&gt;=EOMONTH($J31,-1)+1,AD$30&lt;=EOMONTH(EOMONTH($J31,-1)+1,$K31-1)),IF(NOT(ISBLANK($N31)),$N31/$K31,$I31/$K31),0),0)</f>
        <v>0</v>
      </c>
      <c r="AE31" s="287">
        <f>IFERROR(IF(AND(AE$30&gt;=EOMONTH($J31,-1)+1,AE$30&lt;=EOMONTH(EOMONTH($J31,-1)+1,$K31-1)),IF(NOT(ISBLANK($N31)),$N31/$K31,$I31/$K31),0),0)</f>
        <v>0</v>
      </c>
      <c r="AF31" s="287">
        <f>IFERROR(IF(AND(AF$30&gt;=EOMONTH($J31,-1)+1,AF$30&lt;=EOMONTH(EOMONTH($J31,-1)+1,$K31-1)),IF(NOT(ISBLANK($N31)),$N31/$K31,$I31/$K31),0),0)</f>
        <v>0</v>
      </c>
      <c r="AG31" s="440">
        <f t="shared" ref="AG31:AG32" si="10">SUM(AD31:AF31)</f>
        <v>0</v>
      </c>
      <c r="AH31" s="287">
        <f>IFERROR(IF(AND(AH$30&gt;=EOMONTH($J31,-1)+1,AH$30&lt;=EOMONTH(EOMONTH($J31,-1)+1,$K31-1)),IF(NOT(ISBLANK($N31)),$N31/$K31,$I31/$K31),0),0)</f>
        <v>202000</v>
      </c>
      <c r="AI31" s="287">
        <f>IFERROR(IF(AND(AI$30&gt;=EOMONTH($J31,-1)+1,AI$30&lt;=EOMONTH(EOMONTH($J31,-1)+1,$K31-1)),IF(NOT(ISBLANK($N31)),$N31/$K31,$I31/$K31),0),0)</f>
        <v>202000</v>
      </c>
      <c r="AJ31" s="287">
        <f>IFERROR(IF(AND(AJ$30&gt;=EOMONTH($J31,-1)+1,AJ$30&lt;=EOMONTH(EOMONTH($J31,-1)+1,$K31-1)),IF(NOT(ISBLANK($N31)),$N31/$K31,$I31/$K31),0),0)</f>
        <v>202000</v>
      </c>
      <c r="AK31" s="440">
        <f t="shared" ref="AK31:AK60" si="11">SUM(AH31:AJ31)</f>
        <v>606000</v>
      </c>
      <c r="AL31" s="116">
        <f>SUM(V31:X31,Z31:AB31,AD31:AF31,AH31:AJ31)</f>
        <v>606000</v>
      </c>
      <c r="AM31" s="1370"/>
      <c r="AN31" s="1370"/>
      <c r="AO31" s="1411"/>
      <c r="AP31" s="1405">
        <f>I31*AO31</f>
        <v>0</v>
      </c>
      <c r="AQ31" s="553" t="str">
        <f>D31</f>
        <v>Negociação Produtos Pré tratamento</v>
      </c>
      <c r="AR31" s="62" t="s">
        <v>311</v>
      </c>
      <c r="AS31" s="508" t="str" cm="1">
        <f t="array" aca="1" ref="AS31" ca="1">IF(OR(AQ31="",AQ31=0),"",IF(SUMPRODUCT(($D$31:$D$144=AQ31)*($T$31:$T$144="Previsto")*($V$30:$AJ$30&lt;EOMONTH(TODAY(),-1)+1)*($V$31:$AJ$144))=0,"",SUMPRODUCT(($D$31:$D$144=AQ31)*($T$31:$T$144="Previsto")*($V$30:$AJ$30&lt;EOMONTH(TODAY(),-1)+1)*($V$31:$AJ$144))))</f>
        <v/>
      </c>
      <c r="AT31" s="62" t="str">
        <f>A31</f>
        <v>Redução de Custo</v>
      </c>
      <c r="AV31" s="1566">
        <f>IF(OR(I31="",K31=""),0,(I31/12)*K31)</f>
        <v>151500</v>
      </c>
      <c r="AW31" s="1566">
        <f>IF(OR(N31="",K31="",K31=0),0,(N31/K31)*12)</f>
        <v>0</v>
      </c>
    </row>
    <row r="32" spans="1:49" ht="29.1" customHeight="1" x14ac:dyDescent="0.3">
      <c r="A32" s="1381"/>
      <c r="B32" s="1483"/>
      <c r="C32" s="1381"/>
      <c r="D32" s="1487"/>
      <c r="E32" s="2363"/>
      <c r="F32" s="1371"/>
      <c r="G32" s="1373"/>
      <c r="H32" s="1373"/>
      <c r="I32" s="1355"/>
      <c r="J32" s="1377"/>
      <c r="K32" s="1389"/>
      <c r="L32" s="1355"/>
      <c r="M32" s="2357"/>
      <c r="N32" s="1392"/>
      <c r="O32" s="1328"/>
      <c r="P32" s="1328"/>
      <c r="Q32" s="1328"/>
      <c r="R32" s="1328"/>
      <c r="S32" s="2198"/>
      <c r="T32" s="91" t="s">
        <v>117</v>
      </c>
      <c r="U32" s="452">
        <f>_xlfn.XLOOKUP(B31,[50]Detalhamento!$A:$A,[50]Detalhamento!$N:$N)</f>
        <v>1</v>
      </c>
      <c r="V32" s="287"/>
      <c r="W32" s="287"/>
      <c r="X32" s="287"/>
      <c r="Y32" s="440">
        <f t="shared" ref="Y32:Y33" si="12">SUM(V32:X32)</f>
        <v>0</v>
      </c>
      <c r="Z32" s="287"/>
      <c r="AA32" s="287"/>
      <c r="AB32" s="287"/>
      <c r="AC32" s="440">
        <f t="shared" si="9"/>
        <v>0</v>
      </c>
      <c r="AD32" s="287"/>
      <c r="AE32" s="287"/>
      <c r="AF32" s="287"/>
      <c r="AG32" s="440">
        <f t="shared" si="10"/>
        <v>0</v>
      </c>
      <c r="AH32" s="287"/>
      <c r="AI32" s="287"/>
      <c r="AJ32" s="287"/>
      <c r="AK32" s="440">
        <f t="shared" si="11"/>
        <v>0</v>
      </c>
      <c r="AL32" s="454">
        <f t="shared" ref="AL32:AL93" si="13">SUM(V32:X32,Z32:AB32,AD32:AF32,AH32:AJ32)</f>
        <v>0</v>
      </c>
      <c r="AM32" s="1371"/>
      <c r="AN32" s="1371"/>
      <c r="AO32" s="1412"/>
      <c r="AP32" s="1406"/>
      <c r="AQ32" s="554" t="str">
        <f>D31</f>
        <v>Negociação Produtos Pré tratamento</v>
      </c>
      <c r="AR32" s="62" t="s">
        <v>313</v>
      </c>
      <c r="AS32" s="508" t="str" cm="1">
        <f t="array" aca="1" ref="AS32" ca="1">IF(OR(AQ32="",AQ32=0),"",IF(SUMPRODUCT(($D$31:$D$144=AQ32)*(ISNUMBER(SEARCH("Real",$T$32:$T$145)))*($V$30:$AJ$30&lt;EOMONTH(TODAY(),-1)+1)*($V$32:$AJ$145))=0,"",SUMPRODUCT(($D$31:$D$144=AQ32)*(ISNUMBER(SEARCH("Real",$T$32:$T$145)))*($V$30:$AJ$30&lt;EOMONTH(TODAY(),-1)+1)*($V$32:$AJ$145))))</f>
        <v/>
      </c>
      <c r="AT32" s="62" t="str">
        <f>A31</f>
        <v>Redução de Custo</v>
      </c>
      <c r="AV32" s="1567"/>
      <c r="AW32" s="1567"/>
    </row>
    <row r="33" spans="1:49" ht="28.5" customHeight="1" x14ac:dyDescent="0.3">
      <c r="A33" s="1809" t="s">
        <v>953</v>
      </c>
      <c r="B33" s="1465" t="s">
        <v>2507</v>
      </c>
      <c r="C33" s="2392" t="s">
        <v>99</v>
      </c>
      <c r="D33" s="1356" t="s">
        <v>2508</v>
      </c>
      <c r="E33" s="2360" t="s">
        <v>2509</v>
      </c>
      <c r="F33" s="1451" t="s">
        <v>2510</v>
      </c>
      <c r="G33" s="1785">
        <f>_xlfn.XLOOKUP(B33,[50]Detalhamento!$A:$A,[50]Detalhamento!$I:$I)</f>
        <v>45882</v>
      </c>
      <c r="H33" s="1785">
        <f>_xlfn.XLOOKUP(B33,[50]Detalhamento!$A:$A,[50]Detalhamento!$J:$J)</f>
        <v>46240</v>
      </c>
      <c r="I33" s="1844">
        <f>IFERROR(_xlfn.XLOOKUP(B33,[50]Detalhamento!$A:$A,[50]Detalhamento!$E:$E)," - ")</f>
        <v>372095</v>
      </c>
      <c r="J33" s="1378">
        <f>_xlfn.XLOOKUP(B33,[50]Detalhamento!$A:$A,[50]Detalhamento!$O:$O)</f>
        <v>46222</v>
      </c>
      <c r="K33" s="1387">
        <f>IF(J33="", "", 12 - MONTH(J33) + 1)</f>
        <v>6</v>
      </c>
      <c r="L33" s="1395"/>
      <c r="M33" s="2434"/>
      <c r="N33" s="1393"/>
      <c r="O33" s="1334" t="s">
        <v>81</v>
      </c>
      <c r="P33" s="1334"/>
      <c r="Q33" s="1334"/>
      <c r="R33" s="1334"/>
      <c r="S33" s="2191" t="s">
        <v>2500</v>
      </c>
      <c r="T33" s="96" t="s">
        <v>116</v>
      </c>
      <c r="U33" s="96">
        <f>_xlfn.XLOOKUP(B33,[50]Detalhamento!$A:$A,[50]Detalhamento!$M:$M)</f>
        <v>1</v>
      </c>
      <c r="V33" s="498">
        <f>IFERROR(IF(AND(V$30&gt;=EOMONTH($J33,-1)+1,V$30&lt;=EOMONTH(EOMONTH($J33,-1)+1,$K33-1)),IF(NOT(ISBLANK($N33)),$N33/$K33,$I33/$K33),0),0)</f>
        <v>0</v>
      </c>
      <c r="W33" s="498">
        <f>IFERROR(IF(AND(W$30&gt;=EOMONTH($J33,-1)+1,W$30&lt;=EOMONTH(EOMONTH($J33,-1)+1,$K33-1)),IF(NOT(ISBLANK($N33)),$N33/$K33,$I33/$K33),0),0)</f>
        <v>0</v>
      </c>
      <c r="X33" s="498">
        <f>IFERROR(IF(AND(X$30&gt;=EOMONTH($J33,-1)+1,X$30&lt;=EOMONTH(EOMONTH($J33,-1)+1,$K33-1)),IF(NOT(ISBLANK($N33)),$N33/$K33,$I33/$K33),0),0)</f>
        <v>0</v>
      </c>
      <c r="Y33" s="440">
        <f t="shared" si="12"/>
        <v>0</v>
      </c>
      <c r="Z33" s="498">
        <f>IFERROR(IF(AND(Z$30&gt;=EOMONTH($J33,-1)+1,Z$30&lt;=EOMONTH(EOMONTH($J33,-1)+1,$K33-1)),IF(NOT(ISBLANK($N33)),$N33/$K33,$I33/$K33),0),0)</f>
        <v>0</v>
      </c>
      <c r="AA33" s="498">
        <f>IFERROR(IF(AND(AA$30&gt;=EOMONTH($J33,-1)+1,AA$30&lt;=EOMONTH(EOMONTH($J33,-1)+1,$K33-1)),IF(NOT(ISBLANK($N33)),$N33/$K33,$I33/$K33),0),0)</f>
        <v>0</v>
      </c>
      <c r="AB33" s="498">
        <f>IFERROR(IF(AND(AB$30&gt;=EOMONTH($J33,-1)+1,AB$30&lt;=EOMONTH(EOMONTH($J33,-1)+1,$K33-1)),IF(NOT(ISBLANK($N33)),$N33/$K33,$I33/$K33),0),0)</f>
        <v>0</v>
      </c>
      <c r="AC33" s="440">
        <f t="shared" ref="AC33:AC34" si="14">SUM(Z33:AB33)</f>
        <v>0</v>
      </c>
      <c r="AD33" s="498">
        <f>IFERROR(IF(AND(AD$30&gt;=EOMONTH($J33,-1)+1,AD$30&lt;=EOMONTH(EOMONTH($J33,-1)+1,$K33-1)),IF(NOT(ISBLANK($N33)),$N33/$K33,$I33/$K33),0),0)</f>
        <v>62015.833333333336</v>
      </c>
      <c r="AE33" s="498">
        <f>IFERROR(IF(AND(AE$30&gt;=EOMONTH($J33,-1)+1,AE$30&lt;=EOMONTH(EOMONTH($J33,-1)+1,$K33-1)),IF(NOT(ISBLANK($N33)),$N33/$K33,$I33/$K33),0),0)</f>
        <v>62015.833333333336</v>
      </c>
      <c r="AF33" s="498">
        <f>IFERROR(IF(AND(AF$30&gt;=EOMONTH($J33,-1)+1,AF$30&lt;=EOMONTH(EOMONTH($J33,-1)+1,$K33-1)),IF(NOT(ISBLANK($N33)),$N33/$K33,$I33/$K33),0),0)</f>
        <v>62015.833333333336</v>
      </c>
      <c r="AG33" s="440">
        <f t="shared" ref="AG33:AG34" si="15">SUM(AD33:AF33)</f>
        <v>186047.5</v>
      </c>
      <c r="AH33" s="498">
        <f>IFERROR(IF(AND(AH$30&gt;=EOMONTH($J33,-1)+1,AH$30&lt;=EOMONTH(EOMONTH($J33,-1)+1,$K33-1)),IF(NOT(ISBLANK($N33)),$N33/$K33,$I33/$K33),0),0)</f>
        <v>62015.833333333336</v>
      </c>
      <c r="AI33" s="498">
        <f>IFERROR(IF(AND(AI$30&gt;=EOMONTH($J33,-1)+1,AI$30&lt;=EOMONTH(EOMONTH($J33,-1)+1,$K33-1)),IF(NOT(ISBLANK($N33)),$N33/$K33,$I33/$K33),0),0)</f>
        <v>62015.833333333336</v>
      </c>
      <c r="AJ33" s="498">
        <f>IFERROR(IF(AND(AJ$30&gt;=EOMONTH($J33,-1)+1,AJ$30&lt;=EOMONTH(EOMONTH($J33,-1)+1,$K33-1)),IF(NOT(ISBLANK($N33)),$N33/$K33,$I33/$K33),0),0)</f>
        <v>62015.833333333336</v>
      </c>
      <c r="AK33" s="440">
        <f t="shared" si="11"/>
        <v>186047.5</v>
      </c>
      <c r="AL33" s="94">
        <f t="shared" si="13"/>
        <v>372095</v>
      </c>
      <c r="AM33" s="1407"/>
      <c r="AN33" s="1407"/>
      <c r="AO33" s="1334"/>
      <c r="AP33" s="1403">
        <f>I33*AO33</f>
        <v>0</v>
      </c>
      <c r="AQ33" s="553" t="str">
        <f>D33</f>
        <v>Redução de custo Porca 73189 da curva A</v>
      </c>
      <c r="AR33" s="62" t="s">
        <v>311</v>
      </c>
      <c r="AS33" s="508" cm="1">
        <f t="array" aca="1" ref="AS33" ca="1">IF(OR(AQ33="",AQ33=0),"",IF(SUMPRODUCT(($D$31:$D$144=AQ33)*($T$31:$T$144="Previsto")*($V$30:$AJ$30&lt;EOMONTH(TODAY(),-1)+1)*($V$31:$AJ$144))=0,"",SUMPRODUCT(($D$31:$D$144=AQ33)*($T$31:$T$144="Previsto")*($V$30:$AJ$30&lt;EOMONTH(TODAY(),-1)+1)*($V$31:$AJ$144))))</f>
        <v>62015.833333333336</v>
      </c>
      <c r="AT33" s="62" t="str">
        <f t="shared" ref="AT33" si="16">A33</f>
        <v>Redução de custo</v>
      </c>
      <c r="AV33" s="1566">
        <v>3</v>
      </c>
      <c r="AW33" s="1566">
        <f t="shared" ref="AW33" si="17">IF(OR(N33="",K33="",K33=0),0,(N33/K33)*12)</f>
        <v>0</v>
      </c>
    </row>
    <row r="34" spans="1:49" ht="29.1" customHeight="1" x14ac:dyDescent="0.3">
      <c r="A34" s="1810"/>
      <c r="B34" s="1466"/>
      <c r="C34" s="1408"/>
      <c r="D34" s="1455"/>
      <c r="E34" s="2361"/>
      <c r="F34" s="1452"/>
      <c r="G34" s="1786"/>
      <c r="H34" s="1786"/>
      <c r="I34" s="1835"/>
      <c r="J34" s="1379"/>
      <c r="K34" s="1387"/>
      <c r="L34" s="1396"/>
      <c r="M34" s="2435"/>
      <c r="N34" s="1394"/>
      <c r="O34" s="1330"/>
      <c r="P34" s="1330"/>
      <c r="Q34" s="1330"/>
      <c r="R34" s="1330"/>
      <c r="S34" s="2192"/>
      <c r="T34" s="96" t="s">
        <v>117</v>
      </c>
      <c r="U34" s="453">
        <f>_xlfn.XLOOKUP(B33,[50]Detalhamento!$A:$A,[50]Detalhamento!$N:$N)</f>
        <v>0.96</v>
      </c>
      <c r="V34" s="498"/>
      <c r="W34" s="498"/>
      <c r="X34" s="498"/>
      <c r="Y34" s="440">
        <f t="shared" ref="Y34:Y35" si="18">SUM(V34:X34)</f>
        <v>0</v>
      </c>
      <c r="Z34" s="498"/>
      <c r="AA34" s="498"/>
      <c r="AB34" s="498"/>
      <c r="AC34" s="440">
        <f t="shared" si="14"/>
        <v>0</v>
      </c>
      <c r="AD34" s="498"/>
      <c r="AE34" s="498"/>
      <c r="AF34" s="498"/>
      <c r="AG34" s="440">
        <f t="shared" si="15"/>
        <v>0</v>
      </c>
      <c r="AH34" s="498"/>
      <c r="AI34" s="498"/>
      <c r="AJ34" s="498"/>
      <c r="AK34" s="440">
        <f t="shared" si="11"/>
        <v>0</v>
      </c>
      <c r="AL34" s="94">
        <f t="shared" si="13"/>
        <v>0</v>
      </c>
      <c r="AM34" s="1408"/>
      <c r="AN34" s="1408"/>
      <c r="AO34" s="1330"/>
      <c r="AP34" s="1404"/>
      <c r="AQ34" s="554" t="str">
        <f>D33</f>
        <v>Redução de custo Porca 73189 da curva A</v>
      </c>
      <c r="AR34" s="62" t="s">
        <v>313</v>
      </c>
      <c r="AS34" s="508" t="str" cm="1">
        <f t="array" aca="1" ref="AS34" ca="1">IF(OR(AQ34="",AQ34=0),"",IF(SUMPRODUCT(($D$31:$D$144=AQ34)*(ISNUMBER(SEARCH("Real",$T$32:$T$145)))*($V$30:$AJ$30&lt;EOMONTH(TODAY(),-1)+1)*($V$32:$AJ$145))=0,"",SUMPRODUCT(($D$31:$D$144=AQ34)*(ISNUMBER(SEARCH("Real",$T$32:$T$145)))*($V$30:$AJ$30&lt;EOMONTH(TODAY(),-1)+1)*($V$32:$AJ$145))))</f>
        <v/>
      </c>
      <c r="AT34" s="62" t="str">
        <f t="shared" ref="AT34" si="19">A33</f>
        <v>Redução de custo</v>
      </c>
      <c r="AV34" s="1567"/>
      <c r="AW34" s="1567"/>
    </row>
    <row r="35" spans="1:49" ht="29.1" customHeight="1" x14ac:dyDescent="0.3">
      <c r="A35" s="1809" t="s">
        <v>953</v>
      </c>
      <c r="B35" s="1465" t="s">
        <v>2511</v>
      </c>
      <c r="C35" s="2392" t="s">
        <v>97</v>
      </c>
      <c r="D35" s="1356" t="s">
        <v>2512</v>
      </c>
      <c r="E35" s="2360" t="s">
        <v>2513</v>
      </c>
      <c r="F35" s="1451" t="s">
        <v>2510</v>
      </c>
      <c r="G35" s="1785">
        <f>_xlfn.XLOOKUP(B35,[50]Detalhamento!$A:$A,[50]Detalhamento!$I:$I)</f>
        <v>45729</v>
      </c>
      <c r="H35" s="1785">
        <f>_xlfn.XLOOKUP(B35,[50]Detalhamento!$A:$A,[50]Detalhamento!$J:$J)</f>
        <v>46359</v>
      </c>
      <c r="I35" s="1844">
        <f>IFERROR(_xlfn.XLOOKUP(B35,[50]Detalhamento!$A:$A,[50]Detalhamento!$E:$E)," - ")</f>
        <v>35000</v>
      </c>
      <c r="J35" s="1378">
        <f>_xlfn.XLOOKUP(B35,[50]Detalhamento!$A:$A,[50]Detalhamento!$O:$O)</f>
        <v>46366</v>
      </c>
      <c r="K35" s="1387">
        <f t="shared" ref="K35" si="20">IF(J35="", "", 12 - MONTH(J35) + 1)</f>
        <v>1</v>
      </c>
      <c r="L35" s="1395"/>
      <c r="M35" s="2364"/>
      <c r="N35" s="1393"/>
      <c r="O35" s="1334" t="s">
        <v>83</v>
      </c>
      <c r="P35" s="1334"/>
      <c r="Q35" s="1334"/>
      <c r="R35" s="1334"/>
      <c r="S35" s="2191" t="s">
        <v>2500</v>
      </c>
      <c r="T35" s="96" t="s">
        <v>116</v>
      </c>
      <c r="U35" s="96" t="e">
        <f>_xlfn.XLOOKUP(B35,[50]Detalhamento!$A:$A,[50]Detalhamento!$M:$M)</f>
        <v>#REF!</v>
      </c>
      <c r="V35" s="498">
        <f>IFERROR(IF(AND(V$30&gt;=EOMONTH($J35,-1)+1,V$30&lt;=EOMONTH(EOMONTH($J35,-1)+1,$K35-1)),IF(NOT(ISBLANK($N35)),$N35/$K35,$I35/$K35),0),0)</f>
        <v>0</v>
      </c>
      <c r="W35" s="498">
        <f>IFERROR(IF(AND(W$30&gt;=EOMONTH($J35,-1)+1,W$30&lt;=EOMONTH(EOMONTH($J35,-1)+1,$K35-1)),IF(NOT(ISBLANK($N35)),$N35/$K35,$I35/$K35),0),0)</f>
        <v>0</v>
      </c>
      <c r="X35" s="498">
        <f>IFERROR(IF(AND(X$30&gt;=EOMONTH($J35,-1)+1,X$30&lt;=EOMONTH(EOMONTH($J35,-1)+1,$K35-1)),IF(NOT(ISBLANK($N35)),$N35/$K35,$I35/$K35),0),0)</f>
        <v>0</v>
      </c>
      <c r="Y35" s="440">
        <f t="shared" si="18"/>
        <v>0</v>
      </c>
      <c r="Z35" s="498">
        <f>IFERROR(IF(AND(Z$30&gt;=EOMONTH($J35,-1)+1,Z$30&lt;=EOMONTH(EOMONTH($J35,-1)+1,$K35-1)),IF(NOT(ISBLANK($N35)),$N35/$K35,$I35/$K35),0),0)</f>
        <v>0</v>
      </c>
      <c r="AA35" s="498">
        <f>IFERROR(IF(AND(AA$30&gt;=EOMONTH($J35,-1)+1,AA$30&lt;=EOMONTH(EOMONTH($J35,-1)+1,$K35-1)),IF(NOT(ISBLANK($N35)),$N35/$K35,$I35/$K35),0),0)</f>
        <v>0</v>
      </c>
      <c r="AB35" s="498">
        <f>IFERROR(IF(AND(AB$30&gt;=EOMONTH($J35,-1)+1,AB$30&lt;=EOMONTH(EOMONTH($J35,-1)+1,$K35-1)),IF(NOT(ISBLANK($N35)),$N35/$K35,$I35/$K35),0),0)</f>
        <v>0</v>
      </c>
      <c r="AC35" s="440">
        <f t="shared" ref="AC35:AC98" si="21">SUM(Z35:AB35)</f>
        <v>0</v>
      </c>
      <c r="AD35" s="498">
        <f>IFERROR(IF(AND(AD$30&gt;=EOMONTH($J35,-1)+1,AD$30&lt;=EOMONTH(EOMONTH($J35,-1)+1,$K35-1)),IF(NOT(ISBLANK($N35)),$N35/$K35,$I35/$K35),0),0)</f>
        <v>0</v>
      </c>
      <c r="AE35" s="498">
        <f>IFERROR(IF(AND(AE$30&gt;=EOMONTH($J35,-1)+1,AE$30&lt;=EOMONTH(EOMONTH($J35,-1)+1,$K35-1)),IF(NOT(ISBLANK($N35)),$N35/$K35,$I35/$K35),0),0)</f>
        <v>0</v>
      </c>
      <c r="AF35" s="498">
        <f>IFERROR(IF(AND(AF$30&gt;=EOMONTH($J35,-1)+1,AF$30&lt;=EOMONTH(EOMONTH($J35,-1)+1,$K35-1)),IF(NOT(ISBLANK($N35)),$N35/$K35,$I35/$K35),0),0)</f>
        <v>0</v>
      </c>
      <c r="AG35" s="440">
        <f t="shared" ref="AG35:AG98" si="22">SUM(AD35:AF35)</f>
        <v>0</v>
      </c>
      <c r="AH35" s="498">
        <f>IFERROR(IF(AND(AH$30&gt;=EOMONTH($J35,-1)+1,AH$30&lt;=EOMONTH(EOMONTH($J35,-1)+1,$K35-1)),IF(NOT(ISBLANK($N35)),$N35/$K35,$I35/$K35),0),0)</f>
        <v>0</v>
      </c>
      <c r="AI35" s="498">
        <f>IFERROR(IF(AND(AI$30&gt;=EOMONTH($J35,-1)+1,AI$30&lt;=EOMONTH(EOMONTH($J35,-1)+1,$K35-1)),IF(NOT(ISBLANK($N35)),$N35/$K35,$I35/$K35),0),0)</f>
        <v>0</v>
      </c>
      <c r="AJ35" s="498">
        <f>IFERROR(IF(AND(AJ$30&gt;=EOMONTH($J35,-1)+1,AJ$30&lt;=EOMONTH(EOMONTH($J35,-1)+1,$K35-1)),IF(NOT(ISBLANK($N35)),$N35/$K35,$I35/$K35),0),0)</f>
        <v>35000</v>
      </c>
      <c r="AK35" s="440">
        <f t="shared" si="11"/>
        <v>35000</v>
      </c>
      <c r="AL35" s="94">
        <f t="shared" si="13"/>
        <v>35000</v>
      </c>
      <c r="AM35" s="1407"/>
      <c r="AN35" s="1407"/>
      <c r="AO35" s="1334"/>
      <c r="AP35" s="1403">
        <f>I35*AO35</f>
        <v>0</v>
      </c>
      <c r="AQ35" s="553" t="str">
        <f>D35</f>
        <v>Unificação itens de Distribuição Fixadores.</v>
      </c>
      <c r="AR35" s="62" t="s">
        <v>311</v>
      </c>
      <c r="AS35" s="508" t="str" cm="1">
        <f t="array" aca="1" ref="AS35" ca="1">IF(OR(AQ35="",AQ35=0),"",IF(SUMPRODUCT(($D$31:$D$144=AQ35)*($T$31:$T$144="Previsto")*($V$30:$AJ$30&lt;EOMONTH(TODAY(),-1)+1)*($V$31:$AJ$144))=0,"",SUMPRODUCT(($D$31:$D$144=AQ35)*($T$31:$T$144="Previsto")*($V$30:$AJ$30&lt;EOMONTH(TODAY(),-1)+1)*($V$31:$AJ$144))))</f>
        <v/>
      </c>
      <c r="AT35" s="62" t="str">
        <f t="shared" ref="AT35" si="23">A35</f>
        <v>Redução de custo</v>
      </c>
      <c r="AV35" s="1566">
        <f t="shared" ref="AV35" si="24">IF(OR(I35="",K35=""),0,(I35/12)*K35)</f>
        <v>2916.6666666666665</v>
      </c>
      <c r="AW35" s="1566">
        <f t="shared" ref="AW35" si="25">IF(OR(N35="",K35="",K35=0),0,(N35/K35)*12)</f>
        <v>0</v>
      </c>
    </row>
    <row r="36" spans="1:49" ht="29.1" customHeight="1" x14ac:dyDescent="0.3">
      <c r="A36" s="1810"/>
      <c r="B36" s="1466"/>
      <c r="C36" s="1408"/>
      <c r="D36" s="1455"/>
      <c r="E36" s="2361"/>
      <c r="F36" s="1452"/>
      <c r="G36" s="1786"/>
      <c r="H36" s="1786"/>
      <c r="I36" s="1835"/>
      <c r="J36" s="1379"/>
      <c r="K36" s="1387"/>
      <c r="L36" s="1396"/>
      <c r="M36" s="2365"/>
      <c r="N36" s="1394"/>
      <c r="O36" s="1330"/>
      <c r="P36" s="1330"/>
      <c r="Q36" s="1330"/>
      <c r="R36" s="1330"/>
      <c r="S36" s="2192"/>
      <c r="T36" s="96" t="s">
        <v>117</v>
      </c>
      <c r="U36" s="453" t="e">
        <f>_xlfn.XLOOKUP(B35,[50]Detalhamento!$A:$A,[50]Detalhamento!$N:$N)</f>
        <v>#REF!</v>
      </c>
      <c r="V36" s="498"/>
      <c r="W36" s="498"/>
      <c r="X36" s="498"/>
      <c r="Y36" s="440">
        <f t="shared" ref="Y36:Y99" si="26">SUM(V36:X36)</f>
        <v>0</v>
      </c>
      <c r="Z36" s="498"/>
      <c r="AA36" s="498"/>
      <c r="AB36" s="498"/>
      <c r="AC36" s="440">
        <f t="shared" si="21"/>
        <v>0</v>
      </c>
      <c r="AD36" s="498"/>
      <c r="AE36" s="498"/>
      <c r="AF36" s="498"/>
      <c r="AG36" s="440">
        <f t="shared" si="22"/>
        <v>0</v>
      </c>
      <c r="AH36" s="498"/>
      <c r="AI36" s="498"/>
      <c r="AJ36" s="498"/>
      <c r="AK36" s="440">
        <f t="shared" si="11"/>
        <v>0</v>
      </c>
      <c r="AL36" s="94">
        <f t="shared" si="13"/>
        <v>0</v>
      </c>
      <c r="AM36" s="1408"/>
      <c r="AN36" s="1408"/>
      <c r="AO36" s="1330"/>
      <c r="AP36" s="1404"/>
      <c r="AQ36" s="554" t="str">
        <f>D35</f>
        <v>Unificação itens de Distribuição Fixadores.</v>
      </c>
      <c r="AR36" s="62" t="s">
        <v>313</v>
      </c>
      <c r="AS36" s="508" t="str" cm="1">
        <f t="array" aca="1" ref="AS36" ca="1">IF(OR(AQ36="",AQ36=0),"",IF(SUMPRODUCT(($D$31:$D$144=AQ36)*(ISNUMBER(SEARCH("Real",$T$32:$T$145)))*($V$30:$AJ$30&lt;EOMONTH(TODAY(),-1)+1)*($V$32:$AJ$145))=0,"",SUMPRODUCT(($D$31:$D$144=AQ36)*(ISNUMBER(SEARCH("Real",$T$32:$T$145)))*($V$30:$AJ$30&lt;EOMONTH(TODAY(),-1)+1)*($V$32:$AJ$145))))</f>
        <v/>
      </c>
      <c r="AT36" s="62" t="str">
        <f t="shared" ref="AT36" si="27">A35</f>
        <v>Redução de custo</v>
      </c>
      <c r="AV36" s="1567"/>
      <c r="AW36" s="1567"/>
    </row>
    <row r="37" spans="1:49" ht="29.1" customHeight="1" x14ac:dyDescent="0.3">
      <c r="A37" s="1380" t="s">
        <v>953</v>
      </c>
      <c r="B37" s="2397" t="s">
        <v>2514</v>
      </c>
      <c r="C37" s="2392" t="s">
        <v>99</v>
      </c>
      <c r="D37" s="2399" t="s">
        <v>2515</v>
      </c>
      <c r="E37" s="2427" t="s">
        <v>2516</v>
      </c>
      <c r="F37" s="2401" t="s">
        <v>2506</v>
      </c>
      <c r="G37" s="2403">
        <f>_xlfn.XLOOKUP(B37,'[50]CONCLUIDO E IMPLANTADO-CANCELAD'!$A:$A,'[50]CONCLUIDO E IMPLANTADO-CANCELAD'!$I:$I)</f>
        <v>45757</v>
      </c>
      <c r="H37" s="2403">
        <f>_xlfn.XLOOKUP(B37,[50]Detalhamento!$A:$A,[50]Detalhamento!$J:$J)</f>
        <v>46038</v>
      </c>
      <c r="I37" s="2395">
        <f>IFERROR(_xlfn.XLOOKUP(B37,[50]Detalhamento!$A:$A,[50]Detalhamento!$E:$E)," - ")</f>
        <v>158990</v>
      </c>
      <c r="J37" s="2393">
        <f>_xlfn.XLOOKUP(B37,[50]Detalhamento!$A:$A,[50]Detalhamento!$O:$O)</f>
        <v>46048</v>
      </c>
      <c r="K37" s="1389">
        <f t="shared" ref="K37" si="28">IF(J37="", "", 12 - MONTH(J37) + 1)</f>
        <v>12</v>
      </c>
      <c r="L37" s="2395"/>
      <c r="M37" s="2376" t="s">
        <v>308</v>
      </c>
      <c r="N37" s="2373">
        <v>200000</v>
      </c>
      <c r="O37" s="1327" t="s">
        <v>81</v>
      </c>
      <c r="P37" s="1327"/>
      <c r="Q37" s="1327"/>
      <c r="R37" s="1327"/>
      <c r="S37" s="2197" t="s">
        <v>22</v>
      </c>
      <c r="T37" s="91" t="s">
        <v>116</v>
      </c>
      <c r="U37" s="91">
        <f>_xlfn.XLOOKUP(B37,'[50]CONCLUIDO E IMPLANTADO-CANCELAD'!$A:$A,'[50]CONCLUIDO E IMPLANTADO-CANCELAD'!$M:$M)</f>
        <v>1</v>
      </c>
      <c r="V37" s="287">
        <f>IFERROR(IF(AND(V$30&gt;=EOMONTH($J37,-1)+1,V$30&lt;=EOMONTH(EOMONTH($J37,-1)+1,$K37-1)),IF(NOT(ISBLANK($N37)),$N37/$K37,$I37/$K37),0),0)</f>
        <v>16666.666666666668</v>
      </c>
      <c r="W37" s="597">
        <f>IFERROR(IF(AND(W$30&gt;=EOMONTH($J37,-1)+1,W$30&lt;=EOMONTH(EOMONTH($J37,-1)+1,$K37-1)),IF(NOT(ISBLANK($N37)),$N37/$K37,$I37/$K37),0),0)</f>
        <v>16666.666666666668</v>
      </c>
      <c r="X37" s="597">
        <f>IFERROR(IF(AND(X$30&gt;=EOMONTH($J37,-1)+1,X$30&lt;=EOMONTH(EOMONTH($J37,-1)+1,$K37-1)),IF(NOT(ISBLANK($N37)),$N37/$K37,$I37/$K37),0),0)</f>
        <v>16666.666666666668</v>
      </c>
      <c r="Y37" s="440">
        <f t="shared" si="26"/>
        <v>50000</v>
      </c>
      <c r="Z37" s="597">
        <f>IFERROR(IF(AND(Z$30&gt;=EOMONTH($J37,-1)+1,Z$30&lt;=EOMONTH(EOMONTH($J37,-1)+1,$K37-1)),IF(NOT(ISBLANK($N37)),$N37/$K37,$I37/$K37),0),0)</f>
        <v>16666.666666666668</v>
      </c>
      <c r="AA37" s="287">
        <f>IFERROR(IF(AND(AA$30&gt;=EOMONTH($J37,-1)+1,AA$30&lt;=EOMONTH(EOMONTH($J37,-1)+1,$K37-1)),IF(NOT(ISBLANK($N37)),$N37/$K37,$I37/$K37),0),0)</f>
        <v>16666.666666666668</v>
      </c>
      <c r="AB37" s="287">
        <f>IFERROR(IF(AND(AB$30&gt;=EOMONTH($J37,-1)+1,AB$30&lt;=EOMONTH(EOMONTH($J37,-1)+1,$K37-1)),IF(NOT(ISBLANK($N37)),$N37/$K37,$I37/$K37),0),0)</f>
        <v>16666.666666666668</v>
      </c>
      <c r="AC37" s="440">
        <f t="shared" si="21"/>
        <v>50000</v>
      </c>
      <c r="AD37" s="287">
        <f>IFERROR(IF(AND(AD$30&gt;=EOMONTH($J37,-1)+1,AD$30&lt;=EOMONTH(EOMONTH($J37,-1)+1,$K37-1)),IF(NOT(ISBLANK($N37)),$N37/$K37,$I37/$K37),0),0)</f>
        <v>16666.666666666668</v>
      </c>
      <c r="AE37" s="287">
        <f>IFERROR(IF(AND(AE$30&gt;=EOMONTH($J37,-1)+1,AE$30&lt;=EOMONTH(EOMONTH($J37,-1)+1,$K37-1)),IF(NOT(ISBLANK($N37)),$N37/$K37,$I37/$K37),0),0)</f>
        <v>16666.666666666668</v>
      </c>
      <c r="AF37" s="287">
        <f>IFERROR(IF(AND(AF$30&gt;=EOMONTH($J37,-1)+1,AF$30&lt;=EOMONTH(EOMONTH($J37,-1)+1,$K37-1)),IF(NOT(ISBLANK($N37)),$N37/$K37,$I37/$K37),0),0)</f>
        <v>16666.666666666668</v>
      </c>
      <c r="AG37" s="440">
        <f t="shared" si="22"/>
        <v>50000</v>
      </c>
      <c r="AH37" s="287">
        <f>IFERROR(IF(AND(AH$30&gt;=EOMONTH($J37,-1)+1,AH$30&lt;=EOMONTH(EOMONTH($J37,-1)+1,$K37-1)),IF(NOT(ISBLANK($N37)),$N37/$K37,$I37/$K37),0),0)</f>
        <v>16666.666666666668</v>
      </c>
      <c r="AI37" s="287">
        <f>IFERROR(IF(AND(AI$30&gt;=EOMONTH($J37,-1)+1,AI$30&lt;=EOMONTH(EOMONTH($J37,-1)+1,$K37-1)),IF(NOT(ISBLANK($N37)),$N37/$K37,$I37/$K37),0),0)</f>
        <v>16666.666666666668</v>
      </c>
      <c r="AJ37" s="287">
        <f>IFERROR(IF(AND(AJ$30&gt;=EOMONTH($J37,-1)+1,AJ$30&lt;=EOMONTH(EOMONTH($J37,-1)+1,$K37-1)),IF(NOT(ISBLANK($N37)),$N37/$K37,$I37/$K37),0),0)</f>
        <v>16666.666666666668</v>
      </c>
      <c r="AK37" s="440">
        <f t="shared" si="11"/>
        <v>50000</v>
      </c>
      <c r="AL37" s="116">
        <f t="shared" si="13"/>
        <v>199999.99999999997</v>
      </c>
      <c r="AM37" s="1370"/>
      <c r="AN37" s="1370"/>
      <c r="AO37" s="1411"/>
      <c r="AP37" s="1405">
        <f>I37*AO37</f>
        <v>0</v>
      </c>
      <c r="AQ37" s="553" t="str">
        <f>D37</f>
        <v>Redução de custo Abrasivos Curva A Ferraz</v>
      </c>
      <c r="AR37" s="62" t="s">
        <v>311</v>
      </c>
      <c r="AS37" s="508" cm="1">
        <f t="array" aca="1" ref="AS37" ca="1">IF(OR(AQ37="",AQ37=0),"",IF(SUMPRODUCT(($D$31:$D$144=AQ37)*($T$31:$T$144="Previsto")*($V$30:$AJ$30&lt;EOMONTH(TODAY(),-1)+1)*($V$31:$AJ$144))=0,"",SUMPRODUCT(($D$31:$D$144=AQ37)*($T$31:$T$144="Previsto")*($V$30:$AJ$30&lt;EOMONTH(TODAY(),-1)+1)*($V$31:$AJ$144))))</f>
        <v>116666.66666666669</v>
      </c>
      <c r="AT37" s="62" t="str">
        <f t="shared" ref="AT37" si="29">A37</f>
        <v>Redução de custo</v>
      </c>
      <c r="AV37" s="1566">
        <f t="shared" ref="AV37" si="30">IF(OR(I37="",K37=""),0,(I37/12)*K37)</f>
        <v>158990</v>
      </c>
      <c r="AW37" s="1566">
        <f t="shared" ref="AW37" si="31">IF(OR(N37="",K37="",K37=0),0,(N37/K37)*12)</f>
        <v>200000</v>
      </c>
    </row>
    <row r="38" spans="1:49" ht="29.1" customHeight="1" x14ac:dyDescent="0.3">
      <c r="A38" s="1381"/>
      <c r="B38" s="2398"/>
      <c r="C38" s="1381"/>
      <c r="D38" s="2400"/>
      <c r="E38" s="2428"/>
      <c r="F38" s="2402"/>
      <c r="G38" s="2404"/>
      <c r="H38" s="2404"/>
      <c r="I38" s="2396"/>
      <c r="J38" s="2394"/>
      <c r="K38" s="1389"/>
      <c r="L38" s="2396"/>
      <c r="M38" s="2377"/>
      <c r="N38" s="2359"/>
      <c r="O38" s="1328"/>
      <c r="P38" s="1328"/>
      <c r="Q38" s="1328"/>
      <c r="R38" s="1328"/>
      <c r="S38" s="2198"/>
      <c r="T38" s="91" t="s">
        <v>117</v>
      </c>
      <c r="U38" s="452">
        <f>_xlfn.XLOOKUP(B37,'[50]CONCLUIDO E IMPLANTADO-CANCELAD'!$A:$A,'[50]CONCLUIDO E IMPLANTADO-CANCELAD'!$N:$N)</f>
        <v>1</v>
      </c>
      <c r="V38" s="731"/>
      <c r="W38" s="731"/>
      <c r="X38" s="731"/>
      <c r="Y38" s="440">
        <f t="shared" si="26"/>
        <v>0</v>
      </c>
      <c r="Z38" s="731"/>
      <c r="AA38" s="731"/>
      <c r="AB38" s="731"/>
      <c r="AC38" s="440">
        <f t="shared" si="21"/>
        <v>0</v>
      </c>
      <c r="AD38" s="287"/>
      <c r="AE38" s="287"/>
      <c r="AF38" s="287"/>
      <c r="AG38" s="440">
        <f t="shared" si="22"/>
        <v>0</v>
      </c>
      <c r="AH38" s="287"/>
      <c r="AI38" s="287"/>
      <c r="AJ38" s="287"/>
      <c r="AK38" s="440">
        <f t="shared" si="11"/>
        <v>0</v>
      </c>
      <c r="AL38" s="454">
        <f t="shared" si="13"/>
        <v>0</v>
      </c>
      <c r="AM38" s="1371"/>
      <c r="AN38" s="1371"/>
      <c r="AO38" s="1412"/>
      <c r="AP38" s="1406"/>
      <c r="AQ38" s="554" t="str">
        <f>D37</f>
        <v>Redução de custo Abrasivos Curva A Ferraz</v>
      </c>
      <c r="AR38" s="62" t="s">
        <v>313</v>
      </c>
      <c r="AS38" s="508" t="str" cm="1">
        <f t="array" aca="1" ref="AS38" ca="1">IF(OR(AQ38="",AQ38=0),"",IF(SUMPRODUCT(($D$31:$D$144=AQ38)*(ISNUMBER(SEARCH("Real",$T$32:$T$145)))*($V$30:$AJ$30&lt;EOMONTH(TODAY(),-1)+1)*($V$32:$AJ$145))=0,"",SUMPRODUCT(($D$31:$D$144=AQ38)*(ISNUMBER(SEARCH("Real",$T$32:$T$145)))*($V$30:$AJ$30&lt;EOMONTH(TODAY(),-1)+1)*($V$32:$AJ$145))))</f>
        <v/>
      </c>
      <c r="AT38" s="62" t="str">
        <f t="shared" ref="AT38" si="32">A37</f>
        <v>Redução de custo</v>
      </c>
      <c r="AV38" s="1567"/>
      <c r="AW38" s="1567"/>
    </row>
    <row r="39" spans="1:49" ht="29.1" customHeight="1" x14ac:dyDescent="0.3">
      <c r="A39" s="1809" t="s">
        <v>953</v>
      </c>
      <c r="B39" s="1465" t="s">
        <v>2517</v>
      </c>
      <c r="C39" s="2392" t="s">
        <v>101</v>
      </c>
      <c r="D39" s="1356" t="s">
        <v>2518</v>
      </c>
      <c r="E39" s="2360" t="s">
        <v>2519</v>
      </c>
      <c r="F39" s="1451" t="s">
        <v>2520</v>
      </c>
      <c r="G39" s="1785">
        <f>_xlfn.XLOOKUP(B39,[50]Detalhamento!$A:$A,[50]Detalhamento!$I:$I)</f>
        <v>46006</v>
      </c>
      <c r="H39" s="1785">
        <f>_xlfn.XLOOKUP(B39,[50]Detalhamento!$A:$A,[50]Detalhamento!$J:$J)</f>
        <v>46160</v>
      </c>
      <c r="I39" s="1844">
        <f>IFERROR(_xlfn.XLOOKUP(B39,[50]Detalhamento!$A:$A,[50]Detalhamento!$E:$E)," - ")</f>
        <v>60231.6</v>
      </c>
      <c r="J39" s="1378">
        <f>_xlfn.XLOOKUP(B39,[50]Detalhamento!$A:$A,[50]Detalhamento!$O:$O)</f>
        <v>46327</v>
      </c>
      <c r="K39" s="1387">
        <f t="shared" ref="K39" si="33">IF(J39="", "", 12 - MONTH(J39) + 1)</f>
        <v>2</v>
      </c>
      <c r="L39" s="1395"/>
      <c r="M39" s="2364"/>
      <c r="N39" s="1393"/>
      <c r="O39" s="1334" t="s">
        <v>83</v>
      </c>
      <c r="P39" s="1334"/>
      <c r="Q39" s="1334"/>
      <c r="R39" s="1334"/>
      <c r="S39" s="2191" t="s">
        <v>23</v>
      </c>
      <c r="T39" s="96" t="s">
        <v>116</v>
      </c>
      <c r="U39" s="96">
        <f>_xlfn.XLOOKUP(B39,[50]Detalhamento!$A:$A,[50]Detalhamento!$M:$M)</f>
        <v>0.93846153846153846</v>
      </c>
      <c r="V39" s="498">
        <f>IFERROR(IF(AND(V$30&gt;=EOMONTH($J39,-1)+1,V$30&lt;=EOMONTH(EOMONTH($J39,-1)+1,$K39-1)),IF(NOT(ISBLANK($N39)),$N39/$K39,$I39/$K39),0),0)</f>
        <v>0</v>
      </c>
      <c r="W39" s="498">
        <f>IFERROR(IF(AND(W$30&gt;=EOMONTH($J39,-1)+1,W$30&lt;=EOMONTH(EOMONTH($J39,-1)+1,$K39-1)),IF(NOT(ISBLANK($N39)),$N39/$K39,$I39/$K39),0),0)</f>
        <v>0</v>
      </c>
      <c r="X39" s="498">
        <f>IFERROR(IF(AND(X$30&gt;=EOMONTH($J39,-1)+1,X$30&lt;=EOMONTH(EOMONTH($J39,-1)+1,$K39-1)),IF(NOT(ISBLANK($N39)),$N39/$K39,$I39/$K39),0),0)</f>
        <v>0</v>
      </c>
      <c r="Y39" s="440">
        <f t="shared" si="26"/>
        <v>0</v>
      </c>
      <c r="Z39" s="498">
        <f>IFERROR(IF(AND(Z$30&gt;=EOMONTH($J39,-1)+1,Z$30&lt;=EOMONTH(EOMONTH($J39,-1)+1,$K39-1)),IF(NOT(ISBLANK($N39)),$N39/$K39,$I39/$K39),0),0)</f>
        <v>0</v>
      </c>
      <c r="AA39" s="498">
        <f>IFERROR(IF(AND(AA$30&gt;=EOMONTH($J39,-1)+1,AA$30&lt;=EOMONTH(EOMONTH($J39,-1)+1,$K39-1)),IF(NOT(ISBLANK($N39)),$N39/$K39,$I39/$K39),0),0)</f>
        <v>0</v>
      </c>
      <c r="AB39" s="498">
        <f>IFERROR(IF(AND(AB$30&gt;=EOMONTH($J39,-1)+1,AB$30&lt;=EOMONTH(EOMONTH($J39,-1)+1,$K39-1)),IF(NOT(ISBLANK($N39)),$N39/$K39,$I39/$K39),0),0)</f>
        <v>0</v>
      </c>
      <c r="AC39" s="440">
        <f t="shared" si="21"/>
        <v>0</v>
      </c>
      <c r="AD39" s="498">
        <f>IFERROR(IF(AND(AD$30&gt;=EOMONTH($J39,-1)+1,AD$30&lt;=EOMONTH(EOMONTH($J39,-1)+1,$K39-1)),IF(NOT(ISBLANK($N39)),$N39/$K39,$I39/$K39),0),0)</f>
        <v>0</v>
      </c>
      <c r="AE39" s="498">
        <f>IFERROR(IF(AND(AE$30&gt;=EOMONTH($J39,-1)+1,AE$30&lt;=EOMONTH(EOMONTH($J39,-1)+1,$K39-1)),IF(NOT(ISBLANK($N39)),$N39/$K39,$I39/$K39),0),0)</f>
        <v>0</v>
      </c>
      <c r="AF39" s="498">
        <f>IFERROR(IF(AND(AF$30&gt;=EOMONTH($J39,-1)+1,AF$30&lt;=EOMONTH(EOMONTH($J39,-1)+1,$K39-1)),IF(NOT(ISBLANK($N39)),$N39/$K39,$I39/$K39),0),0)</f>
        <v>0</v>
      </c>
      <c r="AG39" s="440">
        <f t="shared" si="22"/>
        <v>0</v>
      </c>
      <c r="AH39" s="498">
        <f>IFERROR(IF(AND(AH$30&gt;=EOMONTH($J39,-1)+1,AH$30&lt;=EOMONTH(EOMONTH($J39,-1)+1,$K39-1)),IF(NOT(ISBLANK($N39)),$N39/$K39,$I39/$K39),0),0)</f>
        <v>0</v>
      </c>
      <c r="AI39" s="498">
        <f>IFERROR(IF(AND(AI$30&gt;=EOMONTH($J39,-1)+1,AI$30&lt;=EOMONTH(EOMONTH($J39,-1)+1,$K39-1)),IF(NOT(ISBLANK($N39)),$N39/$K39,$I39/$K39),0),0)</f>
        <v>30115.8</v>
      </c>
      <c r="AJ39" s="498">
        <f>IFERROR(IF(AND(AJ$30&gt;=EOMONTH($J39,-1)+1,AJ$30&lt;=EOMONTH(EOMONTH($J39,-1)+1,$K39-1)),IF(NOT(ISBLANK($N39)),$N39/$K39,$I39/$K39),0),0)</f>
        <v>30115.8</v>
      </c>
      <c r="AK39" s="440">
        <f t="shared" si="11"/>
        <v>60231.6</v>
      </c>
      <c r="AL39" s="94">
        <f t="shared" si="13"/>
        <v>60231.6</v>
      </c>
      <c r="AM39" s="1407"/>
      <c r="AN39" s="1407"/>
      <c r="AO39" s="1334"/>
      <c r="AP39" s="1403">
        <f>I39*AO39</f>
        <v>0</v>
      </c>
      <c r="AQ39" s="553" t="str">
        <f>D39</f>
        <v>Substituição Plano Médico - São Leopoldo</v>
      </c>
      <c r="AR39" s="62" t="s">
        <v>311</v>
      </c>
      <c r="AS39" s="508" t="str" cm="1">
        <f t="array" aca="1" ref="AS39" ca="1">IF(OR(AQ39="",AQ39=0),"",IF(SUMPRODUCT(($D$31:$D$144=AQ39)*($T$31:$T$144="Previsto")*($V$30:$AJ$30&lt;EOMONTH(TODAY(),-1)+1)*($V$31:$AJ$144))=0,"",SUMPRODUCT(($D$31:$D$144=AQ39)*($T$31:$T$144="Previsto")*($V$30:$AJ$30&lt;EOMONTH(TODAY(),-1)+1)*($V$31:$AJ$144))))</f>
        <v/>
      </c>
      <c r="AT39" s="62" t="str">
        <f t="shared" ref="AT39" si="34">A39</f>
        <v>Redução de custo</v>
      </c>
      <c r="AV39" s="1566">
        <f t="shared" ref="AV39" si="35">IF(OR(I39="",K39=""),0,(I39/12)*K39)</f>
        <v>10038.6</v>
      </c>
      <c r="AW39" s="1566">
        <f t="shared" ref="AW39" si="36">IF(OR(N39="",K39="",K39=0),0,(N39/K39)*12)</f>
        <v>0</v>
      </c>
    </row>
    <row r="40" spans="1:49" ht="29.1" customHeight="1" x14ac:dyDescent="0.3">
      <c r="A40" s="1810"/>
      <c r="B40" s="1466"/>
      <c r="C40" s="1408"/>
      <c r="D40" s="1455"/>
      <c r="E40" s="2361"/>
      <c r="F40" s="1452"/>
      <c r="G40" s="1786"/>
      <c r="H40" s="1786"/>
      <c r="I40" s="1835"/>
      <c r="J40" s="1379"/>
      <c r="K40" s="1387"/>
      <c r="L40" s="1396"/>
      <c r="M40" s="2365"/>
      <c r="N40" s="1394"/>
      <c r="O40" s="1330"/>
      <c r="P40" s="1330"/>
      <c r="Q40" s="1330"/>
      <c r="R40" s="1330"/>
      <c r="S40" s="2192"/>
      <c r="T40" s="96" t="s">
        <v>117</v>
      </c>
      <c r="U40" s="453">
        <f>_xlfn.XLOOKUP(B39,[50]Detalhamento!$A:$A,[50]Detalhamento!$N:$N)</f>
        <v>1</v>
      </c>
      <c r="V40" s="498"/>
      <c r="W40" s="498"/>
      <c r="X40" s="498"/>
      <c r="Y40" s="440">
        <f t="shared" si="26"/>
        <v>0</v>
      </c>
      <c r="Z40" s="498"/>
      <c r="AA40" s="498"/>
      <c r="AB40" s="731"/>
      <c r="AC40" s="440">
        <f t="shared" si="21"/>
        <v>0</v>
      </c>
      <c r="AD40" s="498"/>
      <c r="AE40" s="498"/>
      <c r="AF40" s="498"/>
      <c r="AG40" s="440">
        <f t="shared" si="22"/>
        <v>0</v>
      </c>
      <c r="AH40" s="498"/>
      <c r="AI40" s="498"/>
      <c r="AJ40" s="498"/>
      <c r="AK40" s="440">
        <f t="shared" si="11"/>
        <v>0</v>
      </c>
      <c r="AL40" s="94">
        <f t="shared" si="13"/>
        <v>0</v>
      </c>
      <c r="AM40" s="1408"/>
      <c r="AN40" s="1408"/>
      <c r="AO40" s="1330"/>
      <c r="AP40" s="1404"/>
      <c r="AQ40" s="554" t="str">
        <f>D39</f>
        <v>Substituição Plano Médico - São Leopoldo</v>
      </c>
      <c r="AR40" s="62" t="s">
        <v>313</v>
      </c>
      <c r="AS40" s="508" t="str" cm="1">
        <f t="array" aca="1" ref="AS40" ca="1">IF(OR(AQ40="",AQ40=0),"",IF(SUMPRODUCT(($D$31:$D$144=AQ40)*(ISNUMBER(SEARCH("Real",$T$32:$T$145)))*($V$30:$AJ$30&lt;EOMONTH(TODAY(),-1)+1)*($V$32:$AJ$145))=0,"",SUMPRODUCT(($D$31:$D$144=AQ40)*(ISNUMBER(SEARCH("Real",$T$32:$T$145)))*($V$30:$AJ$30&lt;EOMONTH(TODAY(),-1)+1)*($V$32:$AJ$145))))</f>
        <v/>
      </c>
      <c r="AT40" s="62" t="str">
        <f t="shared" ref="AT40" si="37">A39</f>
        <v>Redução de custo</v>
      </c>
      <c r="AV40" s="1567"/>
      <c r="AW40" s="1567"/>
    </row>
    <row r="41" spans="1:49" ht="29.1" customHeight="1" x14ac:dyDescent="0.3">
      <c r="A41" s="1380" t="s">
        <v>953</v>
      </c>
      <c r="B41" s="1482" t="s">
        <v>2521</v>
      </c>
      <c r="C41" s="2392" t="s">
        <v>97</v>
      </c>
      <c r="D41" s="1486" t="s">
        <v>2522</v>
      </c>
      <c r="E41" s="2413" t="s">
        <v>2523</v>
      </c>
      <c r="F41" s="1370" t="s">
        <v>2520</v>
      </c>
      <c r="G41" s="1372">
        <f>_xlfn.XLOOKUP(B41,[50]Detalhamento!$A:$A,[50]Detalhamento!$I:$I)</f>
        <v>45962</v>
      </c>
      <c r="H41" s="1372">
        <f>_xlfn.XLOOKUP(B41,[50]Detalhamento!$A:$A,[50]Detalhamento!$J:$J)</f>
        <v>46170</v>
      </c>
      <c r="I41" s="1354">
        <f>IFERROR(_xlfn.XLOOKUP(B41,[50]Detalhamento!$A:$A,[50]Detalhamento!$E:$E)," - ")</f>
        <v>600868</v>
      </c>
      <c r="J41" s="1376">
        <f>_xlfn.XLOOKUP(B41,[50]Detalhamento!$A:$A,[50]Detalhamento!$O:$O)</f>
        <v>46174</v>
      </c>
      <c r="K41" s="1389">
        <f t="shared" ref="K41" si="38">IF(J41="", "", 12 - MONTH(J41) + 1)</f>
        <v>7</v>
      </c>
      <c r="L41" s="1354"/>
      <c r="M41" s="2368"/>
      <c r="N41" s="1391"/>
      <c r="O41" s="1327" t="s">
        <v>81</v>
      </c>
      <c r="P41" s="1327"/>
      <c r="Q41" s="1327"/>
      <c r="R41" s="1327"/>
      <c r="S41" s="2197" t="s">
        <v>2500</v>
      </c>
      <c r="T41" s="91" t="s">
        <v>116</v>
      </c>
      <c r="U41" s="91">
        <f>_xlfn.XLOOKUP(B41,[50]Detalhamento!$A:$A,[50]Detalhamento!$M:$M)</f>
        <v>1</v>
      </c>
      <c r="V41" s="287">
        <f>IFERROR(IF(AND(V$30&gt;=EOMONTH($J41,-1)+1,V$30&lt;=EOMONTH(EOMONTH($J41,-1)+1,$K41-1)),IF(NOT(ISBLANK($N41)),$N41/$K41,$I41/$K41),0),0)</f>
        <v>0</v>
      </c>
      <c r="W41" s="287">
        <f>IFERROR(IF(AND(W$30&gt;=EOMONTH($J41,-1)+1,W$30&lt;=EOMONTH(EOMONTH($J41,-1)+1,$K41-1)),IF(NOT(ISBLANK($N41)),$N41/$K41,$I41/$K41),0),0)</f>
        <v>0</v>
      </c>
      <c r="X41" s="287">
        <f>IFERROR(IF(AND(X$30&gt;=EOMONTH($J41,-1)+1,X$30&lt;=EOMONTH(EOMONTH($J41,-1)+1,$K41-1)),IF(NOT(ISBLANK($N41)),$N41/$K41,$I41/$K41),0),0)</f>
        <v>0</v>
      </c>
      <c r="Y41" s="440">
        <f t="shared" si="26"/>
        <v>0</v>
      </c>
      <c r="Z41" s="287">
        <f>IFERROR(IF(AND(Z$30&gt;=EOMONTH($J41,-1)+1,Z$30&lt;=EOMONTH(EOMONTH($J41,-1)+1,$K41-1)),IF(NOT(ISBLANK($N41)),$N41/$K41,$I41/$K41),0),0)</f>
        <v>0</v>
      </c>
      <c r="AA41" s="287">
        <f>IFERROR(IF(AND(AA$30&gt;=EOMONTH($J41,-1)+1,AA$30&lt;=EOMONTH(EOMONTH($J41,-1)+1,$K41-1)),IF(NOT(ISBLANK($N41)),$N41/$K41,$I41/$K41),0),0)</f>
        <v>0</v>
      </c>
      <c r="AB41" s="287">
        <f>IFERROR(IF(AND(AB$30&gt;=EOMONTH($J41,-1)+1,AB$30&lt;=EOMONTH(EOMONTH($J41,-1)+1,$K41-1)),IF(NOT(ISBLANK($N41)),$N41/$K41,$I41/$K41),0),0)</f>
        <v>85838.28571428571</v>
      </c>
      <c r="AC41" s="440">
        <f t="shared" si="21"/>
        <v>85838.28571428571</v>
      </c>
      <c r="AD41" s="287">
        <f>IFERROR(IF(AND(AD$30&gt;=EOMONTH($J41,-1)+1,AD$30&lt;=EOMONTH(EOMONTH($J41,-1)+1,$K41-1)),IF(NOT(ISBLANK($N41)),$N41/$K41,$I41/$K41),0),0)</f>
        <v>85838.28571428571</v>
      </c>
      <c r="AE41" s="287">
        <f>IFERROR(IF(AND(AE$30&gt;=EOMONTH($J41,-1)+1,AE$30&lt;=EOMONTH(EOMONTH($J41,-1)+1,$K41-1)),IF(NOT(ISBLANK($N41)),$N41/$K41,$I41/$K41),0),0)</f>
        <v>85838.28571428571</v>
      </c>
      <c r="AF41" s="287">
        <f>IFERROR(IF(AND(AF$30&gt;=EOMONTH($J41,-1)+1,AF$30&lt;=EOMONTH(EOMONTH($J41,-1)+1,$K41-1)),IF(NOT(ISBLANK($N41)),$N41/$K41,$I41/$K41),0),0)</f>
        <v>85838.28571428571</v>
      </c>
      <c r="AG41" s="440">
        <f t="shared" si="22"/>
        <v>257514.85714285713</v>
      </c>
      <c r="AH41" s="287">
        <f>IFERROR(IF(AND(AH$30&gt;=EOMONTH($J41,-1)+1,AH$30&lt;=EOMONTH(EOMONTH($J41,-1)+1,$K41-1)),IF(NOT(ISBLANK($N41)),$N41/$K41,$I41/$K41),0),0)</f>
        <v>85838.28571428571</v>
      </c>
      <c r="AI41" s="287">
        <f>IFERROR(IF(AND(AI$30&gt;=EOMONTH($J41,-1)+1,AI$30&lt;=EOMONTH(EOMONTH($J41,-1)+1,$K41-1)),IF(NOT(ISBLANK($N41)),$N41/$K41,$I41/$K41),0),0)</f>
        <v>85838.28571428571</v>
      </c>
      <c r="AJ41" s="287">
        <f>IFERROR(IF(AND(AJ$30&gt;=EOMONTH($J41,-1)+1,AJ$30&lt;=EOMONTH(EOMONTH($J41,-1)+1,$K41-1)),IF(NOT(ISBLANK($N41)),$N41/$K41,$I41/$K41),0),0)</f>
        <v>85838.28571428571</v>
      </c>
      <c r="AK41" s="440">
        <f t="shared" si="11"/>
        <v>257514.85714285713</v>
      </c>
      <c r="AL41" s="116">
        <f t="shared" si="13"/>
        <v>600867.99999999988</v>
      </c>
      <c r="AM41" s="1370"/>
      <c r="AN41" s="1370"/>
      <c r="AO41" s="1411"/>
      <c r="AP41" s="1405">
        <f>I41*AO41</f>
        <v>0</v>
      </c>
      <c r="AQ41" s="553" t="str">
        <f>D41</f>
        <v>Mão de Obra Terceirizada</v>
      </c>
      <c r="AR41" s="62" t="s">
        <v>311</v>
      </c>
      <c r="AS41" s="508" cm="1">
        <f t="array" aca="1" ref="AS41" ca="1">IF(OR(AQ41="",AQ41=0),"",IF(SUMPRODUCT(($D$31:$D$144=AQ41)*($T$31:$T$144="Previsto")*($V$30:$AJ$30&lt;EOMONTH(TODAY(),-1)+1)*($V$31:$AJ$144))=0,"",SUMPRODUCT(($D$31:$D$144=AQ41)*($T$31:$T$144="Previsto")*($V$30:$AJ$30&lt;EOMONTH(TODAY(),-1)+1)*($V$31:$AJ$144))))</f>
        <v>171676.57142857142</v>
      </c>
      <c r="AT41" s="62" t="str">
        <f t="shared" ref="AT41" si="39">A41</f>
        <v>Redução de custo</v>
      </c>
      <c r="AV41" s="1566">
        <f t="shared" ref="AV41" si="40">IF(OR(I41="",K41=""),0,(I41/12)*K41)</f>
        <v>350506.33333333337</v>
      </c>
      <c r="AW41" s="1566">
        <f t="shared" ref="AW41" si="41">IF(OR(N41="",K41="",K41=0),0,(N41/K41)*12)</f>
        <v>0</v>
      </c>
    </row>
    <row r="42" spans="1:49" ht="29.1" customHeight="1" x14ac:dyDescent="0.3">
      <c r="A42" s="1381"/>
      <c r="B42" s="1483"/>
      <c r="C42" s="2423"/>
      <c r="D42" s="1487"/>
      <c r="E42" s="2363"/>
      <c r="F42" s="1371"/>
      <c r="G42" s="1373"/>
      <c r="H42" s="1373"/>
      <c r="I42" s="1355"/>
      <c r="J42" s="1377"/>
      <c r="K42" s="1389"/>
      <c r="L42" s="1355"/>
      <c r="M42" s="2369"/>
      <c r="N42" s="1392"/>
      <c r="O42" s="1328"/>
      <c r="P42" s="1328"/>
      <c r="Q42" s="1328"/>
      <c r="R42" s="1328"/>
      <c r="S42" s="2198"/>
      <c r="T42" s="91" t="s">
        <v>117</v>
      </c>
      <c r="U42" s="452">
        <f>_xlfn.XLOOKUP(B41,[50]Detalhamento!$A:$A,[50]Detalhamento!$N:$N)</f>
        <v>1</v>
      </c>
      <c r="V42" s="287"/>
      <c r="W42" s="287"/>
      <c r="X42" s="287"/>
      <c r="Y42" s="440">
        <f t="shared" si="26"/>
        <v>0</v>
      </c>
      <c r="Z42" s="287"/>
      <c r="AA42" s="287"/>
      <c r="AB42" s="731"/>
      <c r="AC42" s="440">
        <f t="shared" si="21"/>
        <v>0</v>
      </c>
      <c r="AD42" s="287"/>
      <c r="AE42" s="287"/>
      <c r="AF42" s="287"/>
      <c r="AG42" s="440">
        <f t="shared" si="22"/>
        <v>0</v>
      </c>
      <c r="AH42" s="287"/>
      <c r="AI42" s="287"/>
      <c r="AJ42" s="287"/>
      <c r="AK42" s="440">
        <f t="shared" si="11"/>
        <v>0</v>
      </c>
      <c r="AL42" s="454">
        <f t="shared" si="13"/>
        <v>0</v>
      </c>
      <c r="AM42" s="1371"/>
      <c r="AN42" s="1371"/>
      <c r="AO42" s="1412"/>
      <c r="AP42" s="1406"/>
      <c r="AQ42" s="554" t="str">
        <f>D41</f>
        <v>Mão de Obra Terceirizada</v>
      </c>
      <c r="AR42" s="62" t="s">
        <v>313</v>
      </c>
      <c r="AS42" s="508" t="str" cm="1">
        <f t="array" aca="1" ref="AS42" ca="1">IF(OR(AQ42="",AQ42=0),"",IF(SUMPRODUCT(($D$31:$D$144=AQ42)*(ISNUMBER(SEARCH("Real",$T$32:$T$145)))*($V$30:$AJ$30&lt;EOMONTH(TODAY(),-1)+1)*($V$32:$AJ$145))=0,"",SUMPRODUCT(($D$31:$D$144=AQ42)*(ISNUMBER(SEARCH("Real",$T$32:$T$145)))*($V$30:$AJ$30&lt;EOMONTH(TODAY(),-1)+1)*($V$32:$AJ$145))))</f>
        <v/>
      </c>
      <c r="AT42" s="62" t="str">
        <f t="shared" ref="AT42" si="42">A41</f>
        <v>Redução de custo</v>
      </c>
      <c r="AV42" s="1567"/>
      <c r="AW42" s="1567"/>
    </row>
    <row r="43" spans="1:49" ht="29.1" customHeight="1" x14ac:dyDescent="0.3">
      <c r="A43" s="1809" t="s">
        <v>953</v>
      </c>
      <c r="B43" s="1465" t="s">
        <v>2524</v>
      </c>
      <c r="C43" s="2392" t="s">
        <v>97</v>
      </c>
      <c r="D43" s="1356" t="s">
        <v>2525</v>
      </c>
      <c r="E43" s="2429" t="s">
        <v>2526</v>
      </c>
      <c r="F43" s="1451" t="s">
        <v>2520</v>
      </c>
      <c r="G43" s="1785">
        <f>_xlfn.XLOOKUP(B43,[50]Detalhamento!$A:$A,[50]Detalhamento!$I:$I)</f>
        <v>46003</v>
      </c>
      <c r="H43" s="1785">
        <f>_xlfn.XLOOKUP(B43,[50]Detalhamento!$A:$A,[50]Detalhamento!$J:$J)</f>
        <v>46539</v>
      </c>
      <c r="I43" s="1844">
        <f>IFERROR(_xlfn.XLOOKUP(B43,[50]Detalhamento!$A:$A,[50]Detalhamento!$E:$E)," - ")</f>
        <v>1139000</v>
      </c>
      <c r="J43" s="1378">
        <f>_xlfn.XLOOKUP(B41,[50]Detalhamento!$A:$A,[50]Detalhamento!$O:$O)</f>
        <v>46174</v>
      </c>
      <c r="K43" s="1387">
        <f t="shared" ref="K43" si="43">IF(J43="", "", 12 - MONTH(J43) + 1)</f>
        <v>7</v>
      </c>
      <c r="L43" s="1395"/>
      <c r="M43" s="2364"/>
      <c r="N43" s="1393"/>
      <c r="O43" s="1334" t="s">
        <v>83</v>
      </c>
      <c r="P43" s="1334"/>
      <c r="Q43" s="1334"/>
      <c r="R43" s="1334"/>
      <c r="S43" s="2191" t="s">
        <v>2500</v>
      </c>
      <c r="T43" s="96" t="s">
        <v>116</v>
      </c>
      <c r="U43" s="96">
        <f>_xlfn.XLOOKUP(B43,[50]Detalhamento!$A:$A,[50]Detalhamento!$M:$M)</f>
        <v>0.40972222222222221</v>
      </c>
      <c r="V43" s="498">
        <f>IFERROR(IF(AND(V$30&gt;=EOMONTH($J43,-1)+1,V$30&lt;=EOMONTH(EOMONTH($J43,-1)+1,$K43-1)),IF(NOT(ISBLANK($N43)),$N43/$K43,$I43/$K43),0),0)</f>
        <v>0</v>
      </c>
      <c r="W43" s="498">
        <f>IFERROR(IF(AND(W$30&gt;=EOMONTH($J43,-1)+1,W$30&lt;=EOMONTH(EOMONTH($J43,-1)+1,$K43-1)),IF(NOT(ISBLANK($N43)),$N43/$K43,$I43/$K43),0),0)</f>
        <v>0</v>
      </c>
      <c r="X43" s="498">
        <f>IFERROR(IF(AND(X$30&gt;=EOMONTH($J43,-1)+1,X$30&lt;=EOMONTH(EOMONTH($J43,-1)+1,$K43-1)),IF(NOT(ISBLANK($N43)),$N43/$K43,$I43/$K43),0),0)</f>
        <v>0</v>
      </c>
      <c r="Y43" s="440">
        <f t="shared" si="26"/>
        <v>0</v>
      </c>
      <c r="Z43" s="498">
        <f>IFERROR(IF(AND(Z$30&gt;=EOMONTH($J43,-1)+1,Z$30&lt;=EOMONTH(EOMONTH($J43,-1)+1,$K43-1)),IF(NOT(ISBLANK($N43)),$N43/$K43,$I43/$K43),0),0)</f>
        <v>0</v>
      </c>
      <c r="AA43" s="498">
        <f>IFERROR(IF(AND(AA$30&gt;=EOMONTH($J43,-1)+1,AA$30&lt;=EOMONTH(EOMONTH($J43,-1)+1,$K43-1)),IF(NOT(ISBLANK($N43)),$N43/$K43,$I43/$K43),0),0)</f>
        <v>0</v>
      </c>
      <c r="AB43" s="498"/>
      <c r="AC43" s="440">
        <f t="shared" si="21"/>
        <v>0</v>
      </c>
      <c r="AD43" s="498"/>
      <c r="AE43" s="498"/>
      <c r="AF43" s="498"/>
      <c r="AG43" s="440">
        <f t="shared" si="22"/>
        <v>0</v>
      </c>
      <c r="AH43" s="498"/>
      <c r="AI43" s="498"/>
      <c r="AJ43" s="498"/>
      <c r="AK43" s="440">
        <f t="shared" si="11"/>
        <v>0</v>
      </c>
      <c r="AL43" s="94">
        <f t="shared" si="13"/>
        <v>0</v>
      </c>
      <c r="AM43" s="1407"/>
      <c r="AN43" s="1407"/>
      <c r="AO43" s="1334"/>
      <c r="AP43" s="1403">
        <f>I43*AO43</f>
        <v>0</v>
      </c>
      <c r="AQ43" s="553" t="str">
        <f>D43</f>
        <v>Recuperação de valores - Energia Elétrica</v>
      </c>
      <c r="AR43" s="62" t="s">
        <v>311</v>
      </c>
      <c r="AS43" s="508" t="str" cm="1">
        <f t="array" aca="1" ref="AS43" ca="1">IF(OR(AQ43="",AQ43=0),"",IF(SUMPRODUCT(($D$31:$D$144=AQ43)*($T$31:$T$144="Previsto")*($V$30:$AJ$30&lt;EOMONTH(TODAY(),-1)+1)*($V$31:$AJ$144))=0,"",SUMPRODUCT(($D$31:$D$144=AQ43)*($T$31:$T$144="Previsto")*($V$30:$AJ$30&lt;EOMONTH(TODAY(),-1)+1)*($V$31:$AJ$144))))</f>
        <v/>
      </c>
      <c r="AT43" s="62" t="str">
        <f t="shared" ref="AT43" si="44">A43</f>
        <v>Redução de custo</v>
      </c>
      <c r="AV43" s="1566">
        <f t="shared" ref="AV43" si="45">IF(OR(I43="",K43=""),0,(I43/12)*K43)</f>
        <v>664416.66666666674</v>
      </c>
      <c r="AW43" s="1566">
        <f t="shared" ref="AW43" si="46">IF(OR(N43="",K43="",K43=0),0,(N43/K43)*12)</f>
        <v>0</v>
      </c>
    </row>
    <row r="44" spans="1:49" ht="29.1" customHeight="1" x14ac:dyDescent="0.3">
      <c r="A44" s="1810"/>
      <c r="B44" s="1466"/>
      <c r="C44" s="1408"/>
      <c r="D44" s="1455"/>
      <c r="E44" s="2361"/>
      <c r="F44" s="1452"/>
      <c r="G44" s="1786"/>
      <c r="H44" s="1786"/>
      <c r="I44" s="1835"/>
      <c r="J44" s="1379"/>
      <c r="K44" s="1387"/>
      <c r="L44" s="1396"/>
      <c r="M44" s="2365"/>
      <c r="N44" s="1394"/>
      <c r="O44" s="1330"/>
      <c r="P44" s="1330"/>
      <c r="Q44" s="1330"/>
      <c r="R44" s="1330"/>
      <c r="S44" s="2192"/>
      <c r="T44" s="96" t="s">
        <v>117</v>
      </c>
      <c r="U44" s="453">
        <f>_xlfn.XLOOKUP(B43,[50]Detalhamento!$A:$A,[50]Detalhamento!$N:$N)</f>
        <v>0.44444444444444442</v>
      </c>
      <c r="V44" s="498"/>
      <c r="W44" s="498"/>
      <c r="X44" s="498"/>
      <c r="Y44" s="440">
        <f t="shared" si="26"/>
        <v>0</v>
      </c>
      <c r="Z44" s="498"/>
      <c r="AA44" s="498"/>
      <c r="AB44" s="498"/>
      <c r="AC44" s="440">
        <f t="shared" si="21"/>
        <v>0</v>
      </c>
      <c r="AD44" s="498"/>
      <c r="AE44" s="498"/>
      <c r="AF44" s="498"/>
      <c r="AG44" s="440">
        <f t="shared" si="22"/>
        <v>0</v>
      </c>
      <c r="AH44" s="498"/>
      <c r="AI44" s="498"/>
      <c r="AJ44" s="498"/>
      <c r="AK44" s="440">
        <f t="shared" si="11"/>
        <v>0</v>
      </c>
      <c r="AL44" s="94">
        <f t="shared" si="13"/>
        <v>0</v>
      </c>
      <c r="AM44" s="1408"/>
      <c r="AN44" s="1408"/>
      <c r="AO44" s="1330"/>
      <c r="AP44" s="1404"/>
      <c r="AQ44" s="554" t="str">
        <f>D43</f>
        <v>Recuperação de valores - Energia Elétrica</v>
      </c>
      <c r="AR44" s="62" t="s">
        <v>313</v>
      </c>
      <c r="AS44" s="508" t="str" cm="1">
        <f t="array" aca="1" ref="AS44" ca="1">IF(OR(AQ44="",AQ44=0),"",IF(SUMPRODUCT(($D$31:$D$144=AQ44)*(ISNUMBER(SEARCH("Real",$T$32:$T$145)))*($V$30:$AJ$30&lt;EOMONTH(TODAY(),-1)+1)*($V$32:$AJ$145))=0,"",SUMPRODUCT(($D$31:$D$144=AQ44)*(ISNUMBER(SEARCH("Real",$T$32:$T$145)))*($V$30:$AJ$30&lt;EOMONTH(TODAY(),-1)+1)*($V$32:$AJ$145))))</f>
        <v/>
      </c>
      <c r="AT44" s="62" t="str">
        <f t="shared" ref="AT44" si="47">A43</f>
        <v>Redução de custo</v>
      </c>
      <c r="AV44" s="1567"/>
      <c r="AW44" s="1567"/>
    </row>
    <row r="45" spans="1:49" ht="29.1" customHeight="1" x14ac:dyDescent="0.3">
      <c r="A45" s="1380" t="s">
        <v>953</v>
      </c>
      <c r="B45" s="1482" t="s">
        <v>2527</v>
      </c>
      <c r="C45" s="2392" t="s">
        <v>97</v>
      </c>
      <c r="D45" s="1486" t="s">
        <v>2528</v>
      </c>
      <c r="E45" s="2413" t="s">
        <v>2529</v>
      </c>
      <c r="F45" s="1370" t="s">
        <v>2520</v>
      </c>
      <c r="G45" s="1372">
        <f>_xlfn.XLOOKUP(B45,[50]Detalhamento!$A:$A,[50]Detalhamento!$I:$I)</f>
        <v>46054</v>
      </c>
      <c r="H45" s="1372">
        <f>_xlfn.XLOOKUP(B45,[50]Detalhamento!$A:$A,[50]Detalhamento!$J:$J)</f>
        <v>46539</v>
      </c>
      <c r="I45" s="1354">
        <f>IFERROR(_xlfn.XLOOKUP(B45,[50]Detalhamento!$A:$A,[50]Detalhamento!$E:$E)," - ")</f>
        <v>353954</v>
      </c>
      <c r="J45" s="1376">
        <f>_xlfn.XLOOKUP(B45,[50]Detalhamento!$A:$A,[50]Detalhamento!$O:$O)</f>
        <v>46539</v>
      </c>
      <c r="K45" s="1389">
        <f t="shared" ref="K45" si="48">IF(J45="", "", 12 - MONTH(J45) + 1)</f>
        <v>7</v>
      </c>
      <c r="L45" s="1354"/>
      <c r="M45" s="2356"/>
      <c r="N45" s="1391"/>
      <c r="O45" s="1327" t="s">
        <v>83</v>
      </c>
      <c r="P45" s="1327"/>
      <c r="Q45" s="1327"/>
      <c r="R45" s="1327"/>
      <c r="S45" s="2197" t="s">
        <v>2500</v>
      </c>
      <c r="T45" s="91" t="s">
        <v>116</v>
      </c>
      <c r="U45" s="91">
        <f>_xlfn.XLOOKUP(B45,[50]Detalhamento!$A:$A,[50]Detalhamento!$M:$M)</f>
        <v>0.33779755283648499</v>
      </c>
      <c r="V45" s="287">
        <f>IFERROR(IF(AND(V$30&gt;=EOMONTH($J45,-1)+1,V$30&lt;=EOMONTH(EOMONTH($J45,-1)+1,$K45-1)),IF(NOT(ISBLANK($N45)),$N45/$K45,$I45/$K45),0),0)</f>
        <v>0</v>
      </c>
      <c r="W45" s="287">
        <f>IFERROR(IF(AND(W$30&gt;=EOMONTH($J45,-1)+1,W$30&lt;=EOMONTH(EOMONTH($J45,-1)+1,$K45-1)),IF(NOT(ISBLANK($N45)),$N45/$K45,$I45/$K45),0),0)</f>
        <v>0</v>
      </c>
      <c r="X45" s="287">
        <f>IFERROR(IF(AND(X$30&gt;=EOMONTH($J45,-1)+1,X$30&lt;=EOMONTH(EOMONTH($J45,-1)+1,$K45-1)),IF(NOT(ISBLANK($N45)),$N45/$K45,$I45/$K45),0),0)</f>
        <v>0</v>
      </c>
      <c r="Y45" s="440">
        <f t="shared" si="26"/>
        <v>0</v>
      </c>
      <c r="Z45" s="287">
        <f>IFERROR(IF(AND(Z$30&gt;=EOMONTH($J45,-1)+1,Z$30&lt;=EOMONTH(EOMONTH($J45,-1)+1,$K45-1)),IF(NOT(ISBLANK($N45)),$N45/$K45,$I45/$K45),0),0)</f>
        <v>0</v>
      </c>
      <c r="AA45" s="287">
        <f>IFERROR(IF(AND(AA$30&gt;=EOMONTH($J45,-1)+1,AA$30&lt;=EOMONTH(EOMONTH($J45,-1)+1,$K45-1)),IF(NOT(ISBLANK($N45)),$N45/$K45,$I45/$K45),0),0)</f>
        <v>0</v>
      </c>
      <c r="AB45" s="287">
        <f>IFERROR(IF(AND(AB$30&gt;=EOMONTH($J45,-1)+1,AB$30&lt;=EOMONTH(EOMONTH($J45,-1)+1,$K45-1)),IF(NOT(ISBLANK($N45)),$N45/$K45,$I45/$K45),0),0)</f>
        <v>0</v>
      </c>
      <c r="AC45" s="440">
        <f t="shared" si="21"/>
        <v>0</v>
      </c>
      <c r="AD45" s="287">
        <f>IFERROR(IF(AND(AD$30&gt;=EOMONTH($J45,-1)+1,AD$30&lt;=EOMONTH(EOMONTH($J45,-1)+1,$K45-1)),IF(NOT(ISBLANK($N45)),$N45/$K45,$I45/$K45),0),0)</f>
        <v>0</v>
      </c>
      <c r="AE45" s="287">
        <f>IFERROR(IF(AND(AE$30&gt;=EOMONTH($J45,-1)+1,AE$30&lt;=EOMONTH(EOMONTH($J45,-1)+1,$K45-1)),IF(NOT(ISBLANK($N45)),$N45/$K45,$I45/$K45),0),0)</f>
        <v>0</v>
      </c>
      <c r="AF45" s="287">
        <f>IFERROR(IF(AND(AF$30&gt;=EOMONTH($J45,-1)+1,AF$30&lt;=EOMONTH(EOMONTH($J45,-1)+1,$K45-1)),IF(NOT(ISBLANK($N45)),$N45/$K45,$I45/$K45),0),0)</f>
        <v>0</v>
      </c>
      <c r="AG45" s="440">
        <f t="shared" si="22"/>
        <v>0</v>
      </c>
      <c r="AH45" s="287">
        <f>IFERROR(IF(AND(AH$30&gt;=EOMONTH($J45,-1)+1,AH$30&lt;=EOMONTH(EOMONTH($J45,-1)+1,$K45-1)),IF(NOT(ISBLANK($N45)),$N45/$K45,$I45/$K45),0),0)</f>
        <v>0</v>
      </c>
      <c r="AI45" s="287">
        <f>IFERROR(IF(AND(AI$30&gt;=EOMONTH($J45,-1)+1,AI$30&lt;=EOMONTH(EOMONTH($J45,-1)+1,$K45-1)),IF(NOT(ISBLANK($N45)),$N45/$K45,$I45/$K45),0),0)</f>
        <v>0</v>
      </c>
      <c r="AJ45" s="287">
        <f>IFERROR(IF(AND(AJ$30&gt;=EOMONTH($J45,-1)+1,AJ$30&lt;=EOMONTH(EOMONTH($J45,-1)+1,$K45-1)),IF(NOT(ISBLANK($N45)),$N45/$K45,$I45/$K45),0),0)</f>
        <v>0</v>
      </c>
      <c r="AK45" s="440">
        <f t="shared" si="11"/>
        <v>0</v>
      </c>
      <c r="AL45" s="116">
        <f t="shared" si="13"/>
        <v>0</v>
      </c>
      <c r="AM45" s="1370"/>
      <c r="AN45" s="1370"/>
      <c r="AO45" s="1411"/>
      <c r="AP45" s="1405">
        <f>I45*AO45</f>
        <v>0</v>
      </c>
      <c r="AQ45" s="553" t="str">
        <f>D45</f>
        <v>Recuperação de valores - Água</v>
      </c>
      <c r="AR45" s="62" t="s">
        <v>311</v>
      </c>
      <c r="AS45" s="508" t="str" cm="1">
        <f t="array" aca="1" ref="AS45" ca="1">IF(OR(AQ45="",AQ45=0),"",IF(SUMPRODUCT(($D$31:$D$144=AQ45)*($T$31:$T$144="Previsto")*($V$30:$AJ$30&lt;EOMONTH(TODAY(),-1)+1)*($V$31:$AJ$144))=0,"",SUMPRODUCT(($D$31:$D$144=AQ45)*($T$31:$T$144="Previsto")*($V$30:$AJ$30&lt;EOMONTH(TODAY(),-1)+1)*($V$31:$AJ$144))))</f>
        <v/>
      </c>
      <c r="AT45" s="62" t="str">
        <f t="shared" ref="AT45" si="49">A45</f>
        <v>Redução de custo</v>
      </c>
      <c r="AV45" s="1566">
        <f t="shared" ref="AV45" si="50">IF(OR(I45="",K45=""),0,(I45/12)*K45)</f>
        <v>206473.16666666669</v>
      </c>
      <c r="AW45" s="1566">
        <f t="shared" ref="AW45" si="51">IF(OR(N45="",K45="",K45=0),0,(N45/K45)*12)</f>
        <v>0</v>
      </c>
    </row>
    <row r="46" spans="1:49" ht="29.1" customHeight="1" x14ac:dyDescent="0.3">
      <c r="A46" s="1381"/>
      <c r="B46" s="1483"/>
      <c r="C46" s="1381"/>
      <c r="D46" s="1487"/>
      <c r="E46" s="2363"/>
      <c r="F46" s="1371"/>
      <c r="G46" s="1373"/>
      <c r="H46" s="1373"/>
      <c r="I46" s="1355"/>
      <c r="J46" s="1377"/>
      <c r="K46" s="1389"/>
      <c r="L46" s="1355"/>
      <c r="M46" s="2357"/>
      <c r="N46" s="1392"/>
      <c r="O46" s="1328"/>
      <c r="P46" s="1328"/>
      <c r="Q46" s="1328"/>
      <c r="R46" s="1328"/>
      <c r="S46" s="2198"/>
      <c r="T46" s="91" t="s">
        <v>117</v>
      </c>
      <c r="U46" s="452">
        <f>_xlfn.XLOOKUP(B45,[50]Detalhamento!$A:$A,[50]Detalhamento!$N:$N)</f>
        <v>0.42499999999999999</v>
      </c>
      <c r="V46" s="287"/>
      <c r="W46" s="287"/>
      <c r="X46" s="287"/>
      <c r="Y46" s="440">
        <f t="shared" si="26"/>
        <v>0</v>
      </c>
      <c r="Z46" s="287"/>
      <c r="AA46" s="287"/>
      <c r="AB46" s="287"/>
      <c r="AC46" s="440">
        <f t="shared" si="21"/>
        <v>0</v>
      </c>
      <c r="AD46" s="287"/>
      <c r="AE46" s="287"/>
      <c r="AF46" s="287"/>
      <c r="AG46" s="440">
        <f t="shared" si="22"/>
        <v>0</v>
      </c>
      <c r="AH46" s="287"/>
      <c r="AI46" s="287"/>
      <c r="AJ46" s="287"/>
      <c r="AK46" s="440">
        <f t="shared" si="11"/>
        <v>0</v>
      </c>
      <c r="AL46" s="454">
        <f t="shared" si="13"/>
        <v>0</v>
      </c>
      <c r="AM46" s="1371"/>
      <c r="AN46" s="1371"/>
      <c r="AO46" s="1412"/>
      <c r="AP46" s="1406"/>
      <c r="AQ46" s="554" t="str">
        <f>D45</f>
        <v>Recuperação de valores - Água</v>
      </c>
      <c r="AR46" s="62" t="s">
        <v>313</v>
      </c>
      <c r="AS46" s="508" t="str" cm="1">
        <f t="array" aca="1" ref="AS46" ca="1">IF(OR(AQ46="",AQ46=0),"",IF(SUMPRODUCT(($D$31:$D$144=AQ46)*(ISNUMBER(SEARCH("Real",$T$32:$T$145)))*($V$30:$AJ$30&lt;EOMONTH(TODAY(),-1)+1)*($V$32:$AJ$145))=0,"",SUMPRODUCT(($D$31:$D$144=AQ46)*(ISNUMBER(SEARCH("Real",$T$32:$T$145)))*($V$30:$AJ$30&lt;EOMONTH(TODAY(),-1)+1)*($V$32:$AJ$145))))</f>
        <v/>
      </c>
      <c r="AT46" s="62" t="str">
        <f t="shared" ref="AT46" si="52">A45</f>
        <v>Redução de custo</v>
      </c>
      <c r="AV46" s="1567"/>
      <c r="AW46" s="1567"/>
    </row>
    <row r="47" spans="1:49" ht="29.1" customHeight="1" x14ac:dyDescent="0.3">
      <c r="A47" s="1809" t="s">
        <v>953</v>
      </c>
      <c r="B47" s="1465" t="s">
        <v>2530</v>
      </c>
      <c r="C47" s="2392" t="s">
        <v>97</v>
      </c>
      <c r="D47" s="1356" t="s">
        <v>2531</v>
      </c>
      <c r="E47" s="2360" t="s">
        <v>2532</v>
      </c>
      <c r="F47" s="1451" t="s">
        <v>2510</v>
      </c>
      <c r="G47" s="1785">
        <f>_xlfn.XLOOKUP(B47,[50]Detalhamento!$A:$A,[50]Detalhamento!$I:$I)</f>
        <v>45898</v>
      </c>
      <c r="H47" s="1785">
        <f>_xlfn.XLOOKUP(B47,[50]Detalhamento!$A:$A,[50]Detalhamento!$J:$J)</f>
        <v>46366</v>
      </c>
      <c r="I47" s="1844">
        <f>IFERROR(_xlfn.XLOOKUP(B47,[50]Detalhamento!$A:$A,[50]Detalhamento!$E:$E)," - ")</f>
        <v>112000</v>
      </c>
      <c r="J47" s="1378">
        <f>_xlfn.XLOOKUP(B47,[50]Detalhamento!$A:$A,[50]Detalhamento!$O:$O)</f>
        <v>46371</v>
      </c>
      <c r="K47" s="1387">
        <f t="shared" ref="K47" si="53">IF(J47="", "", 12 - MONTH(J47) + 1)</f>
        <v>1</v>
      </c>
      <c r="L47" s="1395"/>
      <c r="M47" s="2364"/>
      <c r="N47" s="1393"/>
      <c r="O47" s="1334" t="s">
        <v>83</v>
      </c>
      <c r="P47" s="1334"/>
      <c r="Q47" s="1334"/>
      <c r="R47" s="1334"/>
      <c r="S47" s="2191" t="s">
        <v>24</v>
      </c>
      <c r="T47" s="96" t="s">
        <v>116</v>
      </c>
      <c r="U47" s="96">
        <f>_xlfn.XLOOKUP(B47,[50]Detalhamento!$A:$A,[50]Detalhamento!$M:$M)</f>
        <v>0.7142857142857143</v>
      </c>
      <c r="V47" s="498">
        <f>IFERROR(IF(AND(V$30&gt;=EOMONTH($J47,-1)+1,V$30&lt;=EOMONTH(EOMONTH($J47,-1)+1,$K47-1)),IF(NOT(ISBLANK($N47)),$N47/$K47,$I47/$K47),0),0)</f>
        <v>0</v>
      </c>
      <c r="W47" s="498">
        <f>IFERROR(IF(AND(W$30&gt;=EOMONTH($J47,-1)+1,W$30&lt;=EOMONTH(EOMONTH($J47,-1)+1,$K47-1)),IF(NOT(ISBLANK($N47)),$N47/$K47,$I47/$K47),0),0)</f>
        <v>0</v>
      </c>
      <c r="X47" s="498">
        <f>IFERROR(IF(AND(X$30&gt;=EOMONTH($J47,-1)+1,X$30&lt;=EOMONTH(EOMONTH($J47,-1)+1,$K47-1)),IF(NOT(ISBLANK($N47)),$N47/$K47,$I47/$K47),0),0)</f>
        <v>0</v>
      </c>
      <c r="Y47" s="440">
        <f t="shared" si="26"/>
        <v>0</v>
      </c>
      <c r="Z47" s="498">
        <f>IFERROR(IF(AND(Z$30&gt;=EOMONTH($J47,-1)+1,Z$30&lt;=EOMONTH(EOMONTH($J47,-1)+1,$K47-1)),IF(NOT(ISBLANK($N47)),$N47/$K47,$I47/$K47),0),0)</f>
        <v>0</v>
      </c>
      <c r="AA47" s="498">
        <f>IFERROR(IF(AND(AA$30&gt;=EOMONTH($J47,-1)+1,AA$30&lt;=EOMONTH(EOMONTH($J47,-1)+1,$K47-1)),IF(NOT(ISBLANK($N47)),$N47/$K47,$I47/$K47),0),0)</f>
        <v>0</v>
      </c>
      <c r="AB47" s="498">
        <f>IFERROR(IF(AND(AB$30&gt;=EOMONTH($J47,-1)+1,AB$30&lt;=EOMONTH(EOMONTH($J47,-1)+1,$K47-1)),IF(NOT(ISBLANK($N47)),$N47/$K47,$I47/$K47),0),0)</f>
        <v>0</v>
      </c>
      <c r="AC47" s="440">
        <f t="shared" si="21"/>
        <v>0</v>
      </c>
      <c r="AD47" s="498">
        <f>IFERROR(IF(AND(AD$30&gt;=EOMONTH($J47,-1)+1,AD$30&lt;=EOMONTH(EOMONTH($J47,-1)+1,$K47-1)),IF(NOT(ISBLANK($N47)),$N47/$K47,$I47/$K47),0),0)</f>
        <v>0</v>
      </c>
      <c r="AE47" s="498">
        <f>IFERROR(IF(AND(AE$30&gt;=EOMONTH($J47,-1)+1,AE$30&lt;=EOMONTH(EOMONTH($J47,-1)+1,$K47-1)),IF(NOT(ISBLANK($N47)),$N47/$K47,$I47/$K47),0),0)</f>
        <v>0</v>
      </c>
      <c r="AF47" s="498">
        <f>IFERROR(IF(AND(AF$30&gt;=EOMONTH($J47,-1)+1,AF$30&lt;=EOMONTH(EOMONTH($J47,-1)+1,$K47-1)),IF(NOT(ISBLANK($N47)),$N47/$K47,$I47/$K47),0),0)</f>
        <v>0</v>
      </c>
      <c r="AG47" s="440">
        <f t="shared" si="22"/>
        <v>0</v>
      </c>
      <c r="AH47" s="498">
        <f>IFERROR(IF(AND(AH$30&gt;=EOMONTH($J47,-1)+1,AH$30&lt;=EOMONTH(EOMONTH($J47,-1)+1,$K47-1)),IF(NOT(ISBLANK($N47)),$N47/$K47,$I47/$K47),0),0)</f>
        <v>0</v>
      </c>
      <c r="AI47" s="498">
        <f>IFERROR(IF(AND(AI$30&gt;=EOMONTH($J47,-1)+1,AI$30&lt;=EOMONTH(EOMONTH($J47,-1)+1,$K47-1)),IF(NOT(ISBLANK($N47)),$N47/$K47,$I47/$K47),0),0)</f>
        <v>0</v>
      </c>
      <c r="AJ47" s="498">
        <f>IFERROR(IF(AND(AJ$30&gt;=EOMONTH($J47,-1)+1,AJ$30&lt;=EOMONTH(EOMONTH($J47,-1)+1,$K47-1)),IF(NOT(ISBLANK($N47)),$N47/$K47,$I47/$K47),0),0)</f>
        <v>112000</v>
      </c>
      <c r="AK47" s="440">
        <f t="shared" si="11"/>
        <v>112000</v>
      </c>
      <c r="AL47" s="94">
        <f t="shared" si="13"/>
        <v>112000</v>
      </c>
      <c r="AM47" s="1407"/>
      <c r="AN47" s="1407"/>
      <c r="AO47" s="1334"/>
      <c r="AP47" s="1403">
        <f>I47*AO47</f>
        <v>0</v>
      </c>
      <c r="AQ47" s="553" t="str">
        <f>D47</f>
        <v>Resourcing Pino Esférico GM Lipos p/ Maxdel</v>
      </c>
      <c r="AR47" s="62" t="s">
        <v>311</v>
      </c>
      <c r="AS47" s="508" t="str" cm="1">
        <f t="array" aca="1" ref="AS47" ca="1">IF(OR(AQ47="",AQ47=0),"",IF(SUMPRODUCT(($D$31:$D$144=AQ47)*($T$31:$T$144="Previsto")*($V$30:$AJ$30&lt;EOMONTH(TODAY(),-1)+1)*($V$31:$AJ$144))=0,"",SUMPRODUCT(($D$31:$D$144=AQ47)*($T$31:$T$144="Previsto")*($V$30:$AJ$30&lt;EOMONTH(TODAY(),-1)+1)*($V$31:$AJ$144))))</f>
        <v/>
      </c>
      <c r="AT47" s="62" t="str">
        <f t="shared" ref="AT47" si="54">A47</f>
        <v>Redução de custo</v>
      </c>
      <c r="AV47" s="1566">
        <f t="shared" ref="AV47" si="55">IF(OR(I47="",K47=""),0,(I47/12)*K47)</f>
        <v>9333.3333333333339</v>
      </c>
      <c r="AW47" s="1566">
        <f t="shared" ref="AW47" si="56">IF(OR(N47="",K47="",K47=0),0,(N47/K47)*12)</f>
        <v>0</v>
      </c>
    </row>
    <row r="48" spans="1:49" ht="29.1" customHeight="1" x14ac:dyDescent="0.3">
      <c r="A48" s="1810"/>
      <c r="B48" s="1466"/>
      <c r="C48" s="1408"/>
      <c r="D48" s="1455"/>
      <c r="E48" s="2361"/>
      <c r="F48" s="1452"/>
      <c r="G48" s="1786"/>
      <c r="H48" s="1786"/>
      <c r="I48" s="1835"/>
      <c r="J48" s="1379"/>
      <c r="K48" s="1387"/>
      <c r="L48" s="1396"/>
      <c r="M48" s="2365"/>
      <c r="N48" s="1394"/>
      <c r="O48" s="1330"/>
      <c r="P48" s="1330"/>
      <c r="Q48" s="1330"/>
      <c r="R48" s="1330"/>
      <c r="S48" s="2192"/>
      <c r="T48" s="96" t="s">
        <v>117</v>
      </c>
      <c r="U48" s="453">
        <f>_xlfn.XLOOKUP(B47,[50]Detalhamento!$A:$A,[50]Detalhamento!$N:$N)</f>
        <v>0.7142857142857143</v>
      </c>
      <c r="V48" s="498"/>
      <c r="W48" s="498"/>
      <c r="X48" s="498"/>
      <c r="Y48" s="440">
        <f t="shared" si="26"/>
        <v>0</v>
      </c>
      <c r="Z48" s="498"/>
      <c r="AA48" s="498"/>
      <c r="AB48" s="498"/>
      <c r="AC48" s="440">
        <f t="shared" si="21"/>
        <v>0</v>
      </c>
      <c r="AD48" s="498"/>
      <c r="AE48" s="498"/>
      <c r="AF48" s="498"/>
      <c r="AG48" s="440">
        <f t="shared" si="22"/>
        <v>0</v>
      </c>
      <c r="AH48" s="498"/>
      <c r="AI48" s="498"/>
      <c r="AJ48" s="498"/>
      <c r="AK48" s="440">
        <f t="shared" si="11"/>
        <v>0</v>
      </c>
      <c r="AL48" s="94">
        <f t="shared" si="13"/>
        <v>0</v>
      </c>
      <c r="AM48" s="1408"/>
      <c r="AN48" s="1408"/>
      <c r="AO48" s="1330"/>
      <c r="AP48" s="1404"/>
      <c r="AQ48" s="554" t="str">
        <f>D47</f>
        <v>Resourcing Pino Esférico GM Lipos p/ Maxdel</v>
      </c>
      <c r="AR48" s="62" t="s">
        <v>313</v>
      </c>
      <c r="AS48" s="508" t="str" cm="1">
        <f t="array" aca="1" ref="AS48" ca="1">IF(OR(AQ48="",AQ48=0),"",IF(SUMPRODUCT(($D$31:$D$144=AQ48)*(ISNUMBER(SEARCH("Real",$T$32:$T$145)))*($V$30:$AJ$30&lt;EOMONTH(TODAY(),-1)+1)*($V$32:$AJ$145))=0,"",SUMPRODUCT(($D$31:$D$144=AQ48)*(ISNUMBER(SEARCH("Real",$T$32:$T$145)))*($V$30:$AJ$30&lt;EOMONTH(TODAY(),-1)+1)*($V$32:$AJ$145))))</f>
        <v/>
      </c>
      <c r="AT48" s="62" t="str">
        <f t="shared" ref="AT48" si="57">A47</f>
        <v>Redução de custo</v>
      </c>
      <c r="AV48" s="1567"/>
      <c r="AW48" s="1567"/>
    </row>
    <row r="49" spans="1:49" ht="29.1" customHeight="1" x14ac:dyDescent="0.3">
      <c r="A49" s="1380" t="s">
        <v>953</v>
      </c>
      <c r="B49" s="2411" t="s">
        <v>2533</v>
      </c>
      <c r="C49" s="2392" t="s">
        <v>97</v>
      </c>
      <c r="D49" s="2414" t="s">
        <v>2534</v>
      </c>
      <c r="E49" s="2409" t="s">
        <v>2535</v>
      </c>
      <c r="F49" s="2405" t="s">
        <v>2510</v>
      </c>
      <c r="G49" s="2407">
        <f>_xlfn.XLOOKUP(B49,[50]Detalhamento!$A:$A,[50]Detalhamento!$I:$I)</f>
        <v>46045</v>
      </c>
      <c r="H49" s="2407">
        <f>_xlfn.XLOOKUP(B49,[50]Detalhamento!$A:$A,[50]Detalhamento!$J:$J)</f>
        <v>46153</v>
      </c>
      <c r="I49" s="2117">
        <f>IFERROR(_xlfn.XLOOKUP(B49,[50]Detalhamento!$A:$A,[50]Detalhamento!$E:$E)," - ")</f>
        <v>219761</v>
      </c>
      <c r="J49" s="2366">
        <f>_xlfn.XLOOKUP(B49,[50]Detalhamento!$A:$A,[50]Detalhamento!$O:$O)</f>
        <v>46097</v>
      </c>
      <c r="K49" s="1389">
        <f t="shared" ref="K49" si="58">IF(J49="", "", 12 - MONTH(J49) + 1)</f>
        <v>10</v>
      </c>
      <c r="L49" s="2374"/>
      <c r="M49" s="2368" t="s">
        <v>308</v>
      </c>
      <c r="N49" s="2373"/>
      <c r="O49" s="1327" t="s">
        <v>81</v>
      </c>
      <c r="P49" s="1327"/>
      <c r="Q49" s="1327"/>
      <c r="R49" s="1327"/>
      <c r="S49" s="2197" t="s">
        <v>22</v>
      </c>
      <c r="T49" s="91" t="s">
        <v>116</v>
      </c>
      <c r="U49" s="91">
        <f>_xlfn.XLOOKUP(B49,[50]Detalhamento!$A:$A,[50]Detalhamento!$M:$M)</f>
        <v>1</v>
      </c>
      <c r="V49" s="287">
        <f>IFERROR(IF(AND(V$30&gt;=EOMONTH($J49,-1)+1,V$30&lt;=EOMONTH(EOMONTH($J49,-1)+1,$K49-1)),IF(NOT(ISBLANK($N49)),$N49/$K49,$I49/$K49),0),0)</f>
        <v>0</v>
      </c>
      <c r="W49" s="287">
        <f>IFERROR(IF(AND(W$30&gt;=EOMONTH($J49,-1)+1,W$30&lt;=EOMONTH(EOMONTH($J49,-1)+1,$K49-1)),IF(NOT(ISBLANK($N49)),$N49/$K49,$I49/$K49),0),0)</f>
        <v>0</v>
      </c>
      <c r="X49" s="597">
        <f>IFERROR(IF(AND(X$30&gt;=EOMONTH($J49,-1)+1,X$30&lt;=EOMONTH(EOMONTH($J49,-1)+1,$K49-1)),IF(NOT(ISBLANK($N49)),$N49/$K49,$I49/$K49),0),0)</f>
        <v>21976.1</v>
      </c>
      <c r="Y49" s="440">
        <f t="shared" si="26"/>
        <v>21976.1</v>
      </c>
      <c r="Z49" s="597">
        <f>IFERROR(IF(AND(Z$30&gt;=EOMONTH($J49,-1)+1,Z$30&lt;=EOMONTH(EOMONTH($J49,-1)+1,$K49-1)),IF(NOT(ISBLANK($N49)),$N49/$K49,$I49/$K49),0),0)</f>
        <v>21976.1</v>
      </c>
      <c r="AA49" s="287">
        <f>IFERROR(IF(AND(AA$30&gt;=EOMONTH($J49,-1)+1,AA$30&lt;=EOMONTH(EOMONTH($J49,-1)+1,$K49-1)),IF(NOT(ISBLANK($N49)),$N49/$K49,$I49/$K49),0),0)</f>
        <v>21976.1</v>
      </c>
      <c r="AB49" s="287">
        <f>IFERROR(IF(AND(AB$30&gt;=EOMONTH($J49,-1)+1,AB$30&lt;=EOMONTH(EOMONTH($J49,-1)+1,$K49-1)),IF(NOT(ISBLANK($N49)),$N49/$K49,$I49/$K49),0),0)</f>
        <v>21976.1</v>
      </c>
      <c r="AC49" s="440">
        <f t="shared" si="21"/>
        <v>65928.299999999988</v>
      </c>
      <c r="AD49" s="287">
        <f>IFERROR(IF(AND(AD$30&gt;=EOMONTH($J49,-1)+1,AD$30&lt;=EOMONTH(EOMONTH($J49,-1)+1,$K49-1)),IF(NOT(ISBLANK($N49)),$N49/$K49,$I49/$K49),0),0)</f>
        <v>21976.1</v>
      </c>
      <c r="AE49" s="287">
        <f>IFERROR(IF(AND(AE$30&gt;=EOMONTH($J49,-1)+1,AE$30&lt;=EOMONTH(EOMONTH($J49,-1)+1,$K49-1)),IF(NOT(ISBLANK($N49)),$N49/$K49,$I49/$K49),0),0)</f>
        <v>21976.1</v>
      </c>
      <c r="AF49" s="287">
        <f>IFERROR(IF(AND(AF$30&gt;=EOMONTH($J49,-1)+1,AF$30&lt;=EOMONTH(EOMONTH($J49,-1)+1,$K49-1)),IF(NOT(ISBLANK($N49)),$N49/$K49,$I49/$K49),0),0)</f>
        <v>21976.1</v>
      </c>
      <c r="AG49" s="440">
        <f t="shared" si="22"/>
        <v>65928.299999999988</v>
      </c>
      <c r="AH49" s="287">
        <f>IFERROR(IF(AND(AH$30&gt;=EOMONTH($J49,-1)+1,AH$30&lt;=EOMONTH(EOMONTH($J49,-1)+1,$K49-1)),IF(NOT(ISBLANK($N49)),$N49/$K49,$I49/$K49),0),0)</f>
        <v>21976.1</v>
      </c>
      <c r="AI49" s="287">
        <f>IFERROR(IF(AND(AI$30&gt;=EOMONTH($J49,-1)+1,AI$30&lt;=EOMONTH(EOMONTH($J49,-1)+1,$K49-1)),IF(NOT(ISBLANK($N49)),$N49/$K49,$I49/$K49),0),0)</f>
        <v>21976.1</v>
      </c>
      <c r="AJ49" s="287">
        <f>IFERROR(IF(AND(AJ$30&gt;=EOMONTH($J49,-1)+1,AJ$30&lt;=EOMONTH(EOMONTH($J49,-1)+1,$K49-1)),IF(NOT(ISBLANK($N49)),$N49/$K49,$I49/$K49),0),0)</f>
        <v>21976.1</v>
      </c>
      <c r="AK49" s="440">
        <f t="shared" si="11"/>
        <v>65928.299999999988</v>
      </c>
      <c r="AL49" s="116">
        <f t="shared" si="13"/>
        <v>219761.00000000003</v>
      </c>
      <c r="AM49" s="1370"/>
      <c r="AN49" s="1370"/>
      <c r="AO49" s="1411"/>
      <c r="AP49" s="1405">
        <f>I49*AO49</f>
        <v>0</v>
      </c>
      <c r="AQ49" s="553" t="str">
        <f>D49</f>
        <v>Resourcing Maletas Man (Mercante para Cartec)</v>
      </c>
      <c r="AR49" s="62" t="s">
        <v>311</v>
      </c>
      <c r="AS49" s="508" cm="1">
        <f t="array" aca="1" ref="AS49" ca="1">IF(OR(AQ49="",AQ49=0),"",IF(SUMPRODUCT(($D$31:$D$144=AQ49)*($T$31:$T$144="Previsto")*($V$30:$AJ$30&lt;EOMONTH(TODAY(),-1)+1)*($V$31:$AJ$144))=0,"",SUMPRODUCT(($D$31:$D$144=AQ49)*($T$31:$T$144="Previsto")*($V$30:$AJ$30&lt;EOMONTH(TODAY(),-1)+1)*($V$31:$AJ$144))))</f>
        <v>109880.5</v>
      </c>
      <c r="AT49" s="62" t="str">
        <f t="shared" ref="AT49" si="59">A49</f>
        <v>Redução de custo</v>
      </c>
      <c r="AV49" s="1566">
        <f t="shared" ref="AV49" si="60">IF(OR(I49="",K49=""),0,(I49/12)*K49)</f>
        <v>183134.16666666669</v>
      </c>
      <c r="AW49" s="1566">
        <f t="shared" ref="AW49" si="61">IF(OR(N49="",K49="",K49=0),0,(N49/K49)*12)</f>
        <v>0</v>
      </c>
    </row>
    <row r="50" spans="1:49" ht="29.85" customHeight="1" x14ac:dyDescent="0.3">
      <c r="A50" s="1381"/>
      <c r="B50" s="2412"/>
      <c r="C50" s="1381"/>
      <c r="D50" s="2415"/>
      <c r="E50" s="2410"/>
      <c r="F50" s="2406"/>
      <c r="G50" s="2408"/>
      <c r="H50" s="2408"/>
      <c r="I50" s="2118"/>
      <c r="J50" s="2367"/>
      <c r="K50" s="1389"/>
      <c r="L50" s="2375"/>
      <c r="M50" s="2369"/>
      <c r="N50" s="2359"/>
      <c r="O50" s="1328"/>
      <c r="P50" s="1328"/>
      <c r="Q50" s="1328"/>
      <c r="R50" s="1328"/>
      <c r="S50" s="2198"/>
      <c r="T50" s="91" t="s">
        <v>117</v>
      </c>
      <c r="U50" s="452">
        <f>_xlfn.XLOOKUP(B49,[50]Detalhamento!$A:$A,[50]Detalhamento!$N:$N)</f>
        <v>1</v>
      </c>
      <c r="V50" s="287"/>
      <c r="W50" s="287"/>
      <c r="X50" s="731"/>
      <c r="Y50" s="440">
        <f t="shared" si="26"/>
        <v>0</v>
      </c>
      <c r="Z50" s="731"/>
      <c r="AA50" s="731"/>
      <c r="AB50" s="731"/>
      <c r="AC50" s="440">
        <f t="shared" si="21"/>
        <v>0</v>
      </c>
      <c r="AD50" s="287"/>
      <c r="AE50" s="287"/>
      <c r="AF50" s="287"/>
      <c r="AG50" s="440">
        <f t="shared" si="22"/>
        <v>0</v>
      </c>
      <c r="AH50" s="287"/>
      <c r="AI50" s="287"/>
      <c r="AJ50" s="287"/>
      <c r="AK50" s="440">
        <f t="shared" si="11"/>
        <v>0</v>
      </c>
      <c r="AL50" s="454">
        <f t="shared" si="13"/>
        <v>0</v>
      </c>
      <c r="AM50" s="1371"/>
      <c r="AN50" s="1371"/>
      <c r="AO50" s="1412"/>
      <c r="AP50" s="1406"/>
      <c r="AQ50" s="554" t="str">
        <f>D49</f>
        <v>Resourcing Maletas Man (Mercante para Cartec)</v>
      </c>
      <c r="AR50" s="62" t="s">
        <v>313</v>
      </c>
      <c r="AS50" s="508" t="str" cm="1">
        <f t="array" aca="1" ref="AS50" ca="1">IF(OR(AQ50="",AQ50=0),"",IF(SUMPRODUCT(($D$31:$D$144=AQ50)*(ISNUMBER(SEARCH("Real",$T$32:$T$145)))*($V$30:$AJ$30&lt;EOMONTH(TODAY(),-1)+1)*($V$32:$AJ$145))=0,"",SUMPRODUCT(($D$31:$D$144=AQ50)*(ISNUMBER(SEARCH("Real",$T$32:$T$145)))*($V$30:$AJ$30&lt;EOMONTH(TODAY(),-1)+1)*($V$32:$AJ$145))))</f>
        <v/>
      </c>
      <c r="AT50" s="62" t="str">
        <f t="shared" ref="AT50" si="62">A49</f>
        <v>Redução de custo</v>
      </c>
      <c r="AV50" s="1567"/>
      <c r="AW50" s="1567"/>
    </row>
    <row r="51" spans="1:49" ht="29.1" customHeight="1" x14ac:dyDescent="0.3">
      <c r="A51" s="1809" t="s">
        <v>953</v>
      </c>
      <c r="B51" s="2292" t="s">
        <v>2536</v>
      </c>
      <c r="C51" s="2392" t="s">
        <v>99</v>
      </c>
      <c r="D51" s="1356" t="s">
        <v>2537</v>
      </c>
      <c r="E51" s="2360" t="s">
        <v>2538</v>
      </c>
      <c r="F51" s="1451" t="s">
        <v>2506</v>
      </c>
      <c r="G51" s="1785">
        <f>_xlfn.XLOOKUP(B51,[50]Detalhamento!$A:$A,[50]Detalhamento!$I:$I)</f>
        <v>45918</v>
      </c>
      <c r="H51" s="1785">
        <f>_xlfn.XLOOKUP(B51,[50]Detalhamento!$A:$A,[50]Detalhamento!$J:$J)</f>
        <v>46136</v>
      </c>
      <c r="I51" s="1844">
        <f>IFERROR(_xlfn.XLOOKUP(B51,[50]Detalhamento!$A:$A,[50]Detalhamento!$E:$E)," - ")</f>
        <v>274259.52</v>
      </c>
      <c r="J51" s="1378">
        <f>_xlfn.XLOOKUP(B51,[50]Detalhamento!$A:$A,[50]Detalhamento!$O:$O)</f>
        <v>46174</v>
      </c>
      <c r="K51" s="1387">
        <f t="shared" ref="K51" si="63">IF(J51="", "", 12 - MONTH(J51) + 1)</f>
        <v>7</v>
      </c>
      <c r="L51" s="1395"/>
      <c r="M51" s="1859"/>
      <c r="N51" s="2358"/>
      <c r="O51" s="1334" t="s">
        <v>81</v>
      </c>
      <c r="P51" s="1334"/>
      <c r="Q51" s="1334"/>
      <c r="R51" s="1334"/>
      <c r="S51" s="2191" t="s">
        <v>2500</v>
      </c>
      <c r="T51" s="96" t="s">
        <v>116</v>
      </c>
      <c r="U51" s="96">
        <f>_xlfn.XLOOKUP(B51,[50]Detalhamento!$A:$A,[50]Detalhamento!$M:$M)</f>
        <v>1</v>
      </c>
      <c r="V51" s="498">
        <f>IFERROR(IF(AND(V$30&gt;=EOMONTH($J51,-1)+1,V$30&lt;=EOMONTH(EOMONTH($J51,-1)+1,$K51-1)),IF(NOT(ISBLANK($N51)),$N51/$K51,$I51/$K51),0),0)</f>
        <v>0</v>
      </c>
      <c r="W51" s="498">
        <f>IFERROR(IF(AND(W$30&gt;=EOMONTH($J51,-1)+1,W$30&lt;=EOMONTH(EOMONTH($J51,-1)+1,$K51-1)),IF(NOT(ISBLANK($N51)),$N51/$K51,$I51/$K51),0),0)</f>
        <v>0</v>
      </c>
      <c r="X51" s="498">
        <f>IFERROR(IF(AND(X$30&gt;=EOMONTH($J51,-1)+1,X$30&lt;=EOMONTH(EOMONTH($J51,-1)+1,$K51-1)),IF(NOT(ISBLANK($N51)),$N51/$K51,$I51/$K51),0),0)</f>
        <v>0</v>
      </c>
      <c r="Y51" s="440">
        <f t="shared" si="26"/>
        <v>0</v>
      </c>
      <c r="Z51" s="498">
        <f>IFERROR(IF(AND(Z$30&gt;=EOMONTH($J51,-1)+1,Z$30&lt;=EOMONTH(EOMONTH($J51,-1)+1,$K51-1)),IF(NOT(ISBLANK($N51)),$N51/$K51,$I51/$K51),0),0)</f>
        <v>0</v>
      </c>
      <c r="AA51" s="498">
        <f>IFERROR(IF(AND(AA$30&gt;=EOMONTH($J51,-1)+1,AA$30&lt;=EOMONTH(EOMONTH($J51,-1)+1,$K51-1)),IF(NOT(ISBLANK($N51)),$N51/$K51,$I51/$K51),0),0)</f>
        <v>0</v>
      </c>
      <c r="AB51" s="498">
        <f>IFERROR(IF(AND(AB$30&gt;=EOMONTH($J51,-1)+1,AB$30&lt;=EOMONTH(EOMONTH($J51,-1)+1,$K51-1)),IF(NOT(ISBLANK($N51)),$N51/$K51,$I51/$K51),0),0)</f>
        <v>39179.931428571428</v>
      </c>
      <c r="AC51" s="440">
        <f t="shared" si="21"/>
        <v>39179.931428571428</v>
      </c>
      <c r="AD51" s="498">
        <f>IFERROR(IF(AND(AD$30&gt;=EOMONTH($J51,-1)+1,AD$30&lt;=EOMONTH(EOMONTH($J51,-1)+1,$K51-1)),IF(NOT(ISBLANK($N51)),$N51/$K51,$I51/$K51),0),0)</f>
        <v>39179.931428571428</v>
      </c>
      <c r="AE51" s="498">
        <f>IFERROR(IF(AND(AE$30&gt;=EOMONTH($J51,-1)+1,AE$30&lt;=EOMONTH(EOMONTH($J51,-1)+1,$K51-1)),IF(NOT(ISBLANK($N51)),$N51/$K51,$I51/$K51),0),0)</f>
        <v>39179.931428571428</v>
      </c>
      <c r="AF51" s="498">
        <f>IFERROR(IF(AND(AF$30&gt;=EOMONTH($J51,-1)+1,AF$30&lt;=EOMONTH(EOMONTH($J51,-1)+1,$K51-1)),IF(NOT(ISBLANK($N51)),$N51/$K51,$I51/$K51),0),0)</f>
        <v>39179.931428571428</v>
      </c>
      <c r="AG51" s="440">
        <f t="shared" si="22"/>
        <v>117539.79428571428</v>
      </c>
      <c r="AH51" s="498">
        <f>IFERROR(IF(AND(AH$30&gt;=EOMONTH($J51,-1)+1,AH$30&lt;=EOMONTH(EOMONTH($J51,-1)+1,$K51-1)),IF(NOT(ISBLANK($N51)),$N51/$K51,$I51/$K51),0),0)</f>
        <v>39179.931428571428</v>
      </c>
      <c r="AI51" s="498">
        <f>IFERROR(IF(AND(AI$30&gt;=EOMONTH($J51,-1)+1,AI$30&lt;=EOMONTH(EOMONTH($J51,-1)+1,$K51-1)),IF(NOT(ISBLANK($N51)),$N51/$K51,$I51/$K51),0),0)</f>
        <v>39179.931428571428</v>
      </c>
      <c r="AJ51" s="498">
        <f>IFERROR(IF(AND(AJ$30&gt;=EOMONTH($J51,-1)+1,AJ$30&lt;=EOMONTH(EOMONTH($J51,-1)+1,$K51-1)),IF(NOT(ISBLANK($N51)),$N51/$K51,$I51/$K51),0),0)</f>
        <v>39179.931428571428</v>
      </c>
      <c r="AK51" s="440">
        <f t="shared" si="11"/>
        <v>117539.79428571428</v>
      </c>
      <c r="AL51" s="94">
        <f t="shared" si="13"/>
        <v>274259.52</v>
      </c>
      <c r="AM51" s="1407"/>
      <c r="AN51" s="1407"/>
      <c r="AO51" s="1334"/>
      <c r="AP51" s="1403">
        <f>I51*AO51</f>
        <v>0</v>
      </c>
      <c r="AQ51" s="553" t="str">
        <f>D51</f>
        <v>Troca de fonte do arame de solda de Belgo para Gerdau</v>
      </c>
      <c r="AR51" s="62" t="s">
        <v>311</v>
      </c>
      <c r="AS51" s="508" cm="1">
        <f t="array" aca="1" ref="AS51" ca="1">IF(OR(AQ51="",AQ51=0),"",IF(SUMPRODUCT(($D$31:$D$144=AQ51)*($T$31:$T$144="Previsto")*($V$30:$AJ$30&lt;EOMONTH(TODAY(),-1)+1)*($V$31:$AJ$144))=0,"",SUMPRODUCT(($D$31:$D$144=AQ51)*($T$31:$T$144="Previsto")*($V$30:$AJ$30&lt;EOMONTH(TODAY(),-1)+1)*($V$31:$AJ$144))))</f>
        <v>78359.862857142856</v>
      </c>
      <c r="AT51" s="62" t="str">
        <f t="shared" ref="AT51" si="64">A51</f>
        <v>Redução de custo</v>
      </c>
      <c r="AV51" s="1566">
        <f t="shared" ref="AV51" si="65">IF(OR(I51="",K51=""),0,(I51/12)*K51)</f>
        <v>159984.72000000003</v>
      </c>
      <c r="AW51" s="1566">
        <f t="shared" ref="AW51" si="66">IF(OR(N51="",K51="",K51=0),0,(N51/K51)*12)</f>
        <v>0</v>
      </c>
    </row>
    <row r="52" spans="1:49" ht="29.1" customHeight="1" x14ac:dyDescent="0.3">
      <c r="A52" s="1810"/>
      <c r="B52" s="1466"/>
      <c r="C52" s="1408"/>
      <c r="D52" s="1455"/>
      <c r="E52" s="2361"/>
      <c r="F52" s="1452"/>
      <c r="G52" s="1786"/>
      <c r="H52" s="1786"/>
      <c r="I52" s="1835"/>
      <c r="J52" s="1379"/>
      <c r="K52" s="1387"/>
      <c r="L52" s="1396"/>
      <c r="M52" s="1860"/>
      <c r="N52" s="2359"/>
      <c r="O52" s="1330"/>
      <c r="P52" s="1330"/>
      <c r="Q52" s="1330"/>
      <c r="R52" s="1330"/>
      <c r="S52" s="2192"/>
      <c r="T52" s="96" t="s">
        <v>117</v>
      </c>
      <c r="U52" s="453">
        <f>_xlfn.XLOOKUP(B51,[50]Detalhamento!$A:$A,[50]Detalhamento!$N:$N)</f>
        <v>1</v>
      </c>
      <c r="V52" s="498"/>
      <c r="W52" s="498"/>
      <c r="X52" s="498"/>
      <c r="Y52" s="440">
        <f t="shared" si="26"/>
        <v>0</v>
      </c>
      <c r="Z52" s="498"/>
      <c r="AA52" s="498"/>
      <c r="AB52" s="498"/>
      <c r="AC52" s="440">
        <f t="shared" si="21"/>
        <v>0</v>
      </c>
      <c r="AD52" s="498"/>
      <c r="AE52" s="498"/>
      <c r="AF52" s="498"/>
      <c r="AG52" s="440">
        <f t="shared" si="22"/>
        <v>0</v>
      </c>
      <c r="AH52" s="498"/>
      <c r="AI52" s="498"/>
      <c r="AJ52" s="498"/>
      <c r="AK52" s="440">
        <f t="shared" si="11"/>
        <v>0</v>
      </c>
      <c r="AL52" s="94">
        <f t="shared" si="13"/>
        <v>0</v>
      </c>
      <c r="AM52" s="1408"/>
      <c r="AN52" s="1408"/>
      <c r="AO52" s="1330"/>
      <c r="AP52" s="1404"/>
      <c r="AQ52" s="554" t="str">
        <f>D51</f>
        <v>Troca de fonte do arame de solda de Belgo para Gerdau</v>
      </c>
      <c r="AR52" s="62" t="s">
        <v>313</v>
      </c>
      <c r="AS52" s="508" t="str" cm="1">
        <f t="array" aca="1" ref="AS52" ca="1">IF(OR(AQ52="",AQ52=0),"",IF(SUMPRODUCT(($D$31:$D$144=AQ52)*(ISNUMBER(SEARCH("Real",$T$32:$T$145)))*($V$30:$AJ$30&lt;EOMONTH(TODAY(),-1)+1)*($V$32:$AJ$145))=0,"",SUMPRODUCT(($D$31:$D$144=AQ52)*(ISNUMBER(SEARCH("Real",$T$32:$T$145)))*($V$30:$AJ$30&lt;EOMONTH(TODAY(),-1)+1)*($V$32:$AJ$145))))</f>
        <v/>
      </c>
      <c r="AT52" s="62" t="str">
        <f t="shared" ref="AT52" si="67">A51</f>
        <v>Redução de custo</v>
      </c>
      <c r="AV52" s="1567"/>
      <c r="AW52" s="1567"/>
    </row>
    <row r="53" spans="1:49" ht="29.1" customHeight="1" x14ac:dyDescent="0.3">
      <c r="A53" s="1380" t="s">
        <v>953</v>
      </c>
      <c r="B53" s="2372" t="s">
        <v>2539</v>
      </c>
      <c r="C53" s="2392" t="s">
        <v>97</v>
      </c>
      <c r="D53" s="1486" t="s">
        <v>2540</v>
      </c>
      <c r="E53" s="2413" t="s">
        <v>2541</v>
      </c>
      <c r="F53" s="1370" t="s">
        <v>2506</v>
      </c>
      <c r="G53" s="1372">
        <f>_xlfn.XLOOKUP(B53,[50]Detalhamento!$A:$A,[50]Detalhamento!$I:$I)</f>
        <v>46007</v>
      </c>
      <c r="H53" s="1372">
        <f>_xlfn.XLOOKUP(B53,[50]Detalhamento!$A:$A,[50]Detalhamento!$J:$J)</f>
        <v>46168</v>
      </c>
      <c r="I53" s="1354">
        <f>IFERROR(_xlfn.XLOOKUP(B53,[50]Detalhamento!$A:$A,[50]Detalhamento!$E:$E)," - ")</f>
        <v>130748</v>
      </c>
      <c r="J53" s="1376">
        <f>_xlfn.XLOOKUP(B53,[50]Detalhamento!$A:$A,[50]Detalhamento!$O:$O)</f>
        <v>46296</v>
      </c>
      <c r="K53" s="1389">
        <f t="shared" ref="K53" si="68">IF(J53="", "", 12 - MONTH(J53) + 1)</f>
        <v>3</v>
      </c>
      <c r="L53" s="1354"/>
      <c r="M53" s="2356"/>
      <c r="N53" s="1391"/>
      <c r="O53" s="1327" t="s">
        <v>83</v>
      </c>
      <c r="P53" s="1327"/>
      <c r="Q53" s="1327"/>
      <c r="R53" s="1327"/>
      <c r="S53" s="2197" t="s">
        <v>2500</v>
      </c>
      <c r="T53" s="91" t="s">
        <v>116</v>
      </c>
      <c r="U53" s="91">
        <f>_xlfn.XLOOKUP(B53,[50]Detalhamento!$A:$A,[50]Detalhamento!$M:$M)</f>
        <v>0.61538461538461542</v>
      </c>
      <c r="V53" s="287">
        <f>IFERROR(IF(AND(V$30&gt;=EOMONTH($J53,-1)+1,V$30&lt;=EOMONTH(EOMONTH($J53,-1)+1,$K53-1)),IF(NOT(ISBLANK($N53)),$N53/$K53,$I53/$K53),0),0)</f>
        <v>0</v>
      </c>
      <c r="W53" s="287">
        <f>IFERROR(IF(AND(W$30&gt;=EOMONTH($J53,-1)+1,W$30&lt;=EOMONTH(EOMONTH($J53,-1)+1,$K53-1)),IF(NOT(ISBLANK($N53)),$N53/$K53,$I53/$K53),0),0)</f>
        <v>0</v>
      </c>
      <c r="X53" s="287">
        <f>IFERROR(IF(AND(X$30&gt;=EOMONTH($J53,-1)+1,X$30&lt;=EOMONTH(EOMONTH($J53,-1)+1,$K53-1)),IF(NOT(ISBLANK($N53)),$N53/$K53,$I53/$K53),0),0)</f>
        <v>0</v>
      </c>
      <c r="Y53" s="440">
        <f t="shared" si="26"/>
        <v>0</v>
      </c>
      <c r="Z53" s="287">
        <f>IFERROR(IF(AND(Z$30&gt;=EOMONTH($J53,-1)+1,Z$30&lt;=EOMONTH(EOMONTH($J53,-1)+1,$K53-1)),IF(NOT(ISBLANK($N53)),$N53/$K53,$I53/$K53),0),0)</f>
        <v>0</v>
      </c>
      <c r="AA53" s="287">
        <f>IFERROR(IF(AND(AA$30&gt;=EOMONTH($J53,-1)+1,AA$30&lt;=EOMONTH(EOMONTH($J53,-1)+1,$K53-1)),IF(NOT(ISBLANK($N53)),$N53/$K53,$I53/$K53),0),0)</f>
        <v>0</v>
      </c>
      <c r="AB53" s="287">
        <f>IFERROR(IF(AND(AB$30&gt;=EOMONTH($J53,-1)+1,AB$30&lt;=EOMONTH(EOMONTH($J53,-1)+1,$K53-1)),IF(NOT(ISBLANK($N53)),$N53/$K53,$I53/$K53),0),0)</f>
        <v>0</v>
      </c>
      <c r="AC53" s="440">
        <f t="shared" si="21"/>
        <v>0</v>
      </c>
      <c r="AD53" s="287">
        <f>IFERROR(IF(AND(AD$30&gt;=EOMONTH($J53,-1)+1,AD$30&lt;=EOMONTH(EOMONTH($J53,-1)+1,$K53-1)),IF(NOT(ISBLANK($N53)),$N53/$K53,$I53/$K53),0),0)</f>
        <v>0</v>
      </c>
      <c r="AE53" s="287">
        <f>IFERROR(IF(AND(AE$30&gt;=EOMONTH($J53,-1)+1,AE$30&lt;=EOMONTH(EOMONTH($J53,-1)+1,$K53-1)),IF(NOT(ISBLANK($N53)),$N53/$K53,$I53/$K53),0),0)</f>
        <v>0</v>
      </c>
      <c r="AF53" s="287">
        <f>IFERROR(IF(AND(AF$30&gt;=EOMONTH($J53,-1)+1,AF$30&lt;=EOMONTH(EOMONTH($J53,-1)+1,$K53-1)),IF(NOT(ISBLANK($N53)),$N53/$K53,$I53/$K53),0),0)</f>
        <v>0</v>
      </c>
      <c r="AG53" s="440">
        <f t="shared" si="22"/>
        <v>0</v>
      </c>
      <c r="AH53" s="287">
        <f>IFERROR(IF(AND(AH$30&gt;=EOMONTH($J53,-1)+1,AH$30&lt;=EOMONTH(EOMONTH($J53,-1)+1,$K53-1)),IF(NOT(ISBLANK($N53)),$N53/$K53,$I53/$K53),0),0)</f>
        <v>43582.666666666664</v>
      </c>
      <c r="AI53" s="287">
        <f>IFERROR(IF(AND(AI$30&gt;=EOMONTH($J53,-1)+1,AI$30&lt;=EOMONTH(EOMONTH($J53,-1)+1,$K53-1)),IF(NOT(ISBLANK($N53)),$N53/$K53,$I53/$K53),0),0)</f>
        <v>43582.666666666664</v>
      </c>
      <c r="AJ53" s="287">
        <f>IFERROR(IF(AND(AJ$30&gt;=EOMONTH($J53,-1)+1,AJ$30&lt;=EOMONTH(EOMONTH($J53,-1)+1,$K53-1)),IF(NOT(ISBLANK($N53)),$N53/$K53,$I53/$K53),0),0)</f>
        <v>43582.666666666664</v>
      </c>
      <c r="AK53" s="440">
        <f t="shared" si="11"/>
        <v>130748</v>
      </c>
      <c r="AL53" s="116">
        <f t="shared" si="13"/>
        <v>130748</v>
      </c>
      <c r="AM53" s="1370"/>
      <c r="AN53" s="1370"/>
      <c r="AO53" s="1411"/>
      <c r="AP53" s="1405">
        <f>I53*AO53</f>
        <v>0</v>
      </c>
      <c r="AQ53" s="553" t="str">
        <f>D53</f>
        <v>Testes e troca do fornecedor de insumos de usinagem</v>
      </c>
      <c r="AR53" s="62" t="s">
        <v>311</v>
      </c>
      <c r="AS53" s="508" t="str" cm="1">
        <f t="array" aca="1" ref="AS53" ca="1">IF(OR(AQ53="",AQ53=0),"",IF(SUMPRODUCT(($D$31:$D$144=AQ53)*($T$31:$T$144="Previsto")*($V$30:$AJ$30&lt;EOMONTH(TODAY(),-1)+1)*($V$31:$AJ$144))=0,"",SUMPRODUCT(($D$31:$D$144=AQ53)*($T$31:$T$144="Previsto")*($V$30:$AJ$30&lt;EOMONTH(TODAY(),-1)+1)*($V$31:$AJ$144))))</f>
        <v/>
      </c>
      <c r="AT53" s="62" t="str">
        <f t="shared" ref="AT53" si="69">A53</f>
        <v>Redução de custo</v>
      </c>
      <c r="AV53" s="1566">
        <f t="shared" ref="AV53" si="70">IF(OR(I53="",K53=""),0,(I53/12)*K53)</f>
        <v>32687</v>
      </c>
      <c r="AW53" s="1566">
        <f t="shared" ref="AW53" si="71">IF(OR(N53="",K53="",K53=0),0,(N53/K53)*12)</f>
        <v>0</v>
      </c>
    </row>
    <row r="54" spans="1:49" ht="29.1" customHeight="1" x14ac:dyDescent="0.3">
      <c r="A54" s="1381"/>
      <c r="B54" s="1483"/>
      <c r="C54" s="1381"/>
      <c r="D54" s="1487"/>
      <c r="E54" s="2363"/>
      <c r="F54" s="1371"/>
      <c r="G54" s="1373"/>
      <c r="H54" s="1373"/>
      <c r="I54" s="1355"/>
      <c r="J54" s="1377"/>
      <c r="K54" s="1389"/>
      <c r="L54" s="1355"/>
      <c r="M54" s="2357"/>
      <c r="N54" s="1392"/>
      <c r="O54" s="1328"/>
      <c r="P54" s="1328"/>
      <c r="Q54" s="1328"/>
      <c r="R54" s="1328"/>
      <c r="S54" s="2198"/>
      <c r="T54" s="91" t="s">
        <v>117</v>
      </c>
      <c r="U54" s="452">
        <f>_xlfn.XLOOKUP(B53,[50]Detalhamento!$A:$A,[50]Detalhamento!$N:$N)</f>
        <v>0.61538461538461542</v>
      </c>
      <c r="V54" s="287"/>
      <c r="W54" s="287"/>
      <c r="X54" s="287"/>
      <c r="Y54" s="440">
        <f t="shared" si="26"/>
        <v>0</v>
      </c>
      <c r="Z54" s="287"/>
      <c r="AA54" s="287"/>
      <c r="AB54" s="287"/>
      <c r="AC54" s="440">
        <f t="shared" si="21"/>
        <v>0</v>
      </c>
      <c r="AD54" s="287"/>
      <c r="AE54" s="287"/>
      <c r="AF54" s="287"/>
      <c r="AG54" s="440">
        <f t="shared" si="22"/>
        <v>0</v>
      </c>
      <c r="AH54" s="287"/>
      <c r="AI54" s="287"/>
      <c r="AJ54" s="287"/>
      <c r="AK54" s="440">
        <f t="shared" si="11"/>
        <v>0</v>
      </c>
      <c r="AL54" s="454">
        <f t="shared" si="13"/>
        <v>0</v>
      </c>
      <c r="AM54" s="1371"/>
      <c r="AN54" s="1371"/>
      <c r="AO54" s="1412"/>
      <c r="AP54" s="1406"/>
      <c r="AQ54" s="554" t="str">
        <f>D53</f>
        <v>Testes e troca do fornecedor de insumos de usinagem</v>
      </c>
      <c r="AR54" s="62" t="s">
        <v>313</v>
      </c>
      <c r="AS54" s="508" t="str" cm="1">
        <f t="array" aca="1" ref="AS54" ca="1">IF(OR(AQ54="",AQ54=0),"",IF(SUMPRODUCT(($D$31:$D$144=AQ54)*(ISNUMBER(SEARCH("Real",$T$32:$T$145)))*($V$30:$AJ$30&lt;EOMONTH(TODAY(),-1)+1)*($V$32:$AJ$145))=0,"",SUMPRODUCT(($D$31:$D$144=AQ54)*(ISNUMBER(SEARCH("Real",$T$32:$T$145)))*($V$30:$AJ$30&lt;EOMONTH(TODAY(),-1)+1)*($V$32:$AJ$145))))</f>
        <v/>
      </c>
      <c r="AT54" s="62" t="str">
        <f t="shared" ref="AT54" si="72">A53</f>
        <v>Redução de custo</v>
      </c>
      <c r="AV54" s="1567"/>
      <c r="AW54" s="1567"/>
    </row>
    <row r="55" spans="1:49" ht="29.1" customHeight="1" x14ac:dyDescent="0.3">
      <c r="A55" s="1809" t="s">
        <v>953</v>
      </c>
      <c r="B55" s="1817" t="s">
        <v>2542</v>
      </c>
      <c r="C55" s="2392" t="s">
        <v>97</v>
      </c>
      <c r="D55" s="1738" t="s">
        <v>2543</v>
      </c>
      <c r="E55" s="2416" t="s">
        <v>2544</v>
      </c>
      <c r="F55" s="1742" t="s">
        <v>2545</v>
      </c>
      <c r="G55" s="2165">
        <f>_xlfn.XLOOKUP(B55,[50]Detalhamento!$A:$A,[50]Detalhamento!$I:$I)</f>
        <v>45933</v>
      </c>
      <c r="H55" s="2165">
        <f>_xlfn.XLOOKUP(B55,[50]Detalhamento!$A:$A,[50]Detalhamento!$J:$J)</f>
        <v>46010</v>
      </c>
      <c r="I55" s="1395">
        <f>IFERROR(_xlfn.XLOOKUP(B55,[50]Detalhamento!$A:$A,[50]Detalhamento!$E:$E)," - ")</f>
        <v>43500</v>
      </c>
      <c r="J55" s="1749">
        <f>_xlfn.XLOOKUP(B55,[50]Detalhamento!$A:$A,[50]Detalhamento!$O:$O)</f>
        <v>46038</v>
      </c>
      <c r="K55" s="1387">
        <f t="shared" ref="K55" si="73">IF(J55="", "", 12 - MONTH(J55) + 1)</f>
        <v>12</v>
      </c>
      <c r="L55" s="1395"/>
      <c r="M55" s="1350" t="s">
        <v>308</v>
      </c>
      <c r="N55" s="1391">
        <v>39476.28</v>
      </c>
      <c r="O55" s="1334" t="s">
        <v>81</v>
      </c>
      <c r="P55" s="1334"/>
      <c r="Q55" s="1334"/>
      <c r="R55" s="1334"/>
      <c r="S55" s="2191" t="s">
        <v>25</v>
      </c>
      <c r="T55" s="96" t="s">
        <v>116</v>
      </c>
      <c r="U55" s="96">
        <f>_xlfn.XLOOKUP(B55,[50]Detalhamento!$A:$A,[50]Detalhamento!$M:$M)</f>
        <v>1</v>
      </c>
      <c r="V55" s="498">
        <f>IFERROR(IF(AND(V$30&gt;=EOMONTH($J55,-1)+1,V$30&lt;=EOMONTH(EOMONTH($J55,-1)+1,$K55-1)),IF(NOT(ISBLANK($N55)),$N55/$K55,$I55/$K55),0),0)</f>
        <v>3289.69</v>
      </c>
      <c r="W55" s="498">
        <f>IFERROR(IF(AND(W$30&gt;=EOMONTH($J55,-1)+1,W$30&lt;=EOMONTH(EOMONTH($J55,-1)+1,$K55-1)),IF(NOT(ISBLANK($N55)),$N55/$K55,$I55/$K55),0),0)</f>
        <v>3289.69</v>
      </c>
      <c r="X55" s="498">
        <f>IFERROR(IF(AND(X$30&gt;=EOMONTH($J55,-1)+1,X$30&lt;=EOMONTH(EOMONTH($J55,-1)+1,$K55-1)),IF(NOT(ISBLANK($N55)),$N55/$K55,$I55/$K55),0),0)</f>
        <v>3289.69</v>
      </c>
      <c r="Y55" s="440">
        <f t="shared" si="26"/>
        <v>9869.07</v>
      </c>
      <c r="Z55" s="645">
        <f>IFERROR(IF(AND(Z$30&gt;=EOMONTH($J55,-1)+1,Z$30&lt;=EOMONTH(EOMONTH($J55,-1)+1,$K55-1)),IF(NOT(ISBLANK($N55)),$N55/$K55,$I55/$K55),0),0)</f>
        <v>3289.69</v>
      </c>
      <c r="AA55" s="498">
        <f>IFERROR(IF(AND(AA$30&gt;=EOMONTH($J55,-1)+1,AA$30&lt;=EOMONTH(EOMONTH($J55,-1)+1,$K55-1)),IF(NOT(ISBLANK($N55)),$N55/$K55,$I55/$K55),0),0)</f>
        <v>3289.69</v>
      </c>
      <c r="AB55" s="498">
        <f>IFERROR(IF(AND(AB$30&gt;=EOMONTH($J55,-1)+1,AB$30&lt;=EOMONTH(EOMONTH($J55,-1)+1,$K55-1)),IF(NOT(ISBLANK($N55)),$N55/$K55,$I55/$K55),0),0)</f>
        <v>3289.69</v>
      </c>
      <c r="AC55" s="440">
        <f t="shared" si="21"/>
        <v>9869.07</v>
      </c>
      <c r="AD55" s="498">
        <f>IFERROR(IF(AND(AD$30&gt;=EOMONTH($J55,-1)+1,AD$30&lt;=EOMONTH(EOMONTH($J55,-1)+1,$K55-1)),IF(NOT(ISBLANK($N55)),$N55/$K55,$I55/$K55),0),0)</f>
        <v>3289.69</v>
      </c>
      <c r="AE55" s="498">
        <f>IFERROR(IF(AND(AE$30&gt;=EOMONTH($J55,-1)+1,AE$30&lt;=EOMONTH(EOMONTH($J55,-1)+1,$K55-1)),IF(NOT(ISBLANK($N55)),$N55/$K55,$I55/$K55),0),0)</f>
        <v>3289.69</v>
      </c>
      <c r="AF55" s="498">
        <f>IFERROR(IF(AND(AF$30&gt;=EOMONTH($J55,-1)+1,AF$30&lt;=EOMONTH(EOMONTH($J55,-1)+1,$K55-1)),IF(NOT(ISBLANK($N55)),$N55/$K55,$I55/$K55),0),0)</f>
        <v>3289.69</v>
      </c>
      <c r="AG55" s="440">
        <f t="shared" si="22"/>
        <v>9869.07</v>
      </c>
      <c r="AH55" s="498">
        <f>IFERROR(IF(AND(AH$30&gt;=EOMONTH($J55,-1)+1,AH$30&lt;=EOMONTH(EOMONTH($J55,-1)+1,$K55-1)),IF(NOT(ISBLANK($N55)),$N55/$K55,$I55/$K55),0),0)</f>
        <v>3289.69</v>
      </c>
      <c r="AI55" s="498">
        <f>IFERROR(IF(AND(AI$30&gt;=EOMONTH($J55,-1)+1,AI$30&lt;=EOMONTH(EOMONTH($J55,-1)+1,$K55-1)),IF(NOT(ISBLANK($N55)),$N55/$K55,$I55/$K55),0),0)</f>
        <v>3289.69</v>
      </c>
      <c r="AJ55" s="498">
        <f>IFERROR(IF(AND(AJ$30&gt;=EOMONTH($J55,-1)+1,AJ$30&lt;=EOMONTH(EOMONTH($J55,-1)+1,$K55-1)),IF(NOT(ISBLANK($N55)),$N55/$K55,$I55/$K55),0),0)</f>
        <v>3289.69</v>
      </c>
      <c r="AK55" s="440">
        <f t="shared" si="11"/>
        <v>9869.07</v>
      </c>
      <c r="AL55" s="94">
        <f t="shared" si="13"/>
        <v>39476.28</v>
      </c>
      <c r="AM55" s="1407"/>
      <c r="AN55" s="1407"/>
      <c r="AO55" s="1334"/>
      <c r="AP55" s="1403">
        <f>I55*AO55</f>
        <v>0</v>
      </c>
      <c r="AQ55" s="553" t="str">
        <f>D55</f>
        <v>Mudança de Modalidade Gerador Anchieta</v>
      </c>
      <c r="AR55" s="62" t="s">
        <v>311</v>
      </c>
      <c r="AS55" s="508" cm="1">
        <f t="array" aca="1" ref="AS55" ca="1">IF(OR(AQ55="",AQ55=0),"",IF(SUMPRODUCT(($D$31:$D$144=AQ55)*($T$31:$T$144="Previsto")*($V$30:$AJ$30&lt;EOMONTH(TODAY(),-1)+1)*($V$31:$AJ$144))=0,"",SUMPRODUCT(($D$31:$D$144=AQ55)*($T$31:$T$144="Previsto")*($V$30:$AJ$30&lt;EOMONTH(TODAY(),-1)+1)*($V$31:$AJ$144))))</f>
        <v>23027.829999999998</v>
      </c>
      <c r="AT55" s="62" t="str">
        <f t="shared" ref="AT55" si="74">A55</f>
        <v>Redução de custo</v>
      </c>
      <c r="AV55" s="1566">
        <f t="shared" ref="AV55" si="75">IF(OR(I55="",K55=""),0,(I55/12)*K55)</f>
        <v>43500</v>
      </c>
      <c r="AW55" s="1566">
        <f t="shared" ref="AW55" si="76">IF(OR(N55="",K55="",K55=0),0,(N55/K55)*12)</f>
        <v>39476.28</v>
      </c>
    </row>
    <row r="56" spans="1:49" ht="29.1" customHeight="1" x14ac:dyDescent="0.3">
      <c r="A56" s="1810"/>
      <c r="B56" s="1818"/>
      <c r="C56" s="1408"/>
      <c r="D56" s="1739"/>
      <c r="E56" s="2371"/>
      <c r="F56" s="1743"/>
      <c r="G56" s="2166"/>
      <c r="H56" s="2166"/>
      <c r="I56" s="1396"/>
      <c r="J56" s="1750"/>
      <c r="K56" s="1387"/>
      <c r="L56" s="1396"/>
      <c r="M56" s="1460"/>
      <c r="N56" s="1392"/>
      <c r="O56" s="1330"/>
      <c r="P56" s="1330"/>
      <c r="Q56" s="1330"/>
      <c r="R56" s="1330"/>
      <c r="S56" s="2192"/>
      <c r="T56" s="96" t="s">
        <v>117</v>
      </c>
      <c r="U56" s="453">
        <f>_xlfn.XLOOKUP(B55,[50]Detalhamento!$A:$A,[50]Detalhamento!$N:$N)</f>
        <v>1</v>
      </c>
      <c r="V56" s="498">
        <v>3289.69</v>
      </c>
      <c r="W56" s="498">
        <v>3289.69</v>
      </c>
      <c r="X56" s="898">
        <v>3289.69</v>
      </c>
      <c r="Y56" s="440">
        <f t="shared" si="26"/>
        <v>9869.07</v>
      </c>
      <c r="Z56" s="498">
        <f>X56</f>
        <v>3289.69</v>
      </c>
      <c r="AA56" s="457">
        <f>Z56</f>
        <v>3289.69</v>
      </c>
      <c r="AB56" s="587">
        <f>AA56</f>
        <v>3289.69</v>
      </c>
      <c r="AC56" s="440">
        <f t="shared" si="21"/>
        <v>9869.07</v>
      </c>
      <c r="AD56" s="498"/>
      <c r="AE56" s="498"/>
      <c r="AF56" s="498"/>
      <c r="AG56" s="440">
        <f t="shared" si="22"/>
        <v>0</v>
      </c>
      <c r="AH56" s="498"/>
      <c r="AI56" s="498"/>
      <c r="AJ56" s="498"/>
      <c r="AK56" s="440">
        <f t="shared" si="11"/>
        <v>0</v>
      </c>
      <c r="AL56" s="94">
        <f t="shared" si="13"/>
        <v>19738.14</v>
      </c>
      <c r="AM56" s="1408"/>
      <c r="AN56" s="1408"/>
      <c r="AO56" s="1330"/>
      <c r="AP56" s="1404"/>
      <c r="AQ56" s="554" t="str">
        <f>D55</f>
        <v>Mudança de Modalidade Gerador Anchieta</v>
      </c>
      <c r="AR56" s="62" t="s">
        <v>313</v>
      </c>
      <c r="AS56" s="508" cm="1">
        <f t="array" aca="1" ref="AS56" ca="1">IF(OR(AQ56="",AQ56=0),"",IF(SUMPRODUCT(($D$31:$D$144=AQ56)*(ISNUMBER(SEARCH("Real",$T$32:$T$145)))*($V$30:$AJ$30&lt;EOMONTH(TODAY(),-1)+1)*($V$32:$AJ$145))=0,"",SUMPRODUCT(($D$31:$D$144=AQ56)*(ISNUMBER(SEARCH("Real",$T$32:$T$145)))*($V$30:$AJ$30&lt;EOMONTH(TODAY(),-1)+1)*($V$32:$AJ$145))))</f>
        <v>19738.14</v>
      </c>
      <c r="AT56" s="62" t="str">
        <f t="shared" ref="AT56" si="77">A55</f>
        <v>Redução de custo</v>
      </c>
      <c r="AV56" s="1567"/>
      <c r="AW56" s="1567"/>
    </row>
    <row r="57" spans="1:49" ht="29.1" customHeight="1" x14ac:dyDescent="0.3">
      <c r="A57" s="1380" t="s">
        <v>953</v>
      </c>
      <c r="B57" s="2411" t="s">
        <v>2546</v>
      </c>
      <c r="C57" s="2392" t="s">
        <v>101</v>
      </c>
      <c r="D57" s="2414" t="s">
        <v>2547</v>
      </c>
      <c r="E57" s="2409" t="s">
        <v>2548</v>
      </c>
      <c r="F57" s="2405" t="s">
        <v>2520</v>
      </c>
      <c r="G57" s="2407">
        <f>_xlfn.XLOOKUP(B57,[50]Detalhamento!$A:$A,[50]Detalhamento!$I:$I)</f>
        <v>46027</v>
      </c>
      <c r="H57" s="2407">
        <f>_xlfn.XLOOKUP(B57,[50]Detalhamento!$A:$A,[50]Detalhamento!$J:$J)</f>
        <v>46083</v>
      </c>
      <c r="I57" s="2117">
        <f>IFERROR(_xlfn.XLOOKUP(B57,[50]Detalhamento!$A:$A,[50]Detalhamento!$E:$E)," - ")</f>
        <v>72408</v>
      </c>
      <c r="J57" s="2366">
        <f>_xlfn.XLOOKUP(B57,[50]Detalhamento!$A:$A,[50]Detalhamento!$O:$O)</f>
        <v>46111</v>
      </c>
      <c r="K57" s="1389">
        <f t="shared" ref="K57" si="78">IF(J57="", "", 12 - MONTH(J57) + 1)</f>
        <v>10</v>
      </c>
      <c r="L57" s="1555"/>
      <c r="M57" s="2382"/>
      <c r="N57" s="2130"/>
      <c r="O57" s="1327" t="s">
        <v>81</v>
      </c>
      <c r="P57" s="1327"/>
      <c r="Q57" s="1327"/>
      <c r="R57" s="1327"/>
      <c r="S57" s="2197" t="s">
        <v>2500</v>
      </c>
      <c r="T57" s="91" t="s">
        <v>116</v>
      </c>
      <c r="U57" s="91">
        <f>_xlfn.XLOOKUP(B57,[50]Detalhamento!$A:$A,[50]Detalhamento!$M:$M)</f>
        <v>1</v>
      </c>
      <c r="V57" s="287">
        <f>IFERROR(IF(AND(V$30&gt;=EOMONTH($J57,-1)+1,V$30&lt;=EOMONTH(EOMONTH($J57,-1)+1,$K57-1)),IF(NOT(ISBLANK($N57)),$N57/$K57,$I57/$K57),0),0)</f>
        <v>0</v>
      </c>
      <c r="W57" s="287">
        <f>IFERROR(IF(AND(W$30&gt;=EOMONTH($J57,-1)+1,W$30&lt;=EOMONTH(EOMONTH($J57,-1)+1,$K57-1)),IF(NOT(ISBLANK($N57)),$N57/$K57,$I57/$K57),0),0)</f>
        <v>0</v>
      </c>
      <c r="X57" s="287">
        <f>IFERROR(IF(AND(X$30&gt;=EOMONTH($J57,-1)+1,X$30&lt;=EOMONTH(EOMONTH($J57,-1)+1,$K57-1)),IF(NOT(ISBLANK($N57)),$N57/$K57,$I57/$K57),0),0)</f>
        <v>7240.8</v>
      </c>
      <c r="Y57" s="440">
        <f t="shared" si="26"/>
        <v>7240.8</v>
      </c>
      <c r="Z57" s="597">
        <f>IFERROR(IF(AND(Z$30&gt;=EOMONTH($J57,-1)+1,Z$30&lt;=EOMONTH(EOMONTH($J57,-1)+1,$K57-1)),IF(NOT(ISBLANK($N57)),$N57/$K57,$I57/$K57),0),0)</f>
        <v>7240.8</v>
      </c>
      <c r="AA57" s="287">
        <f>IFERROR(IF(AND(AA$30&gt;=EOMONTH($J57,-1)+1,AA$30&lt;=EOMONTH(EOMONTH($J57,-1)+1,$K57-1)),IF(NOT(ISBLANK($N57)),$N57/$K57,$I57/$K57),0),0)</f>
        <v>7240.8</v>
      </c>
      <c r="AB57" s="287">
        <f>IFERROR(IF(AND(AB$30&gt;=EOMONTH($J57,-1)+1,AB$30&lt;=EOMONTH(EOMONTH($J57,-1)+1,$K57-1)),IF(NOT(ISBLANK($N57)),$N57/$K57,$I57/$K57),0),0)</f>
        <v>7240.8</v>
      </c>
      <c r="AC57" s="440">
        <f t="shared" si="21"/>
        <v>21722.400000000001</v>
      </c>
      <c r="AD57" s="287">
        <f>IFERROR(IF(AND(AD$30&gt;=EOMONTH($J57,-1)+1,AD$30&lt;=EOMONTH(EOMONTH($J57,-1)+1,$K57-1)),IF(NOT(ISBLANK($N57)),$N57/$K57,$I57/$K57),0),0)</f>
        <v>7240.8</v>
      </c>
      <c r="AE57" s="287">
        <f>IFERROR(IF(AND(AE$30&gt;=EOMONTH($J57,-1)+1,AE$30&lt;=EOMONTH(EOMONTH($J57,-1)+1,$K57-1)),IF(NOT(ISBLANK($N57)),$N57/$K57,$I57/$K57),0),0)</f>
        <v>7240.8</v>
      </c>
      <c r="AF57" s="287">
        <f>IFERROR(IF(AND(AF$30&gt;=EOMONTH($J57,-1)+1,AF$30&lt;=EOMONTH(EOMONTH($J57,-1)+1,$K57-1)),IF(NOT(ISBLANK($N57)),$N57/$K57,$I57/$K57),0),0)</f>
        <v>7240.8</v>
      </c>
      <c r="AG57" s="440">
        <f t="shared" si="22"/>
        <v>21722.400000000001</v>
      </c>
      <c r="AH57" s="287">
        <f>IFERROR(IF(AND(AH$30&gt;=EOMONTH($J57,-1)+1,AH$30&lt;=EOMONTH(EOMONTH($J57,-1)+1,$K57-1)),IF(NOT(ISBLANK($N57)),$N57/$K57,$I57/$K57),0),0)</f>
        <v>7240.8</v>
      </c>
      <c r="AI57" s="287">
        <f>IFERROR(IF(AND(AI$30&gt;=EOMONTH($J57,-1)+1,AI$30&lt;=EOMONTH(EOMONTH($J57,-1)+1,$K57-1)),IF(NOT(ISBLANK($N57)),$N57/$K57,$I57/$K57),0),0)</f>
        <v>7240.8</v>
      </c>
      <c r="AJ57" s="287">
        <f>IFERROR(IF(AND(AJ$30&gt;=EOMONTH($J57,-1)+1,AJ$30&lt;=EOMONTH(EOMONTH($J57,-1)+1,$K57-1)),IF(NOT(ISBLANK($N57)),$N57/$K57,$I57/$K57),0),0)</f>
        <v>7240.8</v>
      </c>
      <c r="AK57" s="440">
        <f t="shared" si="11"/>
        <v>21722.400000000001</v>
      </c>
      <c r="AL57" s="116">
        <f t="shared" si="13"/>
        <v>72408.000000000015</v>
      </c>
      <c r="AM57" s="1370"/>
      <c r="AN57" s="1370"/>
      <c r="AO57" s="1411"/>
      <c r="AP57" s="1405">
        <f>I57*AO57</f>
        <v>0</v>
      </c>
      <c r="AQ57" s="553" t="str">
        <f>D57</f>
        <v>Modalidade Tarifária</v>
      </c>
      <c r="AR57" s="62" t="s">
        <v>311</v>
      </c>
      <c r="AS57" s="508" cm="1">
        <f t="array" aca="1" ref="AS57" ca="1">IF(OR(AQ57="",AQ57=0),"",IF(SUMPRODUCT(($D$31:$D$144=AQ57)*($T$31:$T$144="Previsto")*($V$30:$AJ$30&lt;EOMONTH(TODAY(),-1)+1)*($V$31:$AJ$144))=0,"",SUMPRODUCT(($D$31:$D$144=AQ57)*($T$31:$T$144="Previsto")*($V$30:$AJ$30&lt;EOMONTH(TODAY(),-1)+1)*($V$31:$AJ$144))))</f>
        <v>36204</v>
      </c>
      <c r="AT57" s="62" t="str">
        <f t="shared" ref="AT57" si="79">A57</f>
        <v>Redução de custo</v>
      </c>
      <c r="AV57" s="1566">
        <f t="shared" ref="AV57" si="80">IF(OR(I57="",K57=""),0,(I57/12)*K57)</f>
        <v>60340</v>
      </c>
      <c r="AW57" s="1566">
        <f t="shared" ref="AW57" si="81">IF(OR(N57="",K57="",K57=0),0,(N57/K57)*12)</f>
        <v>0</v>
      </c>
    </row>
    <row r="58" spans="1:49" ht="29.1" customHeight="1" x14ac:dyDescent="0.3">
      <c r="A58" s="1381"/>
      <c r="B58" s="2412"/>
      <c r="C58" s="1381"/>
      <c r="D58" s="2415"/>
      <c r="E58" s="2410"/>
      <c r="F58" s="2406"/>
      <c r="G58" s="2408"/>
      <c r="H58" s="2408"/>
      <c r="I58" s="2118"/>
      <c r="J58" s="2367"/>
      <c r="K58" s="1389"/>
      <c r="L58" s="1556"/>
      <c r="M58" s="2161"/>
      <c r="N58" s="2383"/>
      <c r="O58" s="1328"/>
      <c r="P58" s="1328"/>
      <c r="Q58" s="1328"/>
      <c r="R58" s="1328"/>
      <c r="S58" s="2198"/>
      <c r="T58" s="91" t="s">
        <v>117</v>
      </c>
      <c r="U58" s="452">
        <f>_xlfn.XLOOKUP(B57,[50]Detalhamento!$A:$A,[50]Detalhamento!$N:$N)</f>
        <v>1</v>
      </c>
      <c r="V58" s="287"/>
      <c r="W58" s="287"/>
      <c r="X58" s="731"/>
      <c r="Y58" s="440">
        <f t="shared" si="26"/>
        <v>0</v>
      </c>
      <c r="Z58" s="731"/>
      <c r="AA58" s="731"/>
      <c r="AB58" s="731"/>
      <c r="AC58" s="440">
        <f t="shared" si="21"/>
        <v>0</v>
      </c>
      <c r="AD58" s="287"/>
      <c r="AE58" s="287"/>
      <c r="AF58" s="287"/>
      <c r="AG58" s="440">
        <f t="shared" si="22"/>
        <v>0</v>
      </c>
      <c r="AH58" s="287"/>
      <c r="AI58" s="287"/>
      <c r="AJ58" s="287"/>
      <c r="AK58" s="440">
        <f t="shared" si="11"/>
        <v>0</v>
      </c>
      <c r="AL58" s="454">
        <f t="shared" si="13"/>
        <v>0</v>
      </c>
      <c r="AM58" s="1371"/>
      <c r="AN58" s="1371"/>
      <c r="AO58" s="1412"/>
      <c r="AP58" s="1406"/>
      <c r="AQ58" s="554" t="str">
        <f>D57</f>
        <v>Modalidade Tarifária</v>
      </c>
      <c r="AR58" s="62" t="s">
        <v>313</v>
      </c>
      <c r="AS58" s="508" t="str" cm="1">
        <f t="array" aca="1" ref="AS58" ca="1">IF(OR(AQ58="",AQ58=0),"",IF(SUMPRODUCT(($D$31:$D$144=AQ58)*(ISNUMBER(SEARCH("Real",$T$32:$T$145)))*($V$30:$AJ$30&lt;EOMONTH(TODAY(),-1)+1)*($V$32:$AJ$145))=0,"",SUMPRODUCT(($D$31:$D$144=AQ58)*(ISNUMBER(SEARCH("Real",$T$32:$T$145)))*($V$30:$AJ$30&lt;EOMONTH(TODAY(),-1)+1)*($V$32:$AJ$145))))</f>
        <v/>
      </c>
      <c r="AT58" s="62" t="str">
        <f t="shared" ref="AT58" si="82">A57</f>
        <v>Redução de custo</v>
      </c>
      <c r="AV58" s="1567"/>
      <c r="AW58" s="1567"/>
    </row>
    <row r="59" spans="1:49" ht="29.1" customHeight="1" x14ac:dyDescent="0.3">
      <c r="A59" s="1809" t="s">
        <v>953</v>
      </c>
      <c r="B59" s="1465" t="s">
        <v>2549</v>
      </c>
      <c r="C59" s="2392" t="s">
        <v>95</v>
      </c>
      <c r="D59" s="1356" t="s">
        <v>2550</v>
      </c>
      <c r="E59" s="2360" t="s">
        <v>2551</v>
      </c>
      <c r="F59" s="1451" t="s">
        <v>2552</v>
      </c>
      <c r="G59" s="1785">
        <f>_xlfn.XLOOKUP(B59,[50]Detalhamento!$A:$A,[50]Detalhamento!$I:$I)</f>
        <v>45855</v>
      </c>
      <c r="H59" s="1785">
        <f>_xlfn.XLOOKUP(B59,[50]Detalhamento!$A:$A,[50]Detalhamento!$J:$J)</f>
        <v>46099</v>
      </c>
      <c r="I59" s="1844">
        <f>IFERROR(_xlfn.XLOOKUP(B59,[50]Detalhamento!$A:$A,[50]Detalhamento!$E:$E)," - ")</f>
        <v>500000</v>
      </c>
      <c r="J59" s="1749">
        <f>_xlfn.XLOOKUP(B59,[50]Detalhamento!$A:$A,[50]Detalhamento!$O:$O)</f>
        <v>46447</v>
      </c>
      <c r="K59" s="1387">
        <f t="shared" ref="K59" si="83">IF(J59="", "", 12 - MONTH(J59) + 1)</f>
        <v>10</v>
      </c>
      <c r="L59" s="1395"/>
      <c r="M59" s="2364"/>
      <c r="N59" s="1393"/>
      <c r="O59" s="1334" t="s">
        <v>83</v>
      </c>
      <c r="P59" s="1334"/>
      <c r="Q59" s="1334"/>
      <c r="R59" s="1334"/>
      <c r="S59" s="2191" t="s">
        <v>2500</v>
      </c>
      <c r="T59" s="96" t="s">
        <v>116</v>
      </c>
      <c r="U59" s="96">
        <f>_xlfn.XLOOKUP(B59,[50]Detalhamento!$A:$A,[50]Detalhamento!$M:$M)</f>
        <v>1</v>
      </c>
      <c r="V59" s="498">
        <f>IFERROR(IF(AND(V$30&gt;=EOMONTH($J59,-1)+1,V$30&lt;=EOMONTH(EOMONTH($J59,-1)+1,$K59-1)),IF(NOT(ISBLANK($N59)),$N59/$K59,$I59/$K59),0),0)</f>
        <v>0</v>
      </c>
      <c r="W59" s="498">
        <f>IFERROR(IF(AND(W$30&gt;=EOMONTH($J59,-1)+1,W$30&lt;=EOMONTH(EOMONTH($J59,-1)+1,$K59-1)),IF(NOT(ISBLANK($N59)),$N59/$K59,$I59/$K59),0),0)</f>
        <v>0</v>
      </c>
      <c r="X59" s="498">
        <f>IFERROR(IF(AND(X$30&gt;=EOMONTH($J59,-1)+1,X$30&lt;=EOMONTH(EOMONTH($J59,-1)+1,$K59-1)),IF(NOT(ISBLANK($N59)),$N59/$K59,$I59/$K59),0),0)</f>
        <v>0</v>
      </c>
      <c r="Y59" s="440">
        <f t="shared" si="26"/>
        <v>0</v>
      </c>
      <c r="Z59" s="498">
        <f>IFERROR(IF(AND(Z$30&gt;=EOMONTH($J59,-1)+1,Z$30&lt;=EOMONTH(EOMONTH($J59,-1)+1,$K59-1)),IF(NOT(ISBLANK($N59)),$N59/$K59,$I59/$K59),0),0)</f>
        <v>0</v>
      </c>
      <c r="AA59" s="498">
        <f>IFERROR(IF(AND(AA$30&gt;=EOMONTH($J59,-1)+1,AA$30&lt;=EOMONTH(EOMONTH($J59,-1)+1,$K59-1)),IF(NOT(ISBLANK($N59)),$N59/$K59,$I59/$K59),0),0)</f>
        <v>0</v>
      </c>
      <c r="AB59" s="498">
        <f>IFERROR(IF(AND(AB$30&gt;=EOMONTH($J59,-1)+1,AB$30&lt;=EOMONTH(EOMONTH($J59,-1)+1,$K59-1)),IF(NOT(ISBLANK($N59)),$N59/$K59,$I59/$K59),0),0)</f>
        <v>0</v>
      </c>
      <c r="AC59" s="440">
        <f t="shared" si="21"/>
        <v>0</v>
      </c>
      <c r="AD59" s="498">
        <f>IFERROR(IF(AND(AD$30&gt;=EOMONTH($J59,-1)+1,AD$30&lt;=EOMONTH(EOMONTH($J59,-1)+1,$K59-1)),IF(NOT(ISBLANK($N59)),$N59/$K59,$I59/$K59),0),0)</f>
        <v>0</v>
      </c>
      <c r="AE59" s="498">
        <f>IFERROR(IF(AND(AE$30&gt;=EOMONTH($J59,-1)+1,AE$30&lt;=EOMONTH(EOMONTH($J59,-1)+1,$K59-1)),IF(NOT(ISBLANK($N59)),$N59/$K59,$I59/$K59),0),0)</f>
        <v>0</v>
      </c>
      <c r="AF59" s="498">
        <f>IFERROR(IF(AND(AF$30&gt;=EOMONTH($J59,-1)+1,AF$30&lt;=EOMONTH(EOMONTH($J59,-1)+1,$K59-1)),IF(NOT(ISBLANK($N59)),$N59/$K59,$I59/$K59),0),0)</f>
        <v>0</v>
      </c>
      <c r="AG59" s="440">
        <f t="shared" si="22"/>
        <v>0</v>
      </c>
      <c r="AH59" s="498">
        <f>IFERROR(IF(AND(AH$30&gt;=EOMONTH($J59,-1)+1,AH$30&lt;=EOMONTH(EOMONTH($J59,-1)+1,$K59-1)),IF(NOT(ISBLANK($N59)),$N59/$K59,$I59/$K59),0),0)</f>
        <v>0</v>
      </c>
      <c r="AI59" s="498">
        <f>IFERROR(IF(AND(AI$30&gt;=EOMONTH($J59,-1)+1,AI$30&lt;=EOMONTH(EOMONTH($J59,-1)+1,$K59-1)),IF(NOT(ISBLANK($N59)),$N59/$K59,$I59/$K59),0),0)</f>
        <v>0</v>
      </c>
      <c r="AJ59" s="498">
        <f>IFERROR(IF(AND(AJ$30&gt;=EOMONTH($J59,-1)+1,AJ$30&lt;=EOMONTH(EOMONTH($J59,-1)+1,$K59-1)),IF(NOT(ISBLANK($N59)),$N59/$K59,$I59/$K59),0),0)</f>
        <v>0</v>
      </c>
      <c r="AK59" s="440">
        <f t="shared" si="11"/>
        <v>0</v>
      </c>
      <c r="AL59" s="94">
        <f t="shared" si="13"/>
        <v>0</v>
      </c>
      <c r="AM59" s="1407"/>
      <c r="AN59" s="1407"/>
      <c r="AO59" s="1334"/>
      <c r="AP59" s="1403">
        <f>I59*AO59</f>
        <v>0</v>
      </c>
      <c r="AQ59" s="553" t="str">
        <f>D59</f>
        <v>Viabilizar Material Alternativo de Menor Custo para Utilização na Carcaça da Scania</v>
      </c>
      <c r="AR59" s="62" t="s">
        <v>311</v>
      </c>
      <c r="AS59" s="508" t="str" cm="1">
        <f t="array" aca="1" ref="AS59" ca="1">IF(OR(AQ59="",AQ59=0),"",IF(SUMPRODUCT(($D$31:$D$144=AQ59)*($T$31:$T$144="Previsto")*($V$30:$AJ$30&lt;EOMONTH(TODAY(),-1)+1)*($V$31:$AJ$144))=0,"",SUMPRODUCT(($D$31:$D$144=AQ59)*($T$31:$T$144="Previsto")*($V$30:$AJ$30&lt;EOMONTH(TODAY(),-1)+1)*($V$31:$AJ$144))))</f>
        <v/>
      </c>
      <c r="AT59" s="62" t="str">
        <f t="shared" ref="AT59" si="84">A59</f>
        <v>Redução de custo</v>
      </c>
      <c r="AV59" s="1566">
        <f t="shared" ref="AV59" si="85">IF(OR(I59="",K59=""),0,(I59/12)*K59)</f>
        <v>416666.66666666663</v>
      </c>
      <c r="AW59" s="1566">
        <f t="shared" ref="AW59" si="86">IF(OR(N59="",K59="",K59=0),0,(N59/K59)*12)</f>
        <v>0</v>
      </c>
    </row>
    <row r="60" spans="1:49" ht="29.1" customHeight="1" x14ac:dyDescent="0.3">
      <c r="A60" s="1810"/>
      <c r="B60" s="1466"/>
      <c r="C60" s="1408"/>
      <c r="D60" s="1455"/>
      <c r="E60" s="2361"/>
      <c r="F60" s="1452"/>
      <c r="G60" s="1786"/>
      <c r="H60" s="1786"/>
      <c r="I60" s="1835"/>
      <c r="J60" s="1750"/>
      <c r="K60" s="1387"/>
      <c r="L60" s="1396"/>
      <c r="M60" s="2365"/>
      <c r="N60" s="1394"/>
      <c r="O60" s="1330"/>
      <c r="P60" s="1330"/>
      <c r="Q60" s="1330"/>
      <c r="R60" s="1330"/>
      <c r="S60" s="2192"/>
      <c r="T60" s="96" t="s">
        <v>117</v>
      </c>
      <c r="U60" s="453">
        <f>_xlfn.XLOOKUP(B59,[50]Detalhamento!$A:$A,[50]Detalhamento!$N:$N)</f>
        <v>1</v>
      </c>
      <c r="V60" s="498"/>
      <c r="W60" s="498"/>
      <c r="X60" s="498"/>
      <c r="Y60" s="440">
        <f t="shared" si="26"/>
        <v>0</v>
      </c>
      <c r="Z60" s="498"/>
      <c r="AA60" s="498"/>
      <c r="AB60" s="498"/>
      <c r="AC60" s="440">
        <f t="shared" si="21"/>
        <v>0</v>
      </c>
      <c r="AD60" s="498"/>
      <c r="AE60" s="498"/>
      <c r="AF60" s="498"/>
      <c r="AG60" s="440">
        <f t="shared" si="22"/>
        <v>0</v>
      </c>
      <c r="AH60" s="498"/>
      <c r="AI60" s="498"/>
      <c r="AJ60" s="498"/>
      <c r="AK60" s="440">
        <f t="shared" si="11"/>
        <v>0</v>
      </c>
      <c r="AL60" s="94">
        <f t="shared" si="13"/>
        <v>0</v>
      </c>
      <c r="AM60" s="1408"/>
      <c r="AN60" s="1408"/>
      <c r="AO60" s="1330"/>
      <c r="AP60" s="1404"/>
      <c r="AQ60" s="554" t="str">
        <f>D59</f>
        <v>Viabilizar Material Alternativo de Menor Custo para Utilização na Carcaça da Scania</v>
      </c>
      <c r="AR60" s="62" t="s">
        <v>313</v>
      </c>
      <c r="AS60" s="508" t="str" cm="1">
        <f t="array" aca="1" ref="AS60" ca="1">IF(OR(AQ60="",AQ60=0),"",IF(SUMPRODUCT(($D$31:$D$144=AQ60)*(ISNUMBER(SEARCH("Real",$T$32:$T$145)))*($V$30:$AJ$30&lt;EOMONTH(TODAY(),-1)+1)*($V$32:$AJ$145))=0,"",SUMPRODUCT(($D$31:$D$144=AQ60)*(ISNUMBER(SEARCH("Real",$T$32:$T$145)))*($V$30:$AJ$30&lt;EOMONTH(TODAY(),-1)+1)*($V$32:$AJ$145))))</f>
        <v/>
      </c>
      <c r="AT60" s="62" t="str">
        <f t="shared" ref="AT60" si="87">A59</f>
        <v>Redução de custo</v>
      </c>
      <c r="AV60" s="1567"/>
      <c r="AW60" s="1567"/>
    </row>
    <row r="61" spans="1:49" ht="29.1" customHeight="1" x14ac:dyDescent="0.3">
      <c r="A61" s="1380" t="s">
        <v>953</v>
      </c>
      <c r="B61" s="1465" t="s">
        <v>2553</v>
      </c>
      <c r="C61" s="2392" t="s">
        <v>95</v>
      </c>
      <c r="D61" s="1534" t="s">
        <v>2554</v>
      </c>
      <c r="E61" s="2360" t="s">
        <v>2555</v>
      </c>
      <c r="F61" s="1451" t="s">
        <v>2552</v>
      </c>
      <c r="G61" s="1785">
        <f>_xlfn.XLOOKUP(B61,[50]Detalhamento!$A:$A,[50]Detalhamento!$I:$I)</f>
        <v>45810</v>
      </c>
      <c r="H61" s="1785">
        <f>_xlfn.XLOOKUP(B61,[50]Detalhamento!$A:$A,[50]Detalhamento!$J:$J)</f>
        <v>45933</v>
      </c>
      <c r="I61" s="1844">
        <f>IFERROR(_xlfn.XLOOKUP(B61,[50]Detalhamento!$A:$A,[50]Detalhamento!$E:$E)," - ")</f>
        <v>317391</v>
      </c>
      <c r="J61" s="1498">
        <f>_xlfn.XLOOKUP(B61,[50]Detalhamento!$A:$A,[50]Detalhamento!$O:$O)</f>
        <v>46082</v>
      </c>
      <c r="K61" s="1389">
        <f t="shared" ref="K61" si="88">IF(J61="", "", 12 - MONTH(J61) + 1)</f>
        <v>10</v>
      </c>
      <c r="L61" s="1844"/>
      <c r="M61" s="2368"/>
      <c r="N61" s="2373"/>
      <c r="O61" s="1327" t="s">
        <v>81</v>
      </c>
      <c r="P61" s="1327"/>
      <c r="Q61" s="1327"/>
      <c r="R61" s="1327"/>
      <c r="S61" s="2197" t="s">
        <v>2500</v>
      </c>
      <c r="T61" s="91" t="s">
        <v>116</v>
      </c>
      <c r="U61" s="91">
        <f>_xlfn.XLOOKUP(B61,[50]Detalhamento!$A:$A,[50]Detalhamento!$M:$M)</f>
        <v>1</v>
      </c>
      <c r="V61" s="287">
        <f>IFERROR(IF(AND(V$30&gt;=EOMONTH($J61,-1)+1,V$30&lt;=EOMONTH(EOMONTH($J61,-1)+1,$K61-1)),IF(NOT(ISBLANK($N61)),$N61/$K61,$I61/$K61),0),0)</f>
        <v>0</v>
      </c>
      <c r="W61" s="287">
        <f>IFERROR(IF(AND(W$30&gt;=EOMONTH($J61,-1)+1,W$30&lt;=EOMONTH(EOMONTH($J61,-1)+1,$K61-1)),IF(NOT(ISBLANK($N61)),$N61/$K61,$I61/$K61),0),0)</f>
        <v>0</v>
      </c>
      <c r="X61" s="597">
        <f>IFERROR(IF(AND(X$30&gt;=EOMONTH($J61,-1)+1,X$30&lt;=EOMONTH(EOMONTH($J61,-1)+1,$K61-1)),IF(NOT(ISBLANK($N61)),$N61/$K61,$I61/$K61),0),0)</f>
        <v>31739.1</v>
      </c>
      <c r="Y61" s="440">
        <f t="shared" si="26"/>
        <v>31739.1</v>
      </c>
      <c r="Z61" s="597">
        <f>IFERROR(IF(AND(Z$30&gt;=EOMONTH($J61,-1)+1,Z$30&lt;=EOMONTH(EOMONTH($J61,-1)+1,$K61-1)),IF(NOT(ISBLANK($N61)),$N61/$K61,$I61/$K61),0),0)</f>
        <v>31739.1</v>
      </c>
      <c r="AA61" s="287">
        <f>IFERROR(IF(AND(AA$30&gt;=EOMONTH($J61,-1)+1,AA$30&lt;=EOMONTH(EOMONTH($J61,-1)+1,$K61-1)),IF(NOT(ISBLANK($N61)),$N61/$K61,$I61/$K61),0),0)</f>
        <v>31739.1</v>
      </c>
      <c r="AB61" s="287">
        <f>IFERROR(IF(AND(AB$30&gt;=EOMONTH($J61,-1)+1,AB$30&lt;=EOMONTH(EOMONTH($J61,-1)+1,$K61-1)),IF(NOT(ISBLANK($N61)),$N61/$K61,$I61/$K61),0),0)</f>
        <v>31739.1</v>
      </c>
      <c r="AC61" s="440">
        <f t="shared" si="21"/>
        <v>95217.299999999988</v>
      </c>
      <c r="AD61" s="287">
        <f>IFERROR(IF(AND(AD$30&gt;=EOMONTH($J61,-1)+1,AD$30&lt;=EOMONTH(EOMONTH($J61,-1)+1,$K61-1)),IF(NOT(ISBLANK($N61)),$N61/$K61,$I61/$K61),0),0)</f>
        <v>31739.1</v>
      </c>
      <c r="AE61" s="287">
        <f>IFERROR(IF(AND(AE$30&gt;=EOMONTH($J61,-1)+1,AE$30&lt;=EOMONTH(EOMONTH($J61,-1)+1,$K61-1)),IF(NOT(ISBLANK($N61)),$N61/$K61,$I61/$K61),0),0)</f>
        <v>31739.1</v>
      </c>
      <c r="AF61" s="287">
        <f>IFERROR(IF(AND(AF$30&gt;=EOMONTH($J61,-1)+1,AF$30&lt;=EOMONTH(EOMONTH($J61,-1)+1,$K61-1)),IF(NOT(ISBLANK($N61)),$N61/$K61,$I61/$K61),0),0)</f>
        <v>31739.1</v>
      </c>
      <c r="AG61" s="440">
        <f t="shared" si="22"/>
        <v>95217.299999999988</v>
      </c>
      <c r="AH61" s="287">
        <f>IFERROR(IF(AND(AH$30&gt;=EOMONTH($J61,-1)+1,AH$30&lt;=EOMONTH(EOMONTH($J61,-1)+1,$K61-1)),IF(NOT(ISBLANK($N61)),$N61/$K61,$I61/$K61),0),0)</f>
        <v>31739.1</v>
      </c>
      <c r="AI61" s="287">
        <f>IFERROR(IF(AND(AI$30&gt;=EOMONTH($J61,-1)+1,AI$30&lt;=EOMONTH(EOMONTH($J61,-1)+1,$K61-1)),IF(NOT(ISBLANK($N61)),$N61/$K61,$I61/$K61),0),0)</f>
        <v>31739.1</v>
      </c>
      <c r="AJ61" s="287">
        <f>IFERROR(IF(AND(AJ$30&gt;=EOMONTH($J61,-1)+1,AJ$30&lt;=EOMONTH(EOMONTH($J61,-1)+1,$K61-1)),IF(NOT(ISBLANK($N61)),$N61/$K61,$I61/$K61),0),0)</f>
        <v>31739.1</v>
      </c>
      <c r="AK61" s="440">
        <f t="shared" ref="AK61:AK92" si="89">SUM(AH61:AJ61)</f>
        <v>95217.299999999988</v>
      </c>
      <c r="AL61" s="116">
        <f t="shared" si="13"/>
        <v>317391</v>
      </c>
      <c r="AM61" s="1370"/>
      <c r="AN61" s="1370"/>
      <c r="AO61" s="1411"/>
      <c r="AP61" s="1405">
        <f>I61*AO61</f>
        <v>0</v>
      </c>
      <c r="AQ61" s="553" t="str">
        <f>D61</f>
        <v>Viabilizar itens Usiminas via Gonvarri-Full Service</v>
      </c>
      <c r="AR61" s="62" t="s">
        <v>311</v>
      </c>
      <c r="AS61" s="508" cm="1">
        <f t="array" aca="1" ref="AS61" ca="1">IF(OR(AQ61="",AQ61=0),"",IF(SUMPRODUCT(($D$31:$D$144=AQ61)*($T$31:$T$144="Previsto")*($V$30:$AJ$30&lt;EOMONTH(TODAY(),-1)+1)*($V$31:$AJ$144))=0,"",SUMPRODUCT(($D$31:$D$144=AQ61)*($T$31:$T$144="Previsto")*($V$30:$AJ$30&lt;EOMONTH(TODAY(),-1)+1)*($V$31:$AJ$144))))</f>
        <v>158695.5</v>
      </c>
      <c r="AT61" s="62" t="str">
        <f t="shared" ref="AT61" si="90">A61</f>
        <v>Redução de custo</v>
      </c>
      <c r="AV61" s="1566">
        <f t="shared" ref="AV61" si="91">IF(OR(I61="",K61=""),0,(I61/12)*K61)</f>
        <v>264492.5</v>
      </c>
      <c r="AW61" s="1566">
        <f t="shared" ref="AW61" si="92">IF(OR(N61="",K61="",K61=0),0,(N61/K61)*12)</f>
        <v>0</v>
      </c>
    </row>
    <row r="62" spans="1:49" ht="29.1" customHeight="1" x14ac:dyDescent="0.3">
      <c r="A62" s="1381"/>
      <c r="B62" s="1466"/>
      <c r="C62" s="1381"/>
      <c r="D62" s="1455"/>
      <c r="E62" s="2361"/>
      <c r="F62" s="1452"/>
      <c r="G62" s="1786"/>
      <c r="H62" s="1786"/>
      <c r="I62" s="1835"/>
      <c r="J62" s="1499"/>
      <c r="K62" s="1389"/>
      <c r="L62" s="1835"/>
      <c r="M62" s="2369"/>
      <c r="N62" s="2359"/>
      <c r="O62" s="1328"/>
      <c r="P62" s="1328"/>
      <c r="Q62" s="1328"/>
      <c r="R62" s="1328"/>
      <c r="S62" s="2198"/>
      <c r="T62" s="91" t="s">
        <v>117</v>
      </c>
      <c r="U62" s="452">
        <f>_xlfn.XLOOKUP(B61,[50]Detalhamento!$A:$A,[50]Detalhamento!$N:$N)</f>
        <v>1</v>
      </c>
      <c r="V62" s="287"/>
      <c r="W62" s="287"/>
      <c r="X62" s="731"/>
      <c r="Y62" s="440">
        <f t="shared" si="26"/>
        <v>0</v>
      </c>
      <c r="Z62" s="731"/>
      <c r="AA62" s="731"/>
      <c r="AB62" s="731"/>
      <c r="AC62" s="440">
        <f t="shared" si="21"/>
        <v>0</v>
      </c>
      <c r="AD62" s="287"/>
      <c r="AE62" s="287"/>
      <c r="AF62" s="287"/>
      <c r="AG62" s="440">
        <f t="shared" si="22"/>
        <v>0</v>
      </c>
      <c r="AH62" s="287"/>
      <c r="AI62" s="287"/>
      <c r="AJ62" s="287"/>
      <c r="AK62" s="440">
        <f t="shared" si="89"/>
        <v>0</v>
      </c>
      <c r="AL62" s="454">
        <f t="shared" si="13"/>
        <v>0</v>
      </c>
      <c r="AM62" s="1371"/>
      <c r="AN62" s="1371"/>
      <c r="AO62" s="1412"/>
      <c r="AP62" s="1406"/>
      <c r="AQ62" s="554" t="str">
        <f>D61</f>
        <v>Viabilizar itens Usiminas via Gonvarri-Full Service</v>
      </c>
      <c r="AR62" s="62" t="s">
        <v>313</v>
      </c>
      <c r="AS62" s="508" t="str" cm="1">
        <f t="array" aca="1" ref="AS62" ca="1">IF(OR(AQ62="",AQ62=0),"",IF(SUMPRODUCT(($D$31:$D$144=AQ62)*(ISNUMBER(SEARCH("Real",$T$32:$T$145)))*($V$30:$AJ$30&lt;EOMONTH(TODAY(),-1)+1)*($V$32:$AJ$145))=0,"",SUMPRODUCT(($D$31:$D$144=AQ62)*(ISNUMBER(SEARCH("Real",$T$32:$T$145)))*($V$30:$AJ$30&lt;EOMONTH(TODAY(),-1)+1)*($V$32:$AJ$145))))</f>
        <v/>
      </c>
      <c r="AT62" s="62" t="str">
        <f t="shared" ref="AT62" si="93">A61</f>
        <v>Redução de custo</v>
      </c>
      <c r="AV62" s="1567"/>
      <c r="AW62" s="1567"/>
    </row>
    <row r="63" spans="1:49" ht="29.1" customHeight="1" x14ac:dyDescent="0.3">
      <c r="A63" s="1809" t="s">
        <v>953</v>
      </c>
      <c r="B63" s="1465" t="s">
        <v>2556</v>
      </c>
      <c r="C63" s="2419" t="s">
        <v>97</v>
      </c>
      <c r="D63" s="1356" t="s">
        <v>2557</v>
      </c>
      <c r="E63" s="2360" t="s">
        <v>2558</v>
      </c>
      <c r="F63" s="1451" t="s">
        <v>2559</v>
      </c>
      <c r="G63" s="1785">
        <f>_xlfn.XLOOKUP(B63,[50]Detalhamento!$A:$A,[50]Detalhamento!$I:$I)</f>
        <v>45845</v>
      </c>
      <c r="H63" s="1785">
        <f>_xlfn.XLOOKUP(B63,[50]Detalhamento!$A:$A,[50]Detalhamento!$J:$J)</f>
        <v>46146</v>
      </c>
      <c r="I63" s="1844">
        <f>IFERROR(_xlfn.XLOOKUP(B63,[50]Detalhamento!$A:$A,[50]Detalhamento!$E:$E)," - ")</f>
        <v>0</v>
      </c>
      <c r="J63" s="2432"/>
      <c r="K63" s="1387" t="str">
        <f t="shared" ref="K63" si="94">IF(J63="", "", 12 - MONTH(J63) + 1)</f>
        <v/>
      </c>
      <c r="L63" s="1395"/>
      <c r="M63" s="1859"/>
      <c r="N63" s="2358"/>
      <c r="O63" s="1334" t="s">
        <v>85</v>
      </c>
      <c r="P63" s="1334"/>
      <c r="Q63" s="1334"/>
      <c r="R63" s="1334"/>
      <c r="S63" s="2191" t="s">
        <v>2500</v>
      </c>
      <c r="T63" s="96" t="s">
        <v>116</v>
      </c>
      <c r="U63" s="96">
        <f>_xlfn.XLOOKUP(B63,[50]Detalhamento!$A:$A,[50]Detalhamento!$M:$M)</f>
        <v>0.89423076923076927</v>
      </c>
      <c r="V63" s="498">
        <f>IFERROR(IF(AND(V$30&gt;=EOMONTH($J63,-1)+1,V$30&lt;=EOMONTH(EOMONTH($J63,-1)+1,$K63-1)),IF(NOT(ISBLANK($N63)),$N63/$K63,$I63/$K63),0),0)</f>
        <v>0</v>
      </c>
      <c r="W63" s="498">
        <f>IFERROR(IF(AND(W$30&gt;=EOMONTH($J63,-1)+1,W$30&lt;=EOMONTH(EOMONTH($J63,-1)+1,$K63-1)),IF(NOT(ISBLANK($N63)),$N63/$K63,$I63/$K63),0),0)</f>
        <v>0</v>
      </c>
      <c r="X63" s="498">
        <f>IFERROR(IF(AND(X$30&gt;=EOMONTH($J63,-1)+1,X$30&lt;=EOMONTH(EOMONTH($J63,-1)+1,$K63-1)),IF(NOT(ISBLANK($N63)),$N63/$K63,$I63/$K63),0),0)</f>
        <v>0</v>
      </c>
      <c r="Y63" s="440">
        <f t="shared" si="26"/>
        <v>0</v>
      </c>
      <c r="Z63" s="498">
        <f>IFERROR(IF(AND(Z$30&gt;=EOMONTH($J63,-1)+1,Z$30&lt;=EOMONTH(EOMONTH($J63,-1)+1,$K63-1)),IF(NOT(ISBLANK($N63)),$N63/$K63,$I63/$K63),0),0)</f>
        <v>0</v>
      </c>
      <c r="AA63" s="498">
        <f>IFERROR(IF(AND(AA$30&gt;=EOMONTH($J63,-1)+1,AA$30&lt;=EOMONTH(EOMONTH($J63,-1)+1,$K63-1)),IF(NOT(ISBLANK($N63)),$N63/$K63,$I63/$K63),0),0)</f>
        <v>0</v>
      </c>
      <c r="AB63" s="498">
        <f>IFERROR(IF(AND(AB$30&gt;=EOMONTH($J63,-1)+1,AB$30&lt;=EOMONTH(EOMONTH($J63,-1)+1,$K63-1)),IF(NOT(ISBLANK($N63)),$N63/$K63,$I63/$K63),0),0)</f>
        <v>0</v>
      </c>
      <c r="AC63" s="440">
        <f t="shared" si="21"/>
        <v>0</v>
      </c>
      <c r="AD63" s="498">
        <f>IFERROR(IF(AND(AD$30&gt;=EOMONTH($J63,-1)+1,AD$30&lt;=EOMONTH(EOMONTH($J63,-1)+1,$K63-1)),IF(NOT(ISBLANK($N63)),$N63/$K63,$I63/$K63),0),0)</f>
        <v>0</v>
      </c>
      <c r="AE63" s="498">
        <f>IFERROR(IF(AND(AE$30&gt;=EOMONTH($J63,-1)+1,AE$30&lt;=EOMONTH(EOMONTH($J63,-1)+1,$K63-1)),IF(NOT(ISBLANK($N63)),$N63/$K63,$I63/$K63),0),0)</f>
        <v>0</v>
      </c>
      <c r="AF63" s="498">
        <f>IFERROR(IF(AND(AF$30&gt;=EOMONTH($J63,-1)+1,AF$30&lt;=EOMONTH(EOMONTH($J63,-1)+1,$K63-1)),IF(NOT(ISBLANK($N63)),$N63/$K63,$I63/$K63),0),0)</f>
        <v>0</v>
      </c>
      <c r="AG63" s="440">
        <f t="shared" si="22"/>
        <v>0</v>
      </c>
      <c r="AH63" s="498">
        <f>IFERROR(IF(AND(AH$30&gt;=EOMONTH($J63,-1)+1,AH$30&lt;=EOMONTH(EOMONTH($J63,-1)+1,$K63-1)),IF(NOT(ISBLANK($N63)),$N63/$K63,$I63/$K63),0),0)</f>
        <v>0</v>
      </c>
      <c r="AI63" s="498">
        <f>IFERROR(IF(AND(AI$30&gt;=EOMONTH($J63,-1)+1,AI$30&lt;=EOMONTH(EOMONTH($J63,-1)+1,$K63-1)),IF(NOT(ISBLANK($N63)),$N63/$K63,$I63/$K63),0),0)</f>
        <v>0</v>
      </c>
      <c r="AJ63" s="498">
        <f>IFERROR(IF(AND(AJ$30&gt;=EOMONTH($J63,-1)+1,AJ$30&lt;=EOMONTH(EOMONTH($J63,-1)+1,$K63-1)),IF(NOT(ISBLANK($N63)),$N63/$K63,$I63/$K63),0),0)</f>
        <v>0</v>
      </c>
      <c r="AK63" s="440">
        <f t="shared" si="89"/>
        <v>0</v>
      </c>
      <c r="AL63" s="94">
        <f t="shared" si="13"/>
        <v>0</v>
      </c>
      <c r="AM63" s="1407"/>
      <c r="AN63" s="1407"/>
      <c r="AO63" s="1334"/>
      <c r="AP63" s="1405">
        <f>I63*AO63</f>
        <v>0</v>
      </c>
      <c r="AQ63" s="553" t="str">
        <f>D63</f>
        <v>Estudo de viabilidade compressores</v>
      </c>
      <c r="AR63" s="62" t="s">
        <v>311</v>
      </c>
      <c r="AS63" s="508" t="str" cm="1">
        <f t="array" aca="1" ref="AS63" ca="1">IF(OR(AQ63="",AQ63=0),"",IF(SUMPRODUCT(($D$31:$D$144=AQ63)*($T$31:$T$144="Previsto")*($V$30:$AJ$30&lt;EOMONTH(TODAY(),-1)+1)*($V$31:$AJ$144))=0,"",SUMPRODUCT(($D$31:$D$144=AQ63)*($T$31:$T$144="Previsto")*($V$30:$AJ$30&lt;EOMONTH(TODAY(),-1)+1)*($V$31:$AJ$144))))</f>
        <v/>
      </c>
      <c r="AT63" s="62" t="str">
        <f t="shared" ref="AT63" si="95">A63</f>
        <v>Redução de custo</v>
      </c>
      <c r="AV63" s="1566">
        <f t="shared" ref="AV63" si="96">IF(OR(I63="",K63=""),0,(I63/12)*K63)</f>
        <v>0</v>
      </c>
      <c r="AW63" s="1566">
        <f t="shared" ref="AW63" si="97">IF(OR(N63="",K63="",K63=0),0,(N63/K63)*12)</f>
        <v>0</v>
      </c>
    </row>
    <row r="64" spans="1:49" ht="29.1" customHeight="1" x14ac:dyDescent="0.3">
      <c r="A64" s="1810"/>
      <c r="B64" s="1466"/>
      <c r="C64" s="1408"/>
      <c r="D64" s="1455"/>
      <c r="E64" s="2361"/>
      <c r="F64" s="1452"/>
      <c r="G64" s="1786"/>
      <c r="H64" s="1786"/>
      <c r="I64" s="1835"/>
      <c r="J64" s="2433"/>
      <c r="K64" s="1387"/>
      <c r="L64" s="1396"/>
      <c r="M64" s="1860"/>
      <c r="N64" s="2359"/>
      <c r="O64" s="1330"/>
      <c r="P64" s="1330"/>
      <c r="Q64" s="1330"/>
      <c r="R64" s="1330"/>
      <c r="S64" s="2192"/>
      <c r="T64" s="96" t="s">
        <v>117</v>
      </c>
      <c r="U64" s="453">
        <f>_xlfn.XLOOKUP(B63,[50]Detalhamento!$A:$A,[50]Detalhamento!$N:$N)</f>
        <v>0.5</v>
      </c>
      <c r="V64" s="498"/>
      <c r="W64" s="498"/>
      <c r="X64" s="498"/>
      <c r="Y64" s="440">
        <f t="shared" si="26"/>
        <v>0</v>
      </c>
      <c r="Z64" s="498"/>
      <c r="AA64" s="498"/>
      <c r="AB64" s="498"/>
      <c r="AC64" s="440">
        <f t="shared" si="21"/>
        <v>0</v>
      </c>
      <c r="AD64" s="498"/>
      <c r="AE64" s="498"/>
      <c r="AF64" s="498"/>
      <c r="AG64" s="440">
        <f t="shared" si="22"/>
        <v>0</v>
      </c>
      <c r="AH64" s="498"/>
      <c r="AI64" s="498"/>
      <c r="AJ64" s="498"/>
      <c r="AK64" s="440">
        <f t="shared" si="89"/>
        <v>0</v>
      </c>
      <c r="AL64" s="94">
        <f t="shared" si="13"/>
        <v>0</v>
      </c>
      <c r="AM64" s="1408"/>
      <c r="AN64" s="1408"/>
      <c r="AO64" s="1330"/>
      <c r="AP64" s="1406"/>
      <c r="AQ64" s="554" t="str">
        <f>D63</f>
        <v>Estudo de viabilidade compressores</v>
      </c>
      <c r="AR64" s="62" t="s">
        <v>313</v>
      </c>
      <c r="AS64" s="508" t="str" cm="1">
        <f t="array" aca="1" ref="AS64" ca="1">IF(OR(AQ64="",AQ64=0),"",IF(SUMPRODUCT(($D$31:$D$144=AQ64)*(ISNUMBER(SEARCH("Real",$T$32:$T$145)))*($V$30:$AJ$30&lt;EOMONTH(TODAY(),-1)+1)*($V$32:$AJ$145))=0,"",SUMPRODUCT(($D$31:$D$144=AQ64)*(ISNUMBER(SEARCH("Real",$T$32:$T$145)))*($V$30:$AJ$30&lt;EOMONTH(TODAY(),-1)+1)*($V$32:$AJ$145))))</f>
        <v/>
      </c>
      <c r="AT64" s="62" t="str">
        <f t="shared" ref="AT64" si="98">A63</f>
        <v>Redução de custo</v>
      </c>
      <c r="AV64" s="1567"/>
      <c r="AW64" s="1567"/>
    </row>
    <row r="65" spans="1:49" ht="29.1" customHeight="1" x14ac:dyDescent="0.3">
      <c r="A65" s="1380"/>
      <c r="B65" s="1482"/>
      <c r="C65" s="2419"/>
      <c r="D65" s="1486"/>
      <c r="E65" s="2413"/>
      <c r="F65" s="1370"/>
      <c r="G65" s="1372"/>
      <c r="H65" s="1372"/>
      <c r="I65" s="2417"/>
      <c r="J65" s="1376"/>
      <c r="K65" s="1389"/>
      <c r="L65" s="1354"/>
      <c r="M65" s="2356"/>
      <c r="N65" s="1391"/>
      <c r="O65" s="1327"/>
      <c r="P65" s="1327"/>
      <c r="Q65" s="1327"/>
      <c r="R65" s="1327"/>
      <c r="S65" s="2197" t="s">
        <v>2500</v>
      </c>
      <c r="T65" s="91" t="s">
        <v>116</v>
      </c>
      <c r="U65" s="91">
        <f>_xlfn.XLOOKUP(B65,[50]Detalhamento!$A:$A,[50]Detalhamento!$M:$M)</f>
        <v>0</v>
      </c>
      <c r="V65" s="287">
        <f>IFERROR(IF(AND(V$30&gt;=EOMONTH($J65,-1)+1,V$30&lt;=EOMONTH(EOMONTH($J65,-1)+1,$K65-1)),IF(NOT(ISBLANK($N65)),$N65/$K65,$I65/$K65),0),0)</f>
        <v>0</v>
      </c>
      <c r="W65" s="287">
        <f>IFERROR(IF(AND(W$30&gt;=EOMONTH($J65,-1)+1,W$30&lt;=EOMONTH(EOMONTH($J65,-1)+1,$K65-1)),IF(NOT(ISBLANK($N65)),$N65/$K65,$I65/$K65),0),0)</f>
        <v>0</v>
      </c>
      <c r="X65" s="287">
        <f>IFERROR(IF(AND(X$30&gt;=EOMONTH($J65,-1)+1,X$30&lt;=EOMONTH(EOMONTH($J65,-1)+1,$K65-1)),IF(NOT(ISBLANK($N65)),$N65/$K65,$I65/$K65),0),0)</f>
        <v>0</v>
      </c>
      <c r="Y65" s="440">
        <f t="shared" si="26"/>
        <v>0</v>
      </c>
      <c r="Z65" s="287">
        <f>IFERROR(IF(AND(Z$30&gt;=EOMONTH($J65,-1)+1,Z$30&lt;=EOMONTH(EOMONTH($J65,-1)+1,$K65-1)),IF(NOT(ISBLANK($N65)),$N65/$K65,$I65/$K65),0),0)</f>
        <v>0</v>
      </c>
      <c r="AA65" s="287">
        <f>IFERROR(IF(AND(AA$30&gt;=EOMONTH($J65,-1)+1,AA$30&lt;=EOMONTH(EOMONTH($J65,-1)+1,$K65-1)),IF(NOT(ISBLANK($N65)),$N65/$K65,$I65/$K65),0),0)</f>
        <v>0</v>
      </c>
      <c r="AB65" s="287">
        <f>IFERROR(IF(AND(AB$30&gt;=EOMONTH($J65,-1)+1,AB$30&lt;=EOMONTH(EOMONTH($J65,-1)+1,$K65-1)),IF(NOT(ISBLANK($N65)),$N65/$K65,$I65/$K65),0),0)</f>
        <v>0</v>
      </c>
      <c r="AC65" s="440">
        <f t="shared" si="21"/>
        <v>0</v>
      </c>
      <c r="AD65" s="287">
        <f>IFERROR(IF(AND(AD$30&gt;=EOMONTH($J65,-1)+1,AD$30&lt;=EOMONTH(EOMONTH($J65,-1)+1,$K65-1)),IF(NOT(ISBLANK($N65)),$N65/$K65,$I65/$K65),0),0)</f>
        <v>0</v>
      </c>
      <c r="AE65" s="287">
        <f>IFERROR(IF(AND(AE$30&gt;=EOMONTH($J65,-1)+1,AE$30&lt;=EOMONTH(EOMONTH($J65,-1)+1,$K65-1)),IF(NOT(ISBLANK($N65)),$N65/$K65,$I65/$K65),0),0)</f>
        <v>0</v>
      </c>
      <c r="AF65" s="287">
        <f>IFERROR(IF(AND(AF$30&gt;=EOMONTH($J65,-1)+1,AF$30&lt;=EOMONTH(EOMONTH($J65,-1)+1,$K65-1)),IF(NOT(ISBLANK($N65)),$N65/$K65,$I65/$K65),0),0)</f>
        <v>0</v>
      </c>
      <c r="AG65" s="440">
        <f t="shared" si="22"/>
        <v>0</v>
      </c>
      <c r="AH65" s="287">
        <f>IFERROR(IF(AND(AH$30&gt;=EOMONTH($J65,-1)+1,AH$30&lt;=EOMONTH(EOMONTH($J65,-1)+1,$K65-1)),IF(NOT(ISBLANK($N65)),$N65/$K65,$I65/$K65),0),0)</f>
        <v>0</v>
      </c>
      <c r="AI65" s="287">
        <f>IFERROR(IF(AND(AI$30&gt;=EOMONTH($J65,-1)+1,AI$30&lt;=EOMONTH(EOMONTH($J65,-1)+1,$K65-1)),IF(NOT(ISBLANK($N65)),$N65/$K65,$I65/$K65),0),0)</f>
        <v>0</v>
      </c>
      <c r="AJ65" s="287">
        <f>IFERROR(IF(AND(AJ$30&gt;=EOMONTH($J65,-1)+1,AJ$30&lt;=EOMONTH(EOMONTH($J65,-1)+1,$K65-1)),IF(NOT(ISBLANK($N65)),$N65/$K65,$I65/$K65),0),0)</f>
        <v>0</v>
      </c>
      <c r="AK65" s="440">
        <f t="shared" si="89"/>
        <v>0</v>
      </c>
      <c r="AL65" s="116">
        <f t="shared" si="13"/>
        <v>0</v>
      </c>
      <c r="AM65" s="1370"/>
      <c r="AN65" s="1370"/>
      <c r="AO65" s="1411"/>
      <c r="AP65" s="1405">
        <f>I65*AO65</f>
        <v>0</v>
      </c>
      <c r="AQ65" s="553">
        <f>D65</f>
        <v>0</v>
      </c>
      <c r="AR65" s="62" t="s">
        <v>311</v>
      </c>
      <c r="AS65" s="508" t="str" cm="1">
        <f t="array" aca="1" ref="AS65" ca="1">IF(OR(AQ65="",AQ65=0),"",IF(SUMPRODUCT(($D$31:$D$144=AQ65)*($T$31:$T$144="Previsto")*($V$30:$AJ$30&lt;EOMONTH(TODAY(),-1)+1)*($V$31:$AJ$144))=0,"",SUMPRODUCT(($D$31:$D$144=AQ65)*($T$31:$T$144="Previsto")*($V$30:$AJ$30&lt;EOMONTH(TODAY(),-1)+1)*($V$31:$AJ$144))))</f>
        <v/>
      </c>
      <c r="AT65" s="62">
        <f t="shared" ref="AT65" si="99">A65</f>
        <v>0</v>
      </c>
      <c r="AV65" s="1566">
        <f t="shared" ref="AV65" si="100">IF(OR(I65="",K65=""),0,(I65/12)*K65)</f>
        <v>0</v>
      </c>
      <c r="AW65" s="1566">
        <f t="shared" ref="AW65" si="101">IF(OR(N65="",K65="",K65=0),0,(N65/K65)*12)</f>
        <v>0</v>
      </c>
    </row>
    <row r="66" spans="1:49" ht="29.1" customHeight="1" x14ac:dyDescent="0.3">
      <c r="A66" s="1381"/>
      <c r="B66" s="1483"/>
      <c r="C66" s="1381"/>
      <c r="D66" s="1487"/>
      <c r="E66" s="2363"/>
      <c r="F66" s="1371"/>
      <c r="G66" s="1373"/>
      <c r="H66" s="1373"/>
      <c r="I66" s="2418"/>
      <c r="J66" s="1377"/>
      <c r="K66" s="1389"/>
      <c r="L66" s="1355"/>
      <c r="M66" s="2357"/>
      <c r="N66" s="1392"/>
      <c r="O66" s="1328"/>
      <c r="P66" s="1328"/>
      <c r="Q66" s="1328"/>
      <c r="R66" s="1328"/>
      <c r="S66" s="2198"/>
      <c r="T66" s="91" t="s">
        <v>117</v>
      </c>
      <c r="U66" s="452">
        <f>_xlfn.XLOOKUP(B65,[50]Detalhamento!$A:$A,[50]Detalhamento!$N:$N)</f>
        <v>0</v>
      </c>
      <c r="V66" s="287"/>
      <c r="W66" s="287"/>
      <c r="X66" s="287"/>
      <c r="Y66" s="440">
        <f t="shared" si="26"/>
        <v>0</v>
      </c>
      <c r="Z66" s="287"/>
      <c r="AA66" s="287"/>
      <c r="AB66" s="287"/>
      <c r="AC66" s="440">
        <f t="shared" si="21"/>
        <v>0</v>
      </c>
      <c r="AD66" s="287"/>
      <c r="AE66" s="287"/>
      <c r="AF66" s="287"/>
      <c r="AG66" s="440">
        <f t="shared" si="22"/>
        <v>0</v>
      </c>
      <c r="AH66" s="287"/>
      <c r="AI66" s="287"/>
      <c r="AJ66" s="287"/>
      <c r="AK66" s="440">
        <f t="shared" si="89"/>
        <v>0</v>
      </c>
      <c r="AL66" s="454">
        <f t="shared" si="13"/>
        <v>0</v>
      </c>
      <c r="AM66" s="1371"/>
      <c r="AN66" s="1371"/>
      <c r="AO66" s="1412"/>
      <c r="AP66" s="1406"/>
      <c r="AQ66" s="554">
        <f>D65</f>
        <v>0</v>
      </c>
      <c r="AR66" s="62" t="s">
        <v>313</v>
      </c>
      <c r="AS66" s="508" t="str" cm="1">
        <f t="array" aca="1" ref="AS66" ca="1">IF(OR(AQ66="",AQ66=0),"",IF(SUMPRODUCT(($D$31:$D$144=AQ66)*(ISNUMBER(SEARCH("Real",$T$32:$T$145)))*($V$30:$AJ$30&lt;EOMONTH(TODAY(),-1)+1)*($V$32:$AJ$145))=0,"",SUMPRODUCT(($D$31:$D$144=AQ66)*(ISNUMBER(SEARCH("Real",$T$32:$T$145)))*($V$30:$AJ$30&lt;EOMONTH(TODAY(),-1)+1)*($V$32:$AJ$145))))</f>
        <v/>
      </c>
      <c r="AT66" s="62">
        <f t="shared" ref="AT66" si="102">A65</f>
        <v>0</v>
      </c>
      <c r="AV66" s="1567"/>
      <c r="AW66" s="1567"/>
    </row>
    <row r="67" spans="1:49" ht="29.1" customHeight="1" x14ac:dyDescent="0.3">
      <c r="A67" s="1809" t="s">
        <v>953</v>
      </c>
      <c r="B67" s="1465" t="s">
        <v>2560</v>
      </c>
      <c r="C67" s="2392" t="s">
        <v>101</v>
      </c>
      <c r="D67" s="1356" t="s">
        <v>2561</v>
      </c>
      <c r="E67" s="2360" t="s">
        <v>2562</v>
      </c>
      <c r="F67" s="1451" t="s">
        <v>2559</v>
      </c>
      <c r="G67" s="1785">
        <f>_xlfn.XLOOKUP(B67,[50]Detalhamento!$A:$A,[50]Detalhamento!$I:$I)</f>
        <v>45845</v>
      </c>
      <c r="H67" s="1785">
        <f>_xlfn.XLOOKUP(B67,[50]Detalhamento!$A:$A,[50]Detalhamento!$J:$J)</f>
        <v>46159</v>
      </c>
      <c r="I67" s="1844">
        <f>IFERROR(_xlfn.XLOOKUP(B67,[50]Detalhamento!$A:$A,[50]Detalhamento!$E:$E)," - ")</f>
        <v>101100</v>
      </c>
      <c r="J67" s="1378">
        <f>_xlfn.XLOOKUP(B67,[50]Detalhamento!$A:$A,[50]Detalhamento!$O:$O)</f>
        <v>46023</v>
      </c>
      <c r="K67" s="1387">
        <f t="shared" ref="K67" si="103">IF(J67="", "", 12 - MONTH(J67) + 1)</f>
        <v>12</v>
      </c>
      <c r="L67" s="1395"/>
      <c r="M67" s="2364"/>
      <c r="N67" s="1393"/>
      <c r="O67" s="1334" t="s">
        <v>83</v>
      </c>
      <c r="P67" s="1334"/>
      <c r="Q67" s="1334"/>
      <c r="R67" s="1334"/>
      <c r="S67" s="2191" t="s">
        <v>22</v>
      </c>
      <c r="T67" s="96" t="s">
        <v>116</v>
      </c>
      <c r="U67" s="96">
        <f>_xlfn.XLOOKUP(B67,[50]Detalhamento!$A:$A,[50]Detalhamento!$M:$M)</f>
        <v>0.965034965034965</v>
      </c>
      <c r="V67" s="498">
        <f>IFERROR(IF(AND(V$30&gt;=EOMONTH($J67,-1)+1,V$30&lt;=EOMONTH(EOMONTH($J67,-1)+1,$K67-1)),IF(NOT(ISBLANK($N67)),$N67/$K67,$I67/$K67),0),0)</f>
        <v>8425</v>
      </c>
      <c r="W67" s="498">
        <f>IFERROR(IF(AND(W$30&gt;=EOMONTH($J67,-1)+1,W$30&lt;=EOMONTH(EOMONTH($J67,-1)+1,$K67-1)),IF(NOT(ISBLANK($N67)),$N67/$K67,$I67/$K67),0),0)</f>
        <v>8425</v>
      </c>
      <c r="X67" s="498">
        <f>IFERROR(IF(AND(X$30&gt;=EOMONTH($J67,-1)+1,X$30&lt;=EOMONTH(EOMONTH($J67,-1)+1,$K67-1)),IF(NOT(ISBLANK($N67)),$N67/$K67,$I67/$K67),0),0)</f>
        <v>8425</v>
      </c>
      <c r="Y67" s="440">
        <f t="shared" si="26"/>
        <v>25275</v>
      </c>
      <c r="Z67" s="645">
        <f>IFERROR(IF(AND(Z$30&gt;=EOMONTH($J67,-1)+1,Z$30&lt;=EOMONTH(EOMONTH($J67,-1)+1,$K67-1)),IF(NOT(ISBLANK($N67)),$N67/$K67,$I67/$K67),0),0)</f>
        <v>8425</v>
      </c>
      <c r="AA67" s="498">
        <f>IFERROR(IF(AND(AA$30&gt;=EOMONTH($J67,-1)+1,AA$30&lt;=EOMONTH(EOMONTH($J67,-1)+1,$K67-1)),IF(NOT(ISBLANK($N67)),$N67/$K67,$I67/$K67),0),0)</f>
        <v>8425</v>
      </c>
      <c r="AB67" s="498">
        <f>IFERROR(IF(AND(AB$30&gt;=EOMONTH($J67,-1)+1,AB$30&lt;=EOMONTH(EOMONTH($J67,-1)+1,$K67-1)),IF(NOT(ISBLANK($N67)),$N67/$K67,$I67/$K67),0),0)</f>
        <v>8425</v>
      </c>
      <c r="AC67" s="440">
        <f t="shared" si="21"/>
        <v>25275</v>
      </c>
      <c r="AD67" s="498">
        <f>IFERROR(IF(AND(AD$30&gt;=EOMONTH($J67,-1)+1,AD$30&lt;=EOMONTH(EOMONTH($J67,-1)+1,$K67-1)),IF(NOT(ISBLANK($N67)),$N67/$K67,$I67/$K67),0),0)</f>
        <v>8425</v>
      </c>
      <c r="AE67" s="498">
        <f>IFERROR(IF(AND(AE$30&gt;=EOMONTH($J67,-1)+1,AE$30&lt;=EOMONTH(EOMONTH($J67,-1)+1,$K67-1)),IF(NOT(ISBLANK($N67)),$N67/$K67,$I67/$K67),0),0)</f>
        <v>8425</v>
      </c>
      <c r="AF67" s="498">
        <f>IFERROR(IF(AND(AF$30&gt;=EOMONTH($J67,-1)+1,AF$30&lt;=EOMONTH(EOMONTH($J67,-1)+1,$K67-1)),IF(NOT(ISBLANK($N67)),$N67/$K67,$I67/$K67),0),0)</f>
        <v>8425</v>
      </c>
      <c r="AG67" s="440">
        <f t="shared" si="22"/>
        <v>25275</v>
      </c>
      <c r="AH67" s="498">
        <f>IFERROR(IF(AND(AH$30&gt;=EOMONTH($J67,-1)+1,AH$30&lt;=EOMONTH(EOMONTH($J67,-1)+1,$K67-1)),IF(NOT(ISBLANK($N67)),$N67/$K67,$I67/$K67),0),0)</f>
        <v>8425</v>
      </c>
      <c r="AI67" s="498">
        <f>IFERROR(IF(AND(AI$30&gt;=EOMONTH($J67,-1)+1,AI$30&lt;=EOMONTH(EOMONTH($J67,-1)+1,$K67-1)),IF(NOT(ISBLANK($N67)),$N67/$K67,$I67/$K67),0),0)</f>
        <v>8425</v>
      </c>
      <c r="AJ67" s="498">
        <f>IFERROR(IF(AND(AJ$30&gt;=EOMONTH($J67,-1)+1,AJ$30&lt;=EOMONTH(EOMONTH($J67,-1)+1,$K67-1)),IF(NOT(ISBLANK($N67)),$N67/$K67,$I67/$K67),0),0)</f>
        <v>8425</v>
      </c>
      <c r="AK67" s="440">
        <f t="shared" si="89"/>
        <v>25275</v>
      </c>
      <c r="AL67" s="94">
        <f t="shared" si="13"/>
        <v>101100</v>
      </c>
      <c r="AM67" s="1407"/>
      <c r="AN67" s="1407"/>
      <c r="AO67" s="1334"/>
      <c r="AP67" s="1403">
        <f>I67*AO67</f>
        <v>0</v>
      </c>
      <c r="AQ67" s="553" t="str">
        <f>D67</f>
        <v>Estudo de viabilidade lixadeiras</v>
      </c>
      <c r="AR67" s="62" t="s">
        <v>311</v>
      </c>
      <c r="AS67" s="508" cm="1">
        <f t="array" aca="1" ref="AS67" ca="1">IF(OR(AQ67="",AQ67=0),"",IF(SUMPRODUCT(($D$31:$D$144=AQ67)*($T$31:$T$144="Previsto")*($V$30:$AJ$30&lt;EOMONTH(TODAY(),-1)+1)*($V$31:$AJ$144))=0,"",SUMPRODUCT(($D$31:$D$144=AQ67)*($T$31:$T$144="Previsto")*($V$30:$AJ$30&lt;EOMONTH(TODAY(),-1)+1)*($V$31:$AJ$144))))</f>
        <v>58975</v>
      </c>
      <c r="AT67" s="62" t="str">
        <f t="shared" ref="AT67" si="104">A67</f>
        <v>Redução de custo</v>
      </c>
      <c r="AV67" s="1566">
        <f t="shared" ref="AV67" si="105">IF(OR(I67="",K67=""),0,(I67/12)*K67)</f>
        <v>101100</v>
      </c>
      <c r="AW67" s="1566">
        <f t="shared" ref="AW67" si="106">IF(OR(N67="",K67="",K67=0),0,(N67/K67)*12)</f>
        <v>0</v>
      </c>
    </row>
    <row r="68" spans="1:49" ht="29.1" customHeight="1" x14ac:dyDescent="0.3">
      <c r="A68" s="1810"/>
      <c r="B68" s="1466"/>
      <c r="C68" s="1408"/>
      <c r="D68" s="1455"/>
      <c r="E68" s="2361"/>
      <c r="F68" s="1452"/>
      <c r="G68" s="1786"/>
      <c r="H68" s="1786"/>
      <c r="I68" s="1835"/>
      <c r="J68" s="1379"/>
      <c r="K68" s="1387"/>
      <c r="L68" s="1396"/>
      <c r="M68" s="2365"/>
      <c r="N68" s="1394"/>
      <c r="O68" s="1330"/>
      <c r="P68" s="1330"/>
      <c r="Q68" s="1330"/>
      <c r="R68" s="1330"/>
      <c r="S68" s="2192"/>
      <c r="T68" s="96" t="s">
        <v>117</v>
      </c>
      <c r="U68" s="453">
        <f>_xlfn.XLOOKUP(B67,[50]Detalhamento!$A:$A,[50]Detalhamento!$N:$N)</f>
        <v>1</v>
      </c>
      <c r="V68" s="498"/>
      <c r="W68" s="498"/>
      <c r="X68" s="498"/>
      <c r="Y68" s="440">
        <f t="shared" si="26"/>
        <v>0</v>
      </c>
      <c r="Z68" s="731"/>
      <c r="AA68" s="731"/>
      <c r="AB68" s="731"/>
      <c r="AC68" s="440">
        <f t="shared" si="21"/>
        <v>0</v>
      </c>
      <c r="AD68" s="498"/>
      <c r="AE68" s="498"/>
      <c r="AF68" s="498"/>
      <c r="AG68" s="440">
        <f t="shared" si="22"/>
        <v>0</v>
      </c>
      <c r="AH68" s="498"/>
      <c r="AI68" s="498"/>
      <c r="AJ68" s="498"/>
      <c r="AK68" s="440">
        <f t="shared" si="89"/>
        <v>0</v>
      </c>
      <c r="AL68" s="94">
        <f t="shared" si="13"/>
        <v>0</v>
      </c>
      <c r="AM68" s="1408"/>
      <c r="AN68" s="1408"/>
      <c r="AO68" s="1330"/>
      <c r="AP68" s="1404"/>
      <c r="AQ68" s="554" t="str">
        <f>D67</f>
        <v>Estudo de viabilidade lixadeiras</v>
      </c>
      <c r="AR68" s="62" t="s">
        <v>313</v>
      </c>
      <c r="AS68" s="508" t="str" cm="1">
        <f t="array" aca="1" ref="AS68" ca="1">IF(OR(AQ68="",AQ68=0),"",IF(SUMPRODUCT(($D$31:$D$144=AQ68)*(ISNUMBER(SEARCH("Real",$T$32:$T$145)))*($V$30:$AJ$30&lt;EOMONTH(TODAY(),-1)+1)*($V$32:$AJ$145))=0,"",SUMPRODUCT(($D$31:$D$144=AQ68)*(ISNUMBER(SEARCH("Real",$T$32:$T$145)))*($V$30:$AJ$30&lt;EOMONTH(TODAY(),-1)+1)*($V$32:$AJ$145))))</f>
        <v/>
      </c>
      <c r="AT68" s="62" t="str">
        <f t="shared" ref="AT68" si="107">A67</f>
        <v>Redução de custo</v>
      </c>
      <c r="AV68" s="1567"/>
      <c r="AW68" s="1567"/>
    </row>
    <row r="69" spans="1:49" ht="29.1" customHeight="1" x14ac:dyDescent="0.3">
      <c r="A69" s="1380" t="s">
        <v>953</v>
      </c>
      <c r="B69" s="1482" t="s">
        <v>2563</v>
      </c>
      <c r="C69" s="2392" t="s">
        <v>95</v>
      </c>
      <c r="D69" s="1486" t="s">
        <v>2564</v>
      </c>
      <c r="E69" s="2413" t="s">
        <v>2565</v>
      </c>
      <c r="F69" s="1370" t="s">
        <v>2566</v>
      </c>
      <c r="G69" s="1372">
        <f>_xlfn.XLOOKUP(B69,[50]Detalhamento!$A:$A,[50]Detalhamento!$I:$I)</f>
        <v>45926</v>
      </c>
      <c r="H69" s="1372">
        <f>_xlfn.XLOOKUP(B69,[50]Detalhamento!$A:$A,[50]Detalhamento!$J:$J)</f>
        <v>46132</v>
      </c>
      <c r="I69" s="1354">
        <f>IFERROR(_xlfn.XLOOKUP(B69,[50]Detalhamento!$A:$A,[50]Detalhamento!$E:$E)," - ")</f>
        <v>3256202</v>
      </c>
      <c r="J69" s="2430">
        <f>_xlfn.XLOOKUP(B69,[50]Detalhamento!$A:$A,[50]Detalhamento!$O:$O)</f>
        <v>46174</v>
      </c>
      <c r="K69" s="1389">
        <f t="shared" ref="K69" si="108">IF(J69="", "", 12 - MONTH(J69) + 1)</f>
        <v>7</v>
      </c>
      <c r="L69" s="1354"/>
      <c r="M69" s="1350" t="s">
        <v>308</v>
      </c>
      <c r="N69" s="1391">
        <v>1444478.73</v>
      </c>
      <c r="O69" s="1327" t="s">
        <v>81</v>
      </c>
      <c r="P69" s="1327"/>
      <c r="Q69" s="1327"/>
      <c r="R69" s="1327"/>
      <c r="S69" s="2197" t="s">
        <v>2500</v>
      </c>
      <c r="T69" s="91" t="s">
        <v>116</v>
      </c>
      <c r="U69" s="91">
        <f>_xlfn.XLOOKUP(B69,[50]Detalhamento!$A:$A,[50]Detalhamento!$M:$M)</f>
        <v>1</v>
      </c>
      <c r="V69" s="287">
        <f>IFERROR(IF(AND(V$30&gt;=EOMONTH($J69,-1)+1,V$30&lt;=EOMONTH(EOMONTH($J69,-1)+1,$K69-1)),IF(NOT(ISBLANK($N69)),$N69/$K69,$I69/$K69),0),0)</f>
        <v>0</v>
      </c>
      <c r="W69" s="287">
        <f>IFERROR(IF(AND(W$30&gt;=EOMONTH($J69,-1)+1,W$30&lt;=EOMONTH(EOMONTH($J69,-1)+1,$K69-1)),IF(NOT(ISBLANK($N69)),$N69/$K69,$I69/$K69),0),0)</f>
        <v>0</v>
      </c>
      <c r="X69" s="287">
        <f>IFERROR(IF(AND(X$30&gt;=EOMONTH($J69,-1)+1,X$30&lt;=EOMONTH(EOMONTH($J69,-1)+1,$K69-1)),IF(NOT(ISBLANK($N69)),$N69/$K69,$I69/$K69),0),0)</f>
        <v>0</v>
      </c>
      <c r="Y69" s="440">
        <f t="shared" si="26"/>
        <v>0</v>
      </c>
      <c r="Z69" s="287">
        <f>IFERROR(IF(AND(Z$30&gt;=EOMONTH($J69,-1)+1,Z$30&lt;=EOMONTH(EOMONTH($J69,-1)+1,$K69-1)),IF(NOT(ISBLANK($N69)),$N69/$K69,$I69/$K69),0),0)</f>
        <v>0</v>
      </c>
      <c r="AA69" s="287">
        <f>IFERROR(IF(AND(AA$30&gt;=EOMONTH($J69,-1)+1,AA$30&lt;=EOMONTH(EOMONTH($J69,-1)+1,$K69-1)),IF(NOT(ISBLANK($N69)),$N69/$K69,$I69/$K69),0),0)</f>
        <v>0</v>
      </c>
      <c r="AB69" s="287">
        <f>IFERROR(IF(AND(AB$30&gt;=EOMONTH($J69,-1)+1,AB$30&lt;=EOMONTH(EOMONTH($J69,-1)+1,$K69-1)),IF(NOT(ISBLANK($N69)),$N69/$K69,$I69/$K69),0),0)</f>
        <v>206354.10428571427</v>
      </c>
      <c r="AC69" s="440">
        <f t="shared" si="21"/>
        <v>206354.10428571427</v>
      </c>
      <c r="AD69" s="287">
        <f>IFERROR(IF(AND(AD$30&gt;=EOMONTH($J69,-1)+1,AD$30&lt;=EOMONTH(EOMONTH($J69,-1)+1,$K69-1)),IF(NOT(ISBLANK($N69)),$N69/$K69,$I69/$K69),0),0)</f>
        <v>206354.10428571427</v>
      </c>
      <c r="AE69" s="287">
        <f>IFERROR(IF(AND(AE$30&gt;=EOMONTH($J69,-1)+1,AE$30&lt;=EOMONTH(EOMONTH($J69,-1)+1,$K69-1)),IF(NOT(ISBLANK($N69)),$N69/$K69,$I69/$K69),0),0)</f>
        <v>206354.10428571427</v>
      </c>
      <c r="AF69" s="287">
        <f>IFERROR(IF(AND(AF$30&gt;=EOMONTH($J69,-1)+1,AF$30&lt;=EOMONTH(EOMONTH($J69,-1)+1,$K69-1)),IF(NOT(ISBLANK($N69)),$N69/$K69,$I69/$K69),0),0)</f>
        <v>206354.10428571427</v>
      </c>
      <c r="AG69" s="440">
        <f t="shared" si="22"/>
        <v>619062.31285714288</v>
      </c>
      <c r="AH69" s="287">
        <f>IFERROR(IF(AND(AH$30&gt;=EOMONTH($J69,-1)+1,AH$30&lt;=EOMONTH(EOMONTH($J69,-1)+1,$K69-1)),IF(NOT(ISBLANK($N69)),$N69/$K69,$I69/$K69),0),0)</f>
        <v>206354.10428571427</v>
      </c>
      <c r="AI69" s="287">
        <f>IFERROR(IF(AND(AI$30&gt;=EOMONTH($J69,-1)+1,AI$30&lt;=EOMONTH(EOMONTH($J69,-1)+1,$K69-1)),IF(NOT(ISBLANK($N69)),$N69/$K69,$I69/$K69),0),0)</f>
        <v>206354.10428571427</v>
      </c>
      <c r="AJ69" s="287">
        <f>IFERROR(IF(AND(AJ$30&gt;=EOMONTH($J69,-1)+1,AJ$30&lt;=EOMONTH(EOMONTH($J69,-1)+1,$K69-1)),IF(NOT(ISBLANK($N69)),$N69/$K69,$I69/$K69),0),0)</f>
        <v>206354.10428571427</v>
      </c>
      <c r="AK69" s="440">
        <f t="shared" si="89"/>
        <v>619062.31285714288</v>
      </c>
      <c r="AL69" s="116">
        <f t="shared" si="13"/>
        <v>1444478.7299999997</v>
      </c>
      <c r="AM69" s="1370"/>
      <c r="AN69" s="1370"/>
      <c r="AO69" s="1411"/>
      <c r="AP69" s="1405">
        <f>I69*AO69</f>
        <v>0</v>
      </c>
      <c r="AQ69" s="553" t="str">
        <f>D69</f>
        <v>Projeto DANA - Mudança de CH para BQ</v>
      </c>
      <c r="AR69" s="62" t="s">
        <v>311</v>
      </c>
      <c r="AS69" s="508" cm="1">
        <f t="array" aca="1" ref="AS69" ca="1">IF(OR(AQ69="",AQ69=0),"",IF(SUMPRODUCT(($D$31:$D$144=AQ69)*($T$31:$T$144="Previsto")*($V$30:$AJ$30&lt;EOMONTH(TODAY(),-1)+1)*($V$31:$AJ$144))=0,"",SUMPRODUCT(($D$31:$D$144=AQ69)*($T$31:$T$144="Previsto")*($V$30:$AJ$30&lt;EOMONTH(TODAY(),-1)+1)*($V$31:$AJ$144))))</f>
        <v>412708.20857142855</v>
      </c>
      <c r="AT69" s="62" t="str">
        <f t="shared" ref="AT69" si="109">A69</f>
        <v>Redução de custo</v>
      </c>
      <c r="AV69" s="1566">
        <f t="shared" ref="AV69" si="110">IF(OR(I69="",K69=""),0,(I69/12)*K69)</f>
        <v>1899451.1666666667</v>
      </c>
      <c r="AW69" s="1566">
        <f t="shared" ref="AW69" si="111">IF(OR(N69="",K69="",K69=0),0,(N69/K69)*12)</f>
        <v>2476249.2514285715</v>
      </c>
    </row>
    <row r="70" spans="1:49" ht="29.1" customHeight="1" x14ac:dyDescent="0.3">
      <c r="A70" s="1381"/>
      <c r="B70" s="1483"/>
      <c r="C70" s="1381"/>
      <c r="D70" s="1487"/>
      <c r="E70" s="2363"/>
      <c r="F70" s="1371"/>
      <c r="G70" s="1373"/>
      <c r="H70" s="1373"/>
      <c r="I70" s="1355"/>
      <c r="J70" s="2431"/>
      <c r="K70" s="1389"/>
      <c r="L70" s="1355"/>
      <c r="M70" s="1460"/>
      <c r="N70" s="1392"/>
      <c r="O70" s="1328"/>
      <c r="P70" s="1328"/>
      <c r="Q70" s="1328"/>
      <c r="R70" s="1328"/>
      <c r="S70" s="2198"/>
      <c r="T70" s="91" t="s">
        <v>117</v>
      </c>
      <c r="U70" s="452">
        <f>_xlfn.XLOOKUP(B69,[50]Detalhamento!$A:$A,[50]Detalhamento!$N:$N)</f>
        <v>1</v>
      </c>
      <c r="V70" s="287"/>
      <c r="W70" s="287"/>
      <c r="X70" s="287"/>
      <c r="Y70" s="440">
        <f t="shared" si="26"/>
        <v>0</v>
      </c>
      <c r="Z70" s="287"/>
      <c r="AA70" s="287"/>
      <c r="AB70" s="731"/>
      <c r="AC70" s="440">
        <f t="shared" si="21"/>
        <v>0</v>
      </c>
      <c r="AD70" s="287"/>
      <c r="AE70" s="287"/>
      <c r="AF70" s="287"/>
      <c r="AG70" s="440">
        <f t="shared" si="22"/>
        <v>0</v>
      </c>
      <c r="AH70" s="287"/>
      <c r="AI70" s="287"/>
      <c r="AJ70" s="287"/>
      <c r="AK70" s="440">
        <f t="shared" si="89"/>
        <v>0</v>
      </c>
      <c r="AL70" s="454">
        <f t="shared" si="13"/>
        <v>0</v>
      </c>
      <c r="AM70" s="1371"/>
      <c r="AN70" s="1371"/>
      <c r="AO70" s="1412"/>
      <c r="AP70" s="1406"/>
      <c r="AQ70" s="554" t="str">
        <f>D69</f>
        <v>Projeto DANA - Mudança de CH para BQ</v>
      </c>
      <c r="AR70" s="62" t="s">
        <v>313</v>
      </c>
      <c r="AS70" s="508" t="str" cm="1">
        <f t="array" aca="1" ref="AS70" ca="1">IF(OR(AQ70="",AQ70=0),"",IF(SUMPRODUCT(($D$31:$D$144=AQ70)*(ISNUMBER(SEARCH("Real",$T$32:$T$145)))*($V$30:$AJ$30&lt;EOMONTH(TODAY(),-1)+1)*($V$32:$AJ$145))=0,"",SUMPRODUCT(($D$31:$D$144=AQ70)*(ISNUMBER(SEARCH("Real",$T$32:$T$145)))*($V$30:$AJ$30&lt;EOMONTH(TODAY(),-1)+1)*($V$32:$AJ$145))))</f>
        <v/>
      </c>
      <c r="AT70" s="62" t="str">
        <f t="shared" ref="AT70" si="112">A69</f>
        <v>Redução de custo</v>
      </c>
      <c r="AV70" s="1567"/>
      <c r="AW70" s="1567"/>
    </row>
    <row r="71" spans="1:49" ht="29.1" customHeight="1" x14ac:dyDescent="0.3">
      <c r="A71" s="1809" t="s">
        <v>953</v>
      </c>
      <c r="B71" s="1465" t="s">
        <v>2567</v>
      </c>
      <c r="C71" s="2392" t="s">
        <v>99</v>
      </c>
      <c r="D71" s="1356" t="s">
        <v>2568</v>
      </c>
      <c r="E71" s="2413" t="s">
        <v>2569</v>
      </c>
      <c r="F71" s="1451" t="s">
        <v>2510</v>
      </c>
      <c r="G71" s="1785">
        <f>_xlfn.XLOOKUP(B71,[50]Detalhamento!$A:$A,[50]Detalhamento!$I:$I)</f>
        <v>46056</v>
      </c>
      <c r="H71" s="1785" t="e">
        <f>_xlfn.XLOOKUP(B71,[50]Detalhamento!$A:$A,[50]Detalhamento!$J:$J)</f>
        <v>#REF!</v>
      </c>
      <c r="I71" s="1844">
        <f>IFERROR(_xlfn.XLOOKUP(B71,[50]Detalhamento!$A:$A,[50]Detalhamento!$E:$E)," - ")</f>
        <v>100871</v>
      </c>
      <c r="J71" s="1378">
        <f>_xlfn.XLOOKUP(B71,[50]Detalhamento!$A:$A,[50]Detalhamento!$O:$O)</f>
        <v>46282</v>
      </c>
      <c r="K71" s="1387">
        <f t="shared" ref="K71" si="113">IF(J71="", "", 12 - MONTH(J71) + 1)</f>
        <v>4</v>
      </c>
      <c r="L71" s="1395"/>
      <c r="M71" s="2364"/>
      <c r="N71" s="1393"/>
      <c r="O71" s="1334" t="s">
        <v>83</v>
      </c>
      <c r="P71" s="1334"/>
      <c r="Q71" s="1334"/>
      <c r="R71" s="1334"/>
      <c r="S71" s="2191" t="s">
        <v>24</v>
      </c>
      <c r="T71" s="96" t="s">
        <v>116</v>
      </c>
      <c r="U71" s="96" t="e">
        <f>_xlfn.XLOOKUP(B71,[50]Detalhamento!$A:$A,[50]Detalhamento!$M:$M)</f>
        <v>#REF!</v>
      </c>
      <c r="V71" s="498">
        <f>IFERROR(IF(AND(V$30&gt;=EOMONTH($J71,-1)+1,V$30&lt;=EOMONTH(EOMONTH($J71,-1)+1,$K71-1)),IF(NOT(ISBLANK($N71)),$N71/$K71,$I71/$K71),0),0)</f>
        <v>0</v>
      </c>
      <c r="W71" s="498">
        <f>IFERROR(IF(AND(W$30&gt;=EOMONTH($J71,-1)+1,W$30&lt;=EOMONTH(EOMONTH($J71,-1)+1,$K71-1)),IF(NOT(ISBLANK($N71)),$N71/$K71,$I71/$K71),0),0)</f>
        <v>0</v>
      </c>
      <c r="X71" s="498">
        <f>IFERROR(IF(AND(X$30&gt;=EOMONTH($J71,-1)+1,X$30&lt;=EOMONTH(EOMONTH($J71,-1)+1,$K71-1)),IF(NOT(ISBLANK($N71)),$N71/$K71,$I71/$K71),0),0)</f>
        <v>0</v>
      </c>
      <c r="Y71" s="440">
        <f t="shared" si="26"/>
        <v>0</v>
      </c>
      <c r="Z71" s="498">
        <f>IFERROR(IF(AND(Z$30&gt;=EOMONTH($J71,-1)+1,Z$30&lt;=EOMONTH(EOMONTH($J71,-1)+1,$K71-1)),IF(NOT(ISBLANK($N71)),$N71/$K71,$I71/$K71),0),0)</f>
        <v>0</v>
      </c>
      <c r="AA71" s="498">
        <f>IFERROR(IF(AND(AA$30&gt;=EOMONTH($J71,-1)+1,AA$30&lt;=EOMONTH(EOMONTH($J71,-1)+1,$K71-1)),IF(NOT(ISBLANK($N71)),$N71/$K71,$I71/$K71),0),0)</f>
        <v>0</v>
      </c>
      <c r="AB71" s="498">
        <f>IFERROR(IF(AND(AB$30&gt;=EOMONTH($J71,-1)+1,AB$30&lt;=EOMONTH(EOMONTH($J71,-1)+1,$K71-1)),IF(NOT(ISBLANK($N71)),$N71/$K71,$I71/$K71),0),0)</f>
        <v>0</v>
      </c>
      <c r="AC71" s="440">
        <f t="shared" si="21"/>
        <v>0</v>
      </c>
      <c r="AD71" s="498">
        <f>IFERROR(IF(AND(AD$30&gt;=EOMONTH($J71,-1)+1,AD$30&lt;=EOMONTH(EOMONTH($J71,-1)+1,$K71-1)),IF(NOT(ISBLANK($N71)),$N71/$K71,$I71/$K71),0),0)</f>
        <v>0</v>
      </c>
      <c r="AE71" s="498">
        <f>IFERROR(IF(AND(AE$30&gt;=EOMONTH($J71,-1)+1,AE$30&lt;=EOMONTH(EOMONTH($J71,-1)+1,$K71-1)),IF(NOT(ISBLANK($N71)),$N71/$K71,$I71/$K71),0),0)</f>
        <v>0</v>
      </c>
      <c r="AF71" s="498">
        <f>IFERROR(IF(AND(AF$30&gt;=EOMONTH($J71,-1)+1,AF$30&lt;=EOMONTH(EOMONTH($J71,-1)+1,$K71-1)),IF(NOT(ISBLANK($N71)),$N71/$K71,$I71/$K71),0),0)</f>
        <v>25217.75</v>
      </c>
      <c r="AG71" s="440">
        <f t="shared" si="22"/>
        <v>25217.75</v>
      </c>
      <c r="AH71" s="498">
        <f>IFERROR(IF(AND(AH$30&gt;=EOMONTH($J71,-1)+1,AH$30&lt;=EOMONTH(EOMONTH($J71,-1)+1,$K71-1)),IF(NOT(ISBLANK($N71)),$N71/$K71,$I71/$K71),0),0)</f>
        <v>25217.75</v>
      </c>
      <c r="AI71" s="498">
        <f>IFERROR(IF(AND(AI$30&gt;=EOMONTH($J71,-1)+1,AI$30&lt;=EOMONTH(EOMONTH($J71,-1)+1,$K71-1)),IF(NOT(ISBLANK($N71)),$N71/$K71,$I71/$K71),0),0)</f>
        <v>25217.75</v>
      </c>
      <c r="AJ71" s="498">
        <f>IFERROR(IF(AND(AJ$30&gt;=EOMONTH($J71,-1)+1,AJ$30&lt;=EOMONTH(EOMONTH($J71,-1)+1,$K71-1)),IF(NOT(ISBLANK($N71)),$N71/$K71,$I71/$K71),0),0)</f>
        <v>25217.75</v>
      </c>
      <c r="AK71" s="440">
        <f t="shared" si="89"/>
        <v>75653.25</v>
      </c>
      <c r="AL71" s="94">
        <f t="shared" si="13"/>
        <v>100871</v>
      </c>
      <c r="AM71" s="1407"/>
      <c r="AN71" s="1407"/>
      <c r="AO71" s="1334"/>
      <c r="AP71" s="1403">
        <f>I71*AO71</f>
        <v>0</v>
      </c>
      <c r="AQ71" s="553" t="str">
        <f>D71</f>
        <v>Negociação Boellhoff
85290 - PORCA QUADRADA SOLDA PROJEÇÃO - M5</v>
      </c>
      <c r="AR71" s="62" t="s">
        <v>311</v>
      </c>
      <c r="AS71" s="508" t="str" cm="1">
        <f t="array" aca="1" ref="AS71" ca="1">IF(OR(AQ71="",AQ71=0),"",IF(SUMPRODUCT(($D$31:$D$144=AQ71)*($T$31:$T$144="Previsto")*($V$30:$AJ$30&lt;EOMONTH(TODAY(),-1)+1)*($V$31:$AJ$144))=0,"",SUMPRODUCT(($D$31:$D$144=AQ71)*($T$31:$T$144="Previsto")*($V$30:$AJ$30&lt;EOMONTH(TODAY(),-1)+1)*($V$31:$AJ$144))))</f>
        <v/>
      </c>
      <c r="AT71" s="62" t="str">
        <f t="shared" ref="AT71" si="114">A71</f>
        <v>Redução de custo</v>
      </c>
      <c r="AV71" s="1566">
        <f t="shared" ref="AV71" si="115">IF(OR(I71="",K71=""),0,(I71/12)*K71)</f>
        <v>33623.666666666664</v>
      </c>
      <c r="AW71" s="1566">
        <f t="shared" ref="AW71" si="116">IF(OR(N71="",K71="",K71=0),0,(N71/K71)*12)</f>
        <v>0</v>
      </c>
    </row>
    <row r="72" spans="1:49" ht="29.1" customHeight="1" x14ac:dyDescent="0.3">
      <c r="A72" s="1810"/>
      <c r="B72" s="1466"/>
      <c r="C72" s="1408"/>
      <c r="D72" s="1455"/>
      <c r="E72" s="2363"/>
      <c r="F72" s="1452"/>
      <c r="G72" s="1786"/>
      <c r="H72" s="1786"/>
      <c r="I72" s="1835"/>
      <c r="J72" s="1379"/>
      <c r="K72" s="1387"/>
      <c r="L72" s="1396"/>
      <c r="M72" s="2365"/>
      <c r="N72" s="1394"/>
      <c r="O72" s="1330"/>
      <c r="P72" s="1330"/>
      <c r="Q72" s="1330"/>
      <c r="R72" s="1330"/>
      <c r="S72" s="2192"/>
      <c r="T72" s="96" t="s">
        <v>117</v>
      </c>
      <c r="U72" s="453" t="e">
        <f>_xlfn.XLOOKUP(B71,[50]Detalhamento!$A:$A,[50]Detalhamento!$N:$N)</f>
        <v>#REF!</v>
      </c>
      <c r="V72" s="498"/>
      <c r="W72" s="498"/>
      <c r="X72" s="498"/>
      <c r="Y72" s="440">
        <f t="shared" si="26"/>
        <v>0</v>
      </c>
      <c r="Z72" s="498"/>
      <c r="AA72" s="498"/>
      <c r="AB72" s="498"/>
      <c r="AC72" s="440">
        <f t="shared" si="21"/>
        <v>0</v>
      </c>
      <c r="AD72" s="498"/>
      <c r="AE72" s="498"/>
      <c r="AF72" s="498"/>
      <c r="AG72" s="440">
        <f t="shared" si="22"/>
        <v>0</v>
      </c>
      <c r="AH72" s="498"/>
      <c r="AI72" s="498"/>
      <c r="AJ72" s="498"/>
      <c r="AK72" s="440">
        <f t="shared" si="89"/>
        <v>0</v>
      </c>
      <c r="AL72" s="94">
        <f t="shared" si="13"/>
        <v>0</v>
      </c>
      <c r="AM72" s="1408"/>
      <c r="AN72" s="1408"/>
      <c r="AO72" s="1330"/>
      <c r="AP72" s="1404"/>
      <c r="AQ72" s="554" t="str">
        <f>D71</f>
        <v>Negociação Boellhoff
85290 - PORCA QUADRADA SOLDA PROJEÇÃO - M5</v>
      </c>
      <c r="AR72" s="62" t="s">
        <v>313</v>
      </c>
      <c r="AS72" s="508" t="str" cm="1">
        <f t="array" aca="1" ref="AS72" ca="1">IF(OR(AQ72="",AQ72=0),"",IF(SUMPRODUCT(($D$31:$D$144=AQ72)*(ISNUMBER(SEARCH("Real",$T$32:$T$145)))*($V$30:$AJ$30&lt;EOMONTH(TODAY(),-1)+1)*($V$32:$AJ$145))=0,"",SUMPRODUCT(($D$31:$D$144=AQ72)*(ISNUMBER(SEARCH("Real",$T$32:$T$145)))*($V$30:$AJ$30&lt;EOMONTH(TODAY(),-1)+1)*($V$32:$AJ$145))))</f>
        <v/>
      </c>
      <c r="AT72" s="62" t="str">
        <f t="shared" ref="AT72" si="117">A71</f>
        <v>Redução de custo</v>
      </c>
      <c r="AV72" s="1567"/>
      <c r="AW72" s="1567"/>
    </row>
    <row r="73" spans="1:49" ht="29.1" customHeight="1" x14ac:dyDescent="0.3">
      <c r="A73" s="1380" t="s">
        <v>953</v>
      </c>
      <c r="B73" s="2372" t="s">
        <v>2570</v>
      </c>
      <c r="C73" s="2392" t="s">
        <v>99</v>
      </c>
      <c r="D73" s="1486" t="s">
        <v>2571</v>
      </c>
      <c r="E73" s="2413" t="s">
        <v>2572</v>
      </c>
      <c r="F73" s="1370" t="s">
        <v>2506</v>
      </c>
      <c r="G73" s="1372">
        <f>_xlfn.XLOOKUP(B73,[50]Detalhamento!$A:$A,[50]Detalhamento!$I:$I)</f>
        <v>45603</v>
      </c>
      <c r="H73" s="1372">
        <f>_xlfn.XLOOKUP(B73,[50]Detalhamento!$A:$A,[50]Detalhamento!$J:$J)</f>
        <v>46418</v>
      </c>
      <c r="I73" s="1354">
        <f>IFERROR(_xlfn.XLOOKUP(B73,[50]Detalhamento!$A:$A,[50]Detalhamento!$E:$E)," - ")</f>
        <v>171002</v>
      </c>
      <c r="J73" s="1376">
        <f>_xlfn.XLOOKUP(B73,[50]Detalhamento!$A:$A,[50]Detalhamento!$O:$O)</f>
        <v>46433</v>
      </c>
      <c r="K73" s="1389">
        <f t="shared" ref="K73" si="118">IF(J73="", "", 12 - MONTH(J73) + 1)</f>
        <v>11</v>
      </c>
      <c r="L73" s="1354"/>
      <c r="M73" s="2356"/>
      <c r="N73" s="1391"/>
      <c r="O73" s="1327" t="s">
        <v>83</v>
      </c>
      <c r="P73" s="1327"/>
      <c r="Q73" s="1327"/>
      <c r="R73" s="1327"/>
      <c r="S73" s="2197" t="s">
        <v>2500</v>
      </c>
      <c r="T73" s="91" t="s">
        <v>116</v>
      </c>
      <c r="U73" s="91">
        <f>_xlfn.XLOOKUP(B73,[50]Detalhamento!$A:$A,[50]Detalhamento!$M:$M)</f>
        <v>0.94117647058823528</v>
      </c>
      <c r="V73" s="287">
        <f>IFERROR(IF(AND(V$30&gt;=EOMONTH($J73,-1)+1,V$30&lt;=EOMONTH(EOMONTH($J73,-1)+1,$K73-1)),IF(NOT(ISBLANK($N73)),$N73/$K73,$I73/$K73),0),0)</f>
        <v>0</v>
      </c>
      <c r="W73" s="287">
        <f>IFERROR(IF(AND(W$30&gt;=EOMONTH($J73,-1)+1,W$30&lt;=EOMONTH(EOMONTH($J73,-1)+1,$K73-1)),IF(NOT(ISBLANK($N73)),$N73/$K73,$I73/$K73),0),0)</f>
        <v>0</v>
      </c>
      <c r="X73" s="287">
        <f>IFERROR(IF(AND(X$30&gt;=EOMONTH($J73,-1)+1,X$30&lt;=EOMONTH(EOMONTH($J73,-1)+1,$K73-1)),IF(NOT(ISBLANK($N73)),$N73/$K73,$I73/$K73),0),0)</f>
        <v>0</v>
      </c>
      <c r="Y73" s="440">
        <f t="shared" si="26"/>
        <v>0</v>
      </c>
      <c r="Z73" s="597">
        <f>IFERROR(IF(AND(Z$30&gt;=EOMONTH($J73,-1)+1,Z$30&lt;=EOMONTH(EOMONTH($J73,-1)+1,$K73-1)),IF(NOT(ISBLANK($N73)),$N73/$K73,$I73/$K73),0),0)</f>
        <v>0</v>
      </c>
      <c r="AA73" s="287">
        <f>IFERROR(IF(AND(AA$30&gt;=EOMONTH($J73,-1)+1,AA$30&lt;=EOMONTH(EOMONTH($J73,-1)+1,$K73-1)),IF(NOT(ISBLANK($N73)),$N73/$K73,$I73/$K73),0),0)</f>
        <v>0</v>
      </c>
      <c r="AB73" s="287">
        <f>IFERROR(IF(AND(AB$30&gt;=EOMONTH($J73,-1)+1,AB$30&lt;=EOMONTH(EOMONTH($J73,-1)+1,$K73-1)),IF(NOT(ISBLANK($N73)),$N73/$K73,$I73/$K73),0),0)</f>
        <v>0</v>
      </c>
      <c r="AC73" s="440">
        <f t="shared" si="21"/>
        <v>0</v>
      </c>
      <c r="AD73" s="287">
        <f>IFERROR(IF(AND(AD$30&gt;=EOMONTH($J73,-1)+1,AD$30&lt;=EOMONTH(EOMONTH($J73,-1)+1,$K73-1)),IF(NOT(ISBLANK($N73)),$N73/$K73,$I73/$K73),0),0)</f>
        <v>0</v>
      </c>
      <c r="AE73" s="287">
        <f>IFERROR(IF(AND(AE$30&gt;=EOMONTH($J73,-1)+1,AE$30&lt;=EOMONTH(EOMONTH($J73,-1)+1,$K73-1)),IF(NOT(ISBLANK($N73)),$N73/$K73,$I73/$K73),0),0)</f>
        <v>0</v>
      </c>
      <c r="AF73" s="287">
        <f>IFERROR(IF(AND(AF$30&gt;=EOMONTH($J73,-1)+1,AF$30&lt;=EOMONTH(EOMONTH($J73,-1)+1,$K73-1)),IF(NOT(ISBLANK($N73)),$N73/$K73,$I73/$K73),0),0)</f>
        <v>0</v>
      </c>
      <c r="AG73" s="440">
        <f t="shared" si="22"/>
        <v>0</v>
      </c>
      <c r="AH73" s="287">
        <f>IFERROR(IF(AND(AH$30&gt;=EOMONTH($J73,-1)+1,AH$30&lt;=EOMONTH(EOMONTH($J73,-1)+1,$K73-1)),IF(NOT(ISBLANK($N73)),$N73/$K73,$I73/$K73),0),0)</f>
        <v>0</v>
      </c>
      <c r="AI73" s="287">
        <f>IFERROR(IF(AND(AI$30&gt;=EOMONTH($J73,-1)+1,AI$30&lt;=EOMONTH(EOMONTH($J73,-1)+1,$K73-1)),IF(NOT(ISBLANK($N73)),$N73/$K73,$I73/$K73),0),0)</f>
        <v>0</v>
      </c>
      <c r="AJ73" s="287">
        <f>IFERROR(IF(AND(AJ$30&gt;=EOMONTH($J73,-1)+1,AJ$30&lt;=EOMONTH(EOMONTH($J73,-1)+1,$K73-1)),IF(NOT(ISBLANK($N73)),$N73/$K73,$I73/$K73),0),0)</f>
        <v>0</v>
      </c>
      <c r="AK73" s="440">
        <f t="shared" si="89"/>
        <v>0</v>
      </c>
      <c r="AL73" s="116">
        <f t="shared" si="13"/>
        <v>0</v>
      </c>
      <c r="AM73" s="1370"/>
      <c r="AN73" s="1370"/>
      <c r="AO73" s="1411"/>
      <c r="AP73" s="1405">
        <f>I73*AO73</f>
        <v>0</v>
      </c>
      <c r="AQ73" s="553" t="str">
        <f>D73</f>
        <v>Troca de fonte fita zebrada e etiqueta litografada</v>
      </c>
      <c r="AR73" s="62" t="s">
        <v>311</v>
      </c>
      <c r="AS73" s="508" t="str" cm="1">
        <f t="array" aca="1" ref="AS73" ca="1">IF(OR(AQ73="",AQ73=0),"",IF(SUMPRODUCT(($D$31:$D$144=AQ73)*($T$31:$T$144="Previsto")*($V$30:$AJ$30&lt;EOMONTH(TODAY(),-1)+1)*($V$31:$AJ$144))=0,"",SUMPRODUCT(($D$31:$D$144=AQ73)*($T$31:$T$144="Previsto")*($V$30:$AJ$30&lt;EOMONTH(TODAY(),-1)+1)*($V$31:$AJ$144))))</f>
        <v/>
      </c>
      <c r="AT73" s="62" t="str">
        <f t="shared" ref="AT73" si="119">A73</f>
        <v>Redução de custo</v>
      </c>
      <c r="AV73" s="1566">
        <f t="shared" ref="AV73" si="120">IF(OR(I73="",K73=""),0,(I73/12)*K73)</f>
        <v>156751.83333333331</v>
      </c>
      <c r="AW73" s="1566">
        <f t="shared" ref="AW73" si="121">IF(OR(N73="",K73="",K73=0),0,(N73/K73)*12)</f>
        <v>0</v>
      </c>
    </row>
    <row r="74" spans="1:49" ht="29.1" customHeight="1" x14ac:dyDescent="0.3">
      <c r="A74" s="1381"/>
      <c r="B74" s="1483"/>
      <c r="C74" s="1381"/>
      <c r="D74" s="1487"/>
      <c r="E74" s="2363"/>
      <c r="F74" s="1371"/>
      <c r="G74" s="1373"/>
      <c r="H74" s="1373"/>
      <c r="I74" s="1355"/>
      <c r="J74" s="1377"/>
      <c r="K74" s="1389"/>
      <c r="L74" s="1355"/>
      <c r="M74" s="2357"/>
      <c r="N74" s="1392"/>
      <c r="O74" s="1328"/>
      <c r="P74" s="1328"/>
      <c r="Q74" s="1328"/>
      <c r="R74" s="1328"/>
      <c r="S74" s="2198"/>
      <c r="T74" s="91" t="s">
        <v>117</v>
      </c>
      <c r="U74" s="452">
        <f>_xlfn.XLOOKUP(B73,[50]Detalhamento!$A:$A,[50]Detalhamento!$N:$N)</f>
        <v>0.8529411764705882</v>
      </c>
      <c r="V74" s="287"/>
      <c r="W74" s="287"/>
      <c r="X74" s="287"/>
      <c r="Y74" s="440">
        <f t="shared" si="26"/>
        <v>0</v>
      </c>
      <c r="Z74" s="731"/>
      <c r="AA74" s="731"/>
      <c r="AB74" s="731"/>
      <c r="AC74" s="440">
        <f t="shared" si="21"/>
        <v>0</v>
      </c>
      <c r="AD74" s="287"/>
      <c r="AE74" s="287"/>
      <c r="AF74" s="287"/>
      <c r="AG74" s="440">
        <f t="shared" si="22"/>
        <v>0</v>
      </c>
      <c r="AH74" s="287"/>
      <c r="AI74" s="287"/>
      <c r="AJ74" s="287"/>
      <c r="AK74" s="440">
        <f t="shared" si="89"/>
        <v>0</v>
      </c>
      <c r="AL74" s="454">
        <f t="shared" si="13"/>
        <v>0</v>
      </c>
      <c r="AM74" s="1371"/>
      <c r="AN74" s="1371"/>
      <c r="AO74" s="1412"/>
      <c r="AP74" s="1406"/>
      <c r="AQ74" s="554" t="str">
        <f>D73</f>
        <v>Troca de fonte fita zebrada e etiqueta litografada</v>
      </c>
      <c r="AR74" s="62" t="s">
        <v>313</v>
      </c>
      <c r="AS74" s="508" t="str" cm="1">
        <f t="array" aca="1" ref="AS74" ca="1">IF(OR(AQ74="",AQ74=0),"",IF(SUMPRODUCT(($D$31:$D$144=AQ74)*(ISNUMBER(SEARCH("Real",$T$32:$T$145)))*($V$30:$AJ$30&lt;EOMONTH(TODAY(),-1)+1)*($V$32:$AJ$145))=0,"",SUMPRODUCT(($D$31:$D$144=AQ74)*(ISNUMBER(SEARCH("Real",$T$32:$T$145)))*($V$30:$AJ$30&lt;EOMONTH(TODAY(),-1)+1)*($V$32:$AJ$145))))</f>
        <v/>
      </c>
      <c r="AT74" s="62" t="str">
        <f t="shared" ref="AT74" si="122">A73</f>
        <v>Redução de custo</v>
      </c>
      <c r="AV74" s="1567"/>
      <c r="AW74" s="1567"/>
    </row>
    <row r="75" spans="1:49" ht="29.1" customHeight="1" x14ac:dyDescent="0.3">
      <c r="A75" s="1809" t="s">
        <v>953</v>
      </c>
      <c r="B75" s="2292" t="s">
        <v>2573</v>
      </c>
      <c r="C75" s="2392" t="s">
        <v>99</v>
      </c>
      <c r="D75" s="1356" t="s">
        <v>2574</v>
      </c>
      <c r="E75" s="2360" t="s">
        <v>2575</v>
      </c>
      <c r="F75" s="1451" t="s">
        <v>2506</v>
      </c>
      <c r="G75" s="1785">
        <f>_xlfn.XLOOKUP(B75,[50]Detalhamento!$A:$A,[50]Detalhamento!$I:$I)</f>
        <v>46051</v>
      </c>
      <c r="H75" s="1785">
        <f>_xlfn.XLOOKUP(B75,[50]Detalhamento!$A:$A,[50]Detalhamento!$J:$J)</f>
        <v>46418</v>
      </c>
      <c r="I75" s="2417">
        <v>48787</v>
      </c>
      <c r="J75" s="1378">
        <f>_xlfn.XLOOKUP(B75,[50]Detalhamento!$A:$A,[50]Detalhamento!$O:$O)</f>
        <v>46433</v>
      </c>
      <c r="K75" s="1387">
        <f t="shared" ref="K75" si="123">IF(J75="", "", 12 - MONTH(J75) + 1)</f>
        <v>11</v>
      </c>
      <c r="L75" s="1395"/>
      <c r="M75" s="2364"/>
      <c r="N75" s="1393"/>
      <c r="O75" s="1334" t="s">
        <v>83</v>
      </c>
      <c r="P75" s="1334"/>
      <c r="Q75" s="1334"/>
      <c r="R75" s="1334"/>
      <c r="S75" s="2191" t="s">
        <v>2500</v>
      </c>
      <c r="T75" s="96" t="s">
        <v>116</v>
      </c>
      <c r="U75" s="96">
        <f>_xlfn.XLOOKUP(B75,[50]Detalhamento!$A:$A,[50]Detalhamento!$M:$M)</f>
        <v>0.5714285714285714</v>
      </c>
      <c r="V75" s="498">
        <f>IFERROR(IF(AND(V$30&gt;=EOMONTH($J75,-1)+1,V$30&lt;=EOMONTH(EOMONTH($J75,-1)+1,$K75-1)),IF(NOT(ISBLANK($N75)),$N75/$K75,$I75/$K75),0),0)</f>
        <v>0</v>
      </c>
      <c r="W75" s="498">
        <f>IFERROR(IF(AND(W$30&gt;=EOMONTH($J75,-1)+1,W$30&lt;=EOMONTH(EOMONTH($J75,-1)+1,$K75-1)),IF(NOT(ISBLANK($N75)),$N75/$K75,$I75/$K75),0),0)</f>
        <v>0</v>
      </c>
      <c r="X75" s="498">
        <f>IFERROR(IF(AND(X$30&gt;=EOMONTH($J75,-1)+1,X$30&lt;=EOMONTH(EOMONTH($J75,-1)+1,$K75-1)),IF(NOT(ISBLANK($N75)),$N75/$K75,$I75/$K75),0),0)</f>
        <v>0</v>
      </c>
      <c r="Y75" s="440">
        <f t="shared" si="26"/>
        <v>0</v>
      </c>
      <c r="Z75" s="498">
        <f>IFERROR(IF(AND(Z$30&gt;=EOMONTH($J75,-1)+1,Z$30&lt;=EOMONTH(EOMONTH($J75,-1)+1,$K75-1)),IF(NOT(ISBLANK($N75)),$N75/$K75,$I75/$K75),0),0)</f>
        <v>0</v>
      </c>
      <c r="AA75" s="498">
        <f>IFERROR(IF(AND(AA$30&gt;=EOMONTH($J75,-1)+1,AA$30&lt;=EOMONTH(EOMONTH($J75,-1)+1,$K75-1)),IF(NOT(ISBLANK($N75)),$N75/$K75,$I75/$K75),0),0)</f>
        <v>0</v>
      </c>
      <c r="AB75" s="498">
        <f>IFERROR(IF(AND(AB$30&gt;=EOMONTH($J75,-1)+1,AB$30&lt;=EOMONTH(EOMONTH($J75,-1)+1,$K75-1)),IF(NOT(ISBLANK($N75)),$N75/$K75,$I75/$K75),0),0)</f>
        <v>0</v>
      </c>
      <c r="AC75" s="440">
        <f t="shared" si="21"/>
        <v>0</v>
      </c>
      <c r="AD75" s="498">
        <f>IFERROR(IF(AND(AD$30&gt;=EOMONTH($J75,-1)+1,AD$30&lt;=EOMONTH(EOMONTH($J75,-1)+1,$K75-1)),IF(NOT(ISBLANK($N75)),$N75/$K75,$I75/$K75),0),0)</f>
        <v>0</v>
      </c>
      <c r="AE75" s="498">
        <f>IFERROR(IF(AND(AE$30&gt;=EOMONTH($J75,-1)+1,AE$30&lt;=EOMONTH(EOMONTH($J75,-1)+1,$K75-1)),IF(NOT(ISBLANK($N75)),$N75/$K75,$I75/$K75),0),0)</f>
        <v>0</v>
      </c>
      <c r="AF75" s="498">
        <f>IFERROR(IF(AND(AF$30&gt;=EOMONTH($J75,-1)+1,AF$30&lt;=EOMONTH(EOMONTH($J75,-1)+1,$K75-1)),IF(NOT(ISBLANK($N75)),$N75/$K75,$I75/$K75),0),0)</f>
        <v>0</v>
      </c>
      <c r="AG75" s="440">
        <f t="shared" si="22"/>
        <v>0</v>
      </c>
      <c r="AH75" s="498">
        <f>IFERROR(IF(AND(AH$30&gt;=EOMONTH($J75,-1)+1,AH$30&lt;=EOMONTH(EOMONTH($J75,-1)+1,$K75-1)),IF(NOT(ISBLANK($N75)),$N75/$K75,$I75/$K75),0),0)</f>
        <v>0</v>
      </c>
      <c r="AI75" s="498">
        <f>IFERROR(IF(AND(AI$30&gt;=EOMONTH($J75,-1)+1,AI$30&lt;=EOMONTH(EOMONTH($J75,-1)+1,$K75-1)),IF(NOT(ISBLANK($N75)),$N75/$K75,$I75/$K75),0),0)</f>
        <v>0</v>
      </c>
      <c r="AJ75" s="498">
        <f>IFERROR(IF(AND(AJ$30&gt;=EOMONTH($J75,-1)+1,AJ$30&lt;=EOMONTH(EOMONTH($J75,-1)+1,$K75-1)),IF(NOT(ISBLANK($N75)),$N75/$K75,$I75/$K75),0),0)</f>
        <v>0</v>
      </c>
      <c r="AK75" s="440">
        <f t="shared" si="89"/>
        <v>0</v>
      </c>
      <c r="AL75" s="94">
        <f t="shared" si="13"/>
        <v>0</v>
      </c>
      <c r="AM75" s="1407"/>
      <c r="AN75" s="1407"/>
      <c r="AO75" s="1334"/>
      <c r="AP75" s="1403">
        <f>I75*AO75</f>
        <v>0</v>
      </c>
      <c r="AQ75" s="553" t="str">
        <f>D75</f>
        <v>Unificação óleos utilizados nas plantas</v>
      </c>
      <c r="AR75" s="62" t="s">
        <v>311</v>
      </c>
      <c r="AS75" s="508" t="str" cm="1">
        <f t="array" aca="1" ref="AS75" ca="1">IF(OR(AQ75="",AQ75=0),"",IF(SUMPRODUCT(($D$31:$D$144=AQ75)*($T$31:$T$144="Previsto")*($V$30:$AJ$30&lt;EOMONTH(TODAY(),-1)+1)*($V$31:$AJ$144))=0,"",SUMPRODUCT(($D$31:$D$144=AQ75)*($T$31:$T$144="Previsto")*($V$30:$AJ$30&lt;EOMONTH(TODAY(),-1)+1)*($V$31:$AJ$144))))</f>
        <v/>
      </c>
      <c r="AT75" s="62" t="str">
        <f t="shared" ref="AT75" si="124">A75</f>
        <v>Redução de custo</v>
      </c>
      <c r="AV75" s="1566">
        <f t="shared" ref="AV75" si="125">IF(OR(I75="",K75=""),0,(I75/12)*K75)</f>
        <v>44721.416666666672</v>
      </c>
      <c r="AW75" s="1566">
        <f t="shared" ref="AW75" si="126">IF(OR(N75="",K75="",K75=0),0,(N75/K75)*12)</f>
        <v>0</v>
      </c>
    </row>
    <row r="76" spans="1:49" ht="29.1" customHeight="1" x14ac:dyDescent="0.3">
      <c r="A76" s="1810"/>
      <c r="B76" s="1466"/>
      <c r="C76" s="1408"/>
      <c r="D76" s="1455"/>
      <c r="E76" s="2361"/>
      <c r="F76" s="1452"/>
      <c r="G76" s="1786"/>
      <c r="H76" s="1786"/>
      <c r="I76" s="2418"/>
      <c r="J76" s="1379"/>
      <c r="K76" s="1387"/>
      <c r="L76" s="1396"/>
      <c r="M76" s="2365"/>
      <c r="N76" s="1394"/>
      <c r="O76" s="1330"/>
      <c r="P76" s="1330"/>
      <c r="Q76" s="1330"/>
      <c r="R76" s="1330"/>
      <c r="S76" s="2192"/>
      <c r="T76" s="96" t="s">
        <v>117</v>
      </c>
      <c r="U76" s="453">
        <f>_xlfn.XLOOKUP(B75,[50]Detalhamento!$A:$A,[50]Detalhamento!$N:$N)</f>
        <v>0.5714285714285714</v>
      </c>
      <c r="V76" s="498"/>
      <c r="W76" s="498"/>
      <c r="X76" s="498"/>
      <c r="Y76" s="440">
        <f t="shared" si="26"/>
        <v>0</v>
      </c>
      <c r="Z76" s="498"/>
      <c r="AA76" s="498"/>
      <c r="AB76" s="498"/>
      <c r="AC76" s="440">
        <f t="shared" si="21"/>
        <v>0</v>
      </c>
      <c r="AD76" s="498"/>
      <c r="AE76" s="498"/>
      <c r="AF76" s="498"/>
      <c r="AG76" s="440">
        <f t="shared" si="22"/>
        <v>0</v>
      </c>
      <c r="AH76" s="498"/>
      <c r="AI76" s="498"/>
      <c r="AJ76" s="498"/>
      <c r="AK76" s="440">
        <f t="shared" si="89"/>
        <v>0</v>
      </c>
      <c r="AL76" s="94">
        <f t="shared" si="13"/>
        <v>0</v>
      </c>
      <c r="AM76" s="1408"/>
      <c r="AN76" s="1408"/>
      <c r="AO76" s="1330"/>
      <c r="AP76" s="1404"/>
      <c r="AQ76" s="554" t="str">
        <f>D75</f>
        <v>Unificação óleos utilizados nas plantas</v>
      </c>
      <c r="AR76" s="62" t="s">
        <v>313</v>
      </c>
      <c r="AS76" s="508" t="str" cm="1">
        <f t="array" aca="1" ref="AS76" ca="1">IF(OR(AQ76="",AQ76=0),"",IF(SUMPRODUCT(($D$31:$D$144=AQ76)*(ISNUMBER(SEARCH("Real",$T$32:$T$145)))*($V$30:$AJ$30&lt;EOMONTH(TODAY(),-1)+1)*($V$32:$AJ$145))=0,"",SUMPRODUCT(($D$31:$D$144=AQ76)*(ISNUMBER(SEARCH("Real",$T$32:$T$145)))*($V$30:$AJ$30&lt;EOMONTH(TODAY(),-1)+1)*($V$32:$AJ$145))))</f>
        <v/>
      </c>
      <c r="AT76" s="62" t="str">
        <f t="shared" ref="AT76" si="127">A75</f>
        <v>Redução de custo</v>
      </c>
      <c r="AV76" s="1567"/>
      <c r="AW76" s="1567"/>
    </row>
    <row r="77" spans="1:49" ht="29.1" customHeight="1" x14ac:dyDescent="0.3">
      <c r="A77" s="1380" t="s">
        <v>953</v>
      </c>
      <c r="B77" s="2424" t="s">
        <v>2576</v>
      </c>
      <c r="C77" s="2392" t="s">
        <v>97</v>
      </c>
      <c r="D77" s="2414" t="s">
        <v>2577</v>
      </c>
      <c r="E77" s="2409" t="s">
        <v>2578</v>
      </c>
      <c r="F77" s="2405" t="s">
        <v>2506</v>
      </c>
      <c r="G77" s="2407">
        <f>_xlfn.XLOOKUP(B77,[50]Detalhamento!$A:$A,[50]Detalhamento!$I:$I)</f>
        <v>45918</v>
      </c>
      <c r="H77" s="2407">
        <f>_xlfn.XLOOKUP(B77,[50]Detalhamento!$A:$A,[50]Detalhamento!$J:$J)</f>
        <v>46010</v>
      </c>
      <c r="I77" s="2117">
        <f>IFERROR(_xlfn.XLOOKUP(B77,[50]Detalhamento!$A:$A,[50]Detalhamento!$E:$E)," - ")</f>
        <v>3852.73</v>
      </c>
      <c r="J77" s="2366">
        <f>_xlfn.XLOOKUP(B77,[50]Detalhamento!$A:$A,[50]Detalhamento!$O:$O)</f>
        <v>46082</v>
      </c>
      <c r="K77" s="1389">
        <f t="shared" ref="K77" si="128">IF(J77="", "", 12 - MONTH(J77) + 1)</f>
        <v>10</v>
      </c>
      <c r="L77" s="2374"/>
      <c r="M77" s="1350" t="s">
        <v>308</v>
      </c>
      <c r="N77" s="1391">
        <v>3049.93</v>
      </c>
      <c r="O77" s="1327" t="s">
        <v>81</v>
      </c>
      <c r="P77" s="1327"/>
      <c r="Q77" s="1327"/>
      <c r="R77" s="1327"/>
      <c r="S77" s="2197" t="s">
        <v>2500</v>
      </c>
      <c r="T77" s="91" t="s">
        <v>116</v>
      </c>
      <c r="U77" s="91">
        <f>_xlfn.XLOOKUP(B77,[50]Detalhamento!$A:$A,[50]Detalhamento!$M:$M)</f>
        <v>1</v>
      </c>
      <c r="V77" s="287">
        <f>IFERROR(IF(AND(V$30&gt;=EOMONTH($J77,-1)+1,V$30&lt;=EOMONTH(EOMONTH($J77,-1)+1,$K77-1)),IF(NOT(ISBLANK($N77)),$N77/$K77,$I77/$K77),0),0)</f>
        <v>0</v>
      </c>
      <c r="W77" s="287">
        <f>IFERROR(IF(AND(W$30&gt;=EOMONTH($J77,-1)+1,W$30&lt;=EOMONTH(EOMONTH($J77,-1)+1,$K77-1)),IF(NOT(ISBLANK($N77)),$N77/$K77,$I77/$K77),0),0)</f>
        <v>0</v>
      </c>
      <c r="X77" s="597">
        <f>IFERROR(IF(AND(X$30&gt;=EOMONTH($J77,-1)+1,X$30&lt;=EOMONTH(EOMONTH($J77,-1)+1,$K77-1)),IF(NOT(ISBLANK($N77)),$N77/$K77,$I77/$K77),0),0)</f>
        <v>304.99299999999999</v>
      </c>
      <c r="Y77" s="440">
        <f t="shared" si="26"/>
        <v>304.99299999999999</v>
      </c>
      <c r="Z77" s="597">
        <f>IFERROR(IF(AND(Z$30&gt;=EOMONTH($J77,-1)+1,Z$30&lt;=EOMONTH(EOMONTH($J77,-1)+1,$K77-1)),IF(NOT(ISBLANK($N77)),$N77/$K77,$I77/$K77),0),0)</f>
        <v>304.99299999999999</v>
      </c>
      <c r="AA77" s="287">
        <f>IFERROR(IF(AND(AA$30&gt;=EOMONTH($J77,-1)+1,AA$30&lt;=EOMONTH(EOMONTH($J77,-1)+1,$K77-1)),IF(NOT(ISBLANK($N77)),$N77/$K77,$I77/$K77),0),0)</f>
        <v>304.99299999999999</v>
      </c>
      <c r="AB77" s="287">
        <f>IFERROR(IF(AND(AB$30&gt;=EOMONTH($J77,-1)+1,AB$30&lt;=EOMONTH(EOMONTH($J77,-1)+1,$K77-1)),IF(NOT(ISBLANK($N77)),$N77/$K77,$I77/$K77),0),0)</f>
        <v>304.99299999999999</v>
      </c>
      <c r="AC77" s="440">
        <f t="shared" si="21"/>
        <v>914.97900000000004</v>
      </c>
      <c r="AD77" s="287">
        <f>IFERROR(IF(AND(AD$30&gt;=EOMONTH($J77,-1)+1,AD$30&lt;=EOMONTH(EOMONTH($J77,-1)+1,$K77-1)),IF(NOT(ISBLANK($N77)),$N77/$K77,$I77/$K77),0),0)</f>
        <v>304.99299999999999</v>
      </c>
      <c r="AE77" s="287">
        <f>IFERROR(IF(AND(AE$30&gt;=EOMONTH($J77,-1)+1,AE$30&lt;=EOMONTH(EOMONTH($J77,-1)+1,$K77-1)),IF(NOT(ISBLANK($N77)),$N77/$K77,$I77/$K77),0),0)</f>
        <v>304.99299999999999</v>
      </c>
      <c r="AF77" s="287">
        <f>IFERROR(IF(AND(AF$30&gt;=EOMONTH($J77,-1)+1,AF$30&lt;=EOMONTH(EOMONTH($J77,-1)+1,$K77-1)),IF(NOT(ISBLANK($N77)),$N77/$K77,$I77/$K77),0),0)</f>
        <v>304.99299999999999</v>
      </c>
      <c r="AG77" s="440">
        <f t="shared" si="22"/>
        <v>914.97900000000004</v>
      </c>
      <c r="AH77" s="287">
        <f>IFERROR(IF(AND(AH$30&gt;=EOMONTH($J77,-1)+1,AH$30&lt;=EOMONTH(EOMONTH($J77,-1)+1,$K77-1)),IF(NOT(ISBLANK($N77)),$N77/$K77,$I77/$K77),0),0)</f>
        <v>304.99299999999999</v>
      </c>
      <c r="AI77" s="287">
        <f>IFERROR(IF(AND(AI$30&gt;=EOMONTH($J77,-1)+1,AI$30&lt;=EOMONTH(EOMONTH($J77,-1)+1,$K77-1)),IF(NOT(ISBLANK($N77)),$N77/$K77,$I77/$K77),0),0)</f>
        <v>304.99299999999999</v>
      </c>
      <c r="AJ77" s="287">
        <f>IFERROR(IF(AND(AJ$30&gt;=EOMONTH($J77,-1)+1,AJ$30&lt;=EOMONTH(EOMONTH($J77,-1)+1,$K77-1)),IF(NOT(ISBLANK($N77)),$N77/$K77,$I77/$K77),0),0)</f>
        <v>304.99299999999999</v>
      </c>
      <c r="AK77" s="440">
        <f t="shared" si="89"/>
        <v>914.97900000000004</v>
      </c>
      <c r="AL77" s="116">
        <f t="shared" si="13"/>
        <v>3049.93</v>
      </c>
      <c r="AM77" s="1370"/>
      <c r="AN77" s="1370"/>
      <c r="AO77" s="1411"/>
      <c r="AP77" s="1405">
        <f>I77*AO77</f>
        <v>0</v>
      </c>
      <c r="AQ77" s="553" t="str">
        <f>D77</f>
        <v>BID carimbos industriais</v>
      </c>
      <c r="AR77" s="62" t="s">
        <v>311</v>
      </c>
      <c r="AS77" s="508" cm="1">
        <f t="array" aca="1" ref="AS77" ca="1">IF(OR(AQ77="",AQ77=0),"",IF(SUMPRODUCT(($D$31:$D$144=AQ77)*($T$31:$T$144="Previsto")*($V$30:$AJ$30&lt;EOMONTH(TODAY(),-1)+1)*($V$31:$AJ$144))=0,"",SUMPRODUCT(($D$31:$D$144=AQ77)*($T$31:$T$144="Previsto")*($V$30:$AJ$30&lt;EOMONTH(TODAY(),-1)+1)*($V$31:$AJ$144))))</f>
        <v>1524.9649999999999</v>
      </c>
      <c r="AT77" s="62" t="str">
        <f t="shared" ref="AT77" si="129">A77</f>
        <v>Redução de custo</v>
      </c>
      <c r="AV77" s="1566">
        <f t="shared" ref="AV77" si="130">IF(OR(I77="",K77=""),0,(I77/12)*K77)</f>
        <v>3210.6083333333336</v>
      </c>
      <c r="AW77" s="1566">
        <f t="shared" ref="AW77" si="131">IF(OR(N77="",K77="",K77=0),0,(N77/K77)*12)</f>
        <v>3659.9160000000002</v>
      </c>
    </row>
    <row r="78" spans="1:49" ht="29.1" customHeight="1" x14ac:dyDescent="0.3">
      <c r="A78" s="1381"/>
      <c r="B78" s="2412"/>
      <c r="C78" s="1381"/>
      <c r="D78" s="2415"/>
      <c r="E78" s="2410"/>
      <c r="F78" s="2406"/>
      <c r="G78" s="2408"/>
      <c r="H78" s="2408"/>
      <c r="I78" s="2118"/>
      <c r="J78" s="2367"/>
      <c r="K78" s="1389"/>
      <c r="L78" s="2375"/>
      <c r="M78" s="1460"/>
      <c r="N78" s="1392"/>
      <c r="O78" s="1328"/>
      <c r="P78" s="1328"/>
      <c r="Q78" s="1328"/>
      <c r="R78" s="1328"/>
      <c r="S78" s="2198"/>
      <c r="T78" s="91" t="s">
        <v>117</v>
      </c>
      <c r="U78" s="452">
        <f>_xlfn.XLOOKUP(B77,[50]Detalhamento!$A:$A,[50]Detalhamento!$N:$N)</f>
        <v>1</v>
      </c>
      <c r="V78" s="287"/>
      <c r="W78" s="287"/>
      <c r="X78" s="699">
        <v>265.52999999999997</v>
      </c>
      <c r="Y78" s="440">
        <f t="shared" si="26"/>
        <v>265.52999999999997</v>
      </c>
      <c r="Z78" s="699">
        <v>207.4</v>
      </c>
      <c r="AA78" s="699">
        <v>0</v>
      </c>
      <c r="AB78" s="699">
        <v>1705.8</v>
      </c>
      <c r="AC78" s="440">
        <f t="shared" si="21"/>
        <v>1913.2</v>
      </c>
      <c r="AD78" s="287"/>
      <c r="AE78" s="287"/>
      <c r="AF78" s="287"/>
      <c r="AG78" s="440">
        <f t="shared" si="22"/>
        <v>0</v>
      </c>
      <c r="AH78" s="287"/>
      <c r="AI78" s="287"/>
      <c r="AJ78" s="287"/>
      <c r="AK78" s="440">
        <f t="shared" si="89"/>
        <v>0</v>
      </c>
      <c r="AL78" s="454">
        <f t="shared" si="13"/>
        <v>2178.73</v>
      </c>
      <c r="AM78" s="1371"/>
      <c r="AN78" s="1371"/>
      <c r="AO78" s="1412"/>
      <c r="AP78" s="1406"/>
      <c r="AQ78" s="554" t="str">
        <f>D77</f>
        <v>BID carimbos industriais</v>
      </c>
      <c r="AR78" s="62" t="s">
        <v>313</v>
      </c>
      <c r="AS78" s="508" cm="1">
        <f t="array" aca="1" ref="AS78" ca="1">IF(OR(AQ78="",AQ78=0),"",IF(SUMPRODUCT(($D$31:$D$144=AQ78)*(ISNUMBER(SEARCH("Real",$T$32:$T$145)))*($V$30:$AJ$30&lt;EOMONTH(TODAY(),-1)+1)*($V$32:$AJ$145))=0,"",SUMPRODUCT(($D$31:$D$144=AQ78)*(ISNUMBER(SEARCH("Real",$T$32:$T$145)))*($V$30:$AJ$30&lt;EOMONTH(TODAY(),-1)+1)*($V$32:$AJ$145))))</f>
        <v>2178.73</v>
      </c>
      <c r="AT78" s="62" t="str">
        <f t="shared" ref="AT78" si="132">A77</f>
        <v>Redução de custo</v>
      </c>
      <c r="AV78" s="1567"/>
      <c r="AW78" s="1567"/>
    </row>
    <row r="79" spans="1:49" ht="29.1" customHeight="1" x14ac:dyDescent="0.3">
      <c r="A79" s="1809" t="s">
        <v>953</v>
      </c>
      <c r="B79" s="1465"/>
      <c r="C79" s="2419"/>
      <c r="D79" s="1356"/>
      <c r="E79" s="2360"/>
      <c r="F79" s="1451"/>
      <c r="G79" s="1785"/>
      <c r="H79" s="1785"/>
      <c r="I79" s="1844"/>
      <c r="J79" s="1378"/>
      <c r="K79" s="1387"/>
      <c r="L79" s="1395"/>
      <c r="M79" s="2364"/>
      <c r="N79" s="2381" t="s">
        <v>2579</v>
      </c>
      <c r="O79" s="1334" t="s">
        <v>85</v>
      </c>
      <c r="P79" s="1334"/>
      <c r="Q79" s="1334"/>
      <c r="R79" s="1334"/>
      <c r="S79" s="2191"/>
      <c r="T79" s="96" t="s">
        <v>116</v>
      </c>
      <c r="U79" s="96">
        <f>_xlfn.XLOOKUP(B79,[50]Detalhamento!$A:$A,[50]Detalhamento!$M:$M)</f>
        <v>0</v>
      </c>
      <c r="V79" s="498">
        <f>IFERROR(IF(AND(V$30&gt;=EOMONTH($J79,-1)+1,V$30&lt;=EOMONTH(EOMONTH($J79,-1)+1,$K79-1)),IF(NOT(ISBLANK($N79)),$N79/$K79,$I79/$K79),0),0)</f>
        <v>0</v>
      </c>
      <c r="W79" s="498">
        <f>IFERROR(IF(AND(W$30&gt;=EOMONTH($J79,-1)+1,W$30&lt;=EOMONTH(EOMONTH($J79,-1)+1,$K79-1)),IF(NOT(ISBLANK($N79)),$N79/$K79,$I79/$K79),0),0)</f>
        <v>0</v>
      </c>
      <c r="X79" s="498">
        <f>IFERROR(IF(AND(X$30&gt;=EOMONTH($J79,-1)+1,X$30&lt;=EOMONTH(EOMONTH($J79,-1)+1,$K79-1)),IF(NOT(ISBLANK($N79)),$N79/$K79,$I79/$K79),0),0)</f>
        <v>0</v>
      </c>
      <c r="Y79" s="440">
        <f t="shared" si="26"/>
        <v>0</v>
      </c>
      <c r="Z79" s="498">
        <f>IFERROR(IF(AND(Z$30&gt;=EOMONTH($J79,-1)+1,Z$30&lt;=EOMONTH(EOMONTH($J79,-1)+1,$K79-1)),IF(NOT(ISBLANK($N79)),$N79/$K79,$I79/$K79),0),0)</f>
        <v>0</v>
      </c>
      <c r="AA79" s="498">
        <f>IFERROR(IF(AND(AA$30&gt;=EOMONTH($J79,-1)+1,AA$30&lt;=EOMONTH(EOMONTH($J79,-1)+1,$K79-1)),IF(NOT(ISBLANK($N79)),$N79/$K79,$I79/$K79),0),0)</f>
        <v>0</v>
      </c>
      <c r="AB79" s="498">
        <f>IFERROR(IF(AND(AB$30&gt;=EOMONTH($J79,-1)+1,AB$30&lt;=EOMONTH(EOMONTH($J79,-1)+1,$K79-1)),IF(NOT(ISBLANK($N79)),$N79/$K79,$I79/$K79),0),0)</f>
        <v>0</v>
      </c>
      <c r="AC79" s="440">
        <f t="shared" si="21"/>
        <v>0</v>
      </c>
      <c r="AD79" s="498">
        <f>IFERROR(IF(AND(AD$30&gt;=EOMONTH($J79,-1)+1,AD$30&lt;=EOMONTH(EOMONTH($J79,-1)+1,$K79-1)),IF(NOT(ISBLANK($N79)),$N79/$K79,$I79/$K79),0),0)</f>
        <v>0</v>
      </c>
      <c r="AE79" s="498">
        <f>IFERROR(IF(AND(AE$30&gt;=EOMONTH($J79,-1)+1,AE$30&lt;=EOMONTH(EOMONTH($J79,-1)+1,$K79-1)),IF(NOT(ISBLANK($N79)),$N79/$K79,$I79/$K79),0),0)</f>
        <v>0</v>
      </c>
      <c r="AF79" s="498">
        <f>IFERROR(IF(AND(AF$30&gt;=EOMONTH($J79,-1)+1,AF$30&lt;=EOMONTH(EOMONTH($J79,-1)+1,$K79-1)),IF(NOT(ISBLANK($N79)),$N79/$K79,$I79/$K79),0),0)</f>
        <v>0</v>
      </c>
      <c r="AG79" s="440">
        <f t="shared" si="22"/>
        <v>0</v>
      </c>
      <c r="AH79" s="498">
        <f>IFERROR(IF(AND(AH$30&gt;=EOMONTH($J79,-1)+1,AH$30&lt;=EOMONTH(EOMONTH($J79,-1)+1,$K79-1)),IF(NOT(ISBLANK($N79)),$N79/$K79,$I79/$K79),0),0)</f>
        <v>0</v>
      </c>
      <c r="AI79" s="498">
        <f>IFERROR(IF(AND(AI$30&gt;=EOMONTH($J79,-1)+1,AI$30&lt;=EOMONTH(EOMONTH($J79,-1)+1,$K79-1)),IF(NOT(ISBLANK($N79)),$N79/$K79,$I79/$K79),0),0)</f>
        <v>0</v>
      </c>
      <c r="AJ79" s="498">
        <f>IFERROR(IF(AND(AJ$30&gt;=EOMONTH($J79,-1)+1,AJ$30&lt;=EOMONTH(EOMONTH($J79,-1)+1,$K79-1)),IF(NOT(ISBLANK($N79)),$N79/$K79,$I79/$K79),0),0)</f>
        <v>0</v>
      </c>
      <c r="AK79" s="440">
        <f t="shared" si="89"/>
        <v>0</v>
      </c>
      <c r="AL79" s="94">
        <f t="shared" si="13"/>
        <v>0</v>
      </c>
      <c r="AM79" s="1407"/>
      <c r="AN79" s="1407"/>
      <c r="AO79" s="1334"/>
      <c r="AP79" s="1403">
        <f>I79*AO79</f>
        <v>0</v>
      </c>
      <c r="AQ79" s="553">
        <f>D79</f>
        <v>0</v>
      </c>
      <c r="AR79" s="62" t="s">
        <v>311</v>
      </c>
      <c r="AS79" s="508" t="str" cm="1">
        <f t="array" aca="1" ref="AS79" ca="1">IF(OR(AQ79="",AQ79=0),"",IF(SUMPRODUCT(($D$31:$D$144=AQ79)*($T$31:$T$144="Previsto")*($V$30:$AJ$30&lt;EOMONTH(TODAY(),-1)+1)*($V$31:$AJ$144))=0,"",SUMPRODUCT(($D$31:$D$144=AQ79)*($T$31:$T$144="Previsto")*($V$30:$AJ$30&lt;EOMONTH(TODAY(),-1)+1)*($V$31:$AJ$144))))</f>
        <v/>
      </c>
      <c r="AT79" s="62" t="str">
        <f t="shared" ref="AT79" si="133">A79</f>
        <v>Redução de custo</v>
      </c>
      <c r="AV79" s="1566">
        <f t="shared" ref="AV79" si="134">IF(OR(I79="",K79=""),0,(I79/12)*K79)</f>
        <v>0</v>
      </c>
      <c r="AW79" s="1566">
        <f t="shared" ref="AW79" si="135">IF(OR(N79="",K79="",K79=0),0,(N79/K79)*12)</f>
        <v>0</v>
      </c>
    </row>
    <row r="80" spans="1:49" ht="29.1" customHeight="1" x14ac:dyDescent="0.3">
      <c r="A80" s="1810"/>
      <c r="B80" s="1466"/>
      <c r="C80" s="1408"/>
      <c r="D80" s="1455"/>
      <c r="E80" s="2361"/>
      <c r="F80" s="1452"/>
      <c r="G80" s="1786"/>
      <c r="H80" s="1786"/>
      <c r="I80" s="1835"/>
      <c r="J80" s="1379"/>
      <c r="K80" s="1387"/>
      <c r="L80" s="1396"/>
      <c r="M80" s="2365"/>
      <c r="N80" s="1394"/>
      <c r="O80" s="1330"/>
      <c r="P80" s="1330"/>
      <c r="Q80" s="1330"/>
      <c r="R80" s="1330"/>
      <c r="S80" s="2192"/>
      <c r="T80" s="96" t="s">
        <v>117</v>
      </c>
      <c r="U80" s="453">
        <f>_xlfn.XLOOKUP(B79,[50]Detalhamento!$A:$A,[50]Detalhamento!$N:$N)</f>
        <v>0</v>
      </c>
      <c r="V80" s="498"/>
      <c r="W80" s="498"/>
      <c r="X80" s="498"/>
      <c r="Y80" s="440">
        <f t="shared" si="26"/>
        <v>0</v>
      </c>
      <c r="Z80" s="498"/>
      <c r="AA80" s="498"/>
      <c r="AB80" s="498"/>
      <c r="AC80" s="440">
        <f t="shared" si="21"/>
        <v>0</v>
      </c>
      <c r="AD80" s="498"/>
      <c r="AE80" s="498"/>
      <c r="AF80" s="498"/>
      <c r="AG80" s="440">
        <f t="shared" si="22"/>
        <v>0</v>
      </c>
      <c r="AH80" s="498"/>
      <c r="AI80" s="498"/>
      <c r="AJ80" s="498"/>
      <c r="AK80" s="440">
        <f t="shared" si="89"/>
        <v>0</v>
      </c>
      <c r="AL80" s="94">
        <f t="shared" si="13"/>
        <v>0</v>
      </c>
      <c r="AM80" s="1408"/>
      <c r="AN80" s="1408"/>
      <c r="AO80" s="1330"/>
      <c r="AP80" s="1404"/>
      <c r="AQ80" s="554">
        <f>D79</f>
        <v>0</v>
      </c>
      <c r="AR80" s="62" t="s">
        <v>313</v>
      </c>
      <c r="AS80" s="508" t="str" cm="1">
        <f t="array" aca="1" ref="AS80" ca="1">IF(OR(AQ80="",AQ80=0),"",IF(SUMPRODUCT(($D$31:$D$144=AQ80)*(ISNUMBER(SEARCH("Real",$T$32:$T$145)))*($V$30:$AJ$30&lt;EOMONTH(TODAY(),-1)+1)*($V$32:$AJ$145))=0,"",SUMPRODUCT(($D$31:$D$144=AQ80)*(ISNUMBER(SEARCH("Real",$T$32:$T$145)))*($V$30:$AJ$30&lt;EOMONTH(TODAY(),-1)+1)*($V$32:$AJ$145))))</f>
        <v/>
      </c>
      <c r="AT80" s="62" t="str">
        <f t="shared" ref="AT80" si="136">A79</f>
        <v>Redução de custo</v>
      </c>
      <c r="AV80" s="1567"/>
      <c r="AW80" s="1567"/>
    </row>
    <row r="81" spans="1:50" ht="29.1" customHeight="1" x14ac:dyDescent="0.3">
      <c r="A81" s="1380" t="s">
        <v>953</v>
      </c>
      <c r="B81" s="2424" t="s">
        <v>2580</v>
      </c>
      <c r="C81" s="2392" t="s">
        <v>97</v>
      </c>
      <c r="D81" s="2414" t="s">
        <v>2581</v>
      </c>
      <c r="E81" s="2409" t="s">
        <v>2582</v>
      </c>
      <c r="F81" s="2405" t="s">
        <v>2506</v>
      </c>
      <c r="G81" s="2407">
        <f>_xlfn.XLOOKUP(B81,[50]Detalhamento!$A:$A,[50]Detalhamento!$I:$I)</f>
        <v>45961</v>
      </c>
      <c r="H81" s="2407">
        <f>_xlfn.XLOOKUP(B81,[50]Detalhamento!$A:$A,[50]Detalhamento!$J:$J)</f>
        <v>45992</v>
      </c>
      <c r="I81" s="2117">
        <f>IFERROR(_xlfn.XLOOKUP(B81,[50]Detalhamento!$A:$A,[50]Detalhamento!$E:$E)," - ")</f>
        <v>14893</v>
      </c>
      <c r="J81" s="2366">
        <f>_xlfn.XLOOKUP(B81,[50]Detalhamento!$A:$A,[50]Detalhamento!$O:$O)</f>
        <v>46082</v>
      </c>
      <c r="K81" s="1389">
        <f t="shared" ref="K81" si="137">IF(J81="", "", 12 - MONTH(J81) + 1)</f>
        <v>10</v>
      </c>
      <c r="L81" s="2374"/>
      <c r="M81" s="1347" t="s">
        <v>308</v>
      </c>
      <c r="N81" s="1704">
        <v>25580.33</v>
      </c>
      <c r="O81" s="1327" t="s">
        <v>81</v>
      </c>
      <c r="P81" s="1327"/>
      <c r="Q81" s="1327"/>
      <c r="R81" s="1327"/>
      <c r="S81" s="2197" t="s">
        <v>24</v>
      </c>
      <c r="T81" s="91" t="s">
        <v>116</v>
      </c>
      <c r="U81" s="91">
        <f>_xlfn.XLOOKUP(B81,[50]Detalhamento!$A:$A,[50]Detalhamento!$M:$M)</f>
        <v>1</v>
      </c>
      <c r="V81" s="287">
        <f>IFERROR(IF(AND(V$30&gt;=EOMONTH($J81,-1)+1,V$30&lt;=EOMONTH(EOMONTH($J81,-1)+1,$K81-1)),IF(NOT(ISBLANK($N81)),$N81/$K81,$I81/$K81),0),0)</f>
        <v>0</v>
      </c>
      <c r="W81" s="287">
        <f>IFERROR(IF(AND(W$30&gt;=EOMONTH($J81,-1)+1,W$30&lt;=EOMONTH(EOMONTH($J81,-1)+1,$K81-1)),IF(NOT(ISBLANK($N81)),$N81/$K81,$I81/$K81),0),0)</f>
        <v>0</v>
      </c>
      <c r="X81" s="597">
        <f>IFERROR(IF(AND(X$30&gt;=EOMONTH($J81,-1)+1,X$30&lt;=EOMONTH(EOMONTH($J81,-1)+1,$K81-1)),IF(NOT(ISBLANK($N81)),$N81/$K81,$I81/$K81),0),0)</f>
        <v>2558.0330000000004</v>
      </c>
      <c r="Y81" s="440">
        <f t="shared" si="26"/>
        <v>2558.0330000000004</v>
      </c>
      <c r="Z81" s="597">
        <f>IFERROR(IF(AND(Z$30&gt;=EOMONTH($J81,-1)+1,Z$30&lt;=EOMONTH(EOMONTH($J81,-1)+1,$K81-1)),IF(NOT(ISBLANK($N81)),$N81/$K81,$I81/$K81),0),0)</f>
        <v>2558.0330000000004</v>
      </c>
      <c r="AA81" s="287">
        <f>IFERROR(IF(AND(AA$30&gt;=EOMONTH($J81,-1)+1,AA$30&lt;=EOMONTH(EOMONTH($J81,-1)+1,$K81-1)),IF(NOT(ISBLANK($N81)),$N81/$K81,$I81/$K81),0),0)</f>
        <v>2558.0330000000004</v>
      </c>
      <c r="AB81" s="287">
        <f>IFERROR(IF(AND(AB$30&gt;=EOMONTH($J81,-1)+1,AB$30&lt;=EOMONTH(EOMONTH($J81,-1)+1,$K81-1)),IF(NOT(ISBLANK($N81)),$N81/$K81,$I81/$K81),0),0)</f>
        <v>2558.0330000000004</v>
      </c>
      <c r="AC81" s="440">
        <f t="shared" si="21"/>
        <v>7674.0990000000011</v>
      </c>
      <c r="AD81" s="287">
        <f>IFERROR(IF(AND(AD$30&gt;=EOMONTH($J81,-1)+1,AD$30&lt;=EOMONTH(EOMONTH($J81,-1)+1,$K81-1)),IF(NOT(ISBLANK($N81)),$N81/$K81,$I81/$K81),0),0)</f>
        <v>2558.0330000000004</v>
      </c>
      <c r="AE81" s="287">
        <f>IFERROR(IF(AND(AE$30&gt;=EOMONTH($J81,-1)+1,AE$30&lt;=EOMONTH(EOMONTH($J81,-1)+1,$K81-1)),IF(NOT(ISBLANK($N81)),$N81/$K81,$I81/$K81),0),0)</f>
        <v>2558.0330000000004</v>
      </c>
      <c r="AF81" s="287">
        <f>IFERROR(IF(AND(AF$30&gt;=EOMONTH($J81,-1)+1,AF$30&lt;=EOMONTH(EOMONTH($J81,-1)+1,$K81-1)),IF(NOT(ISBLANK($N81)),$N81/$K81,$I81/$K81),0),0)</f>
        <v>2558.0330000000004</v>
      </c>
      <c r="AG81" s="440">
        <f t="shared" si="22"/>
        <v>7674.0990000000011</v>
      </c>
      <c r="AH81" s="287">
        <f>IFERROR(IF(AND(AH$30&gt;=EOMONTH($J81,-1)+1,AH$30&lt;=EOMONTH(EOMONTH($J81,-1)+1,$K81-1)),IF(NOT(ISBLANK($N81)),$N81/$K81,$I81/$K81),0),0)</f>
        <v>2558.0330000000004</v>
      </c>
      <c r="AI81" s="287">
        <f>IFERROR(IF(AND(AI$30&gt;=EOMONTH($J81,-1)+1,AI$30&lt;=EOMONTH(EOMONTH($J81,-1)+1,$K81-1)),IF(NOT(ISBLANK($N81)),$N81/$K81,$I81/$K81),0),0)</f>
        <v>2558.0330000000004</v>
      </c>
      <c r="AJ81" s="287">
        <f>IFERROR(IF(AND(AJ$30&gt;=EOMONTH($J81,-1)+1,AJ$30&lt;=EOMONTH(EOMONTH($J81,-1)+1,$K81-1)),IF(NOT(ISBLANK($N81)),$N81/$K81,$I81/$K81),0),0)</f>
        <v>2558.0330000000004</v>
      </c>
      <c r="AK81" s="440">
        <f t="shared" si="89"/>
        <v>7674.0990000000011</v>
      </c>
      <c r="AL81" s="116">
        <f t="shared" si="13"/>
        <v>25580.329999999998</v>
      </c>
      <c r="AM81" s="1407"/>
      <c r="AN81" s="1407"/>
      <c r="AO81" s="1334"/>
      <c r="AP81" s="1403">
        <f>I81*AO81</f>
        <v>0</v>
      </c>
      <c r="AQ81" s="553" t="str">
        <f>D81</f>
        <v>BID complementar punções Jarinu</v>
      </c>
      <c r="AR81" s="62" t="s">
        <v>311</v>
      </c>
      <c r="AS81" s="508" cm="1">
        <f t="array" aca="1" ref="AS81" ca="1">IF(OR(AQ81="",AQ81=0),"",IF(SUMPRODUCT(($D$31:$D$144=AQ81)*($T$31:$T$144="Previsto")*($V$30:$AJ$30&lt;EOMONTH(TODAY(),-1)+1)*($V$31:$AJ$144))=0,"",SUMPRODUCT(($D$31:$D$144=AQ81)*($T$31:$T$144="Previsto")*($V$30:$AJ$30&lt;EOMONTH(TODAY(),-1)+1)*($V$31:$AJ$144))))</f>
        <v>12790.165000000001</v>
      </c>
      <c r="AT81" s="62" t="str">
        <f t="shared" ref="AT81" si="138">A81</f>
        <v>Redução de custo</v>
      </c>
      <c r="AV81" s="1566">
        <f t="shared" ref="AV81" si="139">IF(OR(I81="",K81=""),0,(I81/12)*K81)</f>
        <v>12410.833333333332</v>
      </c>
      <c r="AW81" s="1566">
        <f t="shared" ref="AW81" si="140">IF(OR(N81="",K81="",K81=0),0,(N81/K81)*12)</f>
        <v>30696.396000000004</v>
      </c>
    </row>
    <row r="82" spans="1:50" ht="29.1" customHeight="1" x14ac:dyDescent="0.3">
      <c r="A82" s="1381"/>
      <c r="B82" s="2412"/>
      <c r="C82" s="1381"/>
      <c r="D82" s="2415"/>
      <c r="E82" s="2410"/>
      <c r="F82" s="2406"/>
      <c r="G82" s="2408"/>
      <c r="H82" s="2408"/>
      <c r="I82" s="2118"/>
      <c r="J82" s="2367"/>
      <c r="K82" s="1389"/>
      <c r="L82" s="2375"/>
      <c r="M82" s="1348"/>
      <c r="N82" s="2152"/>
      <c r="O82" s="1328"/>
      <c r="P82" s="1328"/>
      <c r="Q82" s="1328"/>
      <c r="R82" s="1328"/>
      <c r="S82" s="2198"/>
      <c r="T82" s="91" t="s">
        <v>117</v>
      </c>
      <c r="U82" s="452">
        <f>_xlfn.XLOOKUP(B81,[50]Detalhamento!$A:$A,[50]Detalhamento!$N:$N)</f>
        <v>1</v>
      </c>
      <c r="V82" s="287">
        <v>0</v>
      </c>
      <c r="W82" s="287">
        <v>0</v>
      </c>
      <c r="X82" s="670">
        <v>0</v>
      </c>
      <c r="Y82" s="440">
        <f t="shared" si="26"/>
        <v>0</v>
      </c>
      <c r="Z82" s="699">
        <v>90.94</v>
      </c>
      <c r="AA82" s="699">
        <v>149.25</v>
      </c>
      <c r="AB82" s="699">
        <v>1446.33</v>
      </c>
      <c r="AC82" s="440">
        <f t="shared" si="21"/>
        <v>1686.52</v>
      </c>
      <c r="AD82" s="287"/>
      <c r="AE82" s="287"/>
      <c r="AF82" s="287"/>
      <c r="AG82" s="440">
        <f t="shared" si="22"/>
        <v>0</v>
      </c>
      <c r="AH82" s="287"/>
      <c r="AI82" s="287"/>
      <c r="AJ82" s="287"/>
      <c r="AK82" s="440">
        <f t="shared" si="89"/>
        <v>0</v>
      </c>
      <c r="AL82" s="454">
        <f t="shared" si="13"/>
        <v>1686.52</v>
      </c>
      <c r="AM82" s="1408"/>
      <c r="AN82" s="1408"/>
      <c r="AO82" s="1330"/>
      <c r="AP82" s="1404"/>
      <c r="AQ82" s="554" t="str">
        <f>D81</f>
        <v>BID complementar punções Jarinu</v>
      </c>
      <c r="AR82" s="62" t="s">
        <v>313</v>
      </c>
      <c r="AS82" s="508" cm="1">
        <f t="array" aca="1" ref="AS82" ca="1">IF(OR(AQ82="",AQ82=0),"",IF(SUMPRODUCT(($D$31:$D$144=AQ82)*(ISNUMBER(SEARCH("Real",$T$32:$T$145)))*($V$30:$AJ$30&lt;EOMONTH(TODAY(),-1)+1)*($V$32:$AJ$145))=0,"",SUMPRODUCT(($D$31:$D$144=AQ82)*(ISNUMBER(SEARCH("Real",$T$32:$T$145)))*($V$30:$AJ$30&lt;EOMONTH(TODAY(),-1)+1)*($V$32:$AJ$145))))</f>
        <v>1686.52</v>
      </c>
      <c r="AT82" s="62" t="str">
        <f t="shared" ref="AT82" si="141">A81</f>
        <v>Redução de custo</v>
      </c>
      <c r="AV82" s="1567"/>
      <c r="AW82" s="1567"/>
    </row>
    <row r="83" spans="1:50" ht="29.1" customHeight="1" x14ac:dyDescent="0.3">
      <c r="A83" s="1809" t="s">
        <v>953</v>
      </c>
      <c r="B83" s="2425" t="s">
        <v>2583</v>
      </c>
      <c r="C83" s="2392" t="s">
        <v>97</v>
      </c>
      <c r="D83" s="1738" t="s">
        <v>2584</v>
      </c>
      <c r="E83" s="2416" t="s">
        <v>2585</v>
      </c>
      <c r="F83" s="1742" t="s">
        <v>2506</v>
      </c>
      <c r="G83" s="2165">
        <f>_xlfn.XLOOKUP(B83,[50]Detalhamento!$A:$A,[50]Detalhamento!$I:$I)</f>
        <v>46008</v>
      </c>
      <c r="H83" s="2165">
        <f>_xlfn.XLOOKUP(B83,[50]Detalhamento!$A:$A,[50]Detalhamento!$J:$J)</f>
        <v>46008</v>
      </c>
      <c r="I83" s="1395">
        <f>IFERROR(_xlfn.XLOOKUP(B83,[50]Detalhamento!$A:$A,[50]Detalhamento!$E:$E)," - ")</f>
        <v>22612.28</v>
      </c>
      <c r="J83" s="1749">
        <v>46023</v>
      </c>
      <c r="K83" s="1387">
        <f t="shared" ref="K83" si="142">IF(J83="", "", 12 - MONTH(J83) + 1)</f>
        <v>12</v>
      </c>
      <c r="L83" s="1395"/>
      <c r="M83" s="1347" t="s">
        <v>308</v>
      </c>
      <c r="N83" s="1704">
        <v>21098.91</v>
      </c>
      <c r="O83" s="1334" t="s">
        <v>81</v>
      </c>
      <c r="P83" s="1334"/>
      <c r="Q83" s="1334"/>
      <c r="R83" s="1334"/>
      <c r="S83" s="2191" t="s">
        <v>25</v>
      </c>
      <c r="T83" s="96" t="s">
        <v>116</v>
      </c>
      <c r="U83" s="96">
        <f>_xlfn.XLOOKUP(B83,[50]Detalhamento!$A:$A,[50]Detalhamento!$M:$M)</f>
        <v>1</v>
      </c>
      <c r="V83" s="498">
        <f>IFERROR(IF(AND(V$30&gt;=EOMONTH($J83,-1)+1,V$30&lt;=EOMONTH(EOMONTH($J83,-1)+1,$K83-1)),IF(NOT(ISBLANK($N83)),$N83/$K83,$I83/$K83),0),0)</f>
        <v>1758.2425000000001</v>
      </c>
      <c r="W83" s="498">
        <f>IFERROR(IF(AND(W$30&gt;=EOMONTH($J83,-1)+1,W$30&lt;=EOMONTH(EOMONTH($J83,-1)+1,$K83-1)),IF(NOT(ISBLANK($N83)),$N83/$K83,$I83/$K83),0),0)</f>
        <v>1758.2425000000001</v>
      </c>
      <c r="X83" s="498">
        <f>IFERROR(IF(AND(X$30&gt;=EOMONTH($J83,-1)+1,X$30&lt;=EOMONTH(EOMONTH($J83,-1)+1,$K83-1)),IF(NOT(ISBLANK($N83)),$N83/$K83,$I83/$K83),0),0)</f>
        <v>1758.2425000000001</v>
      </c>
      <c r="Y83" s="440">
        <f t="shared" si="26"/>
        <v>5274.7275</v>
      </c>
      <c r="Z83" s="645">
        <f>IFERROR(IF(AND(Z$30&gt;=EOMONTH($J83,-1)+1,Z$30&lt;=EOMONTH(EOMONTH($J83,-1)+1,$K83-1)),IF(NOT(ISBLANK($N83)),$N83/$K83,$I83/$K83),0),0)</f>
        <v>1758.2425000000001</v>
      </c>
      <c r="AA83" s="498">
        <f>IFERROR(IF(AND(AA$30&gt;=EOMONTH($J83,-1)+1,AA$30&lt;=EOMONTH(EOMONTH($J83,-1)+1,$K83-1)),IF(NOT(ISBLANK($N83)),$N83/$K83,$I83/$K83),0),0)</f>
        <v>1758.2425000000001</v>
      </c>
      <c r="AB83" s="498">
        <f>IFERROR(IF(AND(AB$30&gt;=EOMONTH($J83,-1)+1,AB$30&lt;=EOMONTH(EOMONTH($J83,-1)+1,$K83-1)),IF(NOT(ISBLANK($N83)),$N83/$K83,$I83/$K83),0),0)</f>
        <v>1758.2425000000001</v>
      </c>
      <c r="AC83" s="440">
        <f t="shared" si="21"/>
        <v>5274.7275</v>
      </c>
      <c r="AD83" s="498">
        <f>IFERROR(IF(AND(AD$30&gt;=EOMONTH($J83,-1)+1,AD$30&lt;=EOMONTH(EOMONTH($J83,-1)+1,$K83-1)),IF(NOT(ISBLANK($N83)),$N83/$K83,$I83/$K83),0),0)</f>
        <v>1758.2425000000001</v>
      </c>
      <c r="AE83" s="498">
        <f>IFERROR(IF(AND(AE$30&gt;=EOMONTH($J83,-1)+1,AE$30&lt;=EOMONTH(EOMONTH($J83,-1)+1,$K83-1)),IF(NOT(ISBLANK($N83)),$N83/$K83,$I83/$K83),0),0)</f>
        <v>1758.2425000000001</v>
      </c>
      <c r="AF83" s="498">
        <f>IFERROR(IF(AND(AF$30&gt;=EOMONTH($J83,-1)+1,AF$30&lt;=EOMONTH(EOMONTH($J83,-1)+1,$K83-1)),IF(NOT(ISBLANK($N83)),$N83/$K83,$I83/$K83),0),0)</f>
        <v>1758.2425000000001</v>
      </c>
      <c r="AG83" s="440">
        <f t="shared" si="22"/>
        <v>5274.7275</v>
      </c>
      <c r="AH83" s="498">
        <f>IFERROR(IF(AND(AH$30&gt;=EOMONTH($J83,-1)+1,AH$30&lt;=EOMONTH(EOMONTH($J83,-1)+1,$K83-1)),IF(NOT(ISBLANK($N83)),$N83/$K83,$I83/$K83),0),0)</f>
        <v>1758.2425000000001</v>
      </c>
      <c r="AI83" s="498">
        <f>IFERROR(IF(AND(AI$30&gt;=EOMONTH($J83,-1)+1,AI$30&lt;=EOMONTH(EOMONTH($J83,-1)+1,$K83-1)),IF(NOT(ISBLANK($N83)),$N83/$K83,$I83/$K83),0),0)</f>
        <v>1758.2425000000001</v>
      </c>
      <c r="AJ83" s="498">
        <f>IFERROR(IF(AND(AJ$30&gt;=EOMONTH($J83,-1)+1,AJ$30&lt;=EOMONTH(EOMONTH($J83,-1)+1,$K83-1)),IF(NOT(ISBLANK($N83)),$N83/$K83,$I83/$K83),0),0)</f>
        <v>1758.2425000000001</v>
      </c>
      <c r="AK83" s="440">
        <f t="shared" si="89"/>
        <v>5274.7275</v>
      </c>
      <c r="AL83" s="94">
        <f t="shared" si="13"/>
        <v>21098.91</v>
      </c>
      <c r="AM83" s="1407"/>
      <c r="AN83" s="1407"/>
      <c r="AO83" s="1334"/>
      <c r="AP83" s="1403">
        <f>I83*AO83</f>
        <v>0</v>
      </c>
      <c r="AQ83" s="553" t="str">
        <f>D83</f>
        <v>BID tampões pintura Anchieta</v>
      </c>
      <c r="AR83" s="62" t="s">
        <v>311</v>
      </c>
      <c r="AS83" s="508" cm="1">
        <f t="array" aca="1" ref="AS83" ca="1">IF(OR(AQ83="",AQ83=0),"",IF(SUMPRODUCT(($D$31:$D$144=AQ83)*($T$31:$T$144="Previsto")*($V$30:$AJ$30&lt;EOMONTH(TODAY(),-1)+1)*($V$31:$AJ$144))=0,"",SUMPRODUCT(($D$31:$D$144=AQ83)*($T$31:$T$144="Previsto")*($V$30:$AJ$30&lt;EOMONTH(TODAY(),-1)+1)*($V$31:$AJ$144))))</f>
        <v>12307.6975</v>
      </c>
      <c r="AT83" s="62" t="str">
        <f t="shared" ref="AT83" si="143">A83</f>
        <v>Redução de custo</v>
      </c>
      <c r="AV83" s="1566">
        <f t="shared" ref="AV83" si="144">IF(OR(I83="",K83=""),0,(I83/12)*K83)</f>
        <v>22612.28</v>
      </c>
      <c r="AW83" s="1566">
        <f t="shared" ref="AW83" si="145">IF(OR(N83="",K83="",K83=0),0,(N83/K83)*12)</f>
        <v>21098.91</v>
      </c>
    </row>
    <row r="84" spans="1:50" ht="29.1" customHeight="1" x14ac:dyDescent="0.3">
      <c r="A84" s="1810"/>
      <c r="B84" s="1818"/>
      <c r="C84" s="1408"/>
      <c r="D84" s="1739"/>
      <c r="E84" s="2371"/>
      <c r="F84" s="1743"/>
      <c r="G84" s="2166"/>
      <c r="H84" s="2166"/>
      <c r="I84" s="1396"/>
      <c r="J84" s="1750"/>
      <c r="K84" s="1387"/>
      <c r="L84" s="1396"/>
      <c r="M84" s="1348"/>
      <c r="N84" s="2152"/>
      <c r="O84" s="1330"/>
      <c r="P84" s="1330"/>
      <c r="Q84" s="1330"/>
      <c r="R84" s="1330"/>
      <c r="S84" s="2192"/>
      <c r="T84" s="96" t="s">
        <v>117</v>
      </c>
      <c r="U84" s="453">
        <f>_xlfn.XLOOKUP(B83,[50]Detalhamento!$A:$A,[50]Detalhamento!$N:$N)</f>
        <v>1</v>
      </c>
      <c r="V84" s="498">
        <v>5</v>
      </c>
      <c r="W84" s="498">
        <v>3247</v>
      </c>
      <c r="X84" s="498">
        <v>2220</v>
      </c>
      <c r="Y84" s="440">
        <f t="shared" si="26"/>
        <v>5472</v>
      </c>
      <c r="Z84" s="699">
        <v>0</v>
      </c>
      <c r="AA84" s="699">
        <v>1170</v>
      </c>
      <c r="AB84" s="699">
        <v>1146</v>
      </c>
      <c r="AC84" s="440">
        <f t="shared" si="21"/>
        <v>2316</v>
      </c>
      <c r="AD84" s="498"/>
      <c r="AE84" s="498"/>
      <c r="AF84" s="498"/>
      <c r="AG84" s="440">
        <f t="shared" si="22"/>
        <v>0</v>
      </c>
      <c r="AH84" s="498"/>
      <c r="AI84" s="498"/>
      <c r="AJ84" s="498"/>
      <c r="AK84" s="440">
        <f t="shared" si="89"/>
        <v>0</v>
      </c>
      <c r="AL84" s="94">
        <f t="shared" si="13"/>
        <v>7788</v>
      </c>
      <c r="AM84" s="1408"/>
      <c r="AN84" s="1408"/>
      <c r="AO84" s="1330"/>
      <c r="AP84" s="1404"/>
      <c r="AQ84" s="554" t="str">
        <f>D83</f>
        <v>BID tampões pintura Anchieta</v>
      </c>
      <c r="AR84" s="62" t="s">
        <v>313</v>
      </c>
      <c r="AS84" s="508" cm="1">
        <f t="array" aca="1" ref="AS84" ca="1">IF(OR(AQ84="",AQ84=0),"",IF(SUMPRODUCT(($D$31:$D$144=AQ84)*(ISNUMBER(SEARCH("Real",$T$32:$T$145)))*($V$30:$AJ$30&lt;EOMONTH(TODAY(),-1)+1)*($V$32:$AJ$145))=0,"",SUMPRODUCT(($D$31:$D$144=AQ84)*(ISNUMBER(SEARCH("Real",$T$32:$T$145)))*($V$30:$AJ$30&lt;EOMONTH(TODAY(),-1)+1)*($V$32:$AJ$145))))</f>
        <v>7788</v>
      </c>
      <c r="AT84" s="62" t="str">
        <f t="shared" ref="AT84" si="146">A83</f>
        <v>Redução de custo</v>
      </c>
      <c r="AV84" s="1567"/>
      <c r="AW84" s="1567"/>
    </row>
    <row r="85" spans="1:50" ht="29.1" customHeight="1" x14ac:dyDescent="0.3">
      <c r="A85" s="1380" t="s">
        <v>953</v>
      </c>
      <c r="B85" s="2372" t="s">
        <v>2586</v>
      </c>
      <c r="C85" s="2392" t="s">
        <v>97</v>
      </c>
      <c r="D85" s="1486" t="s">
        <v>2587</v>
      </c>
      <c r="E85" s="2413" t="s">
        <v>2588</v>
      </c>
      <c r="F85" s="1370" t="s">
        <v>2506</v>
      </c>
      <c r="G85" s="1372">
        <f>_xlfn.XLOOKUP(B85,[50]Detalhamento!$A:$A,[50]Detalhamento!$I:$I)</f>
        <v>46050</v>
      </c>
      <c r="H85" s="1372">
        <f>_xlfn.XLOOKUP(B85,[50]Detalhamento!$A:$A,[50]Detalhamento!$J:$J)</f>
        <v>46087</v>
      </c>
      <c r="I85" s="1354">
        <f>IFERROR(_xlfn.XLOOKUP(B85,[50]Detalhamento!$A:$A,[50]Detalhamento!$E:$E)," - ")</f>
        <v>33377.910000000003</v>
      </c>
      <c r="J85" s="1376">
        <f>_xlfn.XLOOKUP(B85,[50]Detalhamento!$A:$A,[50]Detalhamento!$O:$O)</f>
        <v>46113</v>
      </c>
      <c r="K85" s="1389">
        <f t="shared" ref="K85" si="147">IF(J85="", "", 12 - MONTH(J85) + 1)</f>
        <v>9</v>
      </c>
      <c r="L85" s="1354"/>
      <c r="M85" s="2368"/>
      <c r="N85" s="2373"/>
      <c r="O85" s="1327" t="s">
        <v>81</v>
      </c>
      <c r="P85" s="1327"/>
      <c r="Q85" s="1327"/>
      <c r="R85" s="1327"/>
      <c r="S85" s="2197" t="s">
        <v>2500</v>
      </c>
      <c r="T85" s="91" t="s">
        <v>116</v>
      </c>
      <c r="U85" s="91">
        <f>_xlfn.XLOOKUP(B85,[50]Detalhamento!$A:$A,[50]Detalhamento!$M:$M)</f>
        <v>1</v>
      </c>
      <c r="V85" s="287">
        <f>IFERROR(IF(AND(V$30&gt;=EOMONTH($J85,-1)+1,V$30&lt;=EOMONTH(EOMONTH($J85,-1)+1,$K85-1)),IF(NOT(ISBLANK($N85)),$N85/$K85,$I85/$K85),0),0)</f>
        <v>0</v>
      </c>
      <c r="W85" s="287">
        <f>IFERROR(IF(AND(W$30&gt;=EOMONTH($J85,-1)+1,W$30&lt;=EOMONTH(EOMONTH($J85,-1)+1,$K85-1)),IF(NOT(ISBLANK($N85)),$N85/$K85,$I85/$K85),0),0)</f>
        <v>0</v>
      </c>
      <c r="X85" s="287">
        <f>IFERROR(IF(AND(X$30&gt;=EOMONTH($J85,-1)+1,X$30&lt;=EOMONTH(EOMONTH($J85,-1)+1,$K85-1)),IF(NOT(ISBLANK($N85)),$N85/$K85,$I85/$K85),0),0)</f>
        <v>0</v>
      </c>
      <c r="Y85" s="440">
        <f t="shared" si="26"/>
        <v>0</v>
      </c>
      <c r="Z85" s="287">
        <f>IFERROR(IF(AND(Z$30&gt;=EOMONTH($J85,-1)+1,Z$30&lt;=EOMONTH(EOMONTH($J85,-1)+1,$K85-1)),IF(NOT(ISBLANK($N85)),$N85/$K85,$I85/$K85),0),0)</f>
        <v>3708.6566666666672</v>
      </c>
      <c r="AA85" s="287">
        <f>IFERROR(IF(AND(AA$30&gt;=EOMONTH($J85,-1)+1,AA$30&lt;=EOMONTH(EOMONTH($J85,-1)+1,$K85-1)),IF(NOT(ISBLANK($N85)),$N85/$K85,$I85/$K85),0),0)</f>
        <v>3708.6566666666672</v>
      </c>
      <c r="AB85" s="287">
        <f>IFERROR(IF(AND(AB$30&gt;=EOMONTH($J85,-1)+1,AB$30&lt;=EOMONTH(EOMONTH($J85,-1)+1,$K85-1)),IF(NOT(ISBLANK($N85)),$N85/$K85,$I85/$K85),0),0)</f>
        <v>3708.6566666666672</v>
      </c>
      <c r="AC85" s="440">
        <f t="shared" si="21"/>
        <v>11125.970000000001</v>
      </c>
      <c r="AD85" s="287">
        <f>IFERROR(IF(AND(AD$30&gt;=EOMONTH($J85,-1)+1,AD$30&lt;=EOMONTH(EOMONTH($J85,-1)+1,$K85-1)),IF(NOT(ISBLANK($N85)),$N85/$K85,$I85/$K85),0),0)</f>
        <v>3708.6566666666672</v>
      </c>
      <c r="AE85" s="287">
        <f>IFERROR(IF(AND(AE$30&gt;=EOMONTH($J85,-1)+1,AE$30&lt;=EOMONTH(EOMONTH($J85,-1)+1,$K85-1)),IF(NOT(ISBLANK($N85)),$N85/$K85,$I85/$K85),0),0)</f>
        <v>3708.6566666666672</v>
      </c>
      <c r="AF85" s="287">
        <f>IFERROR(IF(AND(AF$30&gt;=EOMONTH($J85,-1)+1,AF$30&lt;=EOMONTH(EOMONTH($J85,-1)+1,$K85-1)),IF(NOT(ISBLANK($N85)),$N85/$K85,$I85/$K85),0),0)</f>
        <v>3708.6566666666672</v>
      </c>
      <c r="AG85" s="440">
        <f t="shared" si="22"/>
        <v>11125.970000000001</v>
      </c>
      <c r="AH85" s="287">
        <f>IFERROR(IF(AND(AH$30&gt;=EOMONTH($J85,-1)+1,AH$30&lt;=EOMONTH(EOMONTH($J85,-1)+1,$K85-1)),IF(NOT(ISBLANK($N85)),$N85/$K85,$I85/$K85),0),0)</f>
        <v>3708.6566666666672</v>
      </c>
      <c r="AI85" s="287">
        <f>IFERROR(IF(AND(AI$30&gt;=EOMONTH($J85,-1)+1,AI$30&lt;=EOMONTH(EOMONTH($J85,-1)+1,$K85-1)),IF(NOT(ISBLANK($N85)),$N85/$K85,$I85/$K85),0),0)</f>
        <v>3708.6566666666672</v>
      </c>
      <c r="AJ85" s="287">
        <f>IFERROR(IF(AND(AJ$30&gt;=EOMONTH($J85,-1)+1,AJ$30&lt;=EOMONTH(EOMONTH($J85,-1)+1,$K85-1)),IF(NOT(ISBLANK($N85)),$N85/$K85,$I85/$K85),0),0)</f>
        <v>3708.6566666666672</v>
      </c>
      <c r="AK85" s="440">
        <f t="shared" si="89"/>
        <v>11125.970000000001</v>
      </c>
      <c r="AL85" s="116">
        <f t="shared" si="13"/>
        <v>33377.910000000003</v>
      </c>
      <c r="AM85" s="1407"/>
      <c r="AN85" s="1407"/>
      <c r="AO85" s="1334"/>
      <c r="AP85" s="1403">
        <f>I85*AO85</f>
        <v>0</v>
      </c>
      <c r="AQ85" s="553" t="str">
        <f>D85</f>
        <v>BID consumíveis laser</v>
      </c>
      <c r="AR85" s="62" t="s">
        <v>311</v>
      </c>
      <c r="AS85" s="508" cm="1">
        <f t="array" aca="1" ref="AS85" ca="1">IF(OR(AQ85="",AQ85=0),"",IF(SUMPRODUCT(($D$31:$D$144=AQ85)*($T$31:$T$144="Previsto")*($V$30:$AJ$30&lt;EOMONTH(TODAY(),-1)+1)*($V$31:$AJ$144))=0,"",SUMPRODUCT(($D$31:$D$144=AQ85)*($T$31:$T$144="Previsto")*($V$30:$AJ$30&lt;EOMONTH(TODAY(),-1)+1)*($V$31:$AJ$144))))</f>
        <v>14834.626666666669</v>
      </c>
      <c r="AT85" s="62" t="str">
        <f t="shared" ref="AT85" si="148">A85</f>
        <v>Redução de custo</v>
      </c>
      <c r="AV85" s="1566">
        <f t="shared" ref="AV85" si="149">IF(OR(I85="",K85=""),0,(I85/12)*K85)</f>
        <v>25033.432500000003</v>
      </c>
      <c r="AW85" s="1566">
        <f t="shared" ref="AW85" si="150">IF(OR(N85="",K85="",K85=0),0,(N85/K85)*12)</f>
        <v>0</v>
      </c>
    </row>
    <row r="86" spans="1:50" ht="29.1" customHeight="1" x14ac:dyDescent="0.3">
      <c r="A86" s="1381"/>
      <c r="B86" s="1483"/>
      <c r="C86" s="1381"/>
      <c r="D86" s="1487"/>
      <c r="E86" s="2363"/>
      <c r="F86" s="1371"/>
      <c r="G86" s="1373"/>
      <c r="H86" s="1373"/>
      <c r="I86" s="1355"/>
      <c r="J86" s="1377"/>
      <c r="K86" s="1389"/>
      <c r="L86" s="1355"/>
      <c r="M86" s="2369"/>
      <c r="N86" s="2359"/>
      <c r="O86" s="1328"/>
      <c r="P86" s="1328"/>
      <c r="Q86" s="1328"/>
      <c r="R86" s="1328"/>
      <c r="S86" s="2198"/>
      <c r="T86" s="91" t="s">
        <v>117</v>
      </c>
      <c r="U86" s="452">
        <f>_xlfn.XLOOKUP(B85,[50]Detalhamento!$A:$A,[50]Detalhamento!$N:$N)</f>
        <v>1</v>
      </c>
      <c r="V86" s="287"/>
      <c r="W86" s="287"/>
      <c r="X86" s="287"/>
      <c r="Y86" s="440">
        <f t="shared" si="26"/>
        <v>0</v>
      </c>
      <c r="Z86" s="287"/>
      <c r="AA86" s="287"/>
      <c r="AB86" s="287"/>
      <c r="AC86" s="440">
        <f t="shared" si="21"/>
        <v>0</v>
      </c>
      <c r="AD86" s="287"/>
      <c r="AE86" s="287"/>
      <c r="AF86" s="287"/>
      <c r="AG86" s="440">
        <f t="shared" si="22"/>
        <v>0</v>
      </c>
      <c r="AH86" s="287"/>
      <c r="AI86" s="287"/>
      <c r="AJ86" s="287"/>
      <c r="AK86" s="440">
        <f t="shared" si="89"/>
        <v>0</v>
      </c>
      <c r="AL86" s="454">
        <f t="shared" si="13"/>
        <v>0</v>
      </c>
      <c r="AM86" s="1408"/>
      <c r="AN86" s="1408"/>
      <c r="AO86" s="1330"/>
      <c r="AP86" s="1404"/>
      <c r="AQ86" s="554" t="str">
        <f>D85</f>
        <v>BID consumíveis laser</v>
      </c>
      <c r="AR86" s="62" t="s">
        <v>313</v>
      </c>
      <c r="AS86" s="508" t="str" cm="1">
        <f t="array" aca="1" ref="AS86" ca="1">IF(OR(AQ86="",AQ86=0),"",IF(SUMPRODUCT(($D$31:$D$144=AQ86)*(ISNUMBER(SEARCH("Real",$T$32:$T$145)))*($V$30:$AJ$30&lt;EOMONTH(TODAY(),-1)+1)*($V$32:$AJ$145))=0,"",SUMPRODUCT(($D$31:$D$144=AQ86)*(ISNUMBER(SEARCH("Real",$T$32:$T$145)))*($V$30:$AJ$30&lt;EOMONTH(TODAY(),-1)+1)*($V$32:$AJ$145))))</f>
        <v/>
      </c>
      <c r="AT86" s="62" t="str">
        <f t="shared" ref="AT86" si="151">A85</f>
        <v>Redução de custo</v>
      </c>
      <c r="AV86" s="1567"/>
      <c r="AW86" s="1567"/>
    </row>
    <row r="87" spans="1:50" ht="29.1" customHeight="1" x14ac:dyDescent="0.3">
      <c r="A87" s="1809" t="s">
        <v>953</v>
      </c>
      <c r="B87" s="2424" t="s">
        <v>2589</v>
      </c>
      <c r="C87" s="2392" t="s">
        <v>97</v>
      </c>
      <c r="D87" s="2414" t="s">
        <v>2590</v>
      </c>
      <c r="E87" s="2409" t="s">
        <v>2591</v>
      </c>
      <c r="F87" s="2405" t="s">
        <v>2506</v>
      </c>
      <c r="G87" s="2407">
        <f>_xlfn.XLOOKUP(B87,[50]Detalhamento!$A:$A,[50]Detalhamento!$I:$I)</f>
        <v>45923</v>
      </c>
      <c r="H87" s="2407">
        <f>_xlfn.XLOOKUP(B87,[50]Detalhamento!$A:$A,[50]Detalhamento!$J:$J)</f>
        <v>46031</v>
      </c>
      <c r="I87" s="2117">
        <f>IFERROR(_xlfn.XLOOKUP(B87,[50]Detalhamento!$A:$A,[50]Detalhamento!$E:$E)," - ")</f>
        <v>126386</v>
      </c>
      <c r="J87" s="2366">
        <f>_xlfn.XLOOKUP(B87,[50]Detalhamento!$A:$A,[50]Detalhamento!$O:$O)</f>
        <v>46071</v>
      </c>
      <c r="K87" s="1387">
        <f t="shared" ref="K87" si="152">IF(J87="", "", 12 - MONTH(J87) + 1)</f>
        <v>11</v>
      </c>
      <c r="L87" s="2374"/>
      <c r="M87" s="1347" t="s">
        <v>308</v>
      </c>
      <c r="N87" s="1704">
        <v>98909.8</v>
      </c>
      <c r="O87" s="1334" t="s">
        <v>81</v>
      </c>
      <c r="P87" s="1334"/>
      <c r="Q87" s="1334"/>
      <c r="R87" s="1334"/>
      <c r="S87" s="2191" t="s">
        <v>22</v>
      </c>
      <c r="T87" s="96" t="s">
        <v>116</v>
      </c>
      <c r="U87" s="96">
        <f>_xlfn.XLOOKUP(B87,[50]Detalhamento!$A:$A,[50]Detalhamento!$M:$M)</f>
        <v>1</v>
      </c>
      <c r="V87" s="498">
        <f>IFERROR(IF(AND(V$30&gt;=EOMONTH($J87,-1)+1,V$30&lt;=EOMONTH(EOMONTH($J87,-1)+1,$K87-1)),IF(NOT(ISBLANK($N87)),$N87/$K87,$I87/$K87),0),0)</f>
        <v>0</v>
      </c>
      <c r="W87" s="498">
        <f>IFERROR(IF(AND(W$30&gt;=EOMONTH($J87,-1)+1,W$30&lt;=EOMONTH(EOMONTH($J87,-1)+1,$K87-1)),IF(NOT(ISBLANK($N87)),$N87/$K87,$I87/$K87),0),0)</f>
        <v>8991.8000000000011</v>
      </c>
      <c r="X87" s="498">
        <f>IFERROR(IF(AND(X$30&gt;=EOMONTH($J87,-1)+1,X$30&lt;=EOMONTH(EOMONTH($J87,-1)+1,$K87-1)),IF(NOT(ISBLANK($N87)),$N87/$K87,$I87/$K87),0),0)</f>
        <v>8991.8000000000011</v>
      </c>
      <c r="Y87" s="440">
        <f t="shared" si="26"/>
        <v>17983.600000000002</v>
      </c>
      <c r="Z87" s="645">
        <f>IFERROR(IF(AND(Z$30&gt;=EOMONTH($J87,-1)+1,Z$30&lt;=EOMONTH(EOMONTH($J87,-1)+1,$K87-1)),IF(NOT(ISBLANK($N87)),$N87/$K87,$I87/$K87),0),0)</f>
        <v>8991.8000000000011</v>
      </c>
      <c r="AA87" s="498">
        <f>IFERROR(IF(AND(AA$30&gt;=EOMONTH($J87,-1)+1,AA$30&lt;=EOMONTH(EOMONTH($J87,-1)+1,$K87-1)),IF(NOT(ISBLANK($N87)),$N87/$K87,$I87/$K87),0),0)</f>
        <v>8991.8000000000011</v>
      </c>
      <c r="AB87" s="498">
        <f>IFERROR(IF(AND(AB$30&gt;=EOMONTH($J87,-1)+1,AB$30&lt;=EOMONTH(EOMONTH($J87,-1)+1,$K87-1)),IF(NOT(ISBLANK($N87)),$N87/$K87,$I87/$K87),0),0)</f>
        <v>8991.8000000000011</v>
      </c>
      <c r="AC87" s="440">
        <f t="shared" si="21"/>
        <v>26975.4</v>
      </c>
      <c r="AD87" s="498">
        <f>IFERROR(IF(AND(AD$30&gt;=EOMONTH($J87,-1)+1,AD$30&lt;=EOMONTH(EOMONTH($J87,-1)+1,$K87-1)),IF(NOT(ISBLANK($N87)),$N87/$K87,$I87/$K87),0),0)</f>
        <v>8991.8000000000011</v>
      </c>
      <c r="AE87" s="498">
        <f>IFERROR(IF(AND(AE$30&gt;=EOMONTH($J87,-1)+1,AE$30&lt;=EOMONTH(EOMONTH($J87,-1)+1,$K87-1)),IF(NOT(ISBLANK($N87)),$N87/$K87,$I87/$K87),0),0)</f>
        <v>8991.8000000000011</v>
      </c>
      <c r="AF87" s="498">
        <f>IFERROR(IF(AND(AF$30&gt;=EOMONTH($J87,-1)+1,AF$30&lt;=EOMONTH(EOMONTH($J87,-1)+1,$K87-1)),IF(NOT(ISBLANK($N87)),$N87/$K87,$I87/$K87),0),0)</f>
        <v>8991.8000000000011</v>
      </c>
      <c r="AG87" s="440">
        <f t="shared" si="22"/>
        <v>26975.4</v>
      </c>
      <c r="AH87" s="498">
        <f>IFERROR(IF(AND(AH$30&gt;=EOMONTH($J87,-1)+1,AH$30&lt;=EOMONTH(EOMONTH($J87,-1)+1,$K87-1)),IF(NOT(ISBLANK($N87)),$N87/$K87,$I87/$K87),0),0)</f>
        <v>8991.8000000000011</v>
      </c>
      <c r="AI87" s="498">
        <f>IFERROR(IF(AND(AI$30&gt;=EOMONTH($J87,-1)+1,AI$30&lt;=EOMONTH(EOMONTH($J87,-1)+1,$K87-1)),IF(NOT(ISBLANK($N87)),$N87/$K87,$I87/$K87),0),0)</f>
        <v>8991.8000000000011</v>
      </c>
      <c r="AJ87" s="498">
        <f>IFERROR(IF(AND(AJ$30&gt;=EOMONTH($J87,-1)+1,AJ$30&lt;=EOMONTH(EOMONTH($J87,-1)+1,$K87-1)),IF(NOT(ISBLANK($N87)),$N87/$K87,$I87/$K87),0),0)</f>
        <v>8991.8000000000011</v>
      </c>
      <c r="AK87" s="440">
        <f t="shared" si="89"/>
        <v>26975.4</v>
      </c>
      <c r="AL87" s="94">
        <f t="shared" si="13"/>
        <v>98909.800000000017</v>
      </c>
      <c r="AM87" s="1407"/>
      <c r="AN87" s="1407"/>
      <c r="AO87" s="1334"/>
      <c r="AP87" s="1403">
        <f>I87*AO87</f>
        <v>0</v>
      </c>
      <c r="AQ87" s="553" t="str">
        <f>D87</f>
        <v>Troca fornecedor decapagem gancheiras Ferraz</v>
      </c>
      <c r="AR87" s="62" t="s">
        <v>311</v>
      </c>
      <c r="AS87" s="508" cm="1">
        <f t="array" aca="1" ref="AS87" ca="1">IF(OR(AQ87="",AQ87=0),"",IF(SUMPRODUCT(($D$31:$D$144=AQ87)*($T$31:$T$144="Previsto")*($V$30:$AJ$30&lt;EOMONTH(TODAY(),-1)+1)*($V$31:$AJ$144))=0,"",SUMPRODUCT(($D$31:$D$144=AQ87)*($T$31:$T$144="Previsto")*($V$30:$AJ$30&lt;EOMONTH(TODAY(),-1)+1)*($V$31:$AJ$144))))</f>
        <v>53950.80000000001</v>
      </c>
      <c r="AT87" s="62" t="str">
        <f t="shared" ref="AT87" si="153">A87</f>
        <v>Redução de custo</v>
      </c>
      <c r="AV87" s="1566">
        <f t="shared" ref="AV87" si="154">IF(OR(I87="",K87=""),0,(I87/12)*K87)</f>
        <v>115853.83333333333</v>
      </c>
      <c r="AW87" s="1566">
        <f t="shared" ref="AW87" si="155">IF(OR(N87="",K87="",K87=0),0,(N87/K87)*12)</f>
        <v>107901.6</v>
      </c>
    </row>
    <row r="88" spans="1:50" ht="29.1" customHeight="1" x14ac:dyDescent="0.3">
      <c r="A88" s="1810"/>
      <c r="B88" s="2412"/>
      <c r="C88" s="1408"/>
      <c r="D88" s="2426"/>
      <c r="E88" s="2410"/>
      <c r="F88" s="2406"/>
      <c r="G88" s="2408"/>
      <c r="H88" s="2408"/>
      <c r="I88" s="2118"/>
      <c r="J88" s="2367"/>
      <c r="K88" s="1387"/>
      <c r="L88" s="2375"/>
      <c r="M88" s="1469"/>
      <c r="N88" s="1705"/>
      <c r="O88" s="1330"/>
      <c r="P88" s="1330"/>
      <c r="Q88" s="1330"/>
      <c r="R88" s="1330"/>
      <c r="S88" s="2192"/>
      <c r="T88" s="96" t="s">
        <v>117</v>
      </c>
      <c r="U88" s="453">
        <f>_xlfn.XLOOKUP(B87,[50]Detalhamento!$A:$A,[50]Detalhamento!$N:$N)</f>
        <v>1</v>
      </c>
      <c r="V88" s="498"/>
      <c r="W88" s="670">
        <v>0</v>
      </c>
      <c r="X88" s="699">
        <v>544.5</v>
      </c>
      <c r="Y88" s="440">
        <f t="shared" si="26"/>
        <v>544.5</v>
      </c>
      <c r="Z88" s="699">
        <v>278.10000000000002</v>
      </c>
      <c r="AA88" s="699">
        <v>0</v>
      </c>
      <c r="AB88" s="699">
        <v>0</v>
      </c>
      <c r="AC88" s="440">
        <f t="shared" si="21"/>
        <v>278.10000000000002</v>
      </c>
      <c r="AD88" s="498"/>
      <c r="AE88" s="498"/>
      <c r="AF88" s="498"/>
      <c r="AG88" s="440">
        <f t="shared" si="22"/>
        <v>0</v>
      </c>
      <c r="AH88" s="498"/>
      <c r="AI88" s="498"/>
      <c r="AJ88" s="498"/>
      <c r="AK88" s="440">
        <f t="shared" si="89"/>
        <v>0</v>
      </c>
      <c r="AL88" s="94">
        <f t="shared" si="13"/>
        <v>822.6</v>
      </c>
      <c r="AM88" s="1408"/>
      <c r="AN88" s="1408"/>
      <c r="AO88" s="1330"/>
      <c r="AP88" s="1404"/>
      <c r="AQ88" s="554" t="str">
        <f>D87</f>
        <v>Troca fornecedor decapagem gancheiras Ferraz</v>
      </c>
      <c r="AR88" s="62" t="s">
        <v>313</v>
      </c>
      <c r="AS88" s="508" cm="1">
        <f t="array" aca="1" ref="AS88" ca="1">IF(OR(AQ88="",AQ88=0),"",IF(SUMPRODUCT(($D$31:$D$144=AQ88)*(ISNUMBER(SEARCH("Real",$T$32:$T$145)))*($V$30:$AJ$30&lt;EOMONTH(TODAY(),-1)+1)*($V$32:$AJ$145))=0,"",SUMPRODUCT(($D$31:$D$144=AQ88)*(ISNUMBER(SEARCH("Real",$T$32:$T$145)))*($V$30:$AJ$30&lt;EOMONTH(TODAY(),-1)+1)*($V$32:$AJ$145))))</f>
        <v>822.6</v>
      </c>
      <c r="AT88" s="62" t="str">
        <f t="shared" ref="AT88" si="156">A87</f>
        <v>Redução de custo</v>
      </c>
      <c r="AV88" s="1567"/>
      <c r="AW88" s="1567"/>
    </row>
    <row r="89" spans="1:50" ht="29.1" customHeight="1" x14ac:dyDescent="0.3">
      <c r="A89" s="1380"/>
      <c r="B89" s="1482"/>
      <c r="C89" s="1380"/>
      <c r="D89" s="1486"/>
      <c r="E89" s="2413"/>
      <c r="F89" s="1370"/>
      <c r="G89" s="1372"/>
      <c r="H89" s="1372"/>
      <c r="I89" s="1354"/>
      <c r="J89" s="1376"/>
      <c r="K89" s="1389"/>
      <c r="L89" s="1354"/>
      <c r="M89" s="2356"/>
      <c r="N89" s="1391"/>
      <c r="O89" s="1327" t="s">
        <v>85</v>
      </c>
      <c r="P89" s="1327"/>
      <c r="Q89" s="1327"/>
      <c r="R89" s="1327"/>
      <c r="S89" s="2197"/>
      <c r="T89" s="91" t="s">
        <v>116</v>
      </c>
      <c r="U89" s="91">
        <f>_xlfn.XLOOKUP(B89,[50]Detalhamento!$A:$A,[50]Detalhamento!$M:$M)</f>
        <v>0</v>
      </c>
      <c r="V89" s="287">
        <f>IFERROR(IF(AND(V$30&gt;=EOMONTH($J89,-1)+1,V$30&lt;=EOMONTH(EOMONTH($J89,-1)+1,$K89-1)),IF(NOT(ISBLANK($N89)),$N89/$K89,$I89/$K89),0),0)</f>
        <v>0</v>
      </c>
      <c r="W89" s="287">
        <f>IFERROR(IF(AND(W$30&gt;=EOMONTH($J89,-1)+1,W$30&lt;=EOMONTH(EOMONTH($J89,-1)+1,$K89-1)),IF(NOT(ISBLANK($N89)),$N89/$K89,$I89/$K89),0),0)</f>
        <v>0</v>
      </c>
      <c r="X89" s="287">
        <f>IFERROR(IF(AND(X$30&gt;=EOMONTH($J89,-1)+1,X$30&lt;=EOMONTH(EOMONTH($J89,-1)+1,$K89-1)),IF(NOT(ISBLANK($N89)),$N89/$K89,$I89/$K89),0),0)</f>
        <v>0</v>
      </c>
      <c r="Y89" s="440">
        <f t="shared" si="26"/>
        <v>0</v>
      </c>
      <c r="Z89" s="287">
        <f>IFERROR(IF(AND(Z$30&gt;=EOMONTH($J89,-1)+1,Z$30&lt;=EOMONTH(EOMONTH($J89,-1)+1,$K89-1)),IF(NOT(ISBLANK($N89)),$N89/$K89,$I89/$K89),0),0)</f>
        <v>0</v>
      </c>
      <c r="AA89" s="287">
        <f>IFERROR(IF(AND(AA$30&gt;=EOMONTH($J89,-1)+1,AA$30&lt;=EOMONTH(EOMONTH($J89,-1)+1,$K89-1)),IF(NOT(ISBLANK($N89)),$N89/$K89,$I89/$K89),0),0)</f>
        <v>0</v>
      </c>
      <c r="AB89" s="287">
        <f>IFERROR(IF(AND(AB$30&gt;=EOMONTH($J89,-1)+1,AB$30&lt;=EOMONTH(EOMONTH($J89,-1)+1,$K89-1)),IF(NOT(ISBLANK($N89)),$N89/$K89,$I89/$K89),0),0)</f>
        <v>0</v>
      </c>
      <c r="AC89" s="440">
        <f t="shared" si="21"/>
        <v>0</v>
      </c>
      <c r="AD89" s="287">
        <f>IFERROR(IF(AND(AD$30&gt;=EOMONTH($J89,-1)+1,AD$30&lt;=EOMONTH(EOMONTH($J89,-1)+1,$K89-1)),IF(NOT(ISBLANK($N89)),$N89/$K89,$I89/$K89),0),0)</f>
        <v>0</v>
      </c>
      <c r="AE89" s="287">
        <f>IFERROR(IF(AND(AE$30&gt;=EOMONTH($J89,-1)+1,AE$30&lt;=EOMONTH(EOMONTH($J89,-1)+1,$K89-1)),IF(NOT(ISBLANK($N89)),$N89/$K89,$I89/$K89),0),0)</f>
        <v>0</v>
      </c>
      <c r="AF89" s="287">
        <f>IFERROR(IF(AND(AF$30&gt;=EOMONTH($J89,-1)+1,AF$30&lt;=EOMONTH(EOMONTH($J89,-1)+1,$K89-1)),IF(NOT(ISBLANK($N89)),$N89/$K89,$I89/$K89),0),0)</f>
        <v>0</v>
      </c>
      <c r="AG89" s="440">
        <f t="shared" si="22"/>
        <v>0</v>
      </c>
      <c r="AH89" s="287">
        <f>IFERROR(IF(AND(AH$30&gt;=EOMONTH($J89,-1)+1,AH$30&lt;=EOMONTH(EOMONTH($J89,-1)+1,$K89-1)),IF(NOT(ISBLANK($N89)),$N89/$K89,$I89/$K89),0),0)</f>
        <v>0</v>
      </c>
      <c r="AI89" s="287">
        <f>IFERROR(IF(AND(AI$30&gt;=EOMONTH($J89,-1)+1,AI$30&lt;=EOMONTH(EOMONTH($J89,-1)+1,$K89-1)),IF(NOT(ISBLANK($N89)),$N89/$K89,$I89/$K89),0),0)</f>
        <v>0</v>
      </c>
      <c r="AJ89" s="287">
        <f>IFERROR(IF(AND(AJ$30&gt;=EOMONTH($J89,-1)+1,AJ$30&lt;=EOMONTH(EOMONTH($J89,-1)+1,$K89-1)),IF(NOT(ISBLANK($N89)),$N89/$K89,$I89/$K89),0),0)</f>
        <v>0</v>
      </c>
      <c r="AK89" s="440">
        <f t="shared" si="89"/>
        <v>0</v>
      </c>
      <c r="AL89" s="116">
        <f t="shared" si="13"/>
        <v>0</v>
      </c>
      <c r="AM89" s="1407"/>
      <c r="AN89" s="1407"/>
      <c r="AO89" s="1334"/>
      <c r="AP89" s="1403">
        <f>I89*AO89</f>
        <v>0</v>
      </c>
      <c r="AQ89" s="553">
        <f>D89</f>
        <v>0</v>
      </c>
      <c r="AR89" s="62" t="s">
        <v>311</v>
      </c>
      <c r="AS89" s="508" t="str" cm="1">
        <f t="array" aca="1" ref="AS89" ca="1">IF(OR(AQ89="",AQ89=0),"",IF(SUMPRODUCT(($D$31:$D$144=AQ89)*($T$31:$T$144="Previsto")*($V$30:$AJ$30&lt;EOMONTH(TODAY(),-1)+1)*($V$31:$AJ$144))=0,"",SUMPRODUCT(($D$31:$D$144=AQ89)*($T$31:$T$144="Previsto")*($V$30:$AJ$30&lt;EOMONTH(TODAY(),-1)+1)*($V$31:$AJ$144))))</f>
        <v/>
      </c>
      <c r="AT89" s="62">
        <f t="shared" ref="AT89" si="157">A89</f>
        <v>0</v>
      </c>
      <c r="AV89" s="1566">
        <f t="shared" ref="AV89" si="158">IF(OR(I89="",K89=""),0,(I89/12)*K89)</f>
        <v>0</v>
      </c>
      <c r="AW89" s="1566">
        <f t="shared" ref="AW89" si="159">IF(OR(N89="",K89="",K89=0),0,(N89/K89)*12)</f>
        <v>0</v>
      </c>
    </row>
    <row r="90" spans="1:50" ht="29.1" customHeight="1" x14ac:dyDescent="0.3">
      <c r="A90" s="1381"/>
      <c r="B90" s="1483"/>
      <c r="C90" s="1381"/>
      <c r="D90" s="1510"/>
      <c r="E90" s="2363"/>
      <c r="F90" s="1371"/>
      <c r="G90" s="1373"/>
      <c r="H90" s="1373"/>
      <c r="I90" s="1355"/>
      <c r="J90" s="1377"/>
      <c r="K90" s="1390"/>
      <c r="L90" s="1355"/>
      <c r="M90" s="2378"/>
      <c r="N90" s="1877"/>
      <c r="O90" s="1328"/>
      <c r="P90" s="1328"/>
      <c r="Q90" s="1328"/>
      <c r="R90" s="1328"/>
      <c r="S90" s="2198"/>
      <c r="T90" s="91" t="s">
        <v>117</v>
      </c>
      <c r="U90" s="452">
        <f>_xlfn.XLOOKUP(B89,[50]Detalhamento!$A:$A,[50]Detalhamento!$N:$N)</f>
        <v>0</v>
      </c>
      <c r="V90" s="287"/>
      <c r="W90" s="287"/>
      <c r="X90" s="287"/>
      <c r="Y90" s="440">
        <f t="shared" si="26"/>
        <v>0</v>
      </c>
      <c r="Z90" s="287"/>
      <c r="AA90" s="287"/>
      <c r="AB90" s="287"/>
      <c r="AC90" s="440">
        <f t="shared" si="21"/>
        <v>0</v>
      </c>
      <c r="AD90" s="287"/>
      <c r="AE90" s="287"/>
      <c r="AF90" s="287"/>
      <c r="AG90" s="440">
        <f t="shared" si="22"/>
        <v>0</v>
      </c>
      <c r="AH90" s="287"/>
      <c r="AI90" s="287"/>
      <c r="AJ90" s="287"/>
      <c r="AK90" s="440">
        <f t="shared" si="89"/>
        <v>0</v>
      </c>
      <c r="AL90" s="454">
        <f t="shared" si="13"/>
        <v>0</v>
      </c>
      <c r="AM90" s="1408"/>
      <c r="AN90" s="1408"/>
      <c r="AO90" s="1330"/>
      <c r="AP90" s="1404"/>
      <c r="AQ90" s="554">
        <f>D89</f>
        <v>0</v>
      </c>
      <c r="AR90" s="62" t="s">
        <v>313</v>
      </c>
      <c r="AS90" s="508" t="str" cm="1">
        <f t="array" aca="1" ref="AS90" ca="1">IF(OR(AQ90="",AQ90=0),"",IF(SUMPRODUCT(($D$31:$D$144=AQ90)*(ISNUMBER(SEARCH("Real",$T$32:$T$145)))*($V$30:$AJ$30&lt;EOMONTH(TODAY(),-1)+1)*($V$32:$AJ$145))=0,"",SUMPRODUCT(($D$31:$D$144=AQ90)*(ISNUMBER(SEARCH("Real",$T$32:$T$145)))*($V$30:$AJ$30&lt;EOMONTH(TODAY(),-1)+1)*($V$32:$AJ$145))))</f>
        <v/>
      </c>
      <c r="AT90" s="62">
        <f t="shared" ref="AT90" si="160">A89</f>
        <v>0</v>
      </c>
      <c r="AV90" s="2436"/>
      <c r="AW90" s="2436"/>
    </row>
    <row r="91" spans="1:50" ht="29.1" customHeight="1" x14ac:dyDescent="0.3">
      <c r="A91" s="1809" t="s">
        <v>953</v>
      </c>
      <c r="B91" s="1465" t="s">
        <v>2592</v>
      </c>
      <c r="C91" s="2392" t="s">
        <v>95</v>
      </c>
      <c r="D91" s="1356" t="s">
        <v>2593</v>
      </c>
      <c r="E91" s="2360" t="s">
        <v>2594</v>
      </c>
      <c r="F91" s="1451" t="s">
        <v>2566</v>
      </c>
      <c r="G91" s="1785">
        <f>_xlfn.XLOOKUP(B91,[50]Detalhamento!$A:$A,[50]Detalhamento!$I:$I)</f>
        <v>45659</v>
      </c>
      <c r="H91" s="1785">
        <f>_xlfn.XLOOKUP(B91,[50]Detalhamento!$A:$A,[50]Detalhamento!$J:$J)</f>
        <v>45769</v>
      </c>
      <c r="I91" s="1844">
        <f>IFERROR(_xlfn.XLOOKUP(B91,[50]Detalhamento!$A:$A,[50]Detalhamento!$E:$E)," - ")</f>
        <v>51864.28</v>
      </c>
      <c r="J91" s="1378">
        <f>_xlfn.XLOOKUP(B91,[50]Detalhamento!$A:$A,[50]Detalhamento!$O:$O)</f>
        <v>46066</v>
      </c>
      <c r="K91" s="1387">
        <f t="shared" ref="K91" si="161">IF(J91="", "", 12 - MONTH(J91) + 1)</f>
        <v>11</v>
      </c>
      <c r="L91" s="1395"/>
      <c r="M91" s="2379" t="s">
        <v>308</v>
      </c>
      <c r="N91" s="2380">
        <v>86933</v>
      </c>
      <c r="O91" s="1334" t="s">
        <v>81</v>
      </c>
      <c r="P91" s="1334"/>
      <c r="Q91" s="1334"/>
      <c r="R91" s="1334"/>
      <c r="S91" s="2191" t="s">
        <v>22</v>
      </c>
      <c r="T91" s="96" t="s">
        <v>116</v>
      </c>
      <c r="U91" s="96">
        <f>_xlfn.XLOOKUP(B91,[50]Detalhamento!$A:$A,[50]Detalhamento!$M:$M)</f>
        <v>1</v>
      </c>
      <c r="V91" s="498">
        <f>IFERROR(IF(AND(V$30&gt;=EOMONTH($J91,-1)+1,V$30&lt;=EOMONTH(EOMONTH($J91,-1)+1,$K91-1)),IF(NOT(ISBLANK($N91)),$N91/$K91,$I91/$K91),0),0)</f>
        <v>0</v>
      </c>
      <c r="W91" s="498">
        <f>IFERROR(IF(AND(W$30&gt;=EOMONTH($J91,-1)+1,W$30&lt;=EOMONTH(EOMONTH($J91,-1)+1,$K91-1)),IF(NOT(ISBLANK($N91)),$N91/$K91,$I91/$K91),0),0)</f>
        <v>7903</v>
      </c>
      <c r="X91" s="498">
        <f>IFERROR(IF(AND(X$30&gt;=EOMONTH($J91,-1)+1,X$30&lt;=EOMONTH(EOMONTH($J91,-1)+1,$K91-1)),IF(NOT(ISBLANK($N91)),$N91/$K91,$I91/$K91),0),0)</f>
        <v>7903</v>
      </c>
      <c r="Y91" s="440">
        <f t="shared" si="26"/>
        <v>15806</v>
      </c>
      <c r="Z91" s="645">
        <f>IFERROR(IF(AND(Z$30&gt;=EOMONTH($J91,-1)+1,Z$30&lt;=EOMONTH(EOMONTH($J91,-1)+1,$K91-1)),IF(NOT(ISBLANK($N91)),$N91/$K91,$I91/$K91),0),0)</f>
        <v>7903</v>
      </c>
      <c r="AA91" s="498">
        <f>IFERROR(IF(AND(AA$30&gt;=EOMONTH($J91,-1)+1,AA$30&lt;=EOMONTH(EOMONTH($J91,-1)+1,$K91-1)),IF(NOT(ISBLANK($N91)),$N91/$K91,$I91/$K91),0),0)</f>
        <v>7903</v>
      </c>
      <c r="AB91" s="498">
        <f>IFERROR(IF(AND(AB$30&gt;=EOMONTH($J91,-1)+1,AB$30&lt;=EOMONTH(EOMONTH($J91,-1)+1,$K91-1)),IF(NOT(ISBLANK($N91)),$N91/$K91,$I91/$K91),0),0)</f>
        <v>7903</v>
      </c>
      <c r="AC91" s="440">
        <f t="shared" si="21"/>
        <v>23709</v>
      </c>
      <c r="AD91" s="498">
        <f>IFERROR(IF(AND(AD$30&gt;=EOMONTH($J91,-1)+1,AD$30&lt;=EOMONTH(EOMONTH($J91,-1)+1,$K91-1)),IF(NOT(ISBLANK($N91)),$N91/$K91,$I91/$K91),0),0)</f>
        <v>7903</v>
      </c>
      <c r="AE91" s="498">
        <f>IFERROR(IF(AND(AE$30&gt;=EOMONTH($J91,-1)+1,AE$30&lt;=EOMONTH(EOMONTH($J91,-1)+1,$K91-1)),IF(NOT(ISBLANK($N91)),$N91/$K91,$I91/$K91),0),0)</f>
        <v>7903</v>
      </c>
      <c r="AF91" s="498">
        <f>IFERROR(IF(AND(AF$30&gt;=EOMONTH($J91,-1)+1,AF$30&lt;=EOMONTH(EOMONTH($J91,-1)+1,$K91-1)),IF(NOT(ISBLANK($N91)),$N91/$K91,$I91/$K91),0),0)</f>
        <v>7903</v>
      </c>
      <c r="AG91" s="440">
        <f t="shared" si="22"/>
        <v>23709</v>
      </c>
      <c r="AH91" s="498">
        <f>IFERROR(IF(AND(AH$30&gt;=EOMONTH($J91,-1)+1,AH$30&lt;=EOMONTH(EOMONTH($J91,-1)+1,$K91-1)),IF(NOT(ISBLANK($N91)),$N91/$K91,$I91/$K91),0),0)</f>
        <v>7903</v>
      </c>
      <c r="AI91" s="498">
        <f>IFERROR(IF(AND(AI$30&gt;=EOMONTH($J91,-1)+1,AI$30&lt;=EOMONTH(EOMONTH($J91,-1)+1,$K91-1)),IF(NOT(ISBLANK($N91)),$N91/$K91,$I91/$K91),0),0)</f>
        <v>7903</v>
      </c>
      <c r="AJ91" s="498">
        <f>IFERROR(IF(AND(AJ$30&gt;=EOMONTH($J91,-1)+1,AJ$30&lt;=EOMONTH(EOMONTH($J91,-1)+1,$K91-1)),IF(NOT(ISBLANK($N91)),$N91/$K91,$I91/$K91),0),0)</f>
        <v>7903</v>
      </c>
      <c r="AK91" s="440">
        <f t="shared" si="89"/>
        <v>23709</v>
      </c>
      <c r="AL91" s="94">
        <f t="shared" si="13"/>
        <v>86933</v>
      </c>
      <c r="AM91" s="1407"/>
      <c r="AN91" s="1407"/>
      <c r="AO91" s="1334"/>
      <c r="AP91" s="1403">
        <f>I91*AO91</f>
        <v>0</v>
      </c>
      <c r="AQ91" s="553" t="str">
        <f>D91</f>
        <v>Redução MP Viga Banana</v>
      </c>
      <c r="AR91" s="62" t="s">
        <v>311</v>
      </c>
      <c r="AS91" s="508" cm="1">
        <f t="array" aca="1" ref="AS91" ca="1">IF(OR(AQ91="",AQ91=0),"",IF(SUMPRODUCT(($D$31:$D$144=AQ91)*($T$31:$T$144="Previsto")*($V$30:$AJ$30&lt;EOMONTH(TODAY(),-1)+1)*($V$31:$AJ$144))=0,"",SUMPRODUCT(($D$31:$D$144=AQ91)*($T$31:$T$144="Previsto")*($V$30:$AJ$30&lt;EOMONTH(TODAY(),-1)+1)*($V$31:$AJ$144))))</f>
        <v>47418</v>
      </c>
      <c r="AT91" s="62" t="str">
        <f t="shared" ref="AT91" si="162">A91</f>
        <v>Redução de custo</v>
      </c>
      <c r="AV91" s="1566">
        <f t="shared" ref="AV91" si="163">IF(OR(I91="",K91=""),0,(I91/12)*K91)</f>
        <v>47542.256666666668</v>
      </c>
      <c r="AW91" s="1566">
        <f t="shared" ref="AW91" si="164">IF(OR(N91="",K91="",K91=0),0,(N91/K91)*12)</f>
        <v>94836</v>
      </c>
    </row>
    <row r="92" spans="1:50" ht="29.1" customHeight="1" x14ac:dyDescent="0.3">
      <c r="A92" s="1810"/>
      <c r="B92" s="1466"/>
      <c r="C92" s="1408"/>
      <c r="D92" s="1455"/>
      <c r="E92" s="2361"/>
      <c r="F92" s="1452"/>
      <c r="G92" s="1786"/>
      <c r="H92" s="1786"/>
      <c r="I92" s="1835"/>
      <c r="J92" s="1379"/>
      <c r="K92" s="1387"/>
      <c r="L92" s="1396"/>
      <c r="M92" s="2154"/>
      <c r="N92" s="2156"/>
      <c r="O92" s="1330"/>
      <c r="P92" s="1330"/>
      <c r="Q92" s="1330"/>
      <c r="R92" s="1330"/>
      <c r="S92" s="2192"/>
      <c r="T92" s="96" t="s">
        <v>117</v>
      </c>
      <c r="U92" s="453">
        <f>_xlfn.XLOOKUP(B91,[50]Detalhamento!$A:$A,[50]Detalhamento!$N:$N)</f>
        <v>1</v>
      </c>
      <c r="V92" s="498"/>
      <c r="W92" s="670">
        <v>5111.5812094399989</v>
      </c>
      <c r="X92" s="670">
        <v>5666.1395482000007</v>
      </c>
      <c r="Y92" s="440">
        <f t="shared" si="26"/>
        <v>10777.72075764</v>
      </c>
      <c r="Z92" s="715">
        <v>5087.47</v>
      </c>
      <c r="AA92" s="699">
        <v>4243.58</v>
      </c>
      <c r="AB92" s="670">
        <v>4629.3599999999997</v>
      </c>
      <c r="AC92" s="440">
        <f t="shared" si="21"/>
        <v>13960.41</v>
      </c>
      <c r="AD92" s="498"/>
      <c r="AE92" s="498"/>
      <c r="AF92" s="498"/>
      <c r="AG92" s="440">
        <f t="shared" si="22"/>
        <v>0</v>
      </c>
      <c r="AH92" s="498"/>
      <c r="AI92" s="498"/>
      <c r="AJ92" s="498"/>
      <c r="AK92" s="440">
        <f t="shared" si="89"/>
        <v>0</v>
      </c>
      <c r="AL92" s="94">
        <f t="shared" si="13"/>
        <v>24738.13075764</v>
      </c>
      <c r="AM92" s="1408"/>
      <c r="AN92" s="1408"/>
      <c r="AO92" s="1330"/>
      <c r="AP92" s="1404"/>
      <c r="AQ92" s="554" t="str">
        <f>D91</f>
        <v>Redução MP Viga Banana</v>
      </c>
      <c r="AR92" s="62" t="s">
        <v>313</v>
      </c>
      <c r="AS92" s="508" cm="1">
        <f t="array" aca="1" ref="AS92" ca="1">IF(OR(AQ92="",AQ92=0),"",IF(SUMPRODUCT(($D$31:$D$144=AQ92)*(ISNUMBER(SEARCH("Real",$T$32:$T$145)))*($V$30:$AJ$30&lt;EOMONTH(TODAY(),-1)+1)*($V$32:$AJ$145))=0,"",SUMPRODUCT(($D$31:$D$144=AQ92)*(ISNUMBER(SEARCH("Real",$T$32:$T$145)))*($V$30:$AJ$30&lt;EOMONTH(TODAY(),-1)+1)*($V$32:$AJ$145))))</f>
        <v>24738.13075764</v>
      </c>
      <c r="AT92" s="62" t="str">
        <f t="shared" ref="AT92" si="165">A91</f>
        <v>Redução de custo</v>
      </c>
      <c r="AV92" s="1567"/>
      <c r="AW92" s="1567"/>
    </row>
    <row r="93" spans="1:50" ht="29.1" customHeight="1" x14ac:dyDescent="0.3">
      <c r="A93" s="1380" t="s">
        <v>953</v>
      </c>
      <c r="B93" s="1482" t="s">
        <v>2595</v>
      </c>
      <c r="C93" s="2392" t="s">
        <v>99</v>
      </c>
      <c r="D93" s="1486" t="s">
        <v>2596</v>
      </c>
      <c r="E93" s="2413" t="s">
        <v>2597</v>
      </c>
      <c r="F93" s="1370" t="s">
        <v>2510</v>
      </c>
      <c r="G93" s="1372">
        <f>_xlfn.XLOOKUP(B93,[50]Detalhamento!$A:$A,[50]Detalhamento!$I:$I)</f>
        <v>45735</v>
      </c>
      <c r="H93" s="1372">
        <f>_xlfn.XLOOKUP(B93,[50]Detalhamento!$A:$A,[50]Detalhamento!$J:$J)</f>
        <v>45982</v>
      </c>
      <c r="I93" s="1354">
        <f>IFERROR(_xlfn.XLOOKUP(B93,[50]Detalhamento!$A:$A,[50]Detalhamento!$E:$E)," - ")</f>
        <v>155799</v>
      </c>
      <c r="J93" s="1376">
        <f>_xlfn.XLOOKUP(B93,[50]Detalhamento!$A:$A,[50]Detalhamento!$O:$O)</f>
        <v>46072</v>
      </c>
      <c r="K93" s="1389">
        <f t="shared" ref="K93" si="166">IF(J93="", "", 12 - MONTH(J93) + 1)</f>
        <v>11</v>
      </c>
      <c r="L93" s="1354"/>
      <c r="M93" s="1350" t="s">
        <v>308</v>
      </c>
      <c r="N93" s="1391">
        <v>154937</v>
      </c>
      <c r="O93" s="1327" t="s">
        <v>81</v>
      </c>
      <c r="P93" s="1327"/>
      <c r="Q93" s="1327"/>
      <c r="R93" s="1327"/>
      <c r="S93" s="2197" t="s">
        <v>25</v>
      </c>
      <c r="T93" s="91" t="s">
        <v>116</v>
      </c>
      <c r="U93" s="91">
        <f>_xlfn.XLOOKUP(B93,[50]Detalhamento!$A:$A,[50]Detalhamento!$M:$M)</f>
        <v>1</v>
      </c>
      <c r="V93" s="287">
        <f>IFERROR(IF(AND(V$30&gt;=EOMONTH($J93,-1)+1,V$30&lt;=EOMONTH(EOMONTH($J93,-1)+1,$K93-1)),IF(NOT(ISBLANK($N93)),$N93/$K93,$I93/$K93),0),0)</f>
        <v>0</v>
      </c>
      <c r="W93" s="287">
        <f>IFERROR(IF(AND(W$30&gt;=EOMONTH($J93,-1)+1,W$30&lt;=EOMONTH(EOMONTH($J93,-1)+1,$K93-1)),IF(NOT(ISBLANK($N93)),$N93/$K93,$I93/$K93),0),0)</f>
        <v>14085.181818181818</v>
      </c>
      <c r="X93" s="287">
        <f>IFERROR(IF(AND(X$30&gt;=EOMONTH($J93,-1)+1,X$30&lt;=EOMONTH(EOMONTH($J93,-1)+1,$K93-1)),IF(NOT(ISBLANK($N93)),$N93/$K93,$I93/$K93),0),0)</f>
        <v>14085.181818181818</v>
      </c>
      <c r="Y93" s="440">
        <f t="shared" si="26"/>
        <v>28170.363636363636</v>
      </c>
      <c r="Z93" s="597">
        <f>IFERROR(IF(AND(Z$30&gt;=EOMONTH($J93,-1)+1,Z$30&lt;=EOMONTH(EOMONTH($J93,-1)+1,$K93-1)),IF(NOT(ISBLANK($N93)),$N93/$K93,$I93/$K93),0),0)</f>
        <v>14085.181818181818</v>
      </c>
      <c r="AA93" s="287">
        <f>IFERROR(IF(AND(AA$30&gt;=EOMONTH($J93,-1)+1,AA$30&lt;=EOMONTH(EOMONTH($J93,-1)+1,$K93-1)),IF(NOT(ISBLANK($N93)),$N93/$K93,$I93/$K93),0),0)</f>
        <v>14085.181818181818</v>
      </c>
      <c r="AB93" s="287">
        <f>IFERROR(IF(AND(AB$30&gt;=EOMONTH($J93,-1)+1,AB$30&lt;=EOMONTH(EOMONTH($J93,-1)+1,$K93-1)),IF(NOT(ISBLANK($N93)),$N93/$K93,$I93/$K93),0),0)</f>
        <v>14085.181818181818</v>
      </c>
      <c r="AC93" s="440">
        <f t="shared" si="21"/>
        <v>42255.545454545456</v>
      </c>
      <c r="AD93" s="287">
        <f>IFERROR(IF(AND(AD$30&gt;=EOMONTH($J93,-1)+1,AD$30&lt;=EOMONTH(EOMONTH($J93,-1)+1,$K93-1)),IF(NOT(ISBLANK($N93)),$N93/$K93,$I93/$K93),0),0)</f>
        <v>14085.181818181818</v>
      </c>
      <c r="AE93" s="287">
        <f>IFERROR(IF(AND(AE$30&gt;=EOMONTH($J93,-1)+1,AE$30&lt;=EOMONTH(EOMONTH($J93,-1)+1,$K93-1)),IF(NOT(ISBLANK($N93)),$N93/$K93,$I93/$K93),0),0)</f>
        <v>14085.181818181818</v>
      </c>
      <c r="AF93" s="287">
        <f>IFERROR(IF(AND(AF$30&gt;=EOMONTH($J93,-1)+1,AF$30&lt;=EOMONTH(EOMONTH($J93,-1)+1,$K93-1)),IF(NOT(ISBLANK($N93)),$N93/$K93,$I93/$K93),0),0)</f>
        <v>14085.181818181818</v>
      </c>
      <c r="AG93" s="440">
        <f t="shared" si="22"/>
        <v>42255.545454545456</v>
      </c>
      <c r="AH93" s="287">
        <f>IFERROR(IF(AND(AH$30&gt;=EOMONTH($J93,-1)+1,AH$30&lt;=EOMONTH(EOMONTH($J93,-1)+1,$K93-1)),IF(NOT(ISBLANK($N93)),$N93/$K93,$I93/$K93),0),0)</f>
        <v>14085.181818181818</v>
      </c>
      <c r="AI93" s="287">
        <f>IFERROR(IF(AND(AI$30&gt;=EOMONTH($J93,-1)+1,AI$30&lt;=EOMONTH(EOMONTH($J93,-1)+1,$K93-1)),IF(NOT(ISBLANK($N93)),$N93/$K93,$I93/$K93),0),0)</f>
        <v>14085.181818181818</v>
      </c>
      <c r="AJ93" s="287">
        <f>IFERROR(IF(AND(AJ$30&gt;=EOMONTH($J93,-1)+1,AJ$30&lt;=EOMONTH(EOMONTH($J93,-1)+1,$K93-1)),IF(NOT(ISBLANK($N93)),$N93/$K93,$I93/$K93),0),0)</f>
        <v>14085.181818181818</v>
      </c>
      <c r="AK93" s="440">
        <f t="shared" ref="AK93:AK144" si="167">SUM(AH93:AJ93)</f>
        <v>42255.545454545456</v>
      </c>
      <c r="AL93" s="116">
        <f t="shared" si="13"/>
        <v>154937.00000000003</v>
      </c>
      <c r="AM93" s="1407"/>
      <c r="AN93" s="1407"/>
      <c r="AO93" s="1334"/>
      <c r="AP93" s="1403">
        <f>I93*AO93</f>
        <v>0</v>
      </c>
      <c r="AQ93" s="553" t="str">
        <f>D93</f>
        <v>Resourcing Hasmman para Metalac</v>
      </c>
      <c r="AR93" s="62" t="s">
        <v>311</v>
      </c>
      <c r="AS93" s="508" cm="1">
        <f t="array" aca="1" ref="AS93" ca="1">IF(OR(AQ93="",AQ93=0),"",IF(SUMPRODUCT(($D$31:$D$144=AQ93)*($T$31:$T$144="Previsto")*($V$30:$AJ$30&lt;EOMONTH(TODAY(),-1)+1)*($V$31:$AJ$144))=0,"",SUMPRODUCT(($D$31:$D$144=AQ93)*($T$31:$T$144="Previsto")*($V$30:$AJ$30&lt;EOMONTH(TODAY(),-1)+1)*($V$31:$AJ$144))))</f>
        <v>84511.090909090912</v>
      </c>
      <c r="AT93" s="62" t="str">
        <f t="shared" ref="AT93" si="168">A93</f>
        <v>Redução de custo</v>
      </c>
      <c r="AV93" s="1566">
        <f t="shared" ref="AV93" si="169">IF(OR(I93="",K93=""),0,(I93/12)*K93)</f>
        <v>142815.75</v>
      </c>
      <c r="AW93" s="1566">
        <f t="shared" ref="AW93" si="170">IF(OR(N93="",K93="",K93=0),0,(N93/K93)*12)</f>
        <v>169022.18181818182</v>
      </c>
    </row>
    <row r="94" spans="1:50" ht="29.1" customHeight="1" x14ac:dyDescent="0.3">
      <c r="A94" s="1381"/>
      <c r="B94" s="1483"/>
      <c r="C94" s="1381"/>
      <c r="D94" s="1487"/>
      <c r="E94" s="2363"/>
      <c r="F94" s="1371"/>
      <c r="G94" s="1373"/>
      <c r="H94" s="1373"/>
      <c r="I94" s="1355"/>
      <c r="J94" s="1377"/>
      <c r="K94" s="1389"/>
      <c r="L94" s="1355"/>
      <c r="M94" s="1460"/>
      <c r="N94" s="1392"/>
      <c r="O94" s="1328"/>
      <c r="P94" s="1328"/>
      <c r="Q94" s="1328"/>
      <c r="R94" s="1328"/>
      <c r="S94" s="2198"/>
      <c r="T94" s="91" t="s">
        <v>117</v>
      </c>
      <c r="U94" s="452">
        <f>_xlfn.XLOOKUP(B93,[50]Detalhamento!$A:$A,[50]Detalhamento!$N:$N)</f>
        <v>1</v>
      </c>
      <c r="V94" s="287"/>
      <c r="W94" s="670">
        <v>12843.919519200001</v>
      </c>
      <c r="X94" s="670">
        <v>12958.597372050002</v>
      </c>
      <c r="Y94" s="440">
        <f t="shared" si="26"/>
        <v>25802.516891250001</v>
      </c>
      <c r="Z94" s="670">
        <v>11009.0738736</v>
      </c>
      <c r="AA94" s="670">
        <v>15825.543693300002</v>
      </c>
      <c r="AB94" s="670">
        <v>11307.23629101</v>
      </c>
      <c r="AC94" s="440">
        <f t="shared" si="21"/>
        <v>38141.853857909999</v>
      </c>
      <c r="AD94" s="287"/>
      <c r="AE94" s="287"/>
      <c r="AF94" s="287"/>
      <c r="AG94" s="440">
        <f t="shared" si="22"/>
        <v>0</v>
      </c>
      <c r="AH94" s="287"/>
      <c r="AI94" s="287"/>
      <c r="AJ94" s="287"/>
      <c r="AK94" s="440">
        <f t="shared" si="167"/>
        <v>0</v>
      </c>
      <c r="AL94" s="454">
        <f t="shared" ref="AL94:AL144" si="171">SUM(V94:X94,Z94:AB94,AD94:AF94,AH94:AJ94)</f>
        <v>63944.37074916</v>
      </c>
      <c r="AM94" s="1408"/>
      <c r="AN94" s="1408"/>
      <c r="AO94" s="1330"/>
      <c r="AP94" s="1404"/>
      <c r="AQ94" s="554" t="str">
        <f>D93</f>
        <v>Resourcing Hasmman para Metalac</v>
      </c>
      <c r="AR94" s="62" t="s">
        <v>313</v>
      </c>
      <c r="AS94" s="508" cm="1">
        <f t="array" aca="1" ref="AS94" ca="1">IF(OR(AQ94="",AQ94=0),"",IF(SUMPRODUCT(($D$31:$D$144=AQ94)*(ISNUMBER(SEARCH("Real",$T$32:$T$145)))*($V$30:$AJ$30&lt;EOMONTH(TODAY(),-1)+1)*($V$32:$AJ$145))=0,"",SUMPRODUCT(($D$31:$D$144=AQ94)*(ISNUMBER(SEARCH("Real",$T$32:$T$145)))*($V$30:$AJ$30&lt;EOMONTH(TODAY(),-1)+1)*($V$32:$AJ$145))))</f>
        <v>63944.37074916</v>
      </c>
      <c r="AT94" s="62" t="str">
        <f t="shared" ref="AT94" si="172">A93</f>
        <v>Redução de custo</v>
      </c>
      <c r="AV94" s="1567"/>
      <c r="AW94" s="1567"/>
    </row>
    <row r="95" spans="1:50" ht="29.1" customHeight="1" x14ac:dyDescent="0.3">
      <c r="A95" s="1809" t="s">
        <v>953</v>
      </c>
      <c r="B95" s="1465" t="s">
        <v>2598</v>
      </c>
      <c r="C95" s="2392" t="s">
        <v>95</v>
      </c>
      <c r="D95" s="1356" t="s">
        <v>2599</v>
      </c>
      <c r="E95" s="2413" t="s">
        <v>2600</v>
      </c>
      <c r="F95" s="1451" t="s">
        <v>2566</v>
      </c>
      <c r="G95" s="1785">
        <f>_xlfn.XLOOKUP(B95,[50]Detalhamento!$A:$A,[50]Detalhamento!$I:$I)</f>
        <v>45905</v>
      </c>
      <c r="H95" s="1785">
        <f>_xlfn.XLOOKUP(B95,[50]Detalhamento!$A:$A,[50]Detalhamento!$J:$J)</f>
        <v>45947</v>
      </c>
      <c r="I95" s="1844">
        <f>IFERROR(_xlfn.XLOOKUP(B95,[50]Detalhamento!$A:$A,[50]Detalhamento!$E:$E)," - ")</f>
        <v>2674685</v>
      </c>
      <c r="J95" s="1378">
        <v>46023</v>
      </c>
      <c r="K95" s="1387">
        <f t="shared" ref="K95" si="173">IF(J95="", "", 12 - MONTH(J95) + 1)</f>
        <v>12</v>
      </c>
      <c r="L95" s="1395"/>
      <c r="M95" s="2379" t="s">
        <v>308</v>
      </c>
      <c r="N95" s="2380">
        <v>2651202.3199999998</v>
      </c>
      <c r="O95" s="1334" t="s">
        <v>81</v>
      </c>
      <c r="P95" s="1334"/>
      <c r="Q95" s="1334"/>
      <c r="R95" s="1334"/>
      <c r="S95" s="2191" t="s">
        <v>22</v>
      </c>
      <c r="T95" s="96" t="s">
        <v>116</v>
      </c>
      <c r="U95" s="96">
        <f>_xlfn.XLOOKUP(B95,[50]Detalhamento!$A:$A,[50]Detalhamento!$M:$M)</f>
        <v>1</v>
      </c>
      <c r="V95" s="498">
        <f>IFERROR(IF(AND(V$30&gt;=EOMONTH($J95,-1)+1,V$30&lt;=EOMONTH(EOMONTH($J95,-1)+1,$K95-1)),IF(NOT(ISBLANK($N95)),$N95/$K95,$I95/$K95),0),0)</f>
        <v>220933.52666666664</v>
      </c>
      <c r="W95" s="498">
        <f>IFERROR(IF(AND(W$30&gt;=EOMONTH($J95,-1)+1,W$30&lt;=EOMONTH(EOMONTH($J95,-1)+1,$K95-1)),IF(NOT(ISBLANK($N95)),$N95/$K95,$I95/$K95),0),0)</f>
        <v>220933.52666666664</v>
      </c>
      <c r="X95" s="498">
        <f>IFERROR(IF(AND(X$30&gt;=EOMONTH($J95,-1)+1,X$30&lt;=EOMONTH(EOMONTH($J95,-1)+1,$K95-1)),IF(NOT(ISBLANK($N95)),$N95/$K95,$I95/$K95),0),0)</f>
        <v>220933.52666666664</v>
      </c>
      <c r="Y95" s="440">
        <f t="shared" si="26"/>
        <v>662800.57999999996</v>
      </c>
      <c r="Z95" s="645">
        <f>IFERROR(IF(AND(Z$30&gt;=EOMONTH($J95,-1)+1,Z$30&lt;=EOMONTH(EOMONTH($J95,-1)+1,$K95-1)),IF(NOT(ISBLANK($N95)),$N95/$K95,$I95/$K95),0),0)</f>
        <v>220933.52666666664</v>
      </c>
      <c r="AA95" s="498">
        <f>IFERROR(IF(AND(AA$30&gt;=EOMONTH($J95,-1)+1,AA$30&lt;=EOMONTH(EOMONTH($J95,-1)+1,$K95-1)),IF(NOT(ISBLANK($N95)),$N95/$K95,$I95/$K95),0),0)</f>
        <v>220933.52666666664</v>
      </c>
      <c r="AB95" s="498">
        <f>IFERROR(IF(AND(AB$30&gt;=EOMONTH($J95,-1)+1,AB$30&lt;=EOMONTH(EOMONTH($J95,-1)+1,$K95-1)),IF(NOT(ISBLANK($N95)),$N95/$K95,$I95/$K95),0),0)</f>
        <v>220933.52666666664</v>
      </c>
      <c r="AC95" s="440">
        <f t="shared" si="21"/>
        <v>662800.57999999996</v>
      </c>
      <c r="AD95" s="498">
        <f>IFERROR(IF(AND(AD$30&gt;=EOMONTH($J95,-1)+1,AD$30&lt;=EOMONTH(EOMONTH($J95,-1)+1,$K95-1)),IF(NOT(ISBLANK($N95)),$N95/$K95,$I95/$K95),0),0)</f>
        <v>220933.52666666664</v>
      </c>
      <c r="AE95" s="498">
        <f>IFERROR(IF(AND(AE$30&gt;=EOMONTH($J95,-1)+1,AE$30&lt;=EOMONTH(EOMONTH($J95,-1)+1,$K95-1)),IF(NOT(ISBLANK($N95)),$N95/$K95,$I95/$K95),0),0)</f>
        <v>220933.52666666664</v>
      </c>
      <c r="AF95" s="498">
        <f>IFERROR(IF(AND(AF$30&gt;=EOMONTH($J95,-1)+1,AF$30&lt;=EOMONTH(EOMONTH($J95,-1)+1,$K95-1)),IF(NOT(ISBLANK($N95)),$N95/$K95,$I95/$K95),0),0)</f>
        <v>220933.52666666664</v>
      </c>
      <c r="AG95" s="440">
        <f t="shared" si="22"/>
        <v>662800.57999999996</v>
      </c>
      <c r="AH95" s="498">
        <f>IFERROR(IF(AND(AH$30&gt;=EOMONTH($J95,-1)+1,AH$30&lt;=EOMONTH(EOMONTH($J95,-1)+1,$K95-1)),IF(NOT(ISBLANK($N95)),$N95/$K95,$I95/$K95),0),0)</f>
        <v>220933.52666666664</v>
      </c>
      <c r="AI95" s="498">
        <f>IFERROR(IF(AND(AI$30&gt;=EOMONTH($J95,-1)+1,AI$30&lt;=EOMONTH(EOMONTH($J95,-1)+1,$K95-1)),IF(NOT(ISBLANK($N95)),$N95/$K95,$I95/$K95),0),0)</f>
        <v>220933.52666666664</v>
      </c>
      <c r="AJ95" s="498">
        <f>IFERROR(IF(AND(AJ$30&gt;=EOMONTH($J95,-1)+1,AJ$30&lt;=EOMONTH(EOMONTH($J95,-1)+1,$K95-1)),IF(NOT(ISBLANK($N95)),$N95/$K95,$I95/$K95),0),0)</f>
        <v>220933.52666666664</v>
      </c>
      <c r="AK95" s="440">
        <f t="shared" si="167"/>
        <v>662800.57999999996</v>
      </c>
      <c r="AL95" s="94">
        <f t="shared" si="171"/>
        <v>2651202.3200000003</v>
      </c>
      <c r="AM95" s="1407"/>
      <c r="AN95" s="1407"/>
      <c r="AO95" s="1334"/>
      <c r="AP95" s="1403">
        <f>I95*AO95</f>
        <v>0</v>
      </c>
      <c r="AQ95" s="553" t="str">
        <f>D95</f>
        <v>Negociação de preços materiais carcaça Dana</v>
      </c>
      <c r="AR95" s="62" t="s">
        <v>311</v>
      </c>
      <c r="AS95" s="508" cm="1">
        <f t="array" aca="1" ref="AS95" ca="1">IF(OR(AQ95="",AQ95=0),"",IF(SUMPRODUCT(($D$31:$D$144=AQ95)*($T$31:$T$144="Previsto")*($V$30:$AJ$30&lt;EOMONTH(TODAY(),-1)+1)*($V$31:$AJ$144))=0,"",SUMPRODUCT(($D$31:$D$144=AQ95)*($T$31:$T$144="Previsto")*($V$30:$AJ$30&lt;EOMONTH(TODAY(),-1)+1)*($V$31:$AJ$144))))</f>
        <v>1546534.6866666665</v>
      </c>
      <c r="AT95" s="62" t="str">
        <f t="shared" ref="AT95" si="174">A95</f>
        <v>Redução de custo</v>
      </c>
      <c r="AV95" s="1566">
        <f t="shared" ref="AV95" si="175">IF(OR(I95="",K95=""),0,(I95/12)*K95)</f>
        <v>2674685</v>
      </c>
      <c r="AW95" s="1566">
        <f t="shared" ref="AW95" si="176">IF(OR(N95="",K95="",K95=0),0,(N95/K95)*12)</f>
        <v>2651202.3199999998</v>
      </c>
      <c r="AX95" s="1566"/>
    </row>
    <row r="96" spans="1:50" ht="29.1" customHeight="1" x14ac:dyDescent="0.3">
      <c r="A96" s="1810"/>
      <c r="B96" s="1466"/>
      <c r="C96" s="1408"/>
      <c r="D96" s="1455"/>
      <c r="E96" s="2363"/>
      <c r="F96" s="1452"/>
      <c r="G96" s="1786"/>
      <c r="H96" s="1786"/>
      <c r="I96" s="1835"/>
      <c r="J96" s="1379"/>
      <c r="K96" s="1387"/>
      <c r="L96" s="1396"/>
      <c r="M96" s="2154"/>
      <c r="N96" s="2156"/>
      <c r="O96" s="1330"/>
      <c r="P96" s="1330"/>
      <c r="Q96" s="1330"/>
      <c r="R96" s="1330"/>
      <c r="S96" s="2192"/>
      <c r="T96" s="96" t="s">
        <v>117</v>
      </c>
      <c r="U96" s="456">
        <f>_xlfn.XLOOKUP(B95,[50]Detalhamento!$A:$A,[50]Detalhamento!$N:$N)</f>
        <v>1</v>
      </c>
      <c r="V96" s="670">
        <v>208823.13</v>
      </c>
      <c r="W96" s="670">
        <v>200827.67</v>
      </c>
      <c r="X96" s="670">
        <v>160789.38</v>
      </c>
      <c r="Y96" s="440">
        <f>SUM(V96:X96)</f>
        <v>570440.18000000005</v>
      </c>
      <c r="Z96" s="670">
        <v>170068.2</v>
      </c>
      <c r="AA96" s="670">
        <v>166111.82</v>
      </c>
      <c r="AB96" s="699">
        <v>248086.04</v>
      </c>
      <c r="AC96" s="440">
        <f t="shared" si="21"/>
        <v>584266.06000000006</v>
      </c>
      <c r="AD96" s="498"/>
      <c r="AE96" s="498"/>
      <c r="AF96" s="498"/>
      <c r="AG96" s="440">
        <f t="shared" si="22"/>
        <v>0</v>
      </c>
      <c r="AH96" s="498"/>
      <c r="AI96" s="498"/>
      <c r="AJ96" s="498"/>
      <c r="AK96" s="440">
        <f t="shared" si="167"/>
        <v>0</v>
      </c>
      <c r="AL96" s="94">
        <f>SUM(V96:X96,Z96:AB96,AD96:AF96,AH96:AJ96)</f>
        <v>1154706.2400000002</v>
      </c>
      <c r="AM96" s="1408"/>
      <c r="AN96" s="1408"/>
      <c r="AO96" s="1330"/>
      <c r="AP96" s="1404"/>
      <c r="AQ96" s="554" t="str">
        <f>D95</f>
        <v>Negociação de preços materiais carcaça Dana</v>
      </c>
      <c r="AR96" s="62" t="s">
        <v>313</v>
      </c>
      <c r="AS96" s="508" cm="1">
        <f t="array" aca="1" ref="AS96" ca="1">IF(OR(AQ96="",AQ96=0),"",IF(SUMPRODUCT(($D$31:$D$144=AQ96)*(ISNUMBER(SEARCH("Real",$T$32:$T$145)))*($V$30:$AJ$30&lt;EOMONTH(TODAY(),-1)+1)*($V$32:$AJ$145))=0,"",SUMPRODUCT(($D$31:$D$144=AQ96)*(ISNUMBER(SEARCH("Real",$T$32:$T$145)))*($V$30:$AJ$30&lt;EOMONTH(TODAY(),-1)+1)*($V$32:$AJ$145))))</f>
        <v>1154706.2400000002</v>
      </c>
      <c r="AT96" s="62" t="str">
        <f t="shared" ref="AT96" si="177">A95</f>
        <v>Redução de custo</v>
      </c>
      <c r="AV96" s="1567"/>
      <c r="AW96" s="1567"/>
      <c r="AX96" s="1567"/>
    </row>
    <row r="97" spans="1:49" ht="29.1" customHeight="1" x14ac:dyDescent="0.3">
      <c r="A97" s="1380" t="s">
        <v>89</v>
      </c>
      <c r="B97" s="2372" t="s">
        <v>2601</v>
      </c>
      <c r="C97" s="2392" t="s">
        <v>101</v>
      </c>
      <c r="D97" s="1486" t="s">
        <v>2602</v>
      </c>
      <c r="E97" s="2413" t="s">
        <v>2603</v>
      </c>
      <c r="F97" s="1370" t="s">
        <v>2506</v>
      </c>
      <c r="G97" s="1372">
        <f>_xlfn.XLOOKUP(B97,[50]Detalhamento!$A:$A,[50]Detalhamento!$I:$I)</f>
        <v>46140</v>
      </c>
      <c r="H97" s="1372">
        <f>_xlfn.XLOOKUP(B97,[50]Detalhamento!$A:$A,[50]Detalhamento!$J:$J)</f>
        <v>46230</v>
      </c>
      <c r="I97" s="1354">
        <f>IFERROR(_xlfn.XLOOKUP(B97,[50]Detalhamento!$A:$A,[50]Detalhamento!$E:$E)," - ")</f>
        <v>38422</v>
      </c>
      <c r="J97" s="1376">
        <f>_xlfn.XLOOKUP(B97,[50]Detalhamento!$A:$A,[50]Detalhamento!$O:$O)</f>
        <v>46235</v>
      </c>
      <c r="K97" s="1389">
        <f t="shared" ref="K97" si="178">IF(J97="", "", 12 - MONTH(J97) + 1)</f>
        <v>5</v>
      </c>
      <c r="L97" s="1354"/>
      <c r="M97" s="2356"/>
      <c r="N97" s="1391"/>
      <c r="O97" s="1327" t="s">
        <v>81</v>
      </c>
      <c r="P97" s="1327"/>
      <c r="Q97" s="1327"/>
      <c r="R97" s="1327"/>
      <c r="S97" s="2197" t="s">
        <v>2500</v>
      </c>
      <c r="T97" s="91" t="s">
        <v>116</v>
      </c>
      <c r="U97" s="91">
        <f>_xlfn.XLOOKUP(B97,[50]Detalhamento!$A:$A,[50]Detalhamento!$M:$M)</f>
        <v>1</v>
      </c>
      <c r="V97" s="287">
        <f>IFERROR(IF(AND(V$30&gt;=EOMONTH($J97,-1)+1,V$30&lt;=EOMONTH(EOMONTH($J97,-1)+1,$K97-1)),IF(NOT(ISBLANK($N97)),$N97/$K97,$I97/$K97),0),0)</f>
        <v>0</v>
      </c>
      <c r="W97" s="287">
        <f>IFERROR(IF(AND(W$30&gt;=EOMONTH($J97,-1)+1,W$30&lt;=EOMONTH(EOMONTH($J97,-1)+1,$K97-1)),IF(NOT(ISBLANK($N97)),$N97/$K97,$I97/$K97),0),0)</f>
        <v>0</v>
      </c>
      <c r="X97" s="287">
        <f>IFERROR(IF(AND(X$30&gt;=EOMONTH($J97,-1)+1,X$30&lt;=EOMONTH(EOMONTH($J97,-1)+1,$K97-1)),IF(NOT(ISBLANK($N97)),$N97/$K97,$I97/$K97),0),0)</f>
        <v>0</v>
      </c>
      <c r="Y97" s="440">
        <f t="shared" si="26"/>
        <v>0</v>
      </c>
      <c r="Z97" s="287">
        <f>IFERROR(IF(AND(Z$30&gt;=EOMONTH($J97,-1)+1,Z$30&lt;=EOMONTH(EOMONTH($J97,-1)+1,$K97-1)),IF(NOT(ISBLANK($N97)),$N97/$K97,$I97/$K97),0),0)</f>
        <v>0</v>
      </c>
      <c r="AA97" s="287">
        <f>IFERROR(IF(AND(AA$30&gt;=EOMONTH($J97,-1)+1,AA$30&lt;=EOMONTH(EOMONTH($J97,-1)+1,$K97-1)),IF(NOT(ISBLANK($N97)),$N97/$K97,$I97/$K97),0),0)</f>
        <v>0</v>
      </c>
      <c r="AB97" s="287">
        <f>IFERROR(IF(AND(AB$30&gt;=EOMONTH($J97,-1)+1,AB$30&lt;=EOMONTH(EOMONTH($J97,-1)+1,$K97-1)),IF(NOT(ISBLANK($N97)),$N97/$K97,$I97/$K97),0),0)</f>
        <v>0</v>
      </c>
      <c r="AC97" s="440">
        <f t="shared" si="21"/>
        <v>0</v>
      </c>
      <c r="AD97" s="287">
        <f>IFERROR(IF(AND(AD$30&gt;=EOMONTH($J97,-1)+1,AD$30&lt;=EOMONTH(EOMONTH($J97,-1)+1,$K97-1)),IF(NOT(ISBLANK($N97)),$N97/$K97,$I97/$K97),0),0)</f>
        <v>0</v>
      </c>
      <c r="AE97" s="287">
        <f>IFERROR(IF(AND(AE$30&gt;=EOMONTH($J97,-1)+1,AE$30&lt;=EOMONTH(EOMONTH($J97,-1)+1,$K97-1)),IF(NOT(ISBLANK($N97)),$N97/$K97,$I97/$K97),0),0)</f>
        <v>7684.4</v>
      </c>
      <c r="AF97" s="287">
        <f>IFERROR(IF(AND(AF$30&gt;=EOMONTH($J97,-1)+1,AF$30&lt;=EOMONTH(EOMONTH($J97,-1)+1,$K97-1)),IF(NOT(ISBLANK($N97)),$N97/$K97,$I97/$K97),0),0)</f>
        <v>7684.4</v>
      </c>
      <c r="AG97" s="440">
        <f t="shared" si="22"/>
        <v>15368.8</v>
      </c>
      <c r="AH97" s="287">
        <f>IFERROR(IF(AND(AH$30&gt;=EOMONTH($J97,-1)+1,AH$30&lt;=EOMONTH(EOMONTH($J97,-1)+1,$K97-1)),IF(NOT(ISBLANK($N97)),$N97/$K97,$I97/$K97),0),0)</f>
        <v>7684.4</v>
      </c>
      <c r="AI97" s="287">
        <f>IFERROR(IF(AND(AI$30&gt;=EOMONTH($J97,-1)+1,AI$30&lt;=EOMONTH(EOMONTH($J97,-1)+1,$K97-1)),IF(NOT(ISBLANK($N97)),$N97/$K97,$I97/$K97),0),0)</f>
        <v>7684.4</v>
      </c>
      <c r="AJ97" s="287">
        <f>IFERROR(IF(AND(AJ$30&gt;=EOMONTH($J97,-1)+1,AJ$30&lt;=EOMONTH(EOMONTH($J97,-1)+1,$K97-1)),IF(NOT(ISBLANK($N97)),$N97/$K97,$I97/$K97),0),0)</f>
        <v>7684.4</v>
      </c>
      <c r="AK97" s="440">
        <f t="shared" si="167"/>
        <v>23053.199999999997</v>
      </c>
      <c r="AL97" s="116">
        <f t="shared" si="171"/>
        <v>38422</v>
      </c>
      <c r="AM97" s="1407"/>
      <c r="AN97" s="1407"/>
      <c r="AO97" s="1334"/>
      <c r="AP97" s="1403">
        <f>I97*AO97</f>
        <v>0</v>
      </c>
      <c r="AQ97" s="553" t="str">
        <f>D97</f>
        <v>BID Corporativo Punções</v>
      </c>
      <c r="AR97" s="62" t="s">
        <v>311</v>
      </c>
      <c r="AS97" s="508" t="str" cm="1">
        <f t="array" aca="1" ref="AS97" ca="1">IF(OR(AQ97="",AQ97=0),"",IF(SUMPRODUCT(($D$31:$D$144=AQ97)*($T$31:$T$144="Previsto")*($V$30:$AJ$30&lt;EOMONTH(TODAY(),-1)+1)*($V$31:$AJ$144))=0,"",SUMPRODUCT(($D$31:$D$144=AQ97)*($T$31:$T$144="Previsto")*($V$30:$AJ$30&lt;EOMONTH(TODAY(),-1)+1)*($V$31:$AJ$144))))</f>
        <v/>
      </c>
      <c r="AT97" s="62" t="str">
        <f t="shared" ref="AT97" si="179">A97</f>
        <v>Redução de Custo</v>
      </c>
      <c r="AV97" s="1566">
        <f t="shared" ref="AV97" si="180">IF(OR(I97="",K97=""),0,(I97/12)*K97)</f>
        <v>16009.166666666668</v>
      </c>
      <c r="AW97" s="1566">
        <f t="shared" ref="AW97" si="181">IF(OR(N97="",K97="",K97=0),0,(N97/K97)*12)</f>
        <v>0</v>
      </c>
    </row>
    <row r="98" spans="1:49" ht="29.1" customHeight="1" x14ac:dyDescent="0.3">
      <c r="A98" s="1381"/>
      <c r="B98" s="1483"/>
      <c r="C98" s="1381"/>
      <c r="D98" s="1487"/>
      <c r="E98" s="2363"/>
      <c r="F98" s="1371"/>
      <c r="G98" s="1373"/>
      <c r="H98" s="1373"/>
      <c r="I98" s="1355"/>
      <c r="J98" s="1377"/>
      <c r="K98" s="1389"/>
      <c r="L98" s="1355"/>
      <c r="M98" s="2357"/>
      <c r="N98" s="1392"/>
      <c r="O98" s="1328"/>
      <c r="P98" s="1328"/>
      <c r="Q98" s="1328"/>
      <c r="R98" s="1328"/>
      <c r="S98" s="2198"/>
      <c r="T98" s="91" t="s">
        <v>117</v>
      </c>
      <c r="U98" s="452">
        <f>_xlfn.XLOOKUP(B97,[50]Detalhamento!$A:$A,[50]Detalhamento!$N:$N)</f>
        <v>1</v>
      </c>
      <c r="V98" s="287"/>
      <c r="W98" s="287"/>
      <c r="X98" s="287"/>
      <c r="Y98" s="440">
        <f t="shared" si="26"/>
        <v>0</v>
      </c>
      <c r="Z98" s="287"/>
      <c r="AA98" s="287"/>
      <c r="AB98" s="287"/>
      <c r="AC98" s="440">
        <f t="shared" si="21"/>
        <v>0</v>
      </c>
      <c r="AD98" s="287"/>
      <c r="AE98" s="287"/>
      <c r="AF98" s="287"/>
      <c r="AG98" s="440">
        <f t="shared" si="22"/>
        <v>0</v>
      </c>
      <c r="AH98" s="287"/>
      <c r="AI98" s="287"/>
      <c r="AJ98" s="287"/>
      <c r="AK98" s="440">
        <f t="shared" si="167"/>
        <v>0</v>
      </c>
      <c r="AL98" s="454">
        <f t="shared" si="171"/>
        <v>0</v>
      </c>
      <c r="AM98" s="1408"/>
      <c r="AN98" s="1408"/>
      <c r="AO98" s="1330"/>
      <c r="AP98" s="1404"/>
      <c r="AQ98" s="554" t="str">
        <f>D97</f>
        <v>BID Corporativo Punções</v>
      </c>
      <c r="AR98" s="62" t="s">
        <v>313</v>
      </c>
      <c r="AS98" s="508" t="str" cm="1">
        <f t="array" aca="1" ref="AS98" ca="1">IF(OR(AQ98="",AQ98=0),"",IF(SUMPRODUCT(($D$31:$D$144=AQ98)*(ISNUMBER(SEARCH("Real",$T$32:$T$145)))*($V$30:$AJ$30&lt;EOMONTH(TODAY(),-1)+1)*($V$32:$AJ$145))=0,"",SUMPRODUCT(($D$31:$D$144=AQ98)*(ISNUMBER(SEARCH("Real",$T$32:$T$145)))*($V$30:$AJ$30&lt;EOMONTH(TODAY(),-1)+1)*($V$32:$AJ$145))))</f>
        <v/>
      </c>
      <c r="AT98" s="62" t="str">
        <f t="shared" ref="AT98" si="182">A97</f>
        <v>Redução de Custo</v>
      </c>
      <c r="AV98" s="1567"/>
      <c r="AW98" s="1567"/>
    </row>
    <row r="99" spans="1:49" ht="29.1" customHeight="1" x14ac:dyDescent="0.3">
      <c r="A99" s="1809" t="s">
        <v>92</v>
      </c>
      <c r="B99" s="1465" t="s">
        <v>2604</v>
      </c>
      <c r="C99" s="2419" t="s">
        <v>95</v>
      </c>
      <c r="D99" s="1356" t="s">
        <v>2605</v>
      </c>
      <c r="E99" s="2362" t="s">
        <v>2606</v>
      </c>
      <c r="F99" s="1451" t="s">
        <v>2552</v>
      </c>
      <c r="G99" s="1785">
        <f>_xlfn.XLOOKUP(B99,[50]Detalhamento!$A:$A,[50]Detalhamento!$I:$I)</f>
        <v>46087</v>
      </c>
      <c r="H99" s="1785">
        <f>_xlfn.XLOOKUP(B99,[50]Detalhamento!$A:$A,[50]Detalhamento!$J:$J)</f>
        <v>45933</v>
      </c>
      <c r="I99" s="1844">
        <f>IFERROR(_xlfn.XLOOKUP(B99,[50]Detalhamento!$A:$A,[50]Detalhamento!$E:$E)," - ")</f>
        <v>0</v>
      </c>
      <c r="J99" s="1378">
        <f>_xlfn.XLOOKUP(B99,[50]Detalhamento!$A:$A,[50]Detalhamento!$O:$O)</f>
        <v>46266</v>
      </c>
      <c r="K99" s="1387">
        <f t="shared" ref="K99" si="183">IF(J99="", "", 12 - MONTH(J99) + 1)</f>
        <v>4</v>
      </c>
      <c r="L99" s="1395"/>
      <c r="M99" s="2364"/>
      <c r="N99" s="1393"/>
      <c r="O99" s="1334" t="s">
        <v>83</v>
      </c>
      <c r="P99" s="1334"/>
      <c r="Q99" s="1334"/>
      <c r="R99" s="1334"/>
      <c r="S99" s="2191"/>
      <c r="T99" s="96" t="s">
        <v>116</v>
      </c>
      <c r="U99" s="96">
        <f>_xlfn.XLOOKUP(B99,[50]Detalhamento!$A:$A,[50]Detalhamento!$M:$M)</f>
        <v>0.33333333333333331</v>
      </c>
      <c r="V99" s="498">
        <f>IFERROR(IF(AND(V$30&gt;=EOMONTH($J99,-1)+1,V$30&lt;=EOMONTH(EOMONTH($J99,-1)+1,$K99-1)),IF(NOT(ISBLANK($N99)),$N99/$K99,$I99/$K99),0),0)</f>
        <v>0</v>
      </c>
      <c r="W99" s="498">
        <f>IFERROR(IF(AND(W$30&gt;=EOMONTH($J99,-1)+1,W$30&lt;=EOMONTH(EOMONTH($J99,-1)+1,$K99-1)),IF(NOT(ISBLANK($N99)),$N99/$K99,$I99/$K99),0),0)</f>
        <v>0</v>
      </c>
      <c r="X99" s="498">
        <f>IFERROR(IF(AND(X$30&gt;=EOMONTH($J99,-1)+1,X$30&lt;=EOMONTH(EOMONTH($J99,-1)+1,$K99-1)),IF(NOT(ISBLANK($N99)),$N99/$K99,$I99/$K99),0),0)</f>
        <v>0</v>
      </c>
      <c r="Y99" s="440">
        <f t="shared" si="26"/>
        <v>0</v>
      </c>
      <c r="Z99" s="498">
        <f>IFERROR(IF(AND(Z$30&gt;=EOMONTH($J99,-1)+1,Z$30&lt;=EOMONTH(EOMONTH($J99,-1)+1,$K99-1)),IF(NOT(ISBLANK($N99)),$N99/$K99,$I99/$K99),0),0)</f>
        <v>0</v>
      </c>
      <c r="AA99" s="498">
        <f>IFERROR(IF(AND(AA$30&gt;=EOMONTH($J99,-1)+1,AA$30&lt;=EOMONTH(EOMONTH($J99,-1)+1,$K99-1)),IF(NOT(ISBLANK($N99)),$N99/$K99,$I99/$K99),0),0)</f>
        <v>0</v>
      </c>
      <c r="AB99" s="498">
        <f>IFERROR(IF(AND(AB$30&gt;=EOMONTH($J99,-1)+1,AB$30&lt;=EOMONTH(EOMONTH($J99,-1)+1,$K99-1)),IF(NOT(ISBLANK($N99)),$N99/$K99,$I99/$K99),0),0)</f>
        <v>0</v>
      </c>
      <c r="AC99" s="440">
        <f t="shared" ref="AC99:AC144" si="184">SUM(Z99:AB99)</f>
        <v>0</v>
      </c>
      <c r="AD99" s="498">
        <f>IFERROR(IF(AND(AD$30&gt;=EOMONTH($J99,-1)+1,AD$30&lt;=EOMONTH(EOMONTH($J99,-1)+1,$K99-1)),IF(NOT(ISBLANK($N99)),$N99/$K99,$I99/$K99),0),0)</f>
        <v>0</v>
      </c>
      <c r="AE99" s="498">
        <f>IFERROR(IF(AND(AE$30&gt;=EOMONTH($J99,-1)+1,AE$30&lt;=EOMONTH(EOMONTH($J99,-1)+1,$K99-1)),IF(NOT(ISBLANK($N99)),$N99/$K99,$I99/$K99),0),0)</f>
        <v>0</v>
      </c>
      <c r="AF99" s="498">
        <f>IFERROR(IF(AND(AF$30&gt;=EOMONTH($J99,-1)+1,AF$30&lt;=EOMONTH(EOMONTH($J99,-1)+1,$K99-1)),IF(NOT(ISBLANK($N99)),$N99/$K99,$I99/$K99),0),0)</f>
        <v>0</v>
      </c>
      <c r="AG99" s="440">
        <f t="shared" ref="AG99:AG144" si="185">SUM(AD99:AF99)</f>
        <v>0</v>
      </c>
      <c r="AH99" s="498">
        <f>IFERROR(IF(AND(AH$30&gt;=EOMONTH($J99,-1)+1,AH$30&lt;=EOMONTH(EOMONTH($J99,-1)+1,$K99-1)),IF(NOT(ISBLANK($N99)),$N99/$K99,$I99/$K99),0),0)</f>
        <v>0</v>
      </c>
      <c r="AI99" s="498">
        <f>IFERROR(IF(AND(AI$30&gt;=EOMONTH($J99,-1)+1,AI$30&lt;=EOMONTH(EOMONTH($J99,-1)+1,$K99-1)),IF(NOT(ISBLANK($N99)),$N99/$K99,$I99/$K99),0),0)</f>
        <v>0</v>
      </c>
      <c r="AJ99" s="498">
        <f>IFERROR(IF(AND(AJ$30&gt;=EOMONTH($J99,-1)+1,AJ$30&lt;=EOMONTH(EOMONTH($J99,-1)+1,$K99-1)),IF(NOT(ISBLANK($N99)),$N99/$K99,$I99/$K99),0),0)</f>
        <v>0</v>
      </c>
      <c r="AK99" s="440">
        <f t="shared" si="167"/>
        <v>0</v>
      </c>
      <c r="AL99" s="94">
        <f t="shared" si="171"/>
        <v>0</v>
      </c>
      <c r="AM99" s="1407"/>
      <c r="AN99" s="1407"/>
      <c r="AO99" s="1334"/>
      <c r="AP99" s="1403">
        <f>I99*AO99</f>
        <v>0</v>
      </c>
      <c r="AQ99" s="553" t="str">
        <f>D99</f>
        <v>Estratégia comercial com as Usinas</v>
      </c>
      <c r="AR99" s="62" t="s">
        <v>311</v>
      </c>
      <c r="AS99" s="508" t="str" cm="1">
        <f t="array" aca="1" ref="AS99" ca="1">IF(OR(AQ99="",AQ99=0),"",IF(SUMPRODUCT(($D$31:$D$144=AQ99)*($T$31:$T$144="Previsto")*($V$30:$AJ$30&lt;EOMONTH(TODAY(),-1)+1)*($V$31:$AJ$144))=0,"",SUMPRODUCT(($D$31:$D$144=AQ99)*($T$31:$T$144="Previsto")*($V$30:$AJ$30&lt;EOMONTH(TODAY(),-1)+1)*($V$31:$AJ$144))))</f>
        <v/>
      </c>
      <c r="AT99" s="62" t="str">
        <f t="shared" ref="AT99" si="186">A99</f>
        <v>Estratégia Comercial</v>
      </c>
      <c r="AV99" s="1566">
        <f t="shared" ref="AV99" si="187">IF(OR(I99="",K99=""),0,(I99/12)*K99)</f>
        <v>0</v>
      </c>
      <c r="AW99" s="1566">
        <f t="shared" ref="AW99" si="188">IF(OR(N99="",K99="",K99=0),0,(N99/K99)*12)</f>
        <v>0</v>
      </c>
    </row>
    <row r="100" spans="1:49" ht="29.1" customHeight="1" x14ac:dyDescent="0.3">
      <c r="A100" s="1810"/>
      <c r="B100" s="1466"/>
      <c r="C100" s="1408"/>
      <c r="D100" s="1455"/>
      <c r="E100" s="2363"/>
      <c r="F100" s="1452"/>
      <c r="G100" s="1786"/>
      <c r="H100" s="1786"/>
      <c r="I100" s="1835"/>
      <c r="J100" s="1379"/>
      <c r="K100" s="1387"/>
      <c r="L100" s="1396"/>
      <c r="M100" s="2365"/>
      <c r="N100" s="1394"/>
      <c r="O100" s="1330"/>
      <c r="P100" s="1330"/>
      <c r="Q100" s="1330"/>
      <c r="R100" s="1330"/>
      <c r="S100" s="2192"/>
      <c r="T100" s="96" t="s">
        <v>117</v>
      </c>
      <c r="U100" s="453">
        <f>_xlfn.XLOOKUP(B99,[50]Detalhamento!$A:$A,[50]Detalhamento!$N:$N)</f>
        <v>0.33333333333333331</v>
      </c>
      <c r="V100" s="498"/>
      <c r="W100" s="498"/>
      <c r="X100" s="498"/>
      <c r="Y100" s="440">
        <f t="shared" ref="Y100:Y144" si="189">SUM(V100:X100)</f>
        <v>0</v>
      </c>
      <c r="Z100" s="498"/>
      <c r="AA100" s="498"/>
      <c r="AB100" s="498"/>
      <c r="AC100" s="440">
        <f t="shared" si="184"/>
        <v>0</v>
      </c>
      <c r="AD100" s="498"/>
      <c r="AE100" s="498"/>
      <c r="AF100" s="498"/>
      <c r="AG100" s="440">
        <f t="shared" si="185"/>
        <v>0</v>
      </c>
      <c r="AH100" s="498"/>
      <c r="AI100" s="498"/>
      <c r="AJ100" s="498"/>
      <c r="AK100" s="440">
        <f t="shared" si="167"/>
        <v>0</v>
      </c>
      <c r="AL100" s="94">
        <f t="shared" si="171"/>
        <v>0</v>
      </c>
      <c r="AM100" s="1408"/>
      <c r="AN100" s="1408"/>
      <c r="AO100" s="1330"/>
      <c r="AP100" s="1404"/>
      <c r="AQ100" s="554" t="str">
        <f>D99</f>
        <v>Estratégia comercial com as Usinas</v>
      </c>
      <c r="AR100" s="62" t="s">
        <v>313</v>
      </c>
      <c r="AS100" s="508" t="str" cm="1">
        <f t="array" aca="1" ref="AS100" ca="1">IF(OR(AQ100="",AQ100=0),"",IF(SUMPRODUCT(($D$31:$D$144=AQ100)*(ISNUMBER(SEARCH("Real",$T$32:$T$145)))*($V$30:$AJ$30&lt;EOMONTH(TODAY(),-1)+1)*($V$32:$AJ$145))=0,"",SUMPRODUCT(($D$31:$D$144=AQ100)*(ISNUMBER(SEARCH("Real",$T$32:$T$145)))*($V$30:$AJ$30&lt;EOMONTH(TODAY(),-1)+1)*($V$32:$AJ$145))))</f>
        <v/>
      </c>
      <c r="AT100" s="62" t="str">
        <f t="shared" ref="AT100" si="190">A99</f>
        <v>Estratégia Comercial</v>
      </c>
      <c r="AV100" s="1567"/>
      <c r="AW100" s="1567"/>
    </row>
    <row r="101" spans="1:49" ht="29.1" customHeight="1" x14ac:dyDescent="0.3">
      <c r="A101" s="1380" t="s">
        <v>89</v>
      </c>
      <c r="B101" s="2411" t="s">
        <v>2607</v>
      </c>
      <c r="C101" s="2392" t="s">
        <v>99</v>
      </c>
      <c r="D101" s="2414" t="s">
        <v>2608</v>
      </c>
      <c r="E101" s="2422" t="s">
        <v>2609</v>
      </c>
      <c r="F101" s="2405" t="s">
        <v>2510</v>
      </c>
      <c r="G101" s="2407">
        <f>_xlfn.XLOOKUP(B101,[50]Detalhamento!$A:$A,[50]Detalhamento!$I:$I)</f>
        <v>46056</v>
      </c>
      <c r="H101" s="2407">
        <f>_xlfn.XLOOKUP(B101,[50]Detalhamento!$A:$A,[50]Detalhamento!$J:$J)</f>
        <v>46099</v>
      </c>
      <c r="I101" s="2117">
        <f>IFERROR(_xlfn.XLOOKUP(B101,[50]Detalhamento!$A:$A,[50]Detalhamento!$E:$E)," - ")</f>
        <v>39383</v>
      </c>
      <c r="J101" s="2366">
        <f>_xlfn.XLOOKUP(B101,[50]Detalhamento!$A:$A,[50]Detalhamento!$O:$O)</f>
        <v>46101</v>
      </c>
      <c r="K101" s="1389">
        <f t="shared" ref="K101" si="191">IF(J101="", "", 12 - MONTH(J101) + 1)</f>
        <v>10</v>
      </c>
      <c r="L101" s="2374"/>
      <c r="M101" s="1350" t="s">
        <v>308</v>
      </c>
      <c r="N101" s="1391">
        <v>39383</v>
      </c>
      <c r="O101" s="1327" t="s">
        <v>81</v>
      </c>
      <c r="P101" s="1327"/>
      <c r="Q101" s="1327"/>
      <c r="R101" s="1327"/>
      <c r="S101" s="2197"/>
      <c r="T101" s="91" t="s">
        <v>116</v>
      </c>
      <c r="U101" s="91">
        <f>_xlfn.XLOOKUP(B101,[50]Detalhamento!$A:$A,[50]Detalhamento!$M:$M)</f>
        <v>1</v>
      </c>
      <c r="V101" s="287">
        <f>IFERROR(IF(AND(V$30&gt;=EOMONTH($J101,-1)+1,V$30&lt;=EOMONTH(EOMONTH($J101,-1)+1,$K101-1)),IF(NOT(ISBLANK($N101)),$N101/$K101,$I101/$K101),0),0)</f>
        <v>0</v>
      </c>
      <c r="W101" s="287">
        <f>IFERROR(IF(AND(W$30&gt;=EOMONTH($J101,-1)+1,W$30&lt;=EOMONTH(EOMONTH($J101,-1)+1,$K101-1)),IF(NOT(ISBLANK($N101)),$N101/$K101,$I101/$K101),0),0)</f>
        <v>0</v>
      </c>
      <c r="X101" s="597">
        <f>IFERROR(IF(AND(X$30&gt;=EOMONTH($J101,-1)+1,X$30&lt;=EOMONTH(EOMONTH($J101,-1)+1,$K101-1)),IF(NOT(ISBLANK($N101)),$N101/$K101,$I101/$K101),0),0)</f>
        <v>3938.3</v>
      </c>
      <c r="Y101" s="440">
        <f t="shared" si="189"/>
        <v>3938.3</v>
      </c>
      <c r="Z101" s="597">
        <f>IFERROR(IF(AND(Z$30&gt;=EOMONTH($J101,-1)+1,Z$30&lt;=EOMONTH(EOMONTH($J101,-1)+1,$K101-1)),IF(NOT(ISBLANK($N101)),$N101/$K101,$I101/$K101),0),0)</f>
        <v>3938.3</v>
      </c>
      <c r="AA101" s="287">
        <f>IFERROR(IF(AND(AA$30&gt;=EOMONTH($J101,-1)+1,AA$30&lt;=EOMONTH(EOMONTH($J101,-1)+1,$K101-1)),IF(NOT(ISBLANK($N101)),$N101/$K101,$I101/$K101),0),0)</f>
        <v>3938.3</v>
      </c>
      <c r="AB101" s="287">
        <f>IFERROR(IF(AND(AB$30&gt;=EOMONTH($J101,-1)+1,AB$30&lt;=EOMONTH(EOMONTH($J101,-1)+1,$K101-1)),IF(NOT(ISBLANK($N101)),$N101/$K101,$I101/$K101),0),0)</f>
        <v>3938.3</v>
      </c>
      <c r="AC101" s="440">
        <f t="shared" si="184"/>
        <v>11814.900000000001</v>
      </c>
      <c r="AD101" s="287">
        <f>IFERROR(IF(AND(AD$30&gt;=EOMONTH($J101,-1)+1,AD$30&lt;=EOMONTH(EOMONTH($J101,-1)+1,$K101-1)),IF(NOT(ISBLANK($N101)),$N101/$K101,$I101/$K101),0),0)</f>
        <v>3938.3</v>
      </c>
      <c r="AE101" s="287">
        <f>IFERROR(IF(AND(AE$30&gt;=EOMONTH($J101,-1)+1,AE$30&lt;=EOMONTH(EOMONTH($J101,-1)+1,$K101-1)),IF(NOT(ISBLANK($N101)),$N101/$K101,$I101/$K101),0),0)</f>
        <v>3938.3</v>
      </c>
      <c r="AF101" s="287">
        <f>IFERROR(IF(AND(AF$30&gt;=EOMONTH($J101,-1)+1,AF$30&lt;=EOMONTH(EOMONTH($J101,-1)+1,$K101-1)),IF(NOT(ISBLANK($N101)),$N101/$K101,$I101/$K101),0),0)</f>
        <v>3938.3</v>
      </c>
      <c r="AG101" s="440">
        <f t="shared" si="185"/>
        <v>11814.900000000001</v>
      </c>
      <c r="AH101" s="287">
        <f>IFERROR(IF(AND(AH$30&gt;=EOMONTH($J101,-1)+1,AH$30&lt;=EOMONTH(EOMONTH($J101,-1)+1,$K101-1)),IF(NOT(ISBLANK($N101)),$N101/$K101,$I101/$K101),0),0)</f>
        <v>3938.3</v>
      </c>
      <c r="AI101" s="287">
        <f>IFERROR(IF(AND(AI$30&gt;=EOMONTH($J101,-1)+1,AI$30&lt;=EOMONTH(EOMONTH($J101,-1)+1,$K101-1)),IF(NOT(ISBLANK($N101)),$N101/$K101,$I101/$K101),0),0)</f>
        <v>3938.3</v>
      </c>
      <c r="AJ101" s="287">
        <f>IFERROR(IF(AND(AJ$30&gt;=EOMONTH($J101,-1)+1,AJ$30&lt;=EOMONTH(EOMONTH($J101,-1)+1,$K101-1)),IF(NOT(ISBLANK($N101)),$N101/$K101,$I101/$K101),0),0)</f>
        <v>3938.3</v>
      </c>
      <c r="AK101" s="440">
        <f t="shared" si="167"/>
        <v>11814.900000000001</v>
      </c>
      <c r="AL101" s="116">
        <f t="shared" si="171"/>
        <v>39383</v>
      </c>
      <c r="AM101" s="1407"/>
      <c r="AN101" s="1407"/>
      <c r="AO101" s="1334"/>
      <c r="AP101" s="1403">
        <f>I101*AO101</f>
        <v>0</v>
      </c>
      <c r="AQ101" s="553" t="str">
        <f>D101</f>
        <v>Negociação Porca Bollhoff 15341 Saga</v>
      </c>
      <c r="AR101" s="62" t="s">
        <v>311</v>
      </c>
      <c r="AS101" s="508" cm="1">
        <f t="array" aca="1" ref="AS101" ca="1">IF(OR(AQ101="",AQ101=0),"",IF(SUMPRODUCT(($D$31:$D$144=AQ101)*($T$31:$T$144="Previsto")*($V$30:$AJ$30&lt;EOMONTH(TODAY(),-1)+1)*($V$31:$AJ$144))=0,"",SUMPRODUCT(($D$31:$D$144=AQ101)*($T$31:$T$144="Previsto")*($V$30:$AJ$30&lt;EOMONTH(TODAY(),-1)+1)*($V$31:$AJ$144))))</f>
        <v>19691.5</v>
      </c>
      <c r="AT101" s="62" t="str">
        <f t="shared" ref="AT101" si="192">A101</f>
        <v>Redução de Custo</v>
      </c>
      <c r="AV101" s="1566">
        <f t="shared" ref="AV101" si="193">IF(OR(I101="",K101=""),0,(I101/12)*K101)</f>
        <v>32819.166666666664</v>
      </c>
      <c r="AW101" s="1566">
        <f t="shared" ref="AW101" si="194">IF(OR(N101="",K101="",K101=0),0,(N101/K101)*12)</f>
        <v>47259.600000000006</v>
      </c>
    </row>
    <row r="102" spans="1:49" ht="29.1" customHeight="1" x14ac:dyDescent="0.3">
      <c r="A102" s="1381"/>
      <c r="B102" s="2412"/>
      <c r="C102" s="1381"/>
      <c r="D102" s="2415"/>
      <c r="E102" s="2410"/>
      <c r="F102" s="2406"/>
      <c r="G102" s="2408"/>
      <c r="H102" s="2408"/>
      <c r="I102" s="2118"/>
      <c r="J102" s="2367"/>
      <c r="K102" s="1389"/>
      <c r="L102" s="2375"/>
      <c r="M102" s="1460"/>
      <c r="N102" s="1392"/>
      <c r="O102" s="1328"/>
      <c r="P102" s="1328"/>
      <c r="Q102" s="1328"/>
      <c r="R102" s="1328"/>
      <c r="S102" s="2198"/>
      <c r="T102" s="91" t="s">
        <v>117</v>
      </c>
      <c r="U102" s="452">
        <f>_xlfn.XLOOKUP(B101,[50]Detalhamento!$A:$A,[50]Detalhamento!$N:$N)</f>
        <v>1</v>
      </c>
      <c r="V102" s="287"/>
      <c r="W102" s="287"/>
      <c r="X102" s="670">
        <v>2453.08</v>
      </c>
      <c r="Y102" s="440">
        <f t="shared" si="189"/>
        <v>2453.08</v>
      </c>
      <c r="Z102" s="670">
        <v>1209.8499999999999</v>
      </c>
      <c r="AA102" s="670">
        <v>1335.01</v>
      </c>
      <c r="AB102" s="699">
        <v>1835.64</v>
      </c>
      <c r="AC102" s="440">
        <f t="shared" si="184"/>
        <v>4380.5</v>
      </c>
      <c r="AD102" s="287"/>
      <c r="AE102" s="287"/>
      <c r="AF102" s="287"/>
      <c r="AG102" s="440">
        <f t="shared" si="185"/>
        <v>0</v>
      </c>
      <c r="AH102" s="287"/>
      <c r="AI102" s="287"/>
      <c r="AJ102" s="287"/>
      <c r="AK102" s="440">
        <f t="shared" si="167"/>
        <v>0</v>
      </c>
      <c r="AL102" s="454">
        <f t="shared" si="171"/>
        <v>6833.58</v>
      </c>
      <c r="AM102" s="1408"/>
      <c r="AN102" s="1408"/>
      <c r="AO102" s="1330"/>
      <c r="AP102" s="1404"/>
      <c r="AQ102" s="554" t="str">
        <f>D101</f>
        <v>Negociação Porca Bollhoff 15341 Saga</v>
      </c>
      <c r="AR102" s="62" t="s">
        <v>313</v>
      </c>
      <c r="AS102" s="508" cm="1">
        <f t="array" aca="1" ref="AS102" ca="1">IF(OR(AQ102="",AQ102=0),"",IF(SUMPRODUCT(($D$31:$D$144=AQ102)*(ISNUMBER(SEARCH("Real",$T$32:$T$145)))*($V$30:$AJ$30&lt;EOMONTH(TODAY(),-1)+1)*($V$32:$AJ$145))=0,"",SUMPRODUCT(($D$31:$D$144=AQ102)*(ISNUMBER(SEARCH("Real",$T$32:$T$145)))*($V$30:$AJ$30&lt;EOMONTH(TODAY(),-1)+1)*($V$32:$AJ$145))))</f>
        <v>6833.58</v>
      </c>
      <c r="AT102" s="62" t="str">
        <f t="shared" ref="AT102" si="195">A101</f>
        <v>Redução de Custo</v>
      </c>
      <c r="AV102" s="1567"/>
      <c r="AW102" s="1567"/>
    </row>
    <row r="103" spans="1:49" ht="29.1" customHeight="1" x14ac:dyDescent="0.3">
      <c r="A103" s="1809" t="s">
        <v>89</v>
      </c>
      <c r="B103" s="1465" t="s">
        <v>2610</v>
      </c>
      <c r="C103" s="2392" t="s">
        <v>95</v>
      </c>
      <c r="D103" s="1356" t="s">
        <v>2611</v>
      </c>
      <c r="E103" s="2362" t="s">
        <v>2612</v>
      </c>
      <c r="F103" s="1451" t="s">
        <v>2566</v>
      </c>
      <c r="G103" s="1366">
        <f>_xlfn.XLOOKUP(B103,[50]Detalhamento!$A:$A,[50]Detalhamento!$I:$I)</f>
        <v>46143</v>
      </c>
      <c r="H103" s="1366">
        <f>_xlfn.XLOOKUP(B103,[50]Detalhamento!$A:$A,[50]Detalhamento!$J:$J)</f>
        <v>46376</v>
      </c>
      <c r="I103" s="1488">
        <f>IFERROR(_xlfn.XLOOKUP(B103,[50]Detalhamento!$A:$A,[50]Detalhamento!$E:$E)," - ")</f>
        <v>364573</v>
      </c>
      <c r="J103" s="1378">
        <f>_xlfn.XLOOKUP(B103,[50]Detalhamento!$A:$A,[50]Detalhamento!$O:$O)</f>
        <v>46366</v>
      </c>
      <c r="K103" s="1387">
        <f t="shared" ref="K103" si="196">IF(J103="", "", 12 - MONTH(J103) + 1)</f>
        <v>1</v>
      </c>
      <c r="L103" s="1395"/>
      <c r="M103" s="2364"/>
      <c r="N103" s="1393"/>
      <c r="O103" s="1334" t="s">
        <v>85</v>
      </c>
      <c r="P103" s="1334"/>
      <c r="Q103" s="1334"/>
      <c r="R103" s="1334"/>
      <c r="S103" s="2191"/>
      <c r="T103" s="96" t="s">
        <v>116</v>
      </c>
      <c r="U103" s="96">
        <f>_xlfn.XLOOKUP(B103,[50]Detalhamento!$A:$A,[50]Detalhamento!$M:$M)</f>
        <v>0.39191919191919189</v>
      </c>
      <c r="V103" s="498">
        <f>IFERROR(IF(AND(V$30&gt;=EOMONTH($J103,-1)+1,V$30&lt;=EOMONTH(EOMONTH($J103,-1)+1,$K103-1)),IF(NOT(ISBLANK($N103)),$N103/$K103,$I103/$K103),0),0)</f>
        <v>0</v>
      </c>
      <c r="W103" s="498">
        <f>IFERROR(IF(AND(W$30&gt;=EOMONTH($J103,-1)+1,W$30&lt;=EOMONTH(EOMONTH($J103,-1)+1,$K103-1)),IF(NOT(ISBLANK($N103)),$N103/$K103,$I103/$K103),0),0)</f>
        <v>0</v>
      </c>
      <c r="X103" s="498">
        <f>IFERROR(IF(AND(X$30&gt;=EOMONTH($J103,-1)+1,X$30&lt;=EOMONTH(EOMONTH($J103,-1)+1,$K103-1)),IF(NOT(ISBLANK($N103)),$N103/$K103,$I103/$K103),0),0)</f>
        <v>0</v>
      </c>
      <c r="Y103" s="440">
        <f t="shared" si="189"/>
        <v>0</v>
      </c>
      <c r="Z103" s="498">
        <f>IFERROR(IF(AND(Z$30&gt;=EOMONTH($J103,-1)+1,Z$30&lt;=EOMONTH(EOMONTH($J103,-1)+1,$K103-1)),IF(NOT(ISBLANK($N103)),$N103/$K103,$I103/$K103),0),0)</f>
        <v>0</v>
      </c>
      <c r="AA103" s="498">
        <f>IFERROR(IF(AND(AA$30&gt;=EOMONTH($J103,-1)+1,AA$30&lt;=EOMONTH(EOMONTH($J103,-1)+1,$K103-1)),IF(NOT(ISBLANK($N103)),$N103/$K103,$I103/$K103),0),0)</f>
        <v>0</v>
      </c>
      <c r="AB103" s="498">
        <f>IFERROR(IF(AND(AB$30&gt;=EOMONTH($J103,-1)+1,AB$30&lt;=EOMONTH(EOMONTH($J103,-1)+1,$K103-1)),IF(NOT(ISBLANK($N103)),$N103/$K103,$I103/$K103),0),0)</f>
        <v>0</v>
      </c>
      <c r="AC103" s="440">
        <f t="shared" si="184"/>
        <v>0</v>
      </c>
      <c r="AD103" s="498">
        <f>IFERROR(IF(AND(AD$30&gt;=EOMONTH($J103,-1)+1,AD$30&lt;=EOMONTH(EOMONTH($J103,-1)+1,$K103-1)),IF(NOT(ISBLANK($N103)),$N103/$K103,$I103/$K103),0),0)</f>
        <v>0</v>
      </c>
      <c r="AE103" s="498">
        <f>IFERROR(IF(AND(AE$30&gt;=EOMONTH($J103,-1)+1,AE$30&lt;=EOMONTH(EOMONTH($J103,-1)+1,$K103-1)),IF(NOT(ISBLANK($N103)),$N103/$K103,$I103/$K103),0),0)</f>
        <v>0</v>
      </c>
      <c r="AF103" s="498">
        <f>IFERROR(IF(AND(AF$30&gt;=EOMONTH($J103,-1)+1,AF$30&lt;=EOMONTH(EOMONTH($J103,-1)+1,$K103-1)),IF(NOT(ISBLANK($N103)),$N103/$K103,$I103/$K103),0),0)</f>
        <v>0</v>
      </c>
      <c r="AG103" s="440">
        <f t="shared" si="185"/>
        <v>0</v>
      </c>
      <c r="AH103" s="498">
        <f>IFERROR(IF(AND(AH$30&gt;=EOMONTH($J103,-1)+1,AH$30&lt;=EOMONTH(EOMONTH($J103,-1)+1,$K103-1)),IF(NOT(ISBLANK($N103)),$N103/$K103,$I103/$K103),0),0)</f>
        <v>0</v>
      </c>
      <c r="AI103" s="498">
        <f>IFERROR(IF(AND(AI$30&gt;=EOMONTH($J103,-1)+1,AI$30&lt;=EOMONTH(EOMONTH($J103,-1)+1,$K103-1)),IF(NOT(ISBLANK($N103)),$N103/$K103,$I103/$K103),0),0)</f>
        <v>0</v>
      </c>
      <c r="AJ103" s="498">
        <f>IFERROR(IF(AND(AJ$30&gt;=EOMONTH($J103,-1)+1,AJ$30&lt;=EOMONTH(EOMONTH($J103,-1)+1,$K103-1)),IF(NOT(ISBLANK($N103)),$N103/$K103,$I103/$K103),0),0)</f>
        <v>364573</v>
      </c>
      <c r="AK103" s="440">
        <f t="shared" si="167"/>
        <v>364573</v>
      </c>
      <c r="AL103" s="94">
        <f t="shared" si="171"/>
        <v>364573</v>
      </c>
      <c r="AM103" s="1407"/>
      <c r="AN103" s="1407"/>
      <c r="AO103" s="1334"/>
      <c r="AP103" s="1403">
        <f>I103*AO103</f>
        <v>0</v>
      </c>
      <c r="AQ103" s="553" t="str">
        <f>D103</f>
        <v>Projeto DANA - Fornecimento MTL</v>
      </c>
      <c r="AR103" s="62" t="s">
        <v>311</v>
      </c>
      <c r="AS103" s="508" t="str" cm="1">
        <f t="array" aca="1" ref="AS103" ca="1">IF(OR(AQ103="",AQ103=0),"",IF(SUMPRODUCT(($D$31:$D$144=AQ103)*($T$31:$T$144="Previsto")*($V$30:$AJ$30&lt;EOMONTH(TODAY(),-1)+1)*($V$31:$AJ$144))=0,"",SUMPRODUCT(($D$31:$D$144=AQ103)*($T$31:$T$144="Previsto")*($V$30:$AJ$30&lt;EOMONTH(TODAY(),-1)+1)*($V$31:$AJ$144))))</f>
        <v/>
      </c>
      <c r="AT103" s="62" t="str">
        <f t="shared" ref="AT103" si="197">A103</f>
        <v>Redução de Custo</v>
      </c>
      <c r="AV103" s="1566">
        <f t="shared" ref="AV103" si="198">IF(OR(I103="",K103=""),0,(I103/12)*K103)</f>
        <v>30381.083333333332</v>
      </c>
      <c r="AW103" s="1566">
        <f t="shared" ref="AW103" si="199">IF(OR(N103="",K103="",K103=0),0,(N103/K103)*12)</f>
        <v>0</v>
      </c>
    </row>
    <row r="104" spans="1:49" ht="29.1" customHeight="1" x14ac:dyDescent="0.3">
      <c r="A104" s="1810"/>
      <c r="B104" s="1466"/>
      <c r="C104" s="2423"/>
      <c r="D104" s="1455"/>
      <c r="E104" s="2363"/>
      <c r="F104" s="1452"/>
      <c r="G104" s="1367"/>
      <c r="H104" s="1367"/>
      <c r="I104" s="1367"/>
      <c r="J104" s="1379"/>
      <c r="K104" s="1387"/>
      <c r="L104" s="1396"/>
      <c r="M104" s="2365"/>
      <c r="N104" s="1394"/>
      <c r="O104" s="1330"/>
      <c r="P104" s="1330"/>
      <c r="Q104" s="1330"/>
      <c r="R104" s="1330"/>
      <c r="S104" s="2192"/>
      <c r="T104" s="96" t="s">
        <v>117</v>
      </c>
      <c r="U104" s="453">
        <f>_xlfn.XLOOKUP(B103,[50]Detalhamento!$A:$A,[50]Detalhamento!$N:$N)</f>
        <v>0.39679999999999999</v>
      </c>
      <c r="V104" s="498"/>
      <c r="W104" s="498"/>
      <c r="X104" s="498"/>
      <c r="Y104" s="440">
        <f t="shared" si="189"/>
        <v>0</v>
      </c>
      <c r="Z104" s="498"/>
      <c r="AA104" s="498"/>
      <c r="AB104" s="498"/>
      <c r="AC104" s="440">
        <f t="shared" si="184"/>
        <v>0</v>
      </c>
      <c r="AD104" s="498"/>
      <c r="AE104" s="498"/>
      <c r="AF104" s="498"/>
      <c r="AG104" s="440">
        <f t="shared" si="185"/>
        <v>0</v>
      </c>
      <c r="AH104" s="498"/>
      <c r="AI104" s="498"/>
      <c r="AJ104" s="498"/>
      <c r="AK104" s="440">
        <f t="shared" si="167"/>
        <v>0</v>
      </c>
      <c r="AL104" s="94">
        <f t="shared" si="171"/>
        <v>0</v>
      </c>
      <c r="AM104" s="1408"/>
      <c r="AN104" s="1408"/>
      <c r="AO104" s="1330"/>
      <c r="AP104" s="1404"/>
      <c r="AQ104" s="554" t="str">
        <f>D103</f>
        <v>Projeto DANA - Fornecimento MTL</v>
      </c>
      <c r="AR104" s="62" t="s">
        <v>313</v>
      </c>
      <c r="AS104" s="508" t="str" cm="1">
        <f t="array" aca="1" ref="AS104" ca="1">IF(OR(AQ104="",AQ104=0),"",IF(SUMPRODUCT(($D$31:$D$144=AQ104)*(ISNUMBER(SEARCH("Real",$T$32:$T$145)))*($V$30:$AJ$30&lt;EOMONTH(TODAY(),-1)+1)*($V$32:$AJ$145))=0,"",SUMPRODUCT(($D$31:$D$144=AQ104)*(ISNUMBER(SEARCH("Real",$T$32:$T$145)))*($V$30:$AJ$30&lt;EOMONTH(TODAY(),-1)+1)*($V$32:$AJ$145))))</f>
        <v/>
      </c>
      <c r="AT104" s="62" t="str">
        <f t="shared" ref="AT104" si="200">A103</f>
        <v>Redução de Custo</v>
      </c>
      <c r="AV104" s="1567"/>
      <c r="AW104" s="1567"/>
    </row>
    <row r="105" spans="1:49" ht="29.1" customHeight="1" x14ac:dyDescent="0.3">
      <c r="A105" s="1380" t="s">
        <v>89</v>
      </c>
      <c r="B105" s="1482" t="s">
        <v>2613</v>
      </c>
      <c r="C105" s="2392" t="s">
        <v>101</v>
      </c>
      <c r="D105" s="1486" t="s">
        <v>2614</v>
      </c>
      <c r="E105" s="2362" t="s">
        <v>2615</v>
      </c>
      <c r="F105" s="1370" t="s">
        <v>2520</v>
      </c>
      <c r="G105" s="1372">
        <f>_xlfn.XLOOKUP(B105,[50]Detalhamento!$A:$A,[50]Detalhamento!$I:$I)</f>
        <v>46054</v>
      </c>
      <c r="H105" s="1372">
        <f>_xlfn.XLOOKUP(B105,[50]Detalhamento!$A:$A,[50]Detalhamento!$J:$J)</f>
        <v>46142</v>
      </c>
      <c r="I105" s="1354">
        <f>IFERROR(_xlfn.XLOOKUP(B105,[50]Detalhamento!$A:$A,[50]Detalhamento!$E:$E)," - ")</f>
        <v>61965.48</v>
      </c>
      <c r="J105" s="1376">
        <f>_xlfn.XLOOKUP(B105,[50]Detalhamento!$A:$A,[50]Detalhamento!$O:$O)</f>
        <v>46143</v>
      </c>
      <c r="K105" s="1389">
        <f t="shared" ref="K105" si="201">IF(J105="", "", 12 - MONTH(J105) + 1)</f>
        <v>8</v>
      </c>
      <c r="L105" s="1354"/>
      <c r="M105" s="2368"/>
      <c r="N105" s="1391"/>
      <c r="O105" s="1327" t="s">
        <v>81</v>
      </c>
      <c r="P105" s="1327"/>
      <c r="Q105" s="1327"/>
      <c r="R105" s="1327"/>
      <c r="S105" s="2197"/>
      <c r="T105" s="91" t="s">
        <v>116</v>
      </c>
      <c r="U105" s="91">
        <f>_xlfn.XLOOKUP(B105,[50]Detalhamento!$A:$A,[50]Detalhamento!$M:$M)</f>
        <v>0.93846153846153846</v>
      </c>
      <c r="V105" s="287">
        <f>IFERROR(IF(AND(V$30&gt;=EOMONTH($J105,-1)+1,V$30&lt;=EOMONTH(EOMONTH($J105,-1)+1,$K105-1)),IF(NOT(ISBLANK($N105)),$N105/$K105,$I105/$K105),0),0)</f>
        <v>0</v>
      </c>
      <c r="W105" s="287">
        <f>IFERROR(IF(AND(W$30&gt;=EOMONTH($J105,-1)+1,W$30&lt;=EOMONTH(EOMONTH($J105,-1)+1,$K105-1)),IF(NOT(ISBLANK($N105)),$N105/$K105,$I105/$K105),0),0)</f>
        <v>0</v>
      </c>
      <c r="X105" s="287">
        <f>IFERROR(IF(AND(X$30&gt;=EOMONTH($J105,-1)+1,X$30&lt;=EOMONTH(EOMONTH($J105,-1)+1,$K105-1)),IF(NOT(ISBLANK($N105)),$N105/$K105,$I105/$K105),0),0)</f>
        <v>0</v>
      </c>
      <c r="Y105" s="440">
        <f t="shared" si="189"/>
        <v>0</v>
      </c>
      <c r="Z105" s="287">
        <f>IFERROR(IF(AND(Z$30&gt;=EOMONTH($J105,-1)+1,Z$30&lt;=EOMONTH(EOMONTH($J105,-1)+1,$K105-1)),IF(NOT(ISBLANK($N105)),$N105/$K105,$I105/$K105),0),0)</f>
        <v>0</v>
      </c>
      <c r="AA105" s="287">
        <f>IFERROR(IF(AND(AA$30&gt;=EOMONTH($J105,-1)+1,AA$30&lt;=EOMONTH(EOMONTH($J105,-1)+1,$K105-1)),IF(NOT(ISBLANK($N105)),$N105/$K105,$I105/$K105),0),0)</f>
        <v>7745.6850000000004</v>
      </c>
      <c r="AB105" s="287">
        <f>IFERROR(IF(AND(AB$30&gt;=EOMONTH($J105,-1)+1,AB$30&lt;=EOMONTH(EOMONTH($J105,-1)+1,$K105-1)),IF(NOT(ISBLANK($N105)),$N105/$K105,$I105/$K105),0),0)</f>
        <v>7745.6850000000004</v>
      </c>
      <c r="AC105" s="440">
        <f t="shared" si="184"/>
        <v>15491.37</v>
      </c>
      <c r="AD105" s="287">
        <f>IFERROR(IF(AND(AD$30&gt;=EOMONTH($J105,-1)+1,AD$30&lt;=EOMONTH(EOMONTH($J105,-1)+1,$K105-1)),IF(NOT(ISBLANK($N105)),$N105/$K105,$I105/$K105),0),0)</f>
        <v>7745.6850000000004</v>
      </c>
      <c r="AE105" s="287">
        <f>IFERROR(IF(AND(AE$30&gt;=EOMONTH($J105,-1)+1,AE$30&lt;=EOMONTH(EOMONTH($J105,-1)+1,$K105-1)),IF(NOT(ISBLANK($N105)),$N105/$K105,$I105/$K105),0),0)</f>
        <v>7745.6850000000004</v>
      </c>
      <c r="AF105" s="287">
        <f>IFERROR(IF(AND(AF$30&gt;=EOMONTH($J105,-1)+1,AF$30&lt;=EOMONTH(EOMONTH($J105,-1)+1,$K105-1)),IF(NOT(ISBLANK($N105)),$N105/$K105,$I105/$K105),0),0)</f>
        <v>7745.6850000000004</v>
      </c>
      <c r="AG105" s="440">
        <f t="shared" si="185"/>
        <v>23237.055</v>
      </c>
      <c r="AH105" s="287">
        <f>IFERROR(IF(AND(AH$30&gt;=EOMONTH($J105,-1)+1,AH$30&lt;=EOMONTH(EOMONTH($J105,-1)+1,$K105-1)),IF(NOT(ISBLANK($N105)),$N105/$K105,$I105/$K105),0),0)</f>
        <v>7745.6850000000004</v>
      </c>
      <c r="AI105" s="287">
        <f>IFERROR(IF(AND(AI$30&gt;=EOMONTH($J105,-1)+1,AI$30&lt;=EOMONTH(EOMONTH($J105,-1)+1,$K105-1)),IF(NOT(ISBLANK($N105)),$N105/$K105,$I105/$K105),0),0)</f>
        <v>7745.6850000000004</v>
      </c>
      <c r="AJ105" s="287">
        <f>IFERROR(IF(AND(AJ$30&gt;=EOMONTH($J105,-1)+1,AJ$30&lt;=EOMONTH(EOMONTH($J105,-1)+1,$K105-1)),IF(NOT(ISBLANK($N105)),$N105/$K105,$I105/$K105),0),0)</f>
        <v>7745.6850000000004</v>
      </c>
      <c r="AK105" s="440">
        <f t="shared" si="167"/>
        <v>23237.055</v>
      </c>
      <c r="AL105" s="116">
        <f t="shared" si="171"/>
        <v>61965.479999999996</v>
      </c>
      <c r="AM105" s="1407"/>
      <c r="AN105" s="1407"/>
      <c r="AO105" s="1334"/>
      <c r="AP105" s="1403">
        <f>I105*AO105</f>
        <v>0</v>
      </c>
      <c r="AQ105" s="553" t="str">
        <f>D105</f>
        <v>Destinação Borra Plasma Ferraz</v>
      </c>
      <c r="AR105" s="62" t="s">
        <v>311</v>
      </c>
      <c r="AS105" s="508" cm="1">
        <f t="array" aca="1" ref="AS105" ca="1">IF(OR(AQ105="",AQ105=0),"",IF(SUMPRODUCT(($D$31:$D$144=AQ105)*($T$31:$T$144="Previsto")*($V$30:$AJ$30&lt;EOMONTH(TODAY(),-1)+1)*($V$31:$AJ$144))=0,"",SUMPRODUCT(($D$31:$D$144=AQ105)*($T$31:$T$144="Previsto")*($V$30:$AJ$30&lt;EOMONTH(TODAY(),-1)+1)*($V$31:$AJ$144))))</f>
        <v>23237.055</v>
      </c>
      <c r="AT105" s="62" t="str">
        <f t="shared" ref="AT105" si="202">A105</f>
        <v>Redução de Custo</v>
      </c>
      <c r="AV105" s="1566">
        <f t="shared" ref="AV105" si="203">IF(OR(I105="",K105=""),0,(I105/12)*K105)</f>
        <v>41310.32</v>
      </c>
      <c r="AW105" s="1566">
        <f t="shared" ref="AW105" si="204">IF(OR(N105="",K105="",K105=0),0,(N105/K105)*12)</f>
        <v>0</v>
      </c>
    </row>
    <row r="106" spans="1:49" ht="29.1" customHeight="1" x14ac:dyDescent="0.3">
      <c r="A106" s="1381"/>
      <c r="B106" s="1483"/>
      <c r="C106" s="1381"/>
      <c r="D106" s="1487"/>
      <c r="E106" s="2363"/>
      <c r="F106" s="1371"/>
      <c r="G106" s="1373"/>
      <c r="H106" s="1373"/>
      <c r="I106" s="1355"/>
      <c r="J106" s="1377"/>
      <c r="K106" s="1389"/>
      <c r="L106" s="1355"/>
      <c r="M106" s="2369"/>
      <c r="N106" s="1392"/>
      <c r="O106" s="1328"/>
      <c r="P106" s="1328"/>
      <c r="Q106" s="1328"/>
      <c r="R106" s="1328"/>
      <c r="S106" s="2198"/>
      <c r="T106" s="91" t="s">
        <v>117</v>
      </c>
      <c r="U106" s="452">
        <f>_xlfn.XLOOKUP(B105,[50]Detalhamento!$A:$A,[50]Detalhamento!$N:$N)</f>
        <v>1</v>
      </c>
      <c r="V106" s="287"/>
      <c r="W106" s="287"/>
      <c r="X106" s="287"/>
      <c r="Y106" s="440">
        <f t="shared" si="189"/>
        <v>0</v>
      </c>
      <c r="Z106" s="287"/>
      <c r="AA106" s="731"/>
      <c r="AB106" s="731"/>
      <c r="AC106" s="440">
        <f t="shared" si="184"/>
        <v>0</v>
      </c>
      <c r="AD106" s="287"/>
      <c r="AE106" s="287"/>
      <c r="AF106" s="287"/>
      <c r="AG106" s="440">
        <f t="shared" si="185"/>
        <v>0</v>
      </c>
      <c r="AH106" s="287"/>
      <c r="AI106" s="287"/>
      <c r="AJ106" s="287"/>
      <c r="AK106" s="440">
        <f t="shared" si="167"/>
        <v>0</v>
      </c>
      <c r="AL106" s="454">
        <f t="shared" si="171"/>
        <v>0</v>
      </c>
      <c r="AM106" s="1408"/>
      <c r="AN106" s="1408"/>
      <c r="AO106" s="1330"/>
      <c r="AP106" s="1404"/>
      <c r="AQ106" s="554" t="str">
        <f>D105</f>
        <v>Destinação Borra Plasma Ferraz</v>
      </c>
      <c r="AR106" s="62" t="s">
        <v>313</v>
      </c>
      <c r="AS106" s="508" t="str" cm="1">
        <f t="array" aca="1" ref="AS106" ca="1">IF(OR(AQ106="",AQ106=0),"",IF(SUMPRODUCT(($D$31:$D$144=AQ106)*(ISNUMBER(SEARCH("Real",$T$32:$T$145)))*($V$30:$AJ$30&lt;EOMONTH(TODAY(),-1)+1)*($V$32:$AJ$145))=0,"",SUMPRODUCT(($D$31:$D$144=AQ106)*(ISNUMBER(SEARCH("Real",$T$32:$T$145)))*($V$30:$AJ$30&lt;EOMONTH(TODAY(),-1)+1)*($V$32:$AJ$145))))</f>
        <v/>
      </c>
      <c r="AT106" s="62" t="str">
        <f t="shared" ref="AT106" si="205">A105</f>
        <v>Redução de Custo</v>
      </c>
      <c r="AV106" s="1567"/>
      <c r="AW106" s="1567"/>
    </row>
    <row r="107" spans="1:49" ht="29.1" customHeight="1" x14ac:dyDescent="0.3">
      <c r="A107" s="1809" t="s">
        <v>89</v>
      </c>
      <c r="B107" s="1465" t="s">
        <v>2616</v>
      </c>
      <c r="C107" s="2392" t="s">
        <v>101</v>
      </c>
      <c r="D107" s="1356" t="s">
        <v>2617</v>
      </c>
      <c r="E107" s="2362" t="s">
        <v>2618</v>
      </c>
      <c r="F107" s="1451" t="s">
        <v>2619</v>
      </c>
      <c r="G107" s="1366">
        <f>_xlfn.XLOOKUP(B107,[50]Detalhamento!$A:$A,[50]Detalhamento!$I:$I)</f>
        <v>46097</v>
      </c>
      <c r="H107" s="1366">
        <f>_xlfn.XLOOKUP(B107,[50]Detalhamento!$A:$A,[50]Detalhamento!$J:$J)</f>
        <v>46311</v>
      </c>
      <c r="I107" s="1488">
        <f>IFERROR(_xlfn.XLOOKUP(B107,[50]Detalhamento!$A:$A,[50]Detalhamento!$E:$E)," - ")</f>
        <v>794810</v>
      </c>
      <c r="J107" s="1378">
        <f>_xlfn.XLOOKUP(B107,[50]Detalhamento!$A:$A,[50]Detalhamento!$O:$O)</f>
        <v>46311</v>
      </c>
      <c r="K107" s="1387">
        <f t="shared" ref="K107" si="206">IF(J107="", "", 12 - MONTH(J107) + 1)</f>
        <v>3</v>
      </c>
      <c r="L107" s="1395"/>
      <c r="M107" s="2364"/>
      <c r="N107" s="1393"/>
      <c r="O107" s="1334" t="s">
        <v>83</v>
      </c>
      <c r="P107" s="1334"/>
      <c r="Q107" s="1334"/>
      <c r="R107" s="1334"/>
      <c r="S107" s="2191"/>
      <c r="T107" s="96" t="s">
        <v>116</v>
      </c>
      <c r="U107" s="96">
        <f>_xlfn.XLOOKUP(B107,[50]Detalhamento!$A:$A,[50]Detalhamento!$M:$M)</f>
        <v>0.48192771084337349</v>
      </c>
      <c r="V107" s="498">
        <f>IFERROR(IF(AND(V$30&gt;=EOMONTH($J107,-1)+1,V$30&lt;=EOMONTH(EOMONTH($J107,-1)+1,$K107-1)),IF(NOT(ISBLANK($N107)),$N107/$K107,$I107/$K107),0),0)</f>
        <v>0</v>
      </c>
      <c r="W107" s="498">
        <f>IFERROR(IF(AND(W$30&gt;=EOMONTH($J107,-1)+1,W$30&lt;=EOMONTH(EOMONTH($J107,-1)+1,$K107-1)),IF(NOT(ISBLANK($N107)),$N107/$K107,$I107/$K107),0),0)</f>
        <v>0</v>
      </c>
      <c r="X107" s="498">
        <f>IFERROR(IF(AND(X$30&gt;=EOMONTH($J107,-1)+1,X$30&lt;=EOMONTH(EOMONTH($J107,-1)+1,$K107-1)),IF(NOT(ISBLANK($N107)),$N107/$K107,$I107/$K107),0),0)</f>
        <v>0</v>
      </c>
      <c r="Y107" s="440">
        <f t="shared" si="189"/>
        <v>0</v>
      </c>
      <c r="Z107" s="498">
        <f>IFERROR(IF(AND(Z$30&gt;=EOMONTH($J107,-1)+1,Z$30&lt;=EOMONTH(EOMONTH($J107,-1)+1,$K107-1)),IF(NOT(ISBLANK($N107)),$N107/$K107,$I107/$K107),0),0)</f>
        <v>0</v>
      </c>
      <c r="AA107" s="498">
        <f>IFERROR(IF(AND(AA$30&gt;=EOMONTH($J107,-1)+1,AA$30&lt;=EOMONTH(EOMONTH($J107,-1)+1,$K107-1)),IF(NOT(ISBLANK($N107)),$N107/$K107,$I107/$K107),0),0)</f>
        <v>0</v>
      </c>
      <c r="AB107" s="498">
        <f>IFERROR(IF(AND(AB$30&gt;=EOMONTH($J107,-1)+1,AB$30&lt;=EOMONTH(EOMONTH($J107,-1)+1,$K107-1)),IF(NOT(ISBLANK($N107)),$N107/$K107,$I107/$K107),0),0)</f>
        <v>0</v>
      </c>
      <c r="AC107" s="440">
        <f t="shared" si="184"/>
        <v>0</v>
      </c>
      <c r="AD107" s="498">
        <f>IFERROR(IF(AND(AD$30&gt;=EOMONTH($J107,-1)+1,AD$30&lt;=EOMONTH(EOMONTH($J107,-1)+1,$K107-1)),IF(NOT(ISBLANK($N107)),$N107/$K107,$I107/$K107),0),0)</f>
        <v>0</v>
      </c>
      <c r="AE107" s="498">
        <f>IFERROR(IF(AND(AE$30&gt;=EOMONTH($J107,-1)+1,AE$30&lt;=EOMONTH(EOMONTH($J107,-1)+1,$K107-1)),IF(NOT(ISBLANK($N107)),$N107/$K107,$I107/$K107),0),0)</f>
        <v>0</v>
      </c>
      <c r="AF107" s="498">
        <f>IFERROR(IF(AND(AF$30&gt;=EOMONTH($J107,-1)+1,AF$30&lt;=EOMONTH(EOMONTH($J107,-1)+1,$K107-1)),IF(NOT(ISBLANK($N107)),$N107/$K107,$I107/$K107),0),0)</f>
        <v>0</v>
      </c>
      <c r="AG107" s="440">
        <f t="shared" si="185"/>
        <v>0</v>
      </c>
      <c r="AH107" s="498">
        <f>IFERROR(IF(AND(AH$30&gt;=EOMONTH($J107,-1)+1,AH$30&lt;=EOMONTH(EOMONTH($J107,-1)+1,$K107-1)),IF(NOT(ISBLANK($N107)),$N107/$K107,$I107/$K107),0),0)</f>
        <v>264936.66666666669</v>
      </c>
      <c r="AI107" s="498">
        <f>IFERROR(IF(AND(AI$30&gt;=EOMONTH($J107,-1)+1,AI$30&lt;=EOMONTH(EOMONTH($J107,-1)+1,$K107-1)),IF(NOT(ISBLANK($N107)),$N107/$K107,$I107/$K107),0),0)</f>
        <v>264936.66666666669</v>
      </c>
      <c r="AJ107" s="498">
        <f>IFERROR(IF(AND(AJ$30&gt;=EOMONTH($J107,-1)+1,AJ$30&lt;=EOMONTH(EOMONTH($J107,-1)+1,$K107-1)),IF(NOT(ISBLANK($N107)),$N107/$K107,$I107/$K107),0),0)</f>
        <v>264936.66666666669</v>
      </c>
      <c r="AK107" s="440">
        <f t="shared" si="167"/>
        <v>794810</v>
      </c>
      <c r="AL107" s="94">
        <f t="shared" si="171"/>
        <v>794810</v>
      </c>
      <c r="AM107" s="1407"/>
      <c r="AN107" s="1407"/>
      <c r="AO107" s="1334"/>
      <c r="AP107" s="1403">
        <f>I107*AO107</f>
        <v>0</v>
      </c>
      <c r="AQ107" s="553" t="str">
        <f>D107</f>
        <v>Ex Tarifário Transfer Norda</v>
      </c>
      <c r="AR107" s="62" t="s">
        <v>311</v>
      </c>
      <c r="AS107" s="508" t="str" cm="1">
        <f t="array" aca="1" ref="AS107" ca="1">IF(OR(AQ107="",AQ107=0),"",IF(SUMPRODUCT(($D$31:$D$144=AQ107)*($T$31:$T$144="Previsto")*($V$30:$AJ$30&lt;EOMONTH(TODAY(),-1)+1)*($V$31:$AJ$144))=0,"",SUMPRODUCT(($D$31:$D$144=AQ107)*($T$31:$T$144="Previsto")*($V$30:$AJ$30&lt;EOMONTH(TODAY(),-1)+1)*($V$31:$AJ$144))))</f>
        <v/>
      </c>
      <c r="AT107" s="62" t="str">
        <f t="shared" ref="AT107" si="207">A107</f>
        <v>Redução de Custo</v>
      </c>
      <c r="AV107" s="1566">
        <f t="shared" ref="AV107" si="208">IF(OR(I107="",K107=""),0,(I107/12)*K107)</f>
        <v>198702.5</v>
      </c>
      <c r="AW107" s="1566">
        <f t="shared" ref="AW107" si="209">IF(OR(N107="",K107="",K107=0),0,(N107/K107)*12)</f>
        <v>0</v>
      </c>
    </row>
    <row r="108" spans="1:49" ht="29.1" customHeight="1" x14ac:dyDescent="0.3">
      <c r="A108" s="1810"/>
      <c r="B108" s="1466"/>
      <c r="C108" s="1408"/>
      <c r="D108" s="1455"/>
      <c r="E108" s="2363"/>
      <c r="F108" s="1452"/>
      <c r="G108" s="1367"/>
      <c r="H108" s="1367"/>
      <c r="I108" s="1367"/>
      <c r="J108" s="1379"/>
      <c r="K108" s="1387"/>
      <c r="L108" s="1396"/>
      <c r="M108" s="2365"/>
      <c r="N108" s="1394"/>
      <c r="O108" s="1330"/>
      <c r="P108" s="1330"/>
      <c r="Q108" s="1330"/>
      <c r="R108" s="1330"/>
      <c r="S108" s="2192"/>
      <c r="T108" s="96" t="s">
        <v>117</v>
      </c>
      <c r="U108" s="453">
        <f>_xlfn.XLOOKUP(B107,[50]Detalhamento!$A:$A,[50]Detalhamento!$N:$N)</f>
        <v>0.53500000000000003</v>
      </c>
      <c r="V108" s="498"/>
      <c r="W108" s="498"/>
      <c r="X108" s="498"/>
      <c r="Y108" s="440">
        <f t="shared" si="189"/>
        <v>0</v>
      </c>
      <c r="Z108" s="498"/>
      <c r="AA108" s="498"/>
      <c r="AB108" s="498"/>
      <c r="AC108" s="440">
        <f t="shared" si="184"/>
        <v>0</v>
      </c>
      <c r="AD108" s="498"/>
      <c r="AE108" s="498"/>
      <c r="AF108" s="498"/>
      <c r="AG108" s="440">
        <f t="shared" si="185"/>
        <v>0</v>
      </c>
      <c r="AH108" s="498"/>
      <c r="AI108" s="498"/>
      <c r="AJ108" s="498"/>
      <c r="AK108" s="440">
        <f t="shared" si="167"/>
        <v>0</v>
      </c>
      <c r="AL108" s="94">
        <f t="shared" si="171"/>
        <v>0</v>
      </c>
      <c r="AM108" s="1408"/>
      <c r="AN108" s="1408"/>
      <c r="AO108" s="1330"/>
      <c r="AP108" s="1404"/>
      <c r="AQ108" s="554" t="str">
        <f>D107</f>
        <v>Ex Tarifário Transfer Norda</v>
      </c>
      <c r="AR108" s="62" t="s">
        <v>313</v>
      </c>
      <c r="AS108" s="508" t="str" cm="1">
        <f t="array" aca="1" ref="AS108" ca="1">IF(OR(AQ108="",AQ108=0),"",IF(SUMPRODUCT(($D$31:$D$144=AQ108)*(ISNUMBER(SEARCH("Real",$T$32:$T$145)))*($V$30:$AJ$30&lt;EOMONTH(TODAY(),-1)+1)*($V$32:$AJ$145))=0,"",SUMPRODUCT(($D$31:$D$144=AQ108)*(ISNUMBER(SEARCH("Real",$T$32:$T$145)))*($V$30:$AJ$30&lt;EOMONTH(TODAY(),-1)+1)*($V$32:$AJ$145))))</f>
        <v/>
      </c>
      <c r="AT108" s="62" t="str">
        <f t="shared" ref="AT108" si="210">A107</f>
        <v>Redução de Custo</v>
      </c>
      <c r="AV108" s="1567"/>
      <c r="AW108" s="1567"/>
    </row>
    <row r="109" spans="1:49" ht="29.1" customHeight="1" x14ac:dyDescent="0.3">
      <c r="A109" s="1380" t="s">
        <v>89</v>
      </c>
      <c r="B109" s="1482" t="s">
        <v>2620</v>
      </c>
      <c r="C109" s="2392" t="s">
        <v>95</v>
      </c>
      <c r="D109" s="1486" t="s">
        <v>2621</v>
      </c>
      <c r="E109" s="2362" t="s">
        <v>2622</v>
      </c>
      <c r="F109" s="1370" t="s">
        <v>2566</v>
      </c>
      <c r="G109" s="1372">
        <f>_xlfn.XLOOKUP(B109,[50]Detalhamento!$A:$A,[50]Detalhamento!$I:$I)</f>
        <v>46083</v>
      </c>
      <c r="H109" s="1372">
        <f>_xlfn.XLOOKUP(B109,[50]Lucas!$A:$A,[50]Lucas!$J:$J)</f>
        <v>46127</v>
      </c>
      <c r="I109" s="1354">
        <f>IFERROR(_xlfn.XLOOKUP(B109,[50]Detalhamento!$A:$A,[50]Detalhamento!$E:$E)," - ")</f>
        <v>214329</v>
      </c>
      <c r="J109" s="1376">
        <f>_xlfn.XLOOKUP(B109,[50]Detalhamento!$A:$A,[50]Detalhamento!$O:$O)</f>
        <v>46113</v>
      </c>
      <c r="K109" s="1389">
        <f t="shared" ref="K109" si="211">IF(J109="", "", 12 - MONTH(J109) + 1)</f>
        <v>9</v>
      </c>
      <c r="L109" s="1354"/>
      <c r="M109" s="2356"/>
      <c r="N109" s="1391"/>
      <c r="O109" s="1327" t="s">
        <v>81</v>
      </c>
      <c r="P109" s="1327"/>
      <c r="Q109" s="1327"/>
      <c r="R109" s="1327"/>
      <c r="S109" s="2197"/>
      <c r="T109" s="91" t="s">
        <v>116</v>
      </c>
      <c r="U109" s="91">
        <f>_xlfn.XLOOKUP(B109,[50]Detalhamento!$A:$A,[50]Detalhamento!$M:$M)</f>
        <v>1</v>
      </c>
      <c r="V109" s="287">
        <f>IFERROR(IF(AND(V$30&gt;=EOMONTH($J109,-1)+1,V$30&lt;=EOMONTH(EOMONTH($J109,-1)+1,$K109-1)),IF(NOT(ISBLANK($N109)),$N109/$K109,$I109/$K109),0),0)</f>
        <v>0</v>
      </c>
      <c r="W109" s="287">
        <f>IFERROR(IF(AND(W$30&gt;=EOMONTH($J109,-1)+1,W$30&lt;=EOMONTH(EOMONTH($J109,-1)+1,$K109-1)),IF(NOT(ISBLANK($N109)),$N109/$K109,$I109/$K109),0),0)</f>
        <v>0</v>
      </c>
      <c r="X109" s="287">
        <f>IFERROR(IF(AND(X$30&gt;=EOMONTH($J109,-1)+1,X$30&lt;=EOMONTH(EOMONTH($J109,-1)+1,$K109-1)),IF(NOT(ISBLANK($N109)),$N109/$K109,$I109/$K109),0),0)</f>
        <v>0</v>
      </c>
      <c r="Y109" s="440">
        <f t="shared" si="189"/>
        <v>0</v>
      </c>
      <c r="Z109" s="597">
        <f>IFERROR(IF(AND(Z$30&gt;=EOMONTH($J109,-1)+1,Z$30&lt;=EOMONTH(EOMONTH($J109,-1)+1,$K109-1)),IF(NOT(ISBLANK($N109)),$N109/$K109,$I109/$K109),0),0)</f>
        <v>23814.333333333332</v>
      </c>
      <c r="AA109" s="287">
        <f>IFERROR(IF(AND(AA$30&gt;=EOMONTH($J109,-1)+1,AA$30&lt;=EOMONTH(EOMONTH($J109,-1)+1,$K109-1)),IF(NOT(ISBLANK($N109)),$N109/$K109,$I109/$K109),0),0)</f>
        <v>23814.333333333332</v>
      </c>
      <c r="AB109" s="287">
        <f>IFERROR(IF(AND(AB$30&gt;=EOMONTH($J109,-1)+1,AB$30&lt;=EOMONTH(EOMONTH($J109,-1)+1,$K109-1)),IF(NOT(ISBLANK($N109)),$N109/$K109,$I109/$K109),0),0)</f>
        <v>23814.333333333332</v>
      </c>
      <c r="AC109" s="440">
        <f t="shared" si="184"/>
        <v>71443</v>
      </c>
      <c r="AD109" s="287">
        <f>IFERROR(IF(AND(AD$30&gt;=EOMONTH($J109,-1)+1,AD$30&lt;=EOMONTH(EOMONTH($J109,-1)+1,$K109-1)),IF(NOT(ISBLANK($N109)),$N109/$K109,$I109/$K109),0),0)</f>
        <v>23814.333333333332</v>
      </c>
      <c r="AE109" s="287">
        <f>IFERROR(IF(AND(AE$30&gt;=EOMONTH($J109,-1)+1,AE$30&lt;=EOMONTH(EOMONTH($J109,-1)+1,$K109-1)),IF(NOT(ISBLANK($N109)),$N109/$K109,$I109/$K109),0),0)</f>
        <v>23814.333333333332</v>
      </c>
      <c r="AF109" s="287">
        <f>IFERROR(IF(AND(AF$30&gt;=EOMONTH($J109,-1)+1,AF$30&lt;=EOMONTH(EOMONTH($J109,-1)+1,$K109-1)),IF(NOT(ISBLANK($N109)),$N109/$K109,$I109/$K109),0),0)</f>
        <v>23814.333333333332</v>
      </c>
      <c r="AG109" s="440">
        <f t="shared" si="185"/>
        <v>71443</v>
      </c>
      <c r="AH109" s="287">
        <f>IFERROR(IF(AND(AH$30&gt;=EOMONTH($J109,-1)+1,AH$30&lt;=EOMONTH(EOMONTH($J109,-1)+1,$K109-1)),IF(NOT(ISBLANK($N109)),$N109/$K109,$I109/$K109),0),0)</f>
        <v>23814.333333333332</v>
      </c>
      <c r="AI109" s="287">
        <f>IFERROR(IF(AND(AI$30&gt;=EOMONTH($J109,-1)+1,AI$30&lt;=EOMONTH(EOMONTH($J109,-1)+1,$K109-1)),IF(NOT(ISBLANK($N109)),$N109/$K109,$I109/$K109),0),0)</f>
        <v>23814.333333333332</v>
      </c>
      <c r="AJ109" s="287">
        <f>IFERROR(IF(AND(AJ$30&gt;=EOMONTH($J109,-1)+1,AJ$30&lt;=EOMONTH(EOMONTH($J109,-1)+1,$K109-1)),IF(NOT(ISBLANK($N109)),$N109/$K109,$I109/$K109),0),0)</f>
        <v>23814.333333333332</v>
      </c>
      <c r="AK109" s="440">
        <f t="shared" si="167"/>
        <v>71443</v>
      </c>
      <c r="AL109" s="116">
        <f t="shared" si="171"/>
        <v>214329.00000000003</v>
      </c>
      <c r="AM109" s="1407"/>
      <c r="AN109" s="1407"/>
      <c r="AO109" s="1334"/>
      <c r="AP109" s="1403">
        <f>I109*AO109</f>
        <v>0</v>
      </c>
      <c r="AQ109" s="553" t="str">
        <f>D109</f>
        <v>Redução Itens Mercedes</v>
      </c>
      <c r="AR109" s="62" t="s">
        <v>311</v>
      </c>
      <c r="AS109" s="508" cm="1">
        <f t="array" aca="1" ref="AS109" ca="1">IF(OR(AQ109="",AQ109=0),"",IF(SUMPRODUCT(($D$31:$D$144=AQ109)*($T$31:$T$144="Previsto")*($V$30:$AJ$30&lt;EOMONTH(TODAY(),-1)+1)*($V$31:$AJ$144))=0,"",SUMPRODUCT(($D$31:$D$144=AQ109)*($T$31:$T$144="Previsto")*($V$30:$AJ$30&lt;EOMONTH(TODAY(),-1)+1)*($V$31:$AJ$144))))</f>
        <v>95257.333333333328</v>
      </c>
      <c r="AT109" s="62" t="str">
        <f t="shared" ref="AT109" si="212">A109</f>
        <v>Redução de Custo</v>
      </c>
      <c r="AV109" s="1566">
        <f t="shared" ref="AV109" si="213">IF(OR(I109="",K109=""),0,(I109/12)*K109)</f>
        <v>160746.75</v>
      </c>
      <c r="AW109" s="1566">
        <f t="shared" ref="AW109" si="214">IF(OR(N109="",K109="",K109=0),0,(N109/K109)*12)</f>
        <v>0</v>
      </c>
    </row>
    <row r="110" spans="1:49" ht="29.1" customHeight="1" x14ac:dyDescent="0.3">
      <c r="A110" s="1381"/>
      <c r="B110" s="1483"/>
      <c r="C110" s="1381"/>
      <c r="D110" s="1487"/>
      <c r="E110" s="2363"/>
      <c r="F110" s="1371"/>
      <c r="G110" s="1373"/>
      <c r="H110" s="1373"/>
      <c r="I110" s="1355"/>
      <c r="J110" s="1377"/>
      <c r="K110" s="1389"/>
      <c r="L110" s="1355"/>
      <c r="M110" s="2357"/>
      <c r="N110" s="1392"/>
      <c r="O110" s="1328"/>
      <c r="P110" s="1328"/>
      <c r="Q110" s="1328"/>
      <c r="R110" s="1328"/>
      <c r="S110" s="2198"/>
      <c r="T110" s="91" t="s">
        <v>117</v>
      </c>
      <c r="U110" s="452">
        <f>_xlfn.XLOOKUP(B109,[50]Detalhamento!$A:$A,[50]Detalhamento!$N:$N)</f>
        <v>1</v>
      </c>
      <c r="V110" s="287"/>
      <c r="W110" s="287"/>
      <c r="X110" s="287"/>
      <c r="Y110" s="440">
        <f t="shared" si="189"/>
        <v>0</v>
      </c>
      <c r="Z110" s="731"/>
      <c r="AA110" s="731"/>
      <c r="AB110" s="731"/>
      <c r="AC110" s="440">
        <f t="shared" si="184"/>
        <v>0</v>
      </c>
      <c r="AD110" s="287"/>
      <c r="AE110" s="287"/>
      <c r="AF110" s="287"/>
      <c r="AG110" s="440">
        <f t="shared" si="185"/>
        <v>0</v>
      </c>
      <c r="AH110" s="287"/>
      <c r="AI110" s="287"/>
      <c r="AJ110" s="287"/>
      <c r="AK110" s="440">
        <f t="shared" si="167"/>
        <v>0</v>
      </c>
      <c r="AL110" s="454">
        <f t="shared" si="171"/>
        <v>0</v>
      </c>
      <c r="AM110" s="1408"/>
      <c r="AN110" s="1408"/>
      <c r="AO110" s="1330"/>
      <c r="AP110" s="1404"/>
      <c r="AQ110" s="554" t="str">
        <f>D109</f>
        <v>Redução Itens Mercedes</v>
      </c>
      <c r="AR110" s="62" t="s">
        <v>313</v>
      </c>
      <c r="AS110" s="508" t="str" cm="1">
        <f t="array" aca="1" ref="AS110" ca="1">IF(OR(AQ110="",AQ110=0),"",IF(SUMPRODUCT(($D$31:$D$144=AQ110)*(ISNUMBER(SEARCH("Real",$T$32:$T$145)))*($V$30:$AJ$30&lt;EOMONTH(TODAY(),-1)+1)*($V$32:$AJ$145))=0,"",SUMPRODUCT(($D$31:$D$144=AQ110)*(ISNUMBER(SEARCH("Real",$T$32:$T$145)))*($V$30:$AJ$30&lt;EOMONTH(TODAY(),-1)+1)*($V$32:$AJ$145))))</f>
        <v/>
      </c>
      <c r="AT110" s="62" t="str">
        <f t="shared" ref="AT110" si="215">A109</f>
        <v>Redução de Custo</v>
      </c>
      <c r="AV110" s="1567"/>
      <c r="AW110" s="1567"/>
    </row>
    <row r="111" spans="1:49" ht="29.1" customHeight="1" x14ac:dyDescent="0.3">
      <c r="A111" s="1380" t="s">
        <v>89</v>
      </c>
      <c r="B111" s="1482" t="s">
        <v>2623</v>
      </c>
      <c r="C111" s="2392" t="s">
        <v>101</v>
      </c>
      <c r="D111" s="1486" t="s">
        <v>2624</v>
      </c>
      <c r="E111" s="2362" t="s">
        <v>2625</v>
      </c>
      <c r="F111" s="1370" t="s">
        <v>2510</v>
      </c>
      <c r="G111" s="1372">
        <f>_xlfn.XLOOKUP(B111,[50]Detalhamento!$A:$A,[50]Detalhamento!$I:$I)</f>
        <v>46045</v>
      </c>
      <c r="H111" s="1372">
        <f>_xlfn.XLOOKUP(B111,[50]Detalhamento!$A:$A,[50]Detalhamento!$J:$J)</f>
        <v>46148</v>
      </c>
      <c r="I111" s="1354">
        <f>IFERROR(_xlfn.XLOOKUP(B111,[50]Detalhamento!$A:$A,[50]Detalhamento!$E:$E)," - ")</f>
        <v>49053</v>
      </c>
      <c r="J111" s="1376">
        <f>_xlfn.XLOOKUP(B111,[50]Detalhamento!$A:$A,[50]Detalhamento!$O:$O)</f>
        <v>46196</v>
      </c>
      <c r="K111" s="1389">
        <f t="shared" ref="K111" si="216">IF(J111="", "", 12 - MONTH(J111) + 1)</f>
        <v>7</v>
      </c>
      <c r="L111" s="1354"/>
      <c r="M111" s="2368"/>
      <c r="N111" s="1391"/>
      <c r="O111" s="1327" t="s">
        <v>81</v>
      </c>
      <c r="P111" s="1327"/>
      <c r="Q111" s="1327"/>
      <c r="R111" s="1327"/>
      <c r="S111" s="2197"/>
      <c r="T111" s="91" t="s">
        <v>116</v>
      </c>
      <c r="U111" s="91" t="e">
        <f>_xlfn.XLOOKUP(B111,[50]Detalhamento!$A:$A,[50]Detalhamento!$M:$M)</f>
        <v>#REF!</v>
      </c>
      <c r="V111" s="715">
        <f>IFERROR(IF(AND(V$30&gt;=EOMONTH($J111,-1)+1,V$30&lt;=EOMONTH(EOMONTH($J111,-1)+1,$K111-1)),IF(NOT(ISBLANK($N111)),$N111/$K111,$I111/$K111),0),0)</f>
        <v>0</v>
      </c>
      <c r="W111" s="715">
        <f>IFERROR(IF(AND(W$30&gt;=EOMONTH($J111,-1)+1,W$30&lt;=EOMONTH(EOMONTH($J111,-1)+1,$K111-1)),IF(NOT(ISBLANK($N111)),$N111/$K111,$I111/$K111),0),0)</f>
        <v>0</v>
      </c>
      <c r="X111" s="715">
        <f>IFERROR(IF(AND(X$30&gt;=EOMONTH($J111,-1)+1,X$30&lt;=EOMONTH(EOMONTH($J111,-1)+1,$K111-1)),IF(NOT(ISBLANK($N111)),$N111/$K111,$I111/$K111),0),0)</f>
        <v>0</v>
      </c>
      <c r="Y111" s="440">
        <f t="shared" si="189"/>
        <v>0</v>
      </c>
      <c r="Z111" s="715">
        <f>IFERROR(IF(AND(Z$30&gt;=EOMONTH($J111,-1)+1,Z$30&lt;=EOMONTH(EOMONTH($J111,-1)+1,$K111-1)),IF(NOT(ISBLANK($N111)),$N111/$K111,$I111/$K111),0),0)</f>
        <v>0</v>
      </c>
      <c r="AA111" s="715">
        <f>IFERROR(IF(AND(AA$30&gt;=EOMONTH($J111,-1)+1,AA$30&lt;=EOMONTH(EOMONTH($J111,-1)+1,$K111-1)),IF(NOT(ISBLANK($N111)),$N111/$K111,$I111/$K111),0),0)</f>
        <v>0</v>
      </c>
      <c r="AB111" s="715">
        <f>IFERROR(IF(AND(AB$30&gt;=EOMONTH($J111,-1)+1,AB$30&lt;=EOMONTH(EOMONTH($J111,-1)+1,$K111-1)),IF(NOT(ISBLANK($N111)),$N111/$K111,$I111/$K111),0),0)</f>
        <v>7007.5714285714284</v>
      </c>
      <c r="AC111" s="440">
        <f t="shared" si="184"/>
        <v>7007.5714285714284</v>
      </c>
      <c r="AD111" s="715">
        <f>IFERROR(IF(AND(AD$30&gt;=EOMONTH($J111,-1)+1,AD$30&lt;=EOMONTH(EOMONTH($J111,-1)+1,$K111-1)),IF(NOT(ISBLANK($N111)),$N111/$K111,$I111/$K111),0),0)</f>
        <v>7007.5714285714284</v>
      </c>
      <c r="AE111" s="715">
        <f>IFERROR(IF(AND(AE$30&gt;=EOMONTH($J111,-1)+1,AE$30&lt;=EOMONTH(EOMONTH($J111,-1)+1,$K111-1)),IF(NOT(ISBLANK($N111)),$N111/$K111,$I111/$K111),0),0)</f>
        <v>7007.5714285714284</v>
      </c>
      <c r="AF111" s="715">
        <f>IFERROR(IF(AND(AF$30&gt;=EOMONTH($J111,-1)+1,AF$30&lt;=EOMONTH(EOMONTH($J111,-1)+1,$K111-1)),IF(NOT(ISBLANK($N111)),$N111/$K111,$I111/$K111),0),0)</f>
        <v>7007.5714285714284</v>
      </c>
      <c r="AG111" s="440">
        <f t="shared" si="185"/>
        <v>21022.714285714286</v>
      </c>
      <c r="AH111" s="715">
        <f>IFERROR(IF(AND(AH$30&gt;=EOMONTH($J111,-1)+1,AH$30&lt;=EOMONTH(EOMONTH($J111,-1)+1,$K111-1)),IF(NOT(ISBLANK($N111)),$N111/$K111,$I111/$K111),0),0)</f>
        <v>7007.5714285714284</v>
      </c>
      <c r="AI111" s="715">
        <f>IFERROR(IF(AND(AI$30&gt;=EOMONTH($J111,-1)+1,AI$30&lt;=EOMONTH(EOMONTH($J111,-1)+1,$K111-1)),IF(NOT(ISBLANK($N111)),$N111/$K111,$I111/$K111),0),0)</f>
        <v>7007.5714285714284</v>
      </c>
      <c r="AJ111" s="715">
        <f>IFERROR(IF(AND(AJ$30&gt;=EOMONTH($J111,-1)+1,AJ$30&lt;=EOMONTH(EOMONTH($J111,-1)+1,$K111-1)),IF(NOT(ISBLANK($N111)),$N111/$K111,$I111/$K111),0),0)</f>
        <v>7007.5714285714284</v>
      </c>
      <c r="AK111" s="440">
        <f t="shared" si="167"/>
        <v>21022.714285714286</v>
      </c>
      <c r="AL111" s="116">
        <f t="shared" si="171"/>
        <v>49053</v>
      </c>
      <c r="AM111" s="1407"/>
      <c r="AN111" s="1407"/>
      <c r="AO111" s="1334"/>
      <c r="AP111" s="1403">
        <f>I111*AO111</f>
        <v>0</v>
      </c>
      <c r="AQ111" s="553" t="str">
        <f>D111</f>
        <v>Negociação TCC00690/691</v>
      </c>
      <c r="AR111" s="62" t="s">
        <v>311</v>
      </c>
      <c r="AS111" s="508" cm="1">
        <f t="array" aca="1" ref="AS111" ca="1">IF(OR(AQ111="",AQ111=0),"",IF(SUMPRODUCT(($D$31:$D$144=AQ111)*($T$31:$T$144="Previsto")*($V$30:$AJ$30&lt;EOMONTH(TODAY(),-1)+1)*($V$31:$AJ$144))=0,"",SUMPRODUCT(($D$31:$D$144=AQ111)*($T$31:$T$144="Previsto")*($V$30:$AJ$30&lt;EOMONTH(TODAY(),-1)+1)*($V$31:$AJ$144))))</f>
        <v>14015.142857142857</v>
      </c>
      <c r="AT111" s="62" t="str">
        <f t="shared" ref="AT111" si="217">A111</f>
        <v>Redução de Custo</v>
      </c>
      <c r="AV111" s="1566">
        <f t="shared" ref="AV111" si="218">IF(OR(I111="",K111=""),0,(I111/12)*K111)</f>
        <v>28614.25</v>
      </c>
      <c r="AW111" s="1566">
        <f t="shared" ref="AW111" si="219">IF(OR(N111="",K111="",K111=0),0,(N111/K111)*12)</f>
        <v>0</v>
      </c>
    </row>
    <row r="112" spans="1:49" ht="29.1" customHeight="1" x14ac:dyDescent="0.3">
      <c r="A112" s="1381"/>
      <c r="B112" s="1483"/>
      <c r="C112" s="1381"/>
      <c r="D112" s="1487"/>
      <c r="E112" s="2363"/>
      <c r="F112" s="1371"/>
      <c r="G112" s="1373"/>
      <c r="H112" s="1373"/>
      <c r="I112" s="1355"/>
      <c r="J112" s="1377"/>
      <c r="K112" s="1389"/>
      <c r="L112" s="1355"/>
      <c r="M112" s="2369"/>
      <c r="N112" s="1392"/>
      <c r="O112" s="1328"/>
      <c r="P112" s="1328"/>
      <c r="Q112" s="1328"/>
      <c r="R112" s="1328"/>
      <c r="S112" s="2198"/>
      <c r="T112" s="91" t="s">
        <v>117</v>
      </c>
      <c r="U112" s="452" t="e">
        <f>_xlfn.XLOOKUP(B111,[50]Detalhamento!$A:$A,[50]Detalhamento!$N:$N)</f>
        <v>#REF!</v>
      </c>
      <c r="V112" s="715"/>
      <c r="W112" s="715"/>
      <c r="X112" s="715"/>
      <c r="Y112" s="440">
        <f t="shared" si="189"/>
        <v>0</v>
      </c>
      <c r="Z112" s="715"/>
      <c r="AA112" s="930"/>
      <c r="AB112" s="930"/>
      <c r="AC112" s="440">
        <f t="shared" si="184"/>
        <v>0</v>
      </c>
      <c r="AD112" s="715"/>
      <c r="AE112" s="715"/>
      <c r="AF112" s="715"/>
      <c r="AG112" s="440">
        <f t="shared" si="185"/>
        <v>0</v>
      </c>
      <c r="AH112" s="715"/>
      <c r="AI112" s="715"/>
      <c r="AJ112" s="715"/>
      <c r="AK112" s="440">
        <f t="shared" si="167"/>
        <v>0</v>
      </c>
      <c r="AL112" s="454">
        <f t="shared" si="171"/>
        <v>0</v>
      </c>
      <c r="AM112" s="1408"/>
      <c r="AN112" s="1408"/>
      <c r="AO112" s="1330"/>
      <c r="AP112" s="1404"/>
      <c r="AQ112" s="554" t="str">
        <f>D111</f>
        <v>Negociação TCC00690/691</v>
      </c>
      <c r="AR112" s="62" t="s">
        <v>313</v>
      </c>
      <c r="AS112" s="508" t="str" cm="1">
        <f t="array" aca="1" ref="AS112" ca="1">IF(OR(AQ112="",AQ112=0),"",IF(SUMPRODUCT(($D$31:$D$144=AQ112)*(ISNUMBER(SEARCH("Real",$T$32:$T$145)))*($V$30:$AJ$30&lt;EOMONTH(TODAY(),-1)+1)*($V$32:$AJ$145))=0,"",SUMPRODUCT(($D$31:$D$144=AQ112)*(ISNUMBER(SEARCH("Real",$T$32:$T$145)))*($V$30:$AJ$30&lt;EOMONTH(TODAY(),-1)+1)*($V$32:$AJ$145))))</f>
        <v/>
      </c>
      <c r="AT112" s="62" t="str">
        <f t="shared" ref="AT112" si="220">A111</f>
        <v>Redução de Custo</v>
      </c>
      <c r="AV112" s="1567"/>
      <c r="AW112" s="1567"/>
    </row>
    <row r="113" spans="1:49" ht="29.1" customHeight="1" x14ac:dyDescent="0.3">
      <c r="A113" s="1809" t="s">
        <v>89</v>
      </c>
      <c r="B113" s="1817" t="s">
        <v>2626</v>
      </c>
      <c r="C113" s="2392" t="s">
        <v>97</v>
      </c>
      <c r="D113" s="1738" t="s">
        <v>2627</v>
      </c>
      <c r="E113" s="2370" t="s">
        <v>2628</v>
      </c>
      <c r="F113" s="1742" t="s">
        <v>2619</v>
      </c>
      <c r="G113" s="2165">
        <f>_xlfn.XLOOKUP(B113,[50]Detalhamento!$A:$A,[50]Detalhamento!$I:$I)</f>
        <v>46125</v>
      </c>
      <c r="H113" s="2165">
        <f>_xlfn.XLOOKUP(B113,[50]Detalhamento!$A:$A,[50]Detalhamento!$J:$J)</f>
        <v>46222</v>
      </c>
      <c r="I113" s="1395">
        <f>IFERROR(_xlfn.XLOOKUP(B113,[50]Detalhamento!$A:$A,[50]Detalhamento!$E:$E)," - ")</f>
        <v>99600</v>
      </c>
      <c r="J113" s="1749">
        <f>_xlfn.XLOOKUP(B113,[50]Detalhamento!$A:$A,[50]Detalhamento!$O:$O)</f>
        <v>46174</v>
      </c>
      <c r="K113" s="1387">
        <f t="shared" ref="K113" si="221">IF(J113="", "", 12 - MONTH(J113) + 1)</f>
        <v>7</v>
      </c>
      <c r="L113" s="1395"/>
      <c r="M113" s="1859"/>
      <c r="N113" s="2358"/>
      <c r="O113" s="1334" t="s">
        <v>83</v>
      </c>
      <c r="P113" s="1334"/>
      <c r="Q113" s="1334"/>
      <c r="R113" s="1334"/>
      <c r="S113" s="2191"/>
      <c r="T113" s="96" t="s">
        <v>116</v>
      </c>
      <c r="U113" s="96">
        <f>_xlfn.XLOOKUP(B113,[50]Detalhamento!$A:$A,[50]Detalhamento!$M:$M)</f>
        <v>1</v>
      </c>
      <c r="V113" s="547">
        <f>IFERROR(IF(AND(V$30&gt;=EOMONTH($J113,-1)+1,V$30&lt;=EOMONTH(EOMONTH($J113,-1)+1,$K113-1)),IF(NOT(ISBLANK($N113)),$N113/$K113,$I113/$K113),0),0)</f>
        <v>0</v>
      </c>
      <c r="W113" s="547">
        <f>IFERROR(IF(AND(W$30&gt;=EOMONTH($J113,-1)+1,W$30&lt;=EOMONTH(EOMONTH($J113,-1)+1,$K113-1)),IF(NOT(ISBLANK($N113)),$N113/$K113,$I113/$K113),0),0)</f>
        <v>0</v>
      </c>
      <c r="X113" s="547">
        <f>IFERROR(IF(AND(X$30&gt;=EOMONTH($J113,-1)+1,X$30&lt;=EOMONTH(EOMONTH($J113,-1)+1,$K113-1)),IF(NOT(ISBLANK($N113)),$N113/$K113,$I113/$K113),0),0)</f>
        <v>0</v>
      </c>
      <c r="Y113" s="440">
        <f t="shared" si="189"/>
        <v>0</v>
      </c>
      <c r="Z113" s="547">
        <f>IFERROR(IF(AND(Z$30&gt;=EOMONTH($J113,-1)+1,Z$30&lt;=EOMONTH(EOMONTH($J113,-1)+1,$K113-1)),IF(NOT(ISBLANK($N113)),$N113/$K113,$I113/$K113),0),0)</f>
        <v>0</v>
      </c>
      <c r="AA113" s="547">
        <f>IFERROR(IF(AND(AA$30&gt;=EOMONTH($J113,-1)+1,AA$30&lt;=EOMONTH(EOMONTH($J113,-1)+1,$K113-1)),IF(NOT(ISBLANK($N113)),$N113/$K113,$I113/$K113),0),0)</f>
        <v>0</v>
      </c>
      <c r="AB113" s="547">
        <f>IFERROR(IF(AND(AB$30&gt;=EOMONTH($J113,-1)+1,AB$30&lt;=EOMONTH(EOMONTH($J113,-1)+1,$K113-1)),IF(NOT(ISBLANK($N113)),$N113/$K113,$I113/$K113),0),0)</f>
        <v>14228.571428571429</v>
      </c>
      <c r="AC113" s="440">
        <f t="shared" si="184"/>
        <v>14228.571428571429</v>
      </c>
      <c r="AD113" s="547">
        <f>IFERROR(IF(AND(AD$30&gt;=EOMONTH($J113,-1)+1,AD$30&lt;=EOMONTH(EOMONTH($J113,-1)+1,$K113-1)),IF(NOT(ISBLANK($N113)),$N113/$K113,$I113/$K113),0),0)</f>
        <v>14228.571428571429</v>
      </c>
      <c r="AE113" s="547">
        <f>IFERROR(IF(AND(AE$30&gt;=EOMONTH($J113,-1)+1,AE$30&lt;=EOMONTH(EOMONTH($J113,-1)+1,$K113-1)),IF(NOT(ISBLANK($N113)),$N113/$K113,$I113/$K113),0),0)</f>
        <v>14228.571428571429</v>
      </c>
      <c r="AF113" s="547">
        <f>IFERROR(IF(AND(AF$30&gt;=EOMONTH($J113,-1)+1,AF$30&lt;=EOMONTH(EOMONTH($J113,-1)+1,$K113-1)),IF(NOT(ISBLANK($N113)),$N113/$K113,$I113/$K113),0),0)</f>
        <v>14228.571428571429</v>
      </c>
      <c r="AG113" s="440">
        <f t="shared" si="185"/>
        <v>42685.71428571429</v>
      </c>
      <c r="AH113" s="547">
        <f>IFERROR(IF(AND(AH$30&gt;=EOMONTH($J113,-1)+1,AH$30&lt;=EOMONTH(EOMONTH($J113,-1)+1,$K113-1)),IF(NOT(ISBLANK($N113)),$N113/$K113,$I113/$K113),0),0)</f>
        <v>14228.571428571429</v>
      </c>
      <c r="AI113" s="547">
        <f>IFERROR(IF(AND(AI$30&gt;=EOMONTH($J113,-1)+1,AI$30&lt;=EOMONTH(EOMONTH($J113,-1)+1,$K113-1)),IF(NOT(ISBLANK($N113)),$N113/$K113,$I113/$K113),0),0)</f>
        <v>14228.571428571429</v>
      </c>
      <c r="AJ113" s="547">
        <f>IFERROR(IF(AND(AJ$30&gt;=EOMONTH($J113,-1)+1,AJ$30&lt;=EOMONTH(EOMONTH($J113,-1)+1,$K113-1)),IF(NOT(ISBLANK($N113)),$N113/$K113,$I113/$K113),0),0)</f>
        <v>14228.571428571429</v>
      </c>
      <c r="AK113" s="440">
        <f t="shared" si="167"/>
        <v>42685.71428571429</v>
      </c>
      <c r="AL113" s="94">
        <f t="shared" si="171"/>
        <v>99600.000000000015</v>
      </c>
      <c r="AM113" s="1407"/>
      <c r="AN113" s="1407"/>
      <c r="AO113" s="1334"/>
      <c r="AP113" s="1403">
        <f>I113*AO113</f>
        <v>0</v>
      </c>
      <c r="AQ113" s="553" t="str">
        <f>D113</f>
        <v>Locação de Compressores</v>
      </c>
      <c r="AR113" s="62" t="s">
        <v>311</v>
      </c>
      <c r="AS113" s="508" cm="1">
        <f t="array" aca="1" ref="AS113" ca="1">IF(OR(AQ113="",AQ113=0),"",IF(SUMPRODUCT(($D$31:$D$144=AQ113)*($T$31:$T$144="Previsto")*($V$30:$AJ$30&lt;EOMONTH(TODAY(),-1)+1)*($V$31:$AJ$144))=0,"",SUMPRODUCT(($D$31:$D$144=AQ113)*($T$31:$T$144="Previsto")*($V$30:$AJ$30&lt;EOMONTH(TODAY(),-1)+1)*($V$31:$AJ$144))))</f>
        <v>28457.142857142859</v>
      </c>
      <c r="AT113" s="62" t="str">
        <f t="shared" ref="AT113" si="222">A113</f>
        <v>Redução de Custo</v>
      </c>
      <c r="AV113" s="1566">
        <f t="shared" ref="AV113" si="223">IF(OR(I113="",K113=""),0,(I113/12)*K113)</f>
        <v>58100</v>
      </c>
      <c r="AW113" s="1566">
        <f t="shared" ref="AW113" si="224">IF(OR(N113="",K113="",K113=0),0,(N113/K113)*12)</f>
        <v>0</v>
      </c>
    </row>
    <row r="114" spans="1:49" ht="29.1" customHeight="1" x14ac:dyDescent="0.3">
      <c r="A114" s="1810"/>
      <c r="B114" s="1818"/>
      <c r="C114" s="1408"/>
      <c r="D114" s="1739"/>
      <c r="E114" s="2371"/>
      <c r="F114" s="1743"/>
      <c r="G114" s="2166"/>
      <c r="H114" s="2166"/>
      <c r="I114" s="1396"/>
      <c r="J114" s="1750"/>
      <c r="K114" s="1387"/>
      <c r="L114" s="1396"/>
      <c r="M114" s="1860"/>
      <c r="N114" s="2359"/>
      <c r="O114" s="1330"/>
      <c r="P114" s="1330"/>
      <c r="Q114" s="1330"/>
      <c r="R114" s="1330"/>
      <c r="S114" s="2192"/>
      <c r="T114" s="96" t="s">
        <v>117</v>
      </c>
      <c r="U114" s="453">
        <f>_xlfn.XLOOKUP(B113,[50]Detalhamento!$A:$A,[50]Detalhamento!$N:$N)</f>
        <v>1</v>
      </c>
      <c r="V114" s="547"/>
      <c r="W114" s="547"/>
      <c r="X114" s="547"/>
      <c r="Y114" s="440">
        <f t="shared" si="189"/>
        <v>0</v>
      </c>
      <c r="Z114" s="547"/>
      <c r="AA114" s="547"/>
      <c r="AB114" s="930"/>
      <c r="AC114" s="440">
        <f t="shared" si="184"/>
        <v>0</v>
      </c>
      <c r="AD114" s="547"/>
      <c r="AE114" s="547"/>
      <c r="AF114" s="547"/>
      <c r="AG114" s="440">
        <f t="shared" si="185"/>
        <v>0</v>
      </c>
      <c r="AH114" s="547"/>
      <c r="AI114" s="547"/>
      <c r="AJ114" s="547"/>
      <c r="AK114" s="440">
        <f t="shared" si="167"/>
        <v>0</v>
      </c>
      <c r="AL114" s="94">
        <f t="shared" si="171"/>
        <v>0</v>
      </c>
      <c r="AM114" s="1408"/>
      <c r="AN114" s="1408"/>
      <c r="AO114" s="1330"/>
      <c r="AP114" s="1404"/>
      <c r="AQ114" s="554" t="str">
        <f>D113</f>
        <v>Locação de Compressores</v>
      </c>
      <c r="AR114" s="62" t="s">
        <v>313</v>
      </c>
      <c r="AS114" s="508" t="str" cm="1">
        <f t="array" aca="1" ref="AS114" ca="1">IF(OR(AQ114="",AQ114=0),"",IF(SUMPRODUCT(($D$31:$D$144=AQ114)*(ISNUMBER(SEARCH("Real",$T$32:$T$145)))*($V$30:$AJ$30&lt;EOMONTH(TODAY(),-1)+1)*($V$32:$AJ$145))=0,"",SUMPRODUCT(($D$31:$D$144=AQ114)*(ISNUMBER(SEARCH("Real",$T$32:$T$145)))*($V$30:$AJ$30&lt;EOMONTH(TODAY(),-1)+1)*($V$32:$AJ$145))))</f>
        <v/>
      </c>
      <c r="AT114" s="62" t="str">
        <f t="shared" ref="AT114" si="225">A113</f>
        <v>Redução de Custo</v>
      </c>
      <c r="AV114" s="1567"/>
      <c r="AW114" s="1567"/>
    </row>
    <row r="115" spans="1:49" ht="29.1" customHeight="1" x14ac:dyDescent="0.3">
      <c r="A115" s="1380" t="s">
        <v>89</v>
      </c>
      <c r="B115" s="1482" t="s">
        <v>2629</v>
      </c>
      <c r="C115" s="2392" t="s">
        <v>101</v>
      </c>
      <c r="D115" s="1486" t="s">
        <v>2630</v>
      </c>
      <c r="E115" s="2362" t="s">
        <v>2631</v>
      </c>
      <c r="F115" s="1370" t="s">
        <v>2510</v>
      </c>
      <c r="G115" s="1372">
        <f>_xlfn.XLOOKUP(B115,[50]Detalhamento!$A:$A,[50]Detalhamento!$I:$I)</f>
        <v>46027</v>
      </c>
      <c r="H115" s="1372">
        <f>_xlfn.XLOOKUP(B115,[50]Detalhamento!$A:$A,[50]Detalhamento!$J:$J)</f>
        <v>46287</v>
      </c>
      <c r="I115" s="1354">
        <f>IFERROR(_xlfn.XLOOKUP(B115,[50]Detalhamento!$A:$A,[50]Detalhamento!$E:$E)," - ")</f>
        <v>189797</v>
      </c>
      <c r="J115" s="1376">
        <f>_xlfn.XLOOKUP(B115,[50]Detalhamento!$A:$A,[50]Detalhamento!$O:$O)</f>
        <v>46293</v>
      </c>
      <c r="K115" s="1389">
        <f t="shared" ref="K115" si="226">IF(J115="", "", 12 - MONTH(J115) + 1)</f>
        <v>4</v>
      </c>
      <c r="L115" s="1354"/>
      <c r="M115" s="2356"/>
      <c r="N115" s="1391"/>
      <c r="O115" s="1327" t="s">
        <v>83</v>
      </c>
      <c r="P115" s="1327"/>
      <c r="Q115" s="1327"/>
      <c r="R115" s="1327"/>
      <c r="S115" s="2197"/>
      <c r="T115" s="91" t="s">
        <v>116</v>
      </c>
      <c r="U115" s="91">
        <f>_xlfn.XLOOKUP(B115,[50]Detalhamento!$A:$A,[50]Detalhamento!$M:$M)</f>
        <v>0.7142857142857143</v>
      </c>
      <c r="V115" s="715">
        <f>IFERROR(IF(AND(V$30&gt;=EOMONTH($J115,-1)+1,V$30&lt;=EOMONTH(EOMONTH($J115,-1)+1,$K115-1)),IF(NOT(ISBLANK($N115)),$N115/$K115,$I115/$K115),0),0)</f>
        <v>0</v>
      </c>
      <c r="W115" s="715">
        <f>IFERROR(IF(AND(W$30&gt;=EOMONTH($J115,-1)+1,W$30&lt;=EOMONTH(EOMONTH($J115,-1)+1,$K115-1)),IF(NOT(ISBLANK($N115)),$N115/$K115,$I115/$K115),0),0)</f>
        <v>0</v>
      </c>
      <c r="X115" s="715">
        <f>IFERROR(IF(AND(X$30&gt;=EOMONTH($J115,-1)+1,X$30&lt;=EOMONTH(EOMONTH($J115,-1)+1,$K115-1)),IF(NOT(ISBLANK($N115)),$N115/$K115,$I115/$K115),0),0)</f>
        <v>0</v>
      </c>
      <c r="Y115" s="440">
        <f t="shared" si="189"/>
        <v>0</v>
      </c>
      <c r="Z115" s="715">
        <f>IFERROR(IF(AND(Z$30&gt;=EOMONTH($J115,-1)+1,Z$30&lt;=EOMONTH(EOMONTH($J115,-1)+1,$K115-1)),IF(NOT(ISBLANK($N115)),$N115/$K115,$I115/$K115),0),0)</f>
        <v>0</v>
      </c>
      <c r="AA115" s="715">
        <f>IFERROR(IF(AND(AA$30&gt;=EOMONTH($J115,-1)+1,AA$30&lt;=EOMONTH(EOMONTH($J115,-1)+1,$K115-1)),IF(NOT(ISBLANK($N115)),$N115/$K115,$I115/$K115),0),0)</f>
        <v>0</v>
      </c>
      <c r="AB115" s="715">
        <f>IFERROR(IF(AND(AB$30&gt;=EOMONTH($J115,-1)+1,AB$30&lt;=EOMONTH(EOMONTH($J115,-1)+1,$K115-1)),IF(NOT(ISBLANK($N115)),$N115/$K115,$I115/$K115),0),0)</f>
        <v>0</v>
      </c>
      <c r="AC115" s="440">
        <f t="shared" si="184"/>
        <v>0</v>
      </c>
      <c r="AD115" s="715">
        <f>IFERROR(IF(AND(AD$30&gt;=EOMONTH($J115,-1)+1,AD$30&lt;=EOMONTH(EOMONTH($J115,-1)+1,$K115-1)),IF(NOT(ISBLANK($N115)),$N115/$K115,$I115/$K115),0),0)</f>
        <v>0</v>
      </c>
      <c r="AE115" s="715">
        <f>IFERROR(IF(AND(AE$30&gt;=EOMONTH($J115,-1)+1,AE$30&lt;=EOMONTH(EOMONTH($J115,-1)+1,$K115-1)),IF(NOT(ISBLANK($N115)),$N115/$K115,$I115/$K115),0),0)</f>
        <v>0</v>
      </c>
      <c r="AF115" s="715">
        <f>IFERROR(IF(AND(AF$30&gt;=EOMONTH($J115,-1)+1,AF$30&lt;=EOMONTH(EOMONTH($J115,-1)+1,$K115-1)),IF(NOT(ISBLANK($N115)),$N115/$K115,$I115/$K115),0),0)</f>
        <v>47449.25</v>
      </c>
      <c r="AG115" s="440">
        <f t="shared" si="185"/>
        <v>47449.25</v>
      </c>
      <c r="AH115" s="715">
        <f>IFERROR(IF(AND(AH$30&gt;=EOMONTH($J115,-1)+1,AH$30&lt;=EOMONTH(EOMONTH($J115,-1)+1,$K115-1)),IF(NOT(ISBLANK($N115)),$N115/$K115,$I115/$K115),0),0)</f>
        <v>47449.25</v>
      </c>
      <c r="AI115" s="715">
        <f>IFERROR(IF(AND(AI$30&gt;=EOMONTH($J115,-1)+1,AI$30&lt;=EOMONTH(EOMONTH($J115,-1)+1,$K115-1)),IF(NOT(ISBLANK($N115)),$N115/$K115,$I115/$K115),0),0)</f>
        <v>47449.25</v>
      </c>
      <c r="AJ115" s="715">
        <f>IFERROR(IF(AND(AJ$30&gt;=EOMONTH($J115,-1)+1,AJ$30&lt;=EOMONTH(EOMONTH($J115,-1)+1,$K115-1)),IF(NOT(ISBLANK($N115)),$N115/$K115,$I115/$K115),0),0)</f>
        <v>47449.25</v>
      </c>
      <c r="AK115" s="440">
        <f t="shared" si="167"/>
        <v>142347.75</v>
      </c>
      <c r="AL115" s="116">
        <f t="shared" si="171"/>
        <v>189797</v>
      </c>
      <c r="AM115" s="1407"/>
      <c r="AN115" s="1407"/>
      <c r="AO115" s="1334"/>
      <c r="AP115" s="1403">
        <f>I115*AO115</f>
        <v>0</v>
      </c>
      <c r="AQ115" s="553" t="str">
        <f>D115</f>
        <v>Negociação Mercante (Laser)</v>
      </c>
      <c r="AR115" s="62" t="s">
        <v>311</v>
      </c>
      <c r="AS115" s="508" t="str" cm="1">
        <f t="array" aca="1" ref="AS115" ca="1">IF(OR(AQ115="",AQ115=0),"",IF(SUMPRODUCT(($D$31:$D$144=AQ115)*($T$31:$T$144="Previsto")*($V$30:$AJ$30&lt;EOMONTH(TODAY(),-1)+1)*($V$31:$AJ$144))=0,"",SUMPRODUCT(($D$31:$D$144=AQ115)*($T$31:$T$144="Previsto")*($V$30:$AJ$30&lt;EOMONTH(TODAY(),-1)+1)*($V$31:$AJ$144))))</f>
        <v/>
      </c>
      <c r="AT115" s="62" t="str">
        <f t="shared" ref="AT115" si="227">A115</f>
        <v>Redução de Custo</v>
      </c>
      <c r="AV115" s="1566">
        <f t="shared" ref="AV115" si="228">IF(OR(I115="",K115=""),0,(I115/12)*K115)</f>
        <v>63265.666666666664</v>
      </c>
      <c r="AW115" s="1566">
        <f t="shared" ref="AW115" si="229">IF(OR(N115="",K115="",K115=0),0,(N115/K115)*12)</f>
        <v>0</v>
      </c>
    </row>
    <row r="116" spans="1:49" ht="29.1" customHeight="1" x14ac:dyDescent="0.3">
      <c r="A116" s="1381"/>
      <c r="B116" s="1483"/>
      <c r="C116" s="1381"/>
      <c r="D116" s="1487"/>
      <c r="E116" s="2363"/>
      <c r="F116" s="1371"/>
      <c r="G116" s="1373"/>
      <c r="H116" s="1373"/>
      <c r="I116" s="1355"/>
      <c r="J116" s="1377"/>
      <c r="K116" s="1389"/>
      <c r="L116" s="1355"/>
      <c r="M116" s="2357"/>
      <c r="N116" s="1392"/>
      <c r="O116" s="1328"/>
      <c r="P116" s="1328"/>
      <c r="Q116" s="1328"/>
      <c r="R116" s="1328"/>
      <c r="S116" s="2198"/>
      <c r="T116" s="91" t="s">
        <v>117</v>
      </c>
      <c r="U116" s="452">
        <f>_xlfn.XLOOKUP(B115,[50]Detalhamento!$A:$A,[50]Detalhamento!$N:$N)</f>
        <v>0.7142857142857143</v>
      </c>
      <c r="V116" s="715"/>
      <c r="W116" s="715"/>
      <c r="X116" s="715"/>
      <c r="Y116" s="440">
        <f t="shared" si="189"/>
        <v>0</v>
      </c>
      <c r="Z116" s="715"/>
      <c r="AA116" s="715"/>
      <c r="AB116" s="715"/>
      <c r="AC116" s="440">
        <f t="shared" si="184"/>
        <v>0</v>
      </c>
      <c r="AD116" s="715"/>
      <c r="AE116" s="715"/>
      <c r="AF116" s="715"/>
      <c r="AG116" s="440">
        <f t="shared" si="185"/>
        <v>0</v>
      </c>
      <c r="AH116" s="715"/>
      <c r="AI116" s="715"/>
      <c r="AJ116" s="715"/>
      <c r="AK116" s="440">
        <f t="shared" si="167"/>
        <v>0</v>
      </c>
      <c r="AL116" s="454">
        <f t="shared" si="171"/>
        <v>0</v>
      </c>
      <c r="AM116" s="1408"/>
      <c r="AN116" s="1408"/>
      <c r="AO116" s="1330"/>
      <c r="AP116" s="1404"/>
      <c r="AQ116" s="554" t="str">
        <f>D115</f>
        <v>Negociação Mercante (Laser)</v>
      </c>
      <c r="AR116" s="62" t="s">
        <v>313</v>
      </c>
      <c r="AS116" s="508" t="str" cm="1">
        <f t="array" aca="1" ref="AS116" ca="1">IF(OR(AQ116="",AQ116=0),"",IF(SUMPRODUCT(($D$31:$D$144=AQ116)*(ISNUMBER(SEARCH("Real",$T$32:$T$145)))*($V$30:$AJ$30&lt;EOMONTH(TODAY(),-1)+1)*($V$32:$AJ$145))=0,"",SUMPRODUCT(($D$31:$D$144=AQ116)*(ISNUMBER(SEARCH("Real",$T$32:$T$145)))*($V$30:$AJ$30&lt;EOMONTH(TODAY(),-1)+1)*($V$32:$AJ$145))))</f>
        <v/>
      </c>
      <c r="AT116" s="62" t="str">
        <f t="shared" ref="AT116" si="230">A115</f>
        <v>Redução de Custo</v>
      </c>
      <c r="AV116" s="1567"/>
      <c r="AW116" s="1567"/>
    </row>
    <row r="117" spans="1:49" ht="29.1" customHeight="1" x14ac:dyDescent="0.3">
      <c r="A117" s="1809" t="s">
        <v>89</v>
      </c>
      <c r="B117" s="2292" t="s">
        <v>2632</v>
      </c>
      <c r="C117" s="2392" t="s">
        <v>101</v>
      </c>
      <c r="D117" s="1356" t="s">
        <v>2633</v>
      </c>
      <c r="E117" s="2420" t="s">
        <v>2634</v>
      </c>
      <c r="F117" s="1742" t="s">
        <v>2506</v>
      </c>
      <c r="G117" s="2165">
        <f>_xlfn.XLOOKUP(B117,[50]Detalhamento!$A:$A,[50]Detalhamento!$I:$I)</f>
        <v>46056</v>
      </c>
      <c r="H117" s="2165">
        <f>_xlfn.XLOOKUP(B117,[50]Detalhamento!$A:$A,[50]Detalhamento!$J:$J)</f>
        <v>46101</v>
      </c>
      <c r="I117" s="1395">
        <f>IFERROR(_xlfn.XLOOKUP(B117,[50]Detalhamento!$A:$A,[50]Detalhamento!$E:$E)," - ")</f>
        <v>24522.880000000001</v>
      </c>
      <c r="J117" s="1749">
        <f>_xlfn.XLOOKUP(B117,[50]Detalhamento!$A:$A,[50]Detalhamento!$O:$O)</f>
        <v>46098</v>
      </c>
      <c r="K117" s="1387">
        <f t="shared" ref="K117" si="231">IF(J117="", "", 12 - MONTH(J117) + 1)</f>
        <v>10</v>
      </c>
      <c r="L117" s="1395"/>
      <c r="M117" s="1859"/>
      <c r="N117" s="2358"/>
      <c r="O117" s="1334" t="s">
        <v>81</v>
      </c>
      <c r="P117" s="1334"/>
      <c r="Q117" s="1334"/>
      <c r="R117" s="1334"/>
      <c r="S117" s="2191" t="s">
        <v>25</v>
      </c>
      <c r="T117" s="96" t="s">
        <v>116</v>
      </c>
      <c r="U117" s="96">
        <f>_xlfn.XLOOKUP(B117,[50]Detalhamento!$A:$A,[50]Detalhamento!$M:$M)</f>
        <v>1</v>
      </c>
      <c r="V117" s="547">
        <f>IFERROR(IF(AND(V$30&gt;=EOMONTH($J117,-1)+1,V$30&lt;=EOMONTH(EOMONTH($J117,-1)+1,$K117-1)),IF(NOT(ISBLANK($N117)),$N117/$K117,$I117/$K117),0),0)</f>
        <v>0</v>
      </c>
      <c r="W117" s="547">
        <f>IFERROR(IF(AND(W$30&gt;=EOMONTH($J117,-1)+1,W$30&lt;=EOMONTH(EOMONTH($J117,-1)+1,$K117-1)),IF(NOT(ISBLANK($N117)),$N117/$K117,$I117/$K117),0),0)</f>
        <v>0</v>
      </c>
      <c r="X117" s="760">
        <f>IFERROR(IF(AND(X$30&gt;=EOMONTH($J117,-1)+1,X$30&lt;=EOMONTH(EOMONTH($J117,-1)+1,$K117-1)),IF(NOT(ISBLANK($N117)),$N117/$K117,$I117/$K117),0),0)</f>
        <v>2452.288</v>
      </c>
      <c r="Y117" s="440">
        <f t="shared" si="189"/>
        <v>2452.288</v>
      </c>
      <c r="Z117" s="760">
        <f>IFERROR(IF(AND(Z$30&gt;=EOMONTH($J117,-1)+1,Z$30&lt;=EOMONTH(EOMONTH($J117,-1)+1,$K117-1)),IF(NOT(ISBLANK($N117)),$N117/$K117,$I117/$K117),0),0)</f>
        <v>2452.288</v>
      </c>
      <c r="AA117" s="547">
        <f>IFERROR(IF(AND(AA$30&gt;=EOMONTH($J117,-1)+1,AA$30&lt;=EOMONTH(EOMONTH($J117,-1)+1,$K117-1)),IF(NOT(ISBLANK($N117)),$N117/$K117,$I117/$K117),0),0)</f>
        <v>2452.288</v>
      </c>
      <c r="AB117" s="547">
        <f>IFERROR(IF(AND(AB$30&gt;=EOMONTH($J117,-1)+1,AB$30&lt;=EOMONTH(EOMONTH($J117,-1)+1,$K117-1)),IF(NOT(ISBLANK($N117)),$N117/$K117,$I117/$K117),0),0)</f>
        <v>2452.288</v>
      </c>
      <c r="AC117" s="440">
        <f t="shared" si="184"/>
        <v>7356.8639999999996</v>
      </c>
      <c r="AD117" s="547">
        <f>IFERROR(IF(AND(AD$30&gt;=EOMONTH($J117,-1)+1,AD$30&lt;=EOMONTH(EOMONTH($J117,-1)+1,$K117-1)),IF(NOT(ISBLANK($N117)),$N117/$K117,$I117/$K117),0),0)</f>
        <v>2452.288</v>
      </c>
      <c r="AE117" s="547">
        <f>IFERROR(IF(AND(AE$30&gt;=EOMONTH($J117,-1)+1,AE$30&lt;=EOMONTH(EOMONTH($J117,-1)+1,$K117-1)),IF(NOT(ISBLANK($N117)),$N117/$K117,$I117/$K117),0),0)</f>
        <v>2452.288</v>
      </c>
      <c r="AF117" s="547">
        <f>IFERROR(IF(AND(AF$30&gt;=EOMONTH($J117,-1)+1,AF$30&lt;=EOMONTH(EOMONTH($J117,-1)+1,$K117-1)),IF(NOT(ISBLANK($N117)),$N117/$K117,$I117/$K117),0),0)</f>
        <v>2452.288</v>
      </c>
      <c r="AG117" s="440">
        <f t="shared" si="185"/>
        <v>7356.8639999999996</v>
      </c>
      <c r="AH117" s="547">
        <f>IFERROR(IF(AND(AH$30&gt;=EOMONTH($J117,-1)+1,AH$30&lt;=EOMONTH(EOMONTH($J117,-1)+1,$K117-1)),IF(NOT(ISBLANK($N117)),$N117/$K117,$I117/$K117),0),0)</f>
        <v>2452.288</v>
      </c>
      <c r="AI117" s="547">
        <f>IFERROR(IF(AND(AI$30&gt;=EOMONTH($J117,-1)+1,AI$30&lt;=EOMONTH(EOMONTH($J117,-1)+1,$K117-1)),IF(NOT(ISBLANK($N117)),$N117/$K117,$I117/$K117),0),0)</f>
        <v>2452.288</v>
      </c>
      <c r="AJ117" s="547">
        <f>IFERROR(IF(AND(AJ$30&gt;=EOMONTH($J117,-1)+1,AJ$30&lt;=EOMONTH(EOMONTH($J117,-1)+1,$K117-1)),IF(NOT(ISBLANK($N117)),$N117/$K117,$I117/$K117),0),0)</f>
        <v>2452.288</v>
      </c>
      <c r="AK117" s="440">
        <f t="shared" si="167"/>
        <v>7356.8639999999996</v>
      </c>
      <c r="AL117" s="94">
        <f t="shared" si="171"/>
        <v>24522.880000000001</v>
      </c>
      <c r="AM117" s="1407"/>
      <c r="AN117" s="1407"/>
      <c r="AO117" s="1334"/>
      <c r="AP117" s="1403">
        <f>I117*AO117</f>
        <v>0</v>
      </c>
      <c r="AQ117" s="553" t="str">
        <f>D117</f>
        <v>BID Fita Alta Temp 3M + Anti-Slip 3M</v>
      </c>
      <c r="AR117" s="62" t="s">
        <v>311</v>
      </c>
      <c r="AS117" s="508" cm="1">
        <f t="array" aca="1" ref="AS117" ca="1">IF(OR(AQ117="",AQ117=0),"",IF(SUMPRODUCT(($D$31:$D$144=AQ117)*($T$31:$T$144="Previsto")*($V$30:$AJ$30&lt;EOMONTH(TODAY(),-1)+1)*($V$31:$AJ$144))=0,"",SUMPRODUCT(($D$31:$D$144=AQ117)*($T$31:$T$144="Previsto")*($V$30:$AJ$30&lt;EOMONTH(TODAY(),-1)+1)*($V$31:$AJ$144))))</f>
        <v>12261.44</v>
      </c>
      <c r="AT117" s="62" t="str">
        <f t="shared" ref="AT117" si="232">A117</f>
        <v>Redução de Custo</v>
      </c>
      <c r="AV117" s="1566">
        <f t="shared" ref="AV117" si="233">IF(OR(I117="",K117=""),0,(I117/12)*K117)</f>
        <v>20435.733333333334</v>
      </c>
      <c r="AW117" s="1566">
        <f t="shared" ref="AW117" si="234">IF(OR(N117="",K117="",K117=0),0,(N117/K117)*12)</f>
        <v>0</v>
      </c>
    </row>
    <row r="118" spans="1:49" ht="29.1" customHeight="1" x14ac:dyDescent="0.3">
      <c r="A118" s="1810"/>
      <c r="B118" s="1466"/>
      <c r="C118" s="1408"/>
      <c r="D118" s="1455"/>
      <c r="E118" s="2421"/>
      <c r="F118" s="1743"/>
      <c r="G118" s="2166"/>
      <c r="H118" s="2166"/>
      <c r="I118" s="1396"/>
      <c r="J118" s="1750"/>
      <c r="K118" s="1387"/>
      <c r="L118" s="1396"/>
      <c r="M118" s="1860"/>
      <c r="N118" s="2359"/>
      <c r="O118" s="1330"/>
      <c r="P118" s="1330"/>
      <c r="Q118" s="1330"/>
      <c r="R118" s="1330"/>
      <c r="S118" s="2192"/>
      <c r="T118" s="96" t="s">
        <v>117</v>
      </c>
      <c r="U118" s="453">
        <f>_xlfn.XLOOKUP(B117,[50]Detalhamento!$A:$A,[50]Detalhamento!$N:$N)</f>
        <v>1</v>
      </c>
      <c r="V118" s="547"/>
      <c r="W118" s="547"/>
      <c r="X118" s="930"/>
      <c r="Y118" s="440">
        <f t="shared" si="189"/>
        <v>0</v>
      </c>
      <c r="Z118" s="930"/>
      <c r="AA118" s="930"/>
      <c r="AB118" s="930"/>
      <c r="AC118" s="440">
        <f t="shared" si="184"/>
        <v>0</v>
      </c>
      <c r="AD118" s="547"/>
      <c r="AE118" s="547"/>
      <c r="AF118" s="547"/>
      <c r="AG118" s="440">
        <f t="shared" si="185"/>
        <v>0</v>
      </c>
      <c r="AH118" s="547"/>
      <c r="AI118" s="547"/>
      <c r="AJ118" s="547"/>
      <c r="AK118" s="440">
        <f t="shared" si="167"/>
        <v>0</v>
      </c>
      <c r="AL118" s="94">
        <f t="shared" si="171"/>
        <v>0</v>
      </c>
      <c r="AM118" s="1408"/>
      <c r="AN118" s="1408"/>
      <c r="AO118" s="1330"/>
      <c r="AP118" s="1404"/>
      <c r="AQ118" s="554" t="str">
        <f>D117</f>
        <v>BID Fita Alta Temp 3M + Anti-Slip 3M</v>
      </c>
      <c r="AR118" s="62" t="s">
        <v>313</v>
      </c>
      <c r="AS118" s="508" t="str" cm="1">
        <f t="array" aca="1" ref="AS118" ca="1">IF(OR(AQ118="",AQ118=0),"",IF(SUMPRODUCT(($D$31:$D$144=AQ118)*(ISNUMBER(SEARCH("Real",$T$32:$T$145)))*($V$30:$AJ$30&lt;EOMONTH(TODAY(),-1)+1)*($V$32:$AJ$145))=0,"",SUMPRODUCT(($D$31:$D$144=AQ118)*(ISNUMBER(SEARCH("Real",$T$32:$T$145)))*($V$30:$AJ$30&lt;EOMONTH(TODAY(),-1)+1)*($V$32:$AJ$145))))</f>
        <v/>
      </c>
      <c r="AT118" s="62" t="str">
        <f t="shared" ref="AT118" si="235">A117</f>
        <v>Redução de Custo</v>
      </c>
      <c r="AV118" s="1567"/>
      <c r="AW118" s="1567"/>
    </row>
    <row r="119" spans="1:49" ht="29.1" customHeight="1" x14ac:dyDescent="0.3">
      <c r="A119" s="1380" t="s">
        <v>89</v>
      </c>
      <c r="B119" s="2372" t="s">
        <v>2635</v>
      </c>
      <c r="C119" s="2392" t="s">
        <v>99</v>
      </c>
      <c r="D119" s="1486" t="s">
        <v>2636</v>
      </c>
      <c r="E119" s="2362" t="s">
        <v>2637</v>
      </c>
      <c r="F119" s="1370" t="s">
        <v>2506</v>
      </c>
      <c r="G119" s="1372">
        <f>_xlfn.XLOOKUP(B119,[50]Detalhamento!$A:$A,[50]Detalhamento!$I:$I)</f>
        <v>46163</v>
      </c>
      <c r="H119" s="1372">
        <f>_xlfn.XLOOKUP(B119,[50]Detalhamento!$A:$A,[50]Detalhamento!$J:$J)</f>
        <v>46227</v>
      </c>
      <c r="I119" s="1354">
        <f>IFERROR(_xlfn.XLOOKUP(B119,[50]Detalhamento!$A:$A,[50]Detalhamento!$E:$E)," - ")</f>
        <v>83880.740000000005</v>
      </c>
      <c r="J119" s="1376">
        <f>_xlfn.XLOOKUP(B119,[51]Detalhamento!$A:$A,[51]Detalhamento!$O:$O)</f>
        <v>46266</v>
      </c>
      <c r="K119" s="1389">
        <f t="shared" ref="K119" si="236">IF(J119="", "", 12 - MONTH(J119) + 1)</f>
        <v>4</v>
      </c>
      <c r="L119" s="1354"/>
      <c r="M119" s="2356"/>
      <c r="N119" s="1391"/>
      <c r="O119" s="1327" t="s">
        <v>83</v>
      </c>
      <c r="P119" s="1327"/>
      <c r="Q119" s="1327"/>
      <c r="R119" s="1327"/>
      <c r="S119" s="2197" t="s">
        <v>25</v>
      </c>
      <c r="T119" s="91" t="s">
        <v>116</v>
      </c>
      <c r="U119" s="91">
        <f>_xlfn.XLOOKUP(B119,[50]Detalhamento!$A:$A,[50]Detalhamento!$M:$M)</f>
        <v>0.88888888888888884</v>
      </c>
      <c r="V119" s="715">
        <f>IFERROR(IF(AND(V$30&gt;=EOMONTH($J119,-1)+1,V$30&lt;=EOMONTH(EOMONTH($J119,-1)+1,$K119-1)),IF(NOT(ISBLANK($N119)),$N119/$K119,$I119/$K119),0),0)</f>
        <v>0</v>
      </c>
      <c r="W119" s="715">
        <f>IFERROR(IF(AND(W$30&gt;=EOMONTH($J119,-1)+1,W$30&lt;=EOMONTH(EOMONTH($J119,-1)+1,$K119-1)),IF(NOT(ISBLANK($N119)),$N119/$K119,$I119/$K119),0),0)</f>
        <v>0</v>
      </c>
      <c r="X119" s="715">
        <f>IFERROR(IF(AND(X$30&gt;=EOMONTH($J119,-1)+1,X$30&lt;=EOMONTH(EOMONTH($J119,-1)+1,$K119-1)),IF(NOT(ISBLANK($N119)),$N119/$K119,$I119/$K119),0),0)</f>
        <v>0</v>
      </c>
      <c r="Y119" s="440">
        <f t="shared" si="189"/>
        <v>0</v>
      </c>
      <c r="Z119" s="715">
        <f>IFERROR(IF(AND(Z$30&gt;=EOMONTH($J119,-1)+1,Z$30&lt;=EOMONTH(EOMONTH($J119,-1)+1,$K119-1)),IF(NOT(ISBLANK($N119)),$N119/$K119,$I119/$K119),0),0)</f>
        <v>0</v>
      </c>
      <c r="AA119" s="715">
        <f>IFERROR(IF(AND(AA$30&gt;=EOMONTH($J119,-1)+1,AA$30&lt;=EOMONTH(EOMONTH($J119,-1)+1,$K119-1)),IF(NOT(ISBLANK($N119)),$N119/$K119,$I119/$K119),0),0)</f>
        <v>0</v>
      </c>
      <c r="AB119" s="715">
        <f>IFERROR(IF(AND(AB$30&gt;=EOMONTH($J119,-1)+1,AB$30&lt;=EOMONTH(EOMONTH($J119,-1)+1,$K119-1)),IF(NOT(ISBLANK($N119)),$N119/$K119,$I119/$K119),0),0)</f>
        <v>0</v>
      </c>
      <c r="AC119" s="440">
        <f t="shared" si="184"/>
        <v>0</v>
      </c>
      <c r="AD119" s="715">
        <f>IFERROR(IF(AND(AD$30&gt;=EOMONTH($J119,-1)+1,AD$30&lt;=EOMONTH(EOMONTH($J119,-1)+1,$K119-1)),IF(NOT(ISBLANK($N119)),$N119/$K119,$I119/$K119),0),0)</f>
        <v>0</v>
      </c>
      <c r="AE119" s="715">
        <f>IFERROR(IF(AND(AE$30&gt;=EOMONTH($J119,-1)+1,AE$30&lt;=EOMONTH(EOMONTH($J119,-1)+1,$K119-1)),IF(NOT(ISBLANK($N119)),$N119/$K119,$I119/$K119),0),0)</f>
        <v>0</v>
      </c>
      <c r="AF119" s="715">
        <f>IFERROR(IF(AND(AF$30&gt;=EOMONTH($J119,-1)+1,AF$30&lt;=EOMONTH(EOMONTH($J119,-1)+1,$K119-1)),IF(NOT(ISBLANK($N119)),$N119/$K119,$I119/$K119),0),0)</f>
        <v>20970.185000000001</v>
      </c>
      <c r="AG119" s="440">
        <f t="shared" si="185"/>
        <v>20970.185000000001</v>
      </c>
      <c r="AH119" s="715">
        <f>IFERROR(IF(AND(AH$30&gt;=EOMONTH($J119,-1)+1,AH$30&lt;=EOMONTH(EOMONTH($J119,-1)+1,$K119-1)),IF(NOT(ISBLANK($N119)),$N119/$K119,$I119/$K119),0),0)</f>
        <v>20970.185000000001</v>
      </c>
      <c r="AI119" s="715">
        <f>IFERROR(IF(AND(AI$30&gt;=EOMONTH($J119,-1)+1,AI$30&lt;=EOMONTH(EOMONTH($J119,-1)+1,$K119-1)),IF(NOT(ISBLANK($N119)),$N119/$K119,$I119/$K119),0),0)</f>
        <v>20970.185000000001</v>
      </c>
      <c r="AJ119" s="715">
        <f>IFERROR(IF(AND(AJ$30&gt;=EOMONTH($J119,-1)+1,AJ$30&lt;=EOMONTH(EOMONTH($J119,-1)+1,$K119-1)),IF(NOT(ISBLANK($N119)),$N119/$K119,$I119/$K119),0),0)</f>
        <v>20970.185000000001</v>
      </c>
      <c r="AK119" s="440">
        <f t="shared" si="167"/>
        <v>62910.555000000008</v>
      </c>
      <c r="AL119" s="116">
        <f t="shared" si="171"/>
        <v>83880.740000000005</v>
      </c>
      <c r="AM119" s="1407"/>
      <c r="AN119" s="1407"/>
      <c r="AO119" s="1334"/>
      <c r="AP119" s="1403">
        <f>I119*AO119</f>
        <v>0</v>
      </c>
      <c r="AQ119" s="553" t="str">
        <f>D119</f>
        <v>BID Poliuretano Expansivo</v>
      </c>
      <c r="AR119" s="62" t="s">
        <v>311</v>
      </c>
      <c r="AS119" s="508" t="str" cm="1">
        <f t="array" aca="1" ref="AS119" ca="1">IF(OR(AQ119="",AQ119=0),"",IF(SUMPRODUCT(($D$31:$D$144=AQ119)*($T$31:$T$144="Previsto")*($V$30:$AJ$30&lt;EOMONTH(TODAY(),-1)+1)*($V$31:$AJ$144))=0,"",SUMPRODUCT(($D$31:$D$144=AQ119)*($T$31:$T$144="Previsto")*($V$30:$AJ$30&lt;EOMONTH(TODAY(),-1)+1)*($V$31:$AJ$144))))</f>
        <v/>
      </c>
      <c r="AT119" s="62" t="str">
        <f t="shared" ref="AT119" si="237">A119</f>
        <v>Redução de Custo</v>
      </c>
      <c r="AV119" s="1566">
        <f t="shared" ref="AV119" si="238">IF(OR(I119="",K119=""),0,(I119/12)*K119)</f>
        <v>27960.24666666667</v>
      </c>
      <c r="AW119" s="1566">
        <f t="shared" ref="AW119" si="239">IF(OR(N119="",K119="",K119=0),0,(N119/K119)*12)</f>
        <v>0</v>
      </c>
    </row>
    <row r="120" spans="1:49" ht="29.1" customHeight="1" x14ac:dyDescent="0.3">
      <c r="A120" s="1381"/>
      <c r="B120" s="1483"/>
      <c r="C120" s="1381"/>
      <c r="D120" s="1487"/>
      <c r="E120" s="2363"/>
      <c r="F120" s="1371"/>
      <c r="G120" s="1373"/>
      <c r="H120" s="1373"/>
      <c r="I120" s="1355"/>
      <c r="J120" s="1377"/>
      <c r="K120" s="1389"/>
      <c r="L120" s="1355"/>
      <c r="M120" s="2357"/>
      <c r="N120" s="1392"/>
      <c r="O120" s="1328"/>
      <c r="P120" s="1328"/>
      <c r="Q120" s="1328"/>
      <c r="R120" s="1328"/>
      <c r="S120" s="2198"/>
      <c r="T120" s="91" t="s">
        <v>117</v>
      </c>
      <c r="U120" s="452">
        <f>_xlfn.XLOOKUP(B119,[50]Detalhamento!$A:$A,[50]Detalhamento!$N:$N)</f>
        <v>0.77777777777777779</v>
      </c>
      <c r="V120" s="715"/>
      <c r="W120" s="715"/>
      <c r="X120" s="715"/>
      <c r="Y120" s="440">
        <f t="shared" si="189"/>
        <v>0</v>
      </c>
      <c r="Z120" s="715"/>
      <c r="AA120" s="715"/>
      <c r="AB120" s="715"/>
      <c r="AC120" s="440">
        <f t="shared" si="184"/>
        <v>0</v>
      </c>
      <c r="AD120" s="715"/>
      <c r="AE120" s="715"/>
      <c r="AF120" s="715"/>
      <c r="AG120" s="440">
        <f t="shared" si="185"/>
        <v>0</v>
      </c>
      <c r="AH120" s="715"/>
      <c r="AI120" s="715"/>
      <c r="AJ120" s="715"/>
      <c r="AK120" s="440">
        <f t="shared" si="167"/>
        <v>0</v>
      </c>
      <c r="AL120" s="454">
        <f t="shared" si="171"/>
        <v>0</v>
      </c>
      <c r="AM120" s="1408"/>
      <c r="AN120" s="1408"/>
      <c r="AO120" s="1330"/>
      <c r="AP120" s="1404"/>
      <c r="AQ120" s="554" t="str">
        <f>D119</f>
        <v>BID Poliuretano Expansivo</v>
      </c>
      <c r="AR120" s="62" t="s">
        <v>313</v>
      </c>
      <c r="AS120" s="508" t="str" cm="1">
        <f t="array" aca="1" ref="AS120" ca="1">IF(OR(AQ120="",AQ120=0),"",IF(SUMPRODUCT(($D$31:$D$144=AQ120)*(ISNUMBER(SEARCH("Real",$T$32:$T$145)))*($V$30:$AJ$30&lt;EOMONTH(TODAY(),-1)+1)*($V$32:$AJ$145))=0,"",SUMPRODUCT(($D$31:$D$144=AQ120)*(ISNUMBER(SEARCH("Real",$T$32:$T$145)))*($V$30:$AJ$30&lt;EOMONTH(TODAY(),-1)+1)*($V$32:$AJ$145))))</f>
        <v/>
      </c>
      <c r="AT120" s="62" t="str">
        <f t="shared" ref="AT120" si="240">A119</f>
        <v>Redução de Custo</v>
      </c>
      <c r="AV120" s="1567"/>
      <c r="AW120" s="1567"/>
    </row>
    <row r="121" spans="1:49" ht="29.1" customHeight="1" x14ac:dyDescent="0.3">
      <c r="A121" s="1809" t="s">
        <v>89</v>
      </c>
      <c r="B121" s="1465" t="s">
        <v>2638</v>
      </c>
      <c r="C121" s="2392" t="s">
        <v>101</v>
      </c>
      <c r="D121" s="1356" t="s">
        <v>2639</v>
      </c>
      <c r="E121" s="2370" t="s">
        <v>2640</v>
      </c>
      <c r="F121" s="1451" t="s">
        <v>2510</v>
      </c>
      <c r="G121" s="2165">
        <f>_xlfn.XLOOKUP(B121,[50]Detalhamento!$A:$A,[50]Detalhamento!$I:$I)</f>
        <v>46146</v>
      </c>
      <c r="H121" s="2165">
        <f>_xlfn.XLOOKUP(B121,[50]Detalhamento!$A:$A,[50]Detalhamento!$J:$J)</f>
        <v>46366</v>
      </c>
      <c r="I121" s="1395">
        <f>IFERROR(_xlfn.XLOOKUP(B121,[50]Detalhamento!$A:$A,[50]Detalhamento!$E:$E)," - ")</f>
        <v>437338</v>
      </c>
      <c r="J121" s="1749">
        <f>_xlfn.XLOOKUP(B121,[50]Detalhamento!$A:$A,[50]Detalhamento!$O:$O)</f>
        <v>46371</v>
      </c>
      <c r="K121" s="1387">
        <f t="shared" ref="K121" si="241">IF(J121="", "", 12 - MONTH(J121) + 1)</f>
        <v>1</v>
      </c>
      <c r="L121" s="1395"/>
      <c r="M121" s="2364"/>
      <c r="N121" s="1393"/>
      <c r="O121" s="1334" t="s">
        <v>83</v>
      </c>
      <c r="P121" s="1334"/>
      <c r="Q121" s="1334"/>
      <c r="R121" s="1334"/>
      <c r="S121" s="2191"/>
      <c r="T121" s="96" t="s">
        <v>116</v>
      </c>
      <c r="U121" s="96">
        <f>_xlfn.XLOOKUP(B121,[50]Detalhamento!$A:$A,[50]Detalhamento!$M:$M)</f>
        <v>0.65217391304347827</v>
      </c>
      <c r="V121" s="547">
        <f>IFERROR(IF(AND(V$30&gt;=EOMONTH($J121,-1)+1,V$30&lt;=EOMONTH(EOMONTH($J121,-1)+1,$K121-1)),IF(NOT(ISBLANK($N121)),$N121/$K121,$I121/$K121),0),0)</f>
        <v>0</v>
      </c>
      <c r="W121" s="547">
        <f>IFERROR(IF(AND(W$30&gt;=EOMONTH($J121,-1)+1,W$30&lt;=EOMONTH(EOMONTH($J121,-1)+1,$K121-1)),IF(NOT(ISBLANK($N121)),$N121/$K121,$I121/$K121),0),0)</f>
        <v>0</v>
      </c>
      <c r="X121" s="547">
        <f>IFERROR(IF(AND(X$30&gt;=EOMONTH($J121,-1)+1,X$30&lt;=EOMONTH(EOMONTH($J121,-1)+1,$K121-1)),IF(NOT(ISBLANK($N121)),$N121/$K121,$I121/$K121),0),0)</f>
        <v>0</v>
      </c>
      <c r="Y121" s="440">
        <f t="shared" si="189"/>
        <v>0</v>
      </c>
      <c r="Z121" s="547">
        <f>IFERROR(IF(AND(Z$30&gt;=EOMONTH($J121,-1)+1,Z$30&lt;=EOMONTH(EOMONTH($J121,-1)+1,$K121-1)),IF(NOT(ISBLANK($N121)),$N121/$K121,$I121/$K121),0),0)</f>
        <v>0</v>
      </c>
      <c r="AA121" s="547">
        <f>IFERROR(IF(AND(AA$30&gt;=EOMONTH($J121,-1)+1,AA$30&lt;=EOMONTH(EOMONTH($J121,-1)+1,$K121-1)),IF(NOT(ISBLANK($N121)),$N121/$K121,$I121/$K121),0),0)</f>
        <v>0</v>
      </c>
      <c r="AB121" s="547">
        <f>IFERROR(IF(AND(AB$30&gt;=EOMONTH($J121,-1)+1,AB$30&lt;=EOMONTH(EOMONTH($J121,-1)+1,$K121-1)),IF(NOT(ISBLANK($N121)),$N121/$K121,$I121/$K121),0),0)</f>
        <v>0</v>
      </c>
      <c r="AC121" s="440">
        <f t="shared" si="184"/>
        <v>0</v>
      </c>
      <c r="AD121" s="547">
        <f>IFERROR(IF(AND(AD$30&gt;=EOMONTH($J121,-1)+1,AD$30&lt;=EOMONTH(EOMONTH($J121,-1)+1,$K121-1)),IF(NOT(ISBLANK($N121)),$N121/$K121,$I121/$K121),0),0)</f>
        <v>0</v>
      </c>
      <c r="AE121" s="547">
        <f>IFERROR(IF(AND(AE$30&gt;=EOMONTH($J121,-1)+1,AE$30&lt;=EOMONTH(EOMONTH($J121,-1)+1,$K121-1)),IF(NOT(ISBLANK($N121)),$N121/$K121,$I121/$K121),0),0)</f>
        <v>0</v>
      </c>
      <c r="AF121" s="547">
        <f>IFERROR(IF(AND(AF$30&gt;=EOMONTH($J121,-1)+1,AF$30&lt;=EOMONTH(EOMONTH($J121,-1)+1,$K121-1)),IF(NOT(ISBLANK($N121)),$N121/$K121,$I121/$K121),0),0)</f>
        <v>0</v>
      </c>
      <c r="AG121" s="440">
        <f t="shared" si="185"/>
        <v>0</v>
      </c>
      <c r="AH121" s="547">
        <f>IFERROR(IF(AND(AH$30&gt;=EOMONTH($J121,-1)+1,AH$30&lt;=EOMONTH(EOMONTH($J121,-1)+1,$K121-1)),IF(NOT(ISBLANK($N121)),$N121/$K121,$I121/$K121),0),0)</f>
        <v>0</v>
      </c>
      <c r="AI121" s="547">
        <f>IFERROR(IF(AND(AI$30&gt;=EOMONTH($J121,-1)+1,AI$30&lt;=EOMONTH(EOMONTH($J121,-1)+1,$K121-1)),IF(NOT(ISBLANK($N121)),$N121/$K121,$I121/$K121),0),0)</f>
        <v>0</v>
      </c>
      <c r="AJ121" s="547">
        <f>IFERROR(IF(AND(AJ$30&gt;=EOMONTH($J121,-1)+1,AJ$30&lt;=EOMONTH(EOMONTH($J121,-1)+1,$K121-1)),IF(NOT(ISBLANK($N121)),$N121/$K121,$I121/$K121),0),0)</f>
        <v>437338</v>
      </c>
      <c r="AK121" s="440">
        <f t="shared" si="167"/>
        <v>437338</v>
      </c>
      <c r="AL121" s="94">
        <f t="shared" si="171"/>
        <v>437338</v>
      </c>
      <c r="AM121" s="1407"/>
      <c r="AN121" s="1407"/>
      <c r="AO121" s="1334"/>
      <c r="AP121" s="1403">
        <f>I121*AO121</f>
        <v>0</v>
      </c>
      <c r="AQ121" s="553" t="str">
        <f>D121</f>
        <v>Nacionalização RIBE - 
Item 75640 (Pino Rebite M6 x 16)</v>
      </c>
      <c r="AR121" s="62" t="s">
        <v>311</v>
      </c>
      <c r="AS121" s="508" t="str" cm="1">
        <f t="array" aca="1" ref="AS121" ca="1">IF(OR(AQ121="",AQ121=0),"",IF(SUMPRODUCT(($D$31:$D$144=AQ121)*($T$31:$T$144="Previsto")*($V$30:$AJ$30&lt;EOMONTH(TODAY(),-1)+1)*($V$31:$AJ$144))=0,"",SUMPRODUCT(($D$31:$D$144=AQ121)*($T$31:$T$144="Previsto")*($V$30:$AJ$30&lt;EOMONTH(TODAY(),-1)+1)*($V$31:$AJ$144))))</f>
        <v/>
      </c>
      <c r="AT121" s="62" t="str">
        <f t="shared" ref="AT121" si="242">A121</f>
        <v>Redução de Custo</v>
      </c>
      <c r="AV121" s="1566">
        <f t="shared" ref="AV121" si="243">IF(OR(I121="",K121=""),0,(I121/12)*K121)</f>
        <v>36444.833333333336</v>
      </c>
      <c r="AW121" s="1566">
        <f t="shared" ref="AW121" si="244">IF(OR(N121="",K121="",K121=0),0,(N121/K121)*12)</f>
        <v>0</v>
      </c>
    </row>
    <row r="122" spans="1:49" ht="29.1" customHeight="1" x14ac:dyDescent="0.3">
      <c r="A122" s="1810"/>
      <c r="B122" s="1466"/>
      <c r="C122" s="1408"/>
      <c r="D122" s="1455"/>
      <c r="E122" s="2371"/>
      <c r="F122" s="1452"/>
      <c r="G122" s="2166"/>
      <c r="H122" s="2166"/>
      <c r="I122" s="1396"/>
      <c r="J122" s="1750"/>
      <c r="K122" s="1387"/>
      <c r="L122" s="1396"/>
      <c r="M122" s="2365"/>
      <c r="N122" s="1394"/>
      <c r="O122" s="1330"/>
      <c r="P122" s="1330"/>
      <c r="Q122" s="1330"/>
      <c r="R122" s="1330"/>
      <c r="S122" s="2192"/>
      <c r="T122" s="96" t="s">
        <v>117</v>
      </c>
      <c r="U122" s="453">
        <f>_xlfn.XLOOKUP(B121,[50]Detalhamento!$A:$A,[50]Detalhamento!$N:$N)</f>
        <v>0.69565217391304346</v>
      </c>
      <c r="V122" s="547"/>
      <c r="W122" s="547"/>
      <c r="X122" s="547"/>
      <c r="Y122" s="440">
        <f t="shared" si="189"/>
        <v>0</v>
      </c>
      <c r="Z122" s="547"/>
      <c r="AA122" s="547"/>
      <c r="AB122" s="547"/>
      <c r="AC122" s="440">
        <f t="shared" si="184"/>
        <v>0</v>
      </c>
      <c r="AD122" s="547"/>
      <c r="AE122" s="547"/>
      <c r="AF122" s="547"/>
      <c r="AG122" s="440">
        <f t="shared" si="185"/>
        <v>0</v>
      </c>
      <c r="AH122" s="547"/>
      <c r="AI122" s="547"/>
      <c r="AJ122" s="547"/>
      <c r="AK122" s="440">
        <f t="shared" si="167"/>
        <v>0</v>
      </c>
      <c r="AL122" s="94">
        <f t="shared" si="171"/>
        <v>0</v>
      </c>
      <c r="AM122" s="1408"/>
      <c r="AN122" s="1408"/>
      <c r="AO122" s="1330"/>
      <c r="AP122" s="1404"/>
      <c r="AQ122" s="554" t="str">
        <f>D121</f>
        <v>Nacionalização RIBE - 
Item 75640 (Pino Rebite M6 x 16)</v>
      </c>
      <c r="AR122" s="62" t="s">
        <v>313</v>
      </c>
      <c r="AS122" s="508" t="str" cm="1">
        <f t="array" aca="1" ref="AS122" ca="1">IF(OR(AQ122="",AQ122=0),"",IF(SUMPRODUCT(($D$31:$D$144=AQ122)*(ISNUMBER(SEARCH("Real",$T$32:$T$145)))*($V$30:$AJ$30&lt;EOMONTH(TODAY(),-1)+1)*($V$32:$AJ$145))=0,"",SUMPRODUCT(($D$31:$D$144=AQ122)*(ISNUMBER(SEARCH("Real",$T$32:$T$145)))*($V$30:$AJ$30&lt;EOMONTH(TODAY(),-1)+1)*($V$32:$AJ$145))))</f>
        <v/>
      </c>
      <c r="AT122" s="62" t="str">
        <f t="shared" ref="AT122" si="245">A121</f>
        <v>Redução de Custo</v>
      </c>
      <c r="AV122" s="1567"/>
      <c r="AW122" s="1567"/>
    </row>
    <row r="123" spans="1:49" ht="29.1" customHeight="1" x14ac:dyDescent="0.3">
      <c r="A123" s="1380" t="s">
        <v>89</v>
      </c>
      <c r="B123" s="1482" t="s">
        <v>2641</v>
      </c>
      <c r="C123" s="2392" t="s">
        <v>101</v>
      </c>
      <c r="D123" s="1486" t="s">
        <v>2642</v>
      </c>
      <c r="E123" s="2362" t="s">
        <v>2643</v>
      </c>
      <c r="F123" s="1370" t="s">
        <v>2619</v>
      </c>
      <c r="G123" s="1372">
        <f>_xlfn.XLOOKUP(B123,[50]Detalhamento!$A:$A,[50]Detalhamento!$I:$I)</f>
        <v>46160</v>
      </c>
      <c r="H123" s="1372">
        <f>_xlfn.XLOOKUP(B123,[50]Detalhamento!$A:$A,[50]Detalhamento!$J:$J)</f>
        <v>46225</v>
      </c>
      <c r="I123" s="1354">
        <f>_xlfn.XLOOKUP(B123,[50]Detalhamento!$A:$A,[50]Detalhamento!$E:$E)</f>
        <v>408000</v>
      </c>
      <c r="J123" s="1376">
        <f>_xlfn.XLOOKUP(B123,[50]Detalhamento!$A:$A,[50]Detalhamento!$O:$O)</f>
        <v>46357</v>
      </c>
      <c r="K123" s="1389">
        <f t="shared" ref="K123" si="246">IF(J123="", "", 12 - MONTH(J123) + 1)</f>
        <v>1</v>
      </c>
      <c r="L123" s="1354"/>
      <c r="M123" s="2356"/>
      <c r="N123" s="2373"/>
      <c r="O123" s="1327" t="s">
        <v>83</v>
      </c>
      <c r="P123" s="1327"/>
      <c r="Q123" s="1327"/>
      <c r="R123" s="1327"/>
      <c r="S123" s="2197"/>
      <c r="T123" s="91" t="s">
        <v>116</v>
      </c>
      <c r="U123" s="91">
        <f>_xlfn.XLOOKUP(B123,[50]Detalhamento!$A:$A,[50]Detalhamento!$M:$M)</f>
        <v>1</v>
      </c>
      <c r="V123" s="715">
        <f>IFERROR(IF(AND(V$30&gt;=EOMONTH($J123,-1)+1,V$30&lt;=EOMONTH(EOMONTH($J123,-1)+1,$K123-1)),IF(NOT(ISBLANK($N123)),$N123/$K123,$I123/$K123),0),0)</f>
        <v>0</v>
      </c>
      <c r="W123" s="715">
        <f>IFERROR(IF(AND(W$30&gt;=EOMONTH($J123,-1)+1,W$30&lt;=EOMONTH(EOMONTH($J123,-1)+1,$K123-1)),IF(NOT(ISBLANK($N123)),$N123/$K123,$I123/$K123),0),0)</f>
        <v>0</v>
      </c>
      <c r="X123" s="715">
        <f>IFERROR(IF(AND(X$30&gt;=EOMONTH($J123,-1)+1,X$30&lt;=EOMONTH(EOMONTH($J123,-1)+1,$K123-1)),IF(NOT(ISBLANK($N123)),$N123/$K123,$I123/$K123),0),0)</f>
        <v>0</v>
      </c>
      <c r="Y123" s="440">
        <f t="shared" si="189"/>
        <v>0</v>
      </c>
      <c r="Z123" s="715">
        <f>IFERROR(IF(AND(Z$30&gt;=EOMONTH($J123,-1)+1,Z$30&lt;=EOMONTH(EOMONTH($J123,-1)+1,$K123-1)),IF(NOT(ISBLANK($N123)),$N123/$K123,$I123/$K123),0),0)</f>
        <v>0</v>
      </c>
      <c r="AA123" s="715">
        <f>IFERROR(IF(AND(AA$30&gt;=EOMONTH($J123,-1)+1,AA$30&lt;=EOMONTH(EOMONTH($J123,-1)+1,$K123-1)),IF(NOT(ISBLANK($N123)),$N123/$K123,$I123/$K123),0),0)</f>
        <v>0</v>
      </c>
      <c r="AB123" s="715">
        <f>IFERROR(IF(AND(AB$30&gt;=EOMONTH($J123,-1)+1,AB$30&lt;=EOMONTH(EOMONTH($J123,-1)+1,$K123-1)),IF(NOT(ISBLANK($N123)),$N123/$K123,$I123/$K123),0),0)</f>
        <v>0</v>
      </c>
      <c r="AC123" s="440">
        <f t="shared" si="184"/>
        <v>0</v>
      </c>
      <c r="AD123" s="715">
        <f>IFERROR(IF(AND(AD$30&gt;=EOMONTH($J123,-1)+1,AD$30&lt;=EOMONTH(EOMONTH($J123,-1)+1,$K123-1)),IF(NOT(ISBLANK($N123)),$N123/$K123,$I123/$K123),0),0)</f>
        <v>0</v>
      </c>
      <c r="AE123" s="715">
        <f>IFERROR(IF(AND(AE$30&gt;=EOMONTH($J123,-1)+1,AE$30&lt;=EOMONTH(EOMONTH($J123,-1)+1,$K123-1)),IF(NOT(ISBLANK($N123)),$N123/$K123,$I123/$K123),0),0)</f>
        <v>0</v>
      </c>
      <c r="AF123" s="715">
        <f>IFERROR(IF(AND(AF$30&gt;=EOMONTH($J123,-1)+1,AF$30&lt;=EOMONTH(EOMONTH($J123,-1)+1,$K123-1)),IF(NOT(ISBLANK($N123)),$N123/$K123,$I123/$K123),0),0)</f>
        <v>0</v>
      </c>
      <c r="AG123" s="440">
        <f t="shared" si="185"/>
        <v>0</v>
      </c>
      <c r="AH123" s="715">
        <f>IFERROR(IF(AND(AH$30&gt;=EOMONTH($J123,-1)+1,AH$30&lt;=EOMONTH(EOMONTH($J123,-1)+1,$K123-1)),IF(NOT(ISBLANK($N123)),$N123/$K123,$I123/$K123),0),0)</f>
        <v>0</v>
      </c>
      <c r="AI123" s="715">
        <f>IFERROR(IF(AND(AI$30&gt;=EOMONTH($J123,-1)+1,AI$30&lt;=EOMONTH(EOMONTH($J123,-1)+1,$K123-1)),IF(NOT(ISBLANK($N123)),$N123/$K123,$I123/$K123),0),0)</f>
        <v>0</v>
      </c>
      <c r="AJ123" s="715">
        <f>IFERROR(IF(AND(AJ$30&gt;=EOMONTH($J123,-1)+1,AJ$30&lt;=EOMONTH(EOMONTH($J123,-1)+1,$K123-1)),IF(NOT(ISBLANK($N123)),$N123/$K123,$I123/$K123),0),0)</f>
        <v>408000</v>
      </c>
      <c r="AK123" s="440">
        <f t="shared" si="167"/>
        <v>408000</v>
      </c>
      <c r="AL123" s="116">
        <f t="shared" si="171"/>
        <v>408000</v>
      </c>
      <c r="AM123" s="1407"/>
      <c r="AN123" s="1407"/>
      <c r="AO123" s="1334"/>
      <c r="AP123" s="1403">
        <f>I123*AO123</f>
        <v>0</v>
      </c>
      <c r="AQ123" s="553" t="str">
        <f>D123</f>
        <v>Venda de Equipamentos</v>
      </c>
      <c r="AR123" s="62" t="s">
        <v>311</v>
      </c>
      <c r="AS123" s="508" t="str" cm="1">
        <f t="array" aca="1" ref="AS123" ca="1">IF(OR(AQ123="",AQ123=0),"",IF(SUMPRODUCT(($D$31:$D$144=AQ123)*($T$31:$T$144="Previsto")*($V$30:$AJ$30&lt;EOMONTH(TODAY(),-1)+1)*($V$31:$AJ$144))=0,"",SUMPRODUCT(($D$31:$D$144=AQ123)*($T$31:$T$144="Previsto")*($V$30:$AJ$30&lt;EOMONTH(TODAY(),-1)+1)*($V$31:$AJ$144))))</f>
        <v/>
      </c>
      <c r="AT123" s="62" t="str">
        <f t="shared" ref="AT123" si="247">A123</f>
        <v>Redução de Custo</v>
      </c>
      <c r="AV123" s="1566">
        <f t="shared" ref="AV123" si="248">IF(OR(I123="",K123=""),0,(I123/12)*K123)</f>
        <v>34000</v>
      </c>
      <c r="AW123" s="1566">
        <f t="shared" ref="AW123" si="249">IF(OR(N123="",K123="",K123=0),0,(N123/K123)*12)</f>
        <v>0</v>
      </c>
    </row>
    <row r="124" spans="1:49" ht="29.1" customHeight="1" x14ac:dyDescent="0.3">
      <c r="A124" s="1381"/>
      <c r="B124" s="1483"/>
      <c r="C124" s="1381"/>
      <c r="D124" s="1487"/>
      <c r="E124" s="2363"/>
      <c r="F124" s="1371"/>
      <c r="G124" s="1373"/>
      <c r="H124" s="1373"/>
      <c r="I124" s="1355"/>
      <c r="J124" s="1377"/>
      <c r="K124" s="1389"/>
      <c r="L124" s="1355"/>
      <c r="M124" s="2357"/>
      <c r="N124" s="2359"/>
      <c r="O124" s="1328"/>
      <c r="P124" s="1328"/>
      <c r="Q124" s="1328"/>
      <c r="R124" s="1328"/>
      <c r="S124" s="2198"/>
      <c r="T124" s="91" t="s">
        <v>117</v>
      </c>
      <c r="U124" s="452">
        <f>_xlfn.XLOOKUP(B123,[50]Detalhamento!$A:$A,[50]Detalhamento!$N:$N)</f>
        <v>1</v>
      </c>
      <c r="V124" s="715"/>
      <c r="W124" s="715"/>
      <c r="X124" s="715"/>
      <c r="Y124" s="440">
        <f t="shared" si="189"/>
        <v>0</v>
      </c>
      <c r="Z124" s="715"/>
      <c r="AA124" s="715"/>
      <c r="AB124" s="715"/>
      <c r="AC124" s="440">
        <f t="shared" si="184"/>
        <v>0</v>
      </c>
      <c r="AD124" s="715"/>
      <c r="AE124" s="715"/>
      <c r="AF124" s="715"/>
      <c r="AG124" s="440">
        <f t="shared" si="185"/>
        <v>0</v>
      </c>
      <c r="AH124" s="715"/>
      <c r="AI124" s="715"/>
      <c r="AJ124" s="715"/>
      <c r="AK124" s="440">
        <f t="shared" si="167"/>
        <v>0</v>
      </c>
      <c r="AL124" s="454">
        <f t="shared" si="171"/>
        <v>0</v>
      </c>
      <c r="AM124" s="1408"/>
      <c r="AN124" s="1408"/>
      <c r="AO124" s="1330"/>
      <c r="AP124" s="1404"/>
      <c r="AQ124" s="554" t="str">
        <f>D123</f>
        <v>Venda de Equipamentos</v>
      </c>
      <c r="AR124" s="62" t="s">
        <v>313</v>
      </c>
      <c r="AS124" s="508" t="str" cm="1">
        <f t="array" aca="1" ref="AS124" ca="1">IF(OR(AQ124="",AQ124=0),"",IF(SUMPRODUCT(($D$31:$D$144=AQ124)*(ISNUMBER(SEARCH("Real",$T$32:$T$145)))*($V$30:$AJ$30&lt;EOMONTH(TODAY(),-1)+1)*($V$32:$AJ$145))=0,"",SUMPRODUCT(($D$31:$D$144=AQ124)*(ISNUMBER(SEARCH("Real",$T$32:$T$145)))*($V$30:$AJ$30&lt;EOMONTH(TODAY(),-1)+1)*($V$32:$AJ$145))))</f>
        <v/>
      </c>
      <c r="AT124" s="62" t="str">
        <f t="shared" ref="AT124" si="250">A123</f>
        <v>Redução de Custo</v>
      </c>
      <c r="AV124" s="1567"/>
      <c r="AW124" s="1567"/>
    </row>
    <row r="125" spans="1:49" ht="29.1" customHeight="1" x14ac:dyDescent="0.3">
      <c r="A125" s="1809" t="s">
        <v>89</v>
      </c>
      <c r="B125" s="1465" t="s">
        <v>2644</v>
      </c>
      <c r="C125" s="2392" t="s">
        <v>101</v>
      </c>
      <c r="D125" s="1356" t="s">
        <v>2645</v>
      </c>
      <c r="E125" s="2370" t="s">
        <v>2646</v>
      </c>
      <c r="F125" s="1451" t="s">
        <v>2619</v>
      </c>
      <c r="G125" s="2165">
        <f>_xlfn.XLOOKUP(B125,[50]Detalhamento!$A:$A,[50]Detalhamento!$I:$I)</f>
        <v>46136</v>
      </c>
      <c r="H125" s="2165">
        <f>_xlfn.XLOOKUP(B125,[50]Detalhamento!$A:$A,[50]Detalhamento!$J:$J)</f>
        <v>46213</v>
      </c>
      <c r="I125" s="1395">
        <f>IFERROR(_xlfn.XLOOKUP(B125,[50]Detalhamento!$A:$A,[50]Detalhamento!$E:$E)," - ")</f>
        <v>96000</v>
      </c>
      <c r="J125" s="1749">
        <f>_xlfn.XLOOKUP(B125,[50]Detalhamento!$A:$A,[50]Detalhamento!$O:$O)</f>
        <v>46237</v>
      </c>
      <c r="K125" s="1387">
        <f t="shared" ref="K125" si="251">IF(J125="", "", 12 - MONTH(J125) + 1)</f>
        <v>5</v>
      </c>
      <c r="L125" s="1395"/>
      <c r="M125" s="2364"/>
      <c r="N125" s="2358"/>
      <c r="O125" s="1334" t="s">
        <v>83</v>
      </c>
      <c r="P125" s="1334"/>
      <c r="Q125" s="1334"/>
      <c r="R125" s="1334"/>
      <c r="S125" s="2191"/>
      <c r="T125" s="96" t="s">
        <v>116</v>
      </c>
      <c r="U125" s="96">
        <f>_xlfn.XLOOKUP(B125,[50]Detalhamento!$A:$A,[50]Detalhamento!$M:$M)</f>
        <v>1</v>
      </c>
      <c r="V125" s="547">
        <f>IFERROR(IF(AND(V$30&gt;=EOMONTH($J125,-1)+1,V$30&lt;=EOMONTH(EOMONTH($J125,-1)+1,$K125-1)),IF(NOT(ISBLANK($N125)),$N125/$K125,$I125/$K125),0),0)</f>
        <v>0</v>
      </c>
      <c r="W125" s="547">
        <f>IFERROR(IF(AND(W$30&gt;=EOMONTH($J125,-1)+1,W$30&lt;=EOMONTH(EOMONTH($J125,-1)+1,$K125-1)),IF(NOT(ISBLANK($N125)),$N125/$K125,$I125/$K125),0),0)</f>
        <v>0</v>
      </c>
      <c r="X125" s="547">
        <f>IFERROR(IF(AND(X$30&gt;=EOMONTH($J125,-1)+1,X$30&lt;=EOMONTH(EOMONTH($J125,-1)+1,$K125-1)),IF(NOT(ISBLANK($N125)),$N125/$K125,$I125/$K125),0),0)</f>
        <v>0</v>
      </c>
      <c r="Y125" s="440">
        <f t="shared" si="189"/>
        <v>0</v>
      </c>
      <c r="Z125" s="547">
        <f>IFERROR(IF(AND(Z$30&gt;=EOMONTH($J125,-1)+1,Z$30&lt;=EOMONTH(EOMONTH($J125,-1)+1,$K125-1)),IF(NOT(ISBLANK($N125)),$N125/$K125,$I125/$K125),0),0)</f>
        <v>0</v>
      </c>
      <c r="AA125" s="547">
        <f>IFERROR(IF(AND(AA$30&gt;=EOMONTH($J125,-1)+1,AA$30&lt;=EOMONTH(EOMONTH($J125,-1)+1,$K125-1)),IF(NOT(ISBLANK($N125)),$N125/$K125,$I125/$K125),0),0)</f>
        <v>0</v>
      </c>
      <c r="AB125" s="547">
        <f>IFERROR(IF(AND(AB$30&gt;=EOMONTH($J125,-1)+1,AB$30&lt;=EOMONTH(EOMONTH($J125,-1)+1,$K125-1)),IF(NOT(ISBLANK($N125)),$N125/$K125,$I125/$K125),0),0)</f>
        <v>0</v>
      </c>
      <c r="AC125" s="440">
        <f t="shared" si="184"/>
        <v>0</v>
      </c>
      <c r="AD125" s="547">
        <f>IFERROR(IF(AND(AD$30&gt;=EOMONTH($J125,-1)+1,AD$30&lt;=EOMONTH(EOMONTH($J125,-1)+1,$K125-1)),IF(NOT(ISBLANK($N125)),$N125/$K125,$I125/$K125),0),0)</f>
        <v>0</v>
      </c>
      <c r="AE125" s="547">
        <f>IFERROR(IF(AND(AE$30&gt;=EOMONTH($J125,-1)+1,AE$30&lt;=EOMONTH(EOMONTH($J125,-1)+1,$K125-1)),IF(NOT(ISBLANK($N125)),$N125/$K125,$I125/$K125),0),0)</f>
        <v>19200</v>
      </c>
      <c r="AF125" s="547">
        <f>IFERROR(IF(AND(AF$30&gt;=EOMONTH($J125,-1)+1,AF$30&lt;=EOMONTH(EOMONTH($J125,-1)+1,$K125-1)),IF(NOT(ISBLANK($N125)),$N125/$K125,$I125/$K125),0),0)</f>
        <v>19200</v>
      </c>
      <c r="AG125" s="440">
        <f t="shared" si="185"/>
        <v>38400</v>
      </c>
      <c r="AH125" s="547">
        <f>IFERROR(IF(AND(AH$30&gt;=EOMONTH($J125,-1)+1,AH$30&lt;=EOMONTH(EOMONTH($J125,-1)+1,$K125-1)),IF(NOT(ISBLANK($N125)),$N125/$K125,$I125/$K125),0),0)</f>
        <v>19200</v>
      </c>
      <c r="AI125" s="547">
        <f>IFERROR(IF(AND(AI$30&gt;=EOMONTH($J125,-1)+1,AI$30&lt;=EOMONTH(EOMONTH($J125,-1)+1,$K125-1)),IF(NOT(ISBLANK($N125)),$N125/$K125,$I125/$K125),0),0)</f>
        <v>19200</v>
      </c>
      <c r="AJ125" s="547">
        <f>IFERROR(IF(AND(AJ$30&gt;=EOMONTH($J125,-1)+1,AJ$30&lt;=EOMONTH(EOMONTH($J125,-1)+1,$K125-1)),IF(NOT(ISBLANK($N125)),$N125/$K125,$I125/$K125),0),0)</f>
        <v>19200</v>
      </c>
      <c r="AK125" s="440">
        <f t="shared" ref="AK125:AK142" si="252">SUM(AH125:AJ125)</f>
        <v>57600</v>
      </c>
      <c r="AL125" s="94">
        <f t="shared" si="171"/>
        <v>96000</v>
      </c>
      <c r="AM125" s="1407"/>
      <c r="AN125" s="1407"/>
      <c r="AO125" s="1334"/>
      <c r="AP125" s="1403">
        <f>I125*AO125</f>
        <v>0</v>
      </c>
      <c r="AQ125" s="553" t="str">
        <f>D125</f>
        <v>ULTRASOM</v>
      </c>
      <c r="AR125" s="62" t="s">
        <v>311</v>
      </c>
      <c r="AS125" s="508" t="str" cm="1">
        <f t="array" aca="1" ref="AS125" ca="1">IF(OR(AQ125="",AQ125=0),"",IF(SUMPRODUCT(($D$31:$D$144=AQ125)*($T$31:$T$144="Previsto")*($V$30:$AJ$30&lt;EOMONTH(TODAY(),-1)+1)*($V$31:$AJ$144))=0,"",SUMPRODUCT(($D$31:$D$144=AQ125)*($T$31:$T$144="Previsto")*($V$30:$AJ$30&lt;EOMONTH(TODAY(),-1)+1)*($V$31:$AJ$144))))</f>
        <v/>
      </c>
      <c r="AT125" s="62" t="str">
        <f t="shared" ref="AT125" si="253">A125</f>
        <v>Redução de Custo</v>
      </c>
      <c r="AV125" s="1566">
        <f t="shared" ref="AV125" si="254">IF(OR(I125="",K125=""),0,(I125/12)*K125)</f>
        <v>40000</v>
      </c>
      <c r="AW125" s="1566">
        <f t="shared" ref="AW125" si="255">IF(OR(N125="",K125="",K125=0),0,(N125/K125)*12)</f>
        <v>0</v>
      </c>
    </row>
    <row r="126" spans="1:49" ht="29.1" customHeight="1" x14ac:dyDescent="0.3">
      <c r="A126" s="1810"/>
      <c r="B126" s="1466"/>
      <c r="C126" s="1408"/>
      <c r="D126" s="1455"/>
      <c r="E126" s="2371"/>
      <c r="F126" s="1452"/>
      <c r="G126" s="2166"/>
      <c r="H126" s="2166"/>
      <c r="I126" s="1396"/>
      <c r="J126" s="1750"/>
      <c r="K126" s="1387"/>
      <c r="L126" s="1396"/>
      <c r="M126" s="2365"/>
      <c r="N126" s="2359"/>
      <c r="O126" s="1330"/>
      <c r="P126" s="1330"/>
      <c r="Q126" s="1330"/>
      <c r="R126" s="1330"/>
      <c r="S126" s="2192"/>
      <c r="T126" s="96" t="s">
        <v>117</v>
      </c>
      <c r="U126" s="453">
        <f>_xlfn.XLOOKUP(B125,[50]Detalhamento!$A:$A,[50]Detalhamento!$N:$N)</f>
        <v>1</v>
      </c>
      <c r="V126" s="547"/>
      <c r="W126" s="547"/>
      <c r="X126" s="547"/>
      <c r="Y126" s="440">
        <f t="shared" si="189"/>
        <v>0</v>
      </c>
      <c r="Z126" s="547"/>
      <c r="AA126" s="547"/>
      <c r="AB126" s="547"/>
      <c r="AC126" s="440">
        <f t="shared" si="184"/>
        <v>0</v>
      </c>
      <c r="AD126" s="547"/>
      <c r="AE126" s="547"/>
      <c r="AF126" s="547"/>
      <c r="AG126" s="440">
        <f t="shared" si="185"/>
        <v>0</v>
      </c>
      <c r="AH126" s="547"/>
      <c r="AI126" s="547"/>
      <c r="AJ126" s="547"/>
      <c r="AK126" s="440">
        <f t="shared" si="252"/>
        <v>0</v>
      </c>
      <c r="AL126" s="94">
        <f t="shared" ref="AL126:AL127" si="256">SUM(V126:X126,Z126:AB126,AD126:AF126,AH126:AJ126)</f>
        <v>0</v>
      </c>
      <c r="AM126" s="1408"/>
      <c r="AN126" s="1408"/>
      <c r="AO126" s="1330"/>
      <c r="AP126" s="1404"/>
      <c r="AQ126" s="554" t="str">
        <f>D125</f>
        <v>ULTRASOM</v>
      </c>
      <c r="AR126" s="62" t="s">
        <v>313</v>
      </c>
      <c r="AS126" s="508" t="str" cm="1">
        <f t="array" aca="1" ref="AS126" ca="1">IF(OR(AQ126="",AQ126=0),"",IF(SUMPRODUCT(($D$31:$D$144=AQ126)*(ISNUMBER(SEARCH("Real",$T$32:$T$145)))*($V$30:$AJ$30&lt;EOMONTH(TODAY(),-1)+1)*($V$32:$AJ$145))=0,"",SUMPRODUCT(($D$31:$D$144=AQ126)*(ISNUMBER(SEARCH("Real",$T$32:$T$145)))*($V$30:$AJ$30&lt;EOMONTH(TODAY(),-1)+1)*($V$32:$AJ$145))))</f>
        <v/>
      </c>
      <c r="AT126" s="62" t="str">
        <f t="shared" ref="AT126" si="257">A125</f>
        <v>Redução de Custo</v>
      </c>
      <c r="AV126" s="1567"/>
      <c r="AW126" s="1567"/>
    </row>
    <row r="127" spans="1:49" ht="29.1" customHeight="1" x14ac:dyDescent="0.3">
      <c r="A127" s="1380" t="s">
        <v>89</v>
      </c>
      <c r="B127" s="1482" t="s">
        <v>2647</v>
      </c>
      <c r="C127" s="2392" t="s">
        <v>101</v>
      </c>
      <c r="D127" s="1486" t="s">
        <v>2648</v>
      </c>
      <c r="E127" s="2362" t="s">
        <v>2649</v>
      </c>
      <c r="F127" s="1370" t="s">
        <v>2566</v>
      </c>
      <c r="G127" s="1372">
        <f>_xlfn.XLOOKUP(B127,[50]Detalhamento!$A:$A,[50]Detalhamento!$I:$I)</f>
        <v>45599</v>
      </c>
      <c r="H127" s="1372">
        <f>_xlfn.XLOOKUP(B127,[50]Detalhamento!$A:$A,[50]Detalhamento!$J:$J)</f>
        <v>46315</v>
      </c>
      <c r="I127" s="1354">
        <f>_xlfn.XLOOKUP(B127,[50]Detalhamento!$A:$A,[50]Detalhamento!$E:$E)</f>
        <v>130308</v>
      </c>
      <c r="J127" s="1376">
        <f>_xlfn.XLOOKUP(B127,[50]Detalhamento!$A:$A,[50]Detalhamento!$O:$O)</f>
        <v>46235</v>
      </c>
      <c r="K127" s="1389">
        <f t="shared" ref="K127" si="258">IF(J127="", "", 12 - MONTH(J127) + 1)</f>
        <v>5</v>
      </c>
      <c r="L127" s="1354"/>
      <c r="M127" s="2368"/>
      <c r="N127" s="1391"/>
      <c r="O127" s="1327" t="s">
        <v>81</v>
      </c>
      <c r="P127" s="1327"/>
      <c r="Q127" s="1327"/>
      <c r="R127" s="1327"/>
      <c r="S127" s="2197"/>
      <c r="T127" s="91" t="s">
        <v>116</v>
      </c>
      <c r="U127" s="91">
        <f>_xlfn.XLOOKUP(B127,[50]Detalhamento!$A:$A,[50]Detalhamento!$M:$M)</f>
        <v>0.93831168831168832</v>
      </c>
      <c r="V127" s="715">
        <f>IFERROR(IF(AND(V$30&gt;=EOMONTH($J127,-1)+1,V$30&lt;=EOMONTH(EOMONTH($J127,-1)+1,$K127-1)),IF(NOT(ISBLANK($N127)),$N127/$K127,$I127/$K127),0),0)</f>
        <v>0</v>
      </c>
      <c r="W127" s="715">
        <f>IFERROR(IF(AND(W$30&gt;=EOMONTH($J127,-1)+1,W$30&lt;=EOMONTH(EOMONTH($J127,-1)+1,$K127-1)),IF(NOT(ISBLANK($N127)),$N127/$K127,$I127/$K127),0),0)</f>
        <v>0</v>
      </c>
      <c r="X127" s="715">
        <f>IFERROR(IF(AND(X$30&gt;=EOMONTH($J127,-1)+1,X$30&lt;=EOMONTH(EOMONTH($J127,-1)+1,$K127-1)),IF(NOT(ISBLANK($N127)),$N127/$K127,$I127/$K127),0),0)</f>
        <v>0</v>
      </c>
      <c r="Y127" s="440">
        <f t="shared" si="189"/>
        <v>0</v>
      </c>
      <c r="Z127" s="715">
        <f>IFERROR(IF(AND(Z$30&gt;=EOMONTH($J127,-1)+1,Z$30&lt;=EOMONTH(EOMONTH($J127,-1)+1,$K127-1)),IF(NOT(ISBLANK($N127)),$N127/$K127,$I127/$K127),0),0)</f>
        <v>0</v>
      </c>
      <c r="AA127" s="715">
        <f>IFERROR(IF(AND(AA$30&gt;=EOMONTH($J127,-1)+1,AA$30&lt;=EOMONTH(EOMONTH($J127,-1)+1,$K127-1)),IF(NOT(ISBLANK($N127)),$N127/$K127,$I127/$K127),0),0)</f>
        <v>0</v>
      </c>
      <c r="AB127" s="715">
        <f>IFERROR(IF(AND(AB$30&gt;=EOMONTH($J127,-1)+1,AB$30&lt;=EOMONTH(EOMONTH($J127,-1)+1,$K127-1)),IF(NOT(ISBLANK($N127)),$N127/$K127,$I127/$K127),0),0)</f>
        <v>0</v>
      </c>
      <c r="AC127" s="440">
        <f t="shared" si="184"/>
        <v>0</v>
      </c>
      <c r="AD127" s="715">
        <f>IFERROR(IF(AND(AD$30&gt;=EOMONTH($J127,-1)+1,AD$30&lt;=EOMONTH(EOMONTH($J127,-1)+1,$K127-1)),IF(NOT(ISBLANK($N127)),$N127/$K127,$I127/$K127),0),0)</f>
        <v>0</v>
      </c>
      <c r="AE127" s="715">
        <f>IFERROR(IF(AND(AE$30&gt;=EOMONTH($J127,-1)+1,AE$30&lt;=EOMONTH(EOMONTH($J127,-1)+1,$K127-1)),IF(NOT(ISBLANK($N127)),$N127/$K127,$I127/$K127),0),0)</f>
        <v>26061.599999999999</v>
      </c>
      <c r="AF127" s="715">
        <f>IFERROR(IF(AND(AF$30&gt;=EOMONTH($J127,-1)+1,AF$30&lt;=EOMONTH(EOMONTH($J127,-1)+1,$K127-1)),IF(NOT(ISBLANK($N127)),$N127/$K127,$I127/$K127),0),0)</f>
        <v>26061.599999999999</v>
      </c>
      <c r="AG127" s="440">
        <f t="shared" si="185"/>
        <v>52123.199999999997</v>
      </c>
      <c r="AH127" s="715">
        <f>IFERROR(IF(AND(AH$30&gt;=EOMONTH($J127,-1)+1,AH$30&lt;=EOMONTH(EOMONTH($J127,-1)+1,$K127-1)),IF(NOT(ISBLANK($N127)),$N127/$K127,$I127/$K127),0),0)</f>
        <v>26061.599999999999</v>
      </c>
      <c r="AI127" s="715">
        <f>IFERROR(IF(AND(AI$30&gt;=EOMONTH($J127,-1)+1,AI$30&lt;=EOMONTH(EOMONTH($J127,-1)+1,$K127-1)),IF(NOT(ISBLANK($N127)),$N127/$K127,$I127/$K127),0),0)</f>
        <v>26061.599999999999</v>
      </c>
      <c r="AJ127" s="715">
        <f>IFERROR(IF(AND(AJ$30&gt;=EOMONTH($J127,-1)+1,AJ$30&lt;=EOMONTH(EOMONTH($J127,-1)+1,$K127-1)),IF(NOT(ISBLANK($N127)),$N127/$K127,$I127/$K127),0),0)</f>
        <v>26061.599999999999</v>
      </c>
      <c r="AK127" s="440">
        <f t="shared" si="252"/>
        <v>78184.799999999988</v>
      </c>
      <c r="AL127" s="116">
        <f t="shared" si="256"/>
        <v>130308</v>
      </c>
      <c r="AM127" s="1407"/>
      <c r="AN127" s="1407"/>
      <c r="AO127" s="1334"/>
      <c r="AP127" s="1403">
        <f>I127*AO127</f>
        <v>0</v>
      </c>
      <c r="AQ127" s="553" t="str">
        <f>D127</f>
        <v>MIGRAÇÃO ITENS USIMINAS PARA ARCELOR</v>
      </c>
      <c r="AR127" s="62" t="s">
        <v>311</v>
      </c>
      <c r="AS127" s="508" t="str" cm="1">
        <f t="array" aca="1" ref="AS127" ca="1">IF(OR(AQ127="",AQ127=0),"",IF(SUMPRODUCT(($D$31:$D$144=AQ127)*($T$31:$T$144="Previsto")*($V$30:$AJ$30&lt;EOMONTH(TODAY(),-1)+1)*($V$31:$AJ$144))=0,"",SUMPRODUCT(($D$31:$D$144=AQ127)*($T$31:$T$144="Previsto")*($V$30:$AJ$30&lt;EOMONTH(TODAY(),-1)+1)*($V$31:$AJ$144))))</f>
        <v/>
      </c>
      <c r="AT127" s="62" t="str">
        <f t="shared" ref="AT127" si="259">A127</f>
        <v>Redução de Custo</v>
      </c>
      <c r="AV127" s="1566">
        <f t="shared" ref="AV127" si="260">IF(OR(I127="",K127=""),0,(I127/12)*K127)</f>
        <v>54295</v>
      </c>
      <c r="AW127" s="1566">
        <f t="shared" ref="AW127" si="261">IF(OR(N127="",K127="",K127=0),0,(N127/K127)*12)</f>
        <v>0</v>
      </c>
    </row>
    <row r="128" spans="1:49" ht="29.1" customHeight="1" x14ac:dyDescent="0.3">
      <c r="A128" s="1381"/>
      <c r="B128" s="1483"/>
      <c r="C128" s="1381"/>
      <c r="D128" s="1487"/>
      <c r="E128" s="2363"/>
      <c r="F128" s="1371"/>
      <c r="G128" s="1373"/>
      <c r="H128" s="1373"/>
      <c r="I128" s="1355"/>
      <c r="J128" s="1377"/>
      <c r="K128" s="1389"/>
      <c r="L128" s="1355"/>
      <c r="M128" s="2369"/>
      <c r="N128" s="1392"/>
      <c r="O128" s="1328"/>
      <c r="P128" s="1328"/>
      <c r="Q128" s="1328"/>
      <c r="R128" s="1328"/>
      <c r="S128" s="2198"/>
      <c r="T128" s="91" t="s">
        <v>117</v>
      </c>
      <c r="U128" s="452">
        <f>_xlfn.XLOOKUP(B127,[50]Detalhamento!$A:$A,[50]Detalhamento!$N:$N)</f>
        <v>0.99090909090909096</v>
      </c>
      <c r="V128" s="715"/>
      <c r="W128" s="715"/>
      <c r="X128" s="715"/>
      <c r="Y128" s="440">
        <f>SUM(V128:X128)</f>
        <v>0</v>
      </c>
      <c r="Z128" s="715"/>
      <c r="AA128" s="715"/>
      <c r="AB128" s="715"/>
      <c r="AC128" s="440">
        <f t="shared" si="184"/>
        <v>0</v>
      </c>
      <c r="AD128" s="715"/>
      <c r="AE128" s="715"/>
      <c r="AF128" s="715"/>
      <c r="AG128" s="440">
        <f t="shared" si="185"/>
        <v>0</v>
      </c>
      <c r="AH128" s="715"/>
      <c r="AI128" s="715"/>
      <c r="AJ128" s="715"/>
      <c r="AK128" s="440">
        <f t="shared" si="252"/>
        <v>0</v>
      </c>
      <c r="AL128" s="454">
        <f>SUM(V128:X128,Z128:AB128,AD128:AF128,AH128:AJ128)</f>
        <v>0</v>
      </c>
      <c r="AM128" s="1408"/>
      <c r="AN128" s="1408"/>
      <c r="AO128" s="1330"/>
      <c r="AP128" s="1404"/>
      <c r="AQ128" s="554" t="str">
        <f>D127</f>
        <v>MIGRAÇÃO ITENS USIMINAS PARA ARCELOR</v>
      </c>
      <c r="AR128" s="62" t="s">
        <v>313</v>
      </c>
      <c r="AS128" s="508" t="str" cm="1">
        <f t="array" aca="1" ref="AS128" ca="1">IF(OR(AQ128="",AQ128=0),"",IF(SUMPRODUCT(($D$31:$D$144=AQ128)*(ISNUMBER(SEARCH("Real",$T$32:$T$145)))*($V$30:$AJ$30&lt;EOMONTH(TODAY(),-1)+1)*($V$32:$AJ$145))=0,"",SUMPRODUCT(($D$31:$D$144=AQ128)*(ISNUMBER(SEARCH("Real",$T$32:$T$145)))*($V$30:$AJ$30&lt;EOMONTH(TODAY(),-1)+1)*($V$32:$AJ$145))))</f>
        <v/>
      </c>
      <c r="AT128" s="62" t="str">
        <f t="shared" ref="AT128" si="262">A127</f>
        <v>Redução de Custo</v>
      </c>
      <c r="AV128" s="1567"/>
      <c r="AW128" s="1567"/>
    </row>
    <row r="129" spans="1:49" ht="29.1" customHeight="1" x14ac:dyDescent="0.3">
      <c r="A129" s="1809" t="s">
        <v>89</v>
      </c>
      <c r="B129" s="1465" t="s">
        <v>2650</v>
      </c>
      <c r="C129" s="2392" t="s">
        <v>101</v>
      </c>
      <c r="D129" s="1356" t="s">
        <v>2651</v>
      </c>
      <c r="E129" s="2370" t="s">
        <v>2652</v>
      </c>
      <c r="F129" s="1451" t="s">
        <v>2566</v>
      </c>
      <c r="G129" s="2165">
        <f>_xlfn.XLOOKUP(B129,[50]Detalhamento!$A:$A,[50]Detalhamento!$I:$I)</f>
        <v>46195</v>
      </c>
      <c r="H129" s="2165">
        <f>_xlfn.XLOOKUP(B129,[50]Detalhamento!$A:$A,[50]Detalhamento!$J:$J)</f>
        <v>46366</v>
      </c>
      <c r="I129" s="1395">
        <f>IFERROR(_xlfn.XLOOKUP(B129,[50]Detalhamento!$A:$A,[50]Detalhamento!$E:$E)," - ")</f>
        <v>226617</v>
      </c>
      <c r="J129" s="1749">
        <f>_xlfn.XLOOKUP(B129,[50]Detalhamento!$A:$A,[50]Detalhamento!$O:$O)</f>
        <v>46366</v>
      </c>
      <c r="K129" s="1387">
        <f t="shared" ref="K129" si="263">IF(J129="", "", 12 - MONTH(J129) + 1)</f>
        <v>1</v>
      </c>
      <c r="L129" s="1395"/>
      <c r="M129" s="2364"/>
      <c r="N129" s="1393"/>
      <c r="O129" s="1334" t="s">
        <v>83</v>
      </c>
      <c r="P129" s="1334"/>
      <c r="Q129" s="1334"/>
      <c r="R129" s="1334"/>
      <c r="S129" s="2191"/>
      <c r="T129" s="96" t="s">
        <v>116</v>
      </c>
      <c r="U129" s="96">
        <f>_xlfn.XLOOKUP(B129,[50]Detalhamento!$A:$A,[50]Detalhamento!$M:$M)</f>
        <v>0.60441441441441435</v>
      </c>
      <c r="V129" s="547">
        <f>IFERROR(IF(AND(V$30&gt;=EOMONTH($J129,-1)+1,V$30&lt;=EOMONTH(EOMONTH($J129,-1)+1,$K129-1)),IF(NOT(ISBLANK($N129)),$N129/$K129,$I129/$K129),0),0)</f>
        <v>0</v>
      </c>
      <c r="W129" s="547">
        <f>IFERROR(IF(AND(W$30&gt;=EOMONTH($J129,-1)+1,W$30&lt;=EOMONTH(EOMONTH($J129,-1)+1,$K129-1)),IF(NOT(ISBLANK($N129)),$N129/$K129,$I129/$K129),0),0)</f>
        <v>0</v>
      </c>
      <c r="X129" s="547">
        <f>IFERROR(IF(AND(X$30&gt;=EOMONTH($J129,-1)+1,X$30&lt;=EOMONTH(EOMONTH($J129,-1)+1,$K129-1)),IF(NOT(ISBLANK($N129)),$N129/$K129,$I129/$K129),0),0)</f>
        <v>0</v>
      </c>
      <c r="Y129" s="440">
        <f t="shared" ref="Y129:Y142" si="264">SUM(V129:X129)</f>
        <v>0</v>
      </c>
      <c r="Z129" s="547">
        <f>IFERROR(IF(AND(Z$30&gt;=EOMONTH($J129,-1)+1,Z$30&lt;=EOMONTH(EOMONTH($J129,-1)+1,$K129-1)),IF(NOT(ISBLANK($N129)),$N129/$K129,$I129/$K129),0),0)</f>
        <v>0</v>
      </c>
      <c r="AA129" s="547">
        <f>IFERROR(IF(AND(AA$30&gt;=EOMONTH($J129,-1)+1,AA$30&lt;=EOMONTH(EOMONTH($J129,-1)+1,$K129-1)),IF(NOT(ISBLANK($N129)),$N129/$K129,$I129/$K129),0),0)</f>
        <v>0</v>
      </c>
      <c r="AB129" s="547">
        <f>IFERROR(IF(AND(AB$30&gt;=EOMONTH($J129,-1)+1,AB$30&lt;=EOMONTH(EOMONTH($J129,-1)+1,$K129-1)),IF(NOT(ISBLANK($N129)),$N129/$K129,$I129/$K129),0),0)</f>
        <v>0</v>
      </c>
      <c r="AC129" s="440">
        <f t="shared" si="184"/>
        <v>0</v>
      </c>
      <c r="AD129" s="547">
        <f>IFERROR(IF(AND(AD$30&gt;=EOMONTH($J129,-1)+1,AD$30&lt;=EOMONTH(EOMONTH($J129,-1)+1,$K129-1)),IF(NOT(ISBLANK($N129)),$N129/$K129,$I129/$K129),0),0)</f>
        <v>0</v>
      </c>
      <c r="AE129" s="547">
        <f>IFERROR(IF(AND(AE$30&gt;=EOMONTH($J129,-1)+1,AE$30&lt;=EOMONTH(EOMONTH($J129,-1)+1,$K129-1)),IF(NOT(ISBLANK($N129)),$N129/$K129,$I129/$K129),0),0)</f>
        <v>0</v>
      </c>
      <c r="AF129" s="547">
        <f>IFERROR(IF(AND(AF$30&gt;=EOMONTH($J129,-1)+1,AF$30&lt;=EOMONTH(EOMONTH($J129,-1)+1,$K129-1)),IF(NOT(ISBLANK($N129)),$N129/$K129,$I129/$K129),0),0)</f>
        <v>0</v>
      </c>
      <c r="AG129" s="440">
        <f t="shared" si="185"/>
        <v>0</v>
      </c>
      <c r="AH129" s="547">
        <f>IFERROR(IF(AND(AH$30&gt;=EOMONTH($J129,-1)+1,AH$30&lt;=EOMONTH(EOMONTH($J129,-1)+1,$K129-1)),IF(NOT(ISBLANK($N129)),$N129/$K129,$I129/$K129),0),0)</f>
        <v>0</v>
      </c>
      <c r="AI129" s="547">
        <f>IFERROR(IF(AND(AI$30&gt;=EOMONTH($J129,-1)+1,AI$30&lt;=EOMONTH(EOMONTH($J129,-1)+1,$K129-1)),IF(NOT(ISBLANK($N129)),$N129/$K129,$I129/$K129),0),0)</f>
        <v>0</v>
      </c>
      <c r="AJ129" s="547">
        <f>IFERROR(IF(AND(AJ$30&gt;=EOMONTH($J129,-1)+1,AJ$30&lt;=EOMONTH(EOMONTH($J129,-1)+1,$K129-1)),IF(NOT(ISBLANK($N129)),$N129/$K129,$I129/$K129),0),0)</f>
        <v>226617</v>
      </c>
      <c r="AK129" s="440">
        <f t="shared" si="252"/>
        <v>226617</v>
      </c>
      <c r="AL129" s="94">
        <f t="shared" ref="AL129:AL142" si="265">SUM(V129:X129,Z129:AB129,AD129:AF129,AH129:AJ129)</f>
        <v>226617</v>
      </c>
      <c r="AM129" s="1407"/>
      <c r="AN129" s="1407"/>
      <c r="AO129" s="1334"/>
      <c r="AP129" s="1403">
        <f>I129*AO129</f>
        <v>0</v>
      </c>
      <c r="AQ129" s="553" t="str">
        <f>D129</f>
        <v>MIGRAÇÃO ITENS CSN PARA ARCELOR MITTAL</v>
      </c>
      <c r="AR129" s="62" t="s">
        <v>311</v>
      </c>
      <c r="AS129" s="508" t="str" cm="1">
        <f t="array" aca="1" ref="AS129" ca="1">IF(OR(AQ129="",AQ129=0),"",IF(SUMPRODUCT(($D$31:$D$144=AQ129)*($T$31:$T$144="Previsto")*($V$30:$AJ$30&lt;EOMONTH(TODAY(),-1)+1)*($V$31:$AJ$144))=0,"",SUMPRODUCT(($D$31:$D$144=AQ129)*($T$31:$T$144="Previsto")*($V$30:$AJ$30&lt;EOMONTH(TODAY(),-1)+1)*($V$31:$AJ$144))))</f>
        <v/>
      </c>
      <c r="AT129" s="62" t="str">
        <f t="shared" ref="AT129" si="266">A129</f>
        <v>Redução de Custo</v>
      </c>
      <c r="AV129" s="1566">
        <f t="shared" ref="AV129" si="267">IF(OR(I129="",K129=""),0,(I129/12)*K129)</f>
        <v>18884.75</v>
      </c>
      <c r="AW129" s="1566">
        <f t="shared" ref="AW129" si="268">IF(OR(N129="",K129="",K129=0),0,(N129/K129)*12)</f>
        <v>0</v>
      </c>
    </row>
    <row r="130" spans="1:49" ht="29.1" customHeight="1" x14ac:dyDescent="0.3">
      <c r="A130" s="1810"/>
      <c r="B130" s="1466"/>
      <c r="C130" s="1408"/>
      <c r="D130" s="1455"/>
      <c r="E130" s="2371"/>
      <c r="F130" s="1452"/>
      <c r="G130" s="2166"/>
      <c r="H130" s="2166"/>
      <c r="I130" s="1396"/>
      <c r="J130" s="1750"/>
      <c r="K130" s="1387"/>
      <c r="L130" s="1396"/>
      <c r="M130" s="2365"/>
      <c r="N130" s="1394"/>
      <c r="O130" s="1330"/>
      <c r="P130" s="1330"/>
      <c r="Q130" s="1330"/>
      <c r="R130" s="1330"/>
      <c r="S130" s="2192"/>
      <c r="T130" s="96" t="s">
        <v>117</v>
      </c>
      <c r="U130" s="453">
        <f>_xlfn.XLOOKUP(B129,[50]Detalhamento!$A:$A,[50]Detalhamento!$N:$N)</f>
        <v>0.61</v>
      </c>
      <c r="V130" s="547"/>
      <c r="W130" s="547"/>
      <c r="X130" s="547"/>
      <c r="Y130" s="440">
        <f t="shared" si="264"/>
        <v>0</v>
      </c>
      <c r="Z130" s="547"/>
      <c r="AA130" s="547"/>
      <c r="AB130" s="547"/>
      <c r="AC130" s="440">
        <f t="shared" si="184"/>
        <v>0</v>
      </c>
      <c r="AD130" s="547"/>
      <c r="AE130" s="547"/>
      <c r="AF130" s="547"/>
      <c r="AG130" s="440">
        <f t="shared" si="185"/>
        <v>0</v>
      </c>
      <c r="AH130" s="547"/>
      <c r="AI130" s="547"/>
      <c r="AJ130" s="547"/>
      <c r="AK130" s="440">
        <f t="shared" si="252"/>
        <v>0</v>
      </c>
      <c r="AL130" s="94">
        <f t="shared" si="265"/>
        <v>0</v>
      </c>
      <c r="AM130" s="1408"/>
      <c r="AN130" s="1408"/>
      <c r="AO130" s="1330"/>
      <c r="AP130" s="1404"/>
      <c r="AQ130" s="554" t="str">
        <f>D129</f>
        <v>MIGRAÇÃO ITENS CSN PARA ARCELOR MITTAL</v>
      </c>
      <c r="AR130" s="62" t="s">
        <v>313</v>
      </c>
      <c r="AS130" s="508" t="str" cm="1">
        <f t="array" aca="1" ref="AS130" ca="1">IF(OR(AQ130="",AQ130=0),"",IF(SUMPRODUCT(($D$31:$D$144=AQ130)*(ISNUMBER(SEARCH("Real",$T$32:$T$145)))*($V$30:$AJ$30&lt;EOMONTH(TODAY(),-1)+1)*($V$32:$AJ$145))=0,"",SUMPRODUCT(($D$31:$D$144=AQ130)*(ISNUMBER(SEARCH("Real",$T$32:$T$145)))*($V$30:$AJ$30&lt;EOMONTH(TODAY(),-1)+1)*($V$32:$AJ$145))))</f>
        <v/>
      </c>
      <c r="AT130" s="62" t="str">
        <f t="shared" ref="AT130" si="269">A129</f>
        <v>Redução de Custo</v>
      </c>
      <c r="AV130" s="1567"/>
      <c r="AW130" s="1567"/>
    </row>
    <row r="131" spans="1:49" ht="29.1" customHeight="1" x14ac:dyDescent="0.3">
      <c r="A131" s="1380" t="s">
        <v>89</v>
      </c>
      <c r="B131" s="1482" t="s">
        <v>2653</v>
      </c>
      <c r="C131" s="1380" t="s">
        <v>101</v>
      </c>
      <c r="D131" s="1486" t="s">
        <v>2654</v>
      </c>
      <c r="E131" s="2362" t="s">
        <v>2655</v>
      </c>
      <c r="F131" s="1370" t="s">
        <v>2566</v>
      </c>
      <c r="G131" s="1372">
        <f>_xlfn.XLOOKUP(B131,[50]Detalhamento!$A:$A,[50]Detalhamento!$I:$I)</f>
        <v>46174</v>
      </c>
      <c r="H131" s="1372">
        <f>_xlfn.XLOOKUP(B131,[50]Detalhamento!$A:$A,[50]Detalhamento!$J:$J)</f>
        <v>46185</v>
      </c>
      <c r="I131" s="1354">
        <f>_xlfn.XLOOKUP(B131,[50]Detalhamento!$A:$A,[50]Detalhamento!$E:$E)</f>
        <v>572763</v>
      </c>
      <c r="J131" s="1376">
        <f>_xlfn.XLOOKUP(B131,[50]Detalhamento!$A:$A,[50]Detalhamento!$O:$O)</f>
        <v>46174</v>
      </c>
      <c r="K131" s="1389">
        <f>IF(J131="", "", 12 - MONTH(J131) + 1)</f>
        <v>7</v>
      </c>
      <c r="L131" s="1354"/>
      <c r="M131" s="2356"/>
      <c r="N131" s="1391"/>
      <c r="O131" s="1327" t="s">
        <v>81</v>
      </c>
      <c r="P131" s="1327"/>
      <c r="Q131" s="1327"/>
      <c r="R131" s="1327"/>
      <c r="S131" s="2197"/>
      <c r="T131" s="91" t="s">
        <v>116</v>
      </c>
      <c r="U131" s="91">
        <f>_xlfn.XLOOKUP(B131,[50]Detalhamento!$A:$A,[50]Detalhamento!$M:$M)</f>
        <v>1</v>
      </c>
      <c r="V131" s="715">
        <f>IFERROR(IF(AND(V$30&gt;=EOMONTH($J131,-1)+1,V$30&lt;=EOMONTH(EOMONTH($J131,-1)+1,$K131-1)),IF(NOT(ISBLANK($N131)),$N131/$K131,$I131/$K131),0),0)</f>
        <v>0</v>
      </c>
      <c r="W131" s="715">
        <f>IFERROR(IF(AND(W$30&gt;=EOMONTH($J131,-1)+1,W$30&lt;=EOMONTH(EOMONTH($J131,-1)+1,$K131-1)),IF(NOT(ISBLANK($N131)),$N131/$K131,$I131/$K131),0),0)</f>
        <v>0</v>
      </c>
      <c r="X131" s="715">
        <f>IFERROR(IF(AND(X$30&gt;=EOMONTH($J131,-1)+1,X$30&lt;=EOMONTH(EOMONTH($J131,-1)+1,$K131-1)),IF(NOT(ISBLANK($N131)),$N131/$K131,$I131/$K131),0),0)</f>
        <v>0</v>
      </c>
      <c r="Y131" s="440">
        <f t="shared" si="264"/>
        <v>0</v>
      </c>
      <c r="Z131" s="715">
        <f>IFERROR(IF(AND(Z$30&gt;=EOMONTH($J131,-1)+1,Z$30&lt;=EOMONTH(EOMONTH($J131,-1)+1,$K131-1)),IF(NOT(ISBLANK($N131)),$N131/$K131,$I131/$K131),0),0)</f>
        <v>0</v>
      </c>
      <c r="AA131" s="715">
        <f>IFERROR(IF(AND(AA$30&gt;=EOMONTH($J131,-1)+1,AA$30&lt;=EOMONTH(EOMONTH($J131,-1)+1,$K131-1)),IF(NOT(ISBLANK($N131)),$N131/$K131,$I131/$K131),0),0)</f>
        <v>0</v>
      </c>
      <c r="AB131" s="715">
        <f>IFERROR(IF(AND(AB$30&gt;=EOMONTH($J131,-1)+1,AB$30&lt;=EOMONTH(EOMONTH($J131,-1)+1,$K131-1)),IF(NOT(ISBLANK($N131)),$N131/$K131,$I131/$K131),0),0)</f>
        <v>81823.28571428571</v>
      </c>
      <c r="AC131" s="440">
        <f t="shared" ref="AC131:AC142" si="270">SUM(Z131:AB131)</f>
        <v>81823.28571428571</v>
      </c>
      <c r="AD131" s="715">
        <f>IFERROR(IF(AND(AD$30&gt;=EOMONTH($J131,-1)+1,AD$30&lt;=EOMONTH(EOMONTH($J131,-1)+1,$K131-1)),IF(NOT(ISBLANK($N131)),$N131/$K131,$I131/$K131),0),0)</f>
        <v>81823.28571428571</v>
      </c>
      <c r="AE131" s="715">
        <f>IFERROR(IF(AND(AE$30&gt;=EOMONTH($J131,-1)+1,AE$30&lt;=EOMONTH(EOMONTH($J131,-1)+1,$K131-1)),IF(NOT(ISBLANK($N131)),$N131/$K131,$I131/$K131),0),0)</f>
        <v>81823.28571428571</v>
      </c>
      <c r="AF131" s="715">
        <f>IFERROR(IF(AND(AF$30&gt;=EOMONTH($J131,-1)+1,AF$30&lt;=EOMONTH(EOMONTH($J131,-1)+1,$K131-1)),IF(NOT(ISBLANK($N131)),$N131/$K131,$I131/$K131),0),0)</f>
        <v>81823.28571428571</v>
      </c>
      <c r="AG131" s="440">
        <f t="shared" ref="AG131:AG142" si="271">SUM(AD131:AF131)</f>
        <v>245469.85714285713</v>
      </c>
      <c r="AH131" s="715">
        <f>IFERROR(IF(AND(AH$30&gt;=EOMONTH($J131,-1)+1,AH$30&lt;=EOMONTH(EOMONTH($J131,-1)+1,$K131-1)),IF(NOT(ISBLANK($N131)),$N131/$K131,$I131/$K131),0),0)</f>
        <v>81823.28571428571</v>
      </c>
      <c r="AI131" s="715">
        <f>IFERROR(IF(AND(AI$30&gt;=EOMONTH($J131,-1)+1,AI$30&lt;=EOMONTH(EOMONTH($J131,-1)+1,$K131-1)),IF(NOT(ISBLANK($N131)),$N131/$K131,$I131/$K131),0),0)</f>
        <v>81823.28571428571</v>
      </c>
      <c r="AJ131" s="715">
        <f>IFERROR(IF(AND(AJ$30&gt;=EOMONTH($J131,-1)+1,AJ$30&lt;=EOMONTH(EOMONTH($J131,-1)+1,$K131-1)),IF(NOT(ISBLANK($N131)),$N131/$K131,$I131/$K131),0),0)</f>
        <v>81823.28571428571</v>
      </c>
      <c r="AK131" s="440">
        <f t="shared" si="252"/>
        <v>245469.85714285713</v>
      </c>
      <c r="AL131" s="116">
        <f t="shared" si="265"/>
        <v>572762.99999999988</v>
      </c>
      <c r="AM131" s="1407"/>
      <c r="AN131" s="1407"/>
      <c r="AO131" s="1334"/>
      <c r="AP131" s="1403">
        <f>I131*AO131</f>
        <v>0</v>
      </c>
      <c r="AQ131" s="553" t="str">
        <f>D131</f>
        <v>Negociação de itens Usiminas (SAR55 / scania / Mercedes / demais itens e reajuste frete)</v>
      </c>
      <c r="AR131" s="62" t="s">
        <v>311</v>
      </c>
      <c r="AS131" s="508" cm="1">
        <f t="array" aca="1" ref="AS131" ca="1">IF(OR(AQ131="",AQ131=0),"",IF(SUMPRODUCT(($D$31:$D$144=AQ131)*($T$31:$T$144="Previsto")*($V$30:$AJ$30&lt;EOMONTH(TODAY(),-1)+1)*($V$31:$AJ$144))=0,"",SUMPRODUCT(($D$31:$D$144=AQ131)*($T$31:$T$144="Previsto")*($V$30:$AJ$30&lt;EOMONTH(TODAY(),-1)+1)*($V$31:$AJ$144))))</f>
        <v>163646.57142857142</v>
      </c>
      <c r="AT131" s="62" t="str">
        <f t="shared" ref="AT131" si="272">A131</f>
        <v>Redução de Custo</v>
      </c>
      <c r="AV131" s="1566">
        <f t="shared" ref="AV131" si="273">IF(OR(I131="",K131=""),0,(I131/12)*K131)</f>
        <v>334111.75</v>
      </c>
      <c r="AW131" s="1566">
        <f t="shared" ref="AW131" si="274">IF(OR(N131="",K131="",K131=0),0,(N131/K131)*12)</f>
        <v>0</v>
      </c>
    </row>
    <row r="132" spans="1:49" ht="29.1" customHeight="1" x14ac:dyDescent="0.3">
      <c r="A132" s="1381"/>
      <c r="B132" s="1483"/>
      <c r="C132" s="1381"/>
      <c r="D132" s="1487"/>
      <c r="E132" s="2363"/>
      <c r="F132" s="1371"/>
      <c r="G132" s="1373"/>
      <c r="H132" s="1373"/>
      <c r="I132" s="1355"/>
      <c r="J132" s="1377"/>
      <c r="K132" s="1389"/>
      <c r="L132" s="1355"/>
      <c r="M132" s="2357"/>
      <c r="N132" s="1392"/>
      <c r="O132" s="1328"/>
      <c r="P132" s="1328"/>
      <c r="Q132" s="1328"/>
      <c r="R132" s="1328"/>
      <c r="S132" s="2198"/>
      <c r="T132" s="91" t="s">
        <v>117</v>
      </c>
      <c r="U132" s="452">
        <f>_xlfn.XLOOKUP(B131,[50]Detalhamento!$A:$A,[50]Detalhamento!$N:$N)</f>
        <v>1</v>
      </c>
      <c r="V132" s="715"/>
      <c r="W132" s="715"/>
      <c r="X132" s="715"/>
      <c r="Y132" s="440">
        <f t="shared" si="264"/>
        <v>0</v>
      </c>
      <c r="Z132" s="715"/>
      <c r="AA132" s="715"/>
      <c r="AB132" s="715"/>
      <c r="AC132" s="440">
        <f t="shared" si="270"/>
        <v>0</v>
      </c>
      <c r="AD132" s="715"/>
      <c r="AE132" s="715"/>
      <c r="AF132" s="715"/>
      <c r="AG132" s="440">
        <f t="shared" si="271"/>
        <v>0</v>
      </c>
      <c r="AH132" s="715"/>
      <c r="AI132" s="715"/>
      <c r="AJ132" s="715"/>
      <c r="AK132" s="440">
        <f t="shared" si="252"/>
        <v>0</v>
      </c>
      <c r="AL132" s="454">
        <f t="shared" si="265"/>
        <v>0</v>
      </c>
      <c r="AM132" s="1408"/>
      <c r="AN132" s="1408"/>
      <c r="AO132" s="1330"/>
      <c r="AP132" s="1404"/>
      <c r="AQ132" s="554" t="str">
        <f>D131</f>
        <v>Negociação de itens Usiminas (SAR55 / scania / Mercedes / demais itens e reajuste frete)</v>
      </c>
      <c r="AR132" s="62" t="s">
        <v>313</v>
      </c>
      <c r="AS132" s="508" t="str" cm="1">
        <f t="array" aca="1" ref="AS132" ca="1">IF(OR(AQ132="",AQ132=0),"",IF(SUMPRODUCT(($D$31:$D$144=AQ132)*(ISNUMBER(SEARCH("Real",$T$32:$T$145)))*($V$30:$AJ$30&lt;EOMONTH(TODAY(),-1)+1)*($V$32:$AJ$145))=0,"",SUMPRODUCT(($D$31:$D$144=AQ132)*(ISNUMBER(SEARCH("Real",$T$32:$T$145)))*($V$30:$AJ$30&lt;EOMONTH(TODAY(),-1)+1)*($V$32:$AJ$145))))</f>
        <v/>
      </c>
      <c r="AT132" s="62" t="str">
        <f t="shared" ref="AT132" si="275">A131</f>
        <v>Redução de Custo</v>
      </c>
      <c r="AV132" s="1567"/>
      <c r="AW132" s="1567"/>
    </row>
    <row r="133" spans="1:49" ht="29.1" customHeight="1" x14ac:dyDescent="0.3">
      <c r="A133" s="1809"/>
      <c r="B133" s="1465"/>
      <c r="C133" s="1407"/>
      <c r="D133" s="1356"/>
      <c r="E133" s="2360"/>
      <c r="F133" s="1451"/>
      <c r="G133" s="1366"/>
      <c r="H133" s="1366"/>
      <c r="I133" s="1488"/>
      <c r="J133" s="1378"/>
      <c r="K133" s="1378"/>
      <c r="L133" s="1395"/>
      <c r="M133" s="1352"/>
      <c r="N133" s="1393"/>
      <c r="O133" s="1334"/>
      <c r="P133" s="1334"/>
      <c r="Q133" s="1334"/>
      <c r="R133" s="1334"/>
      <c r="S133" s="2191"/>
      <c r="T133" s="96" t="s">
        <v>116</v>
      </c>
      <c r="U133" s="96">
        <f>_xlfn.XLOOKUP(B133,[50]Detalhamento!$A:$A,[50]Detalhamento!$M:$M)</f>
        <v>0</v>
      </c>
      <c r="V133" s="547">
        <f>IFERROR(IF(AND(V$30&gt;=EOMONTH($J133,-1)+1,V$30&lt;=EOMONTH(EOMONTH($J133,-1)+1,$K133-1)),IF(NOT(ISBLANK($N133)),$N133/$K133,$I133/$K133),0),0)</f>
        <v>0</v>
      </c>
      <c r="W133" s="547">
        <f>IFERROR(IF(AND(W$30&gt;=EOMONTH($J133,-1)+1,W$30&lt;=EOMONTH(EOMONTH($J133,-1)+1,$K133-1)),IF(NOT(ISBLANK($N133)),$N133/$K133,$I133/$K133),0),0)</f>
        <v>0</v>
      </c>
      <c r="X133" s="547">
        <f>IFERROR(IF(AND(X$30&gt;=EOMONTH($J133,-1)+1,X$30&lt;=EOMONTH(EOMONTH($J133,-1)+1,$K133-1)),IF(NOT(ISBLANK($N133)),$N133/$K133,$I133/$K133),0),0)</f>
        <v>0</v>
      </c>
      <c r="Y133" s="440">
        <f t="shared" si="264"/>
        <v>0</v>
      </c>
      <c r="Z133" s="547">
        <f>IFERROR(IF(AND(Z$30&gt;=EOMONTH($J133,-1)+1,Z$30&lt;=EOMONTH(EOMONTH($J133,-1)+1,$K133-1)),IF(NOT(ISBLANK($N133)),$N133/$K133,$I133/$K133),0),0)</f>
        <v>0</v>
      </c>
      <c r="AA133" s="547">
        <f>IFERROR(IF(AND(AA$30&gt;=EOMONTH($J133,-1)+1,AA$30&lt;=EOMONTH(EOMONTH($J133,-1)+1,$K133-1)),IF(NOT(ISBLANK($N133)),$N133/$K133,$I133/$K133),0),0)</f>
        <v>0</v>
      </c>
      <c r="AB133" s="547">
        <f>IFERROR(IF(AND(AB$30&gt;=EOMONTH($J133,-1)+1,AB$30&lt;=EOMONTH(EOMONTH($J133,-1)+1,$K133-1)),IF(NOT(ISBLANK($N133)),$N133/$K133,$I133/$K133),0),0)</f>
        <v>0</v>
      </c>
      <c r="AC133" s="440">
        <f t="shared" si="270"/>
        <v>0</v>
      </c>
      <c r="AD133" s="547">
        <f>IFERROR(IF(AND(AD$30&gt;=EOMONTH($J133,-1)+1,AD$30&lt;=EOMONTH(EOMONTH($J133,-1)+1,$K133-1)),IF(NOT(ISBLANK($N133)),$N133/$K133,$I133/$K133),0),0)</f>
        <v>0</v>
      </c>
      <c r="AE133" s="547">
        <f>IFERROR(IF(AND(AE$30&gt;=EOMONTH($J133,-1)+1,AE$30&lt;=EOMONTH(EOMONTH($J133,-1)+1,$K133-1)),IF(NOT(ISBLANK($N133)),$N133/$K133,$I133/$K133),0),0)</f>
        <v>0</v>
      </c>
      <c r="AF133" s="547">
        <f>IFERROR(IF(AND(AF$30&gt;=EOMONTH($J133,-1)+1,AF$30&lt;=EOMONTH(EOMONTH($J133,-1)+1,$K133-1)),IF(NOT(ISBLANK($N133)),$N133/$K133,$I133/$K133),0),0)</f>
        <v>0</v>
      </c>
      <c r="AG133" s="440">
        <f t="shared" si="271"/>
        <v>0</v>
      </c>
      <c r="AH133" s="547">
        <f>IFERROR(IF(AND(AH$30&gt;=EOMONTH($J133,-1)+1,AH$30&lt;=EOMONTH(EOMONTH($J133,-1)+1,$K133-1)),IF(NOT(ISBLANK($N133)),$N133/$K133,$I133/$K133),0),0)</f>
        <v>0</v>
      </c>
      <c r="AI133" s="547">
        <f>IFERROR(IF(AND(AI$30&gt;=EOMONTH($J133,-1)+1,AI$30&lt;=EOMONTH(EOMONTH($J133,-1)+1,$K133-1)),IF(NOT(ISBLANK($N133)),$N133/$K133,$I133/$K133),0),0)</f>
        <v>0</v>
      </c>
      <c r="AJ133" s="547">
        <f>IFERROR(IF(AND(AJ$30&gt;=EOMONTH($J133,-1)+1,AJ$30&lt;=EOMONTH(EOMONTH($J133,-1)+1,$K133-1)),IF(NOT(ISBLANK($N133)),$N133/$K133,$I133/$K133),0),0)</f>
        <v>0</v>
      </c>
      <c r="AK133" s="440">
        <f t="shared" si="252"/>
        <v>0</v>
      </c>
      <c r="AL133" s="94">
        <f t="shared" si="265"/>
        <v>0</v>
      </c>
      <c r="AM133" s="1407"/>
      <c r="AN133" s="1407"/>
      <c r="AO133" s="1334"/>
      <c r="AP133" s="1403">
        <f>I133*AO133</f>
        <v>0</v>
      </c>
      <c r="AQ133" s="553">
        <f>D133</f>
        <v>0</v>
      </c>
      <c r="AR133" s="62" t="s">
        <v>311</v>
      </c>
      <c r="AS133" s="508" t="str" cm="1">
        <f t="array" aca="1" ref="AS133" ca="1">IF(OR(AQ133="",AQ133=0),"",IF(SUMPRODUCT(($D$31:$D$144=AQ133)*($T$31:$T$144="Previsto")*($V$30:$AJ$30&lt;EOMONTH(TODAY(),-1)+1)*($V$31:$AJ$144))=0,"",SUMPRODUCT(($D$31:$D$144=AQ133)*($T$31:$T$144="Previsto")*($V$30:$AJ$30&lt;EOMONTH(TODAY(),-1)+1)*($V$31:$AJ$144))))</f>
        <v/>
      </c>
      <c r="AT133" s="62">
        <f t="shared" ref="AT133" si="276">A133</f>
        <v>0</v>
      </c>
      <c r="AV133" s="1566">
        <f t="shared" ref="AV133" si="277">IF(OR(I133="",K133=""),0,(I133/12)*K133)</f>
        <v>0</v>
      </c>
      <c r="AW133" s="1566">
        <f t="shared" ref="AW133" si="278">IF(OR(N133="",K133="",K133=0),0,(N133/K133)*12)</f>
        <v>0</v>
      </c>
    </row>
    <row r="134" spans="1:49" ht="29.1" customHeight="1" x14ac:dyDescent="0.3">
      <c r="A134" s="1810"/>
      <c r="B134" s="1466"/>
      <c r="C134" s="1408"/>
      <c r="D134" s="1455"/>
      <c r="E134" s="2361"/>
      <c r="F134" s="1452"/>
      <c r="G134" s="1367"/>
      <c r="H134" s="1367"/>
      <c r="I134" s="1367"/>
      <c r="J134" s="1379"/>
      <c r="K134" s="1379"/>
      <c r="L134" s="1396"/>
      <c r="M134" s="1353"/>
      <c r="N134" s="1394"/>
      <c r="O134" s="1330"/>
      <c r="P134" s="1330"/>
      <c r="Q134" s="1330"/>
      <c r="R134" s="1330"/>
      <c r="S134" s="2192"/>
      <c r="T134" s="96" t="s">
        <v>117</v>
      </c>
      <c r="U134" s="453">
        <f>_xlfn.XLOOKUP(B133,[50]Detalhamento!$A:$A,[50]Detalhamento!$N:$N)</f>
        <v>0</v>
      </c>
      <c r="V134" s="547"/>
      <c r="W134" s="547"/>
      <c r="X134" s="547"/>
      <c r="Y134" s="440">
        <f t="shared" si="264"/>
        <v>0</v>
      </c>
      <c r="Z134" s="547"/>
      <c r="AA134" s="547"/>
      <c r="AB134" s="547"/>
      <c r="AC134" s="440">
        <f t="shared" si="270"/>
        <v>0</v>
      </c>
      <c r="AD134" s="547"/>
      <c r="AE134" s="547"/>
      <c r="AF134" s="547"/>
      <c r="AG134" s="440">
        <f t="shared" si="271"/>
        <v>0</v>
      </c>
      <c r="AH134" s="547"/>
      <c r="AI134" s="547"/>
      <c r="AJ134" s="547"/>
      <c r="AK134" s="440">
        <f t="shared" si="252"/>
        <v>0</v>
      </c>
      <c r="AL134" s="94">
        <f t="shared" si="265"/>
        <v>0</v>
      </c>
      <c r="AM134" s="1408"/>
      <c r="AN134" s="1408"/>
      <c r="AO134" s="1330"/>
      <c r="AP134" s="1404"/>
      <c r="AQ134" s="554">
        <f>D133</f>
        <v>0</v>
      </c>
      <c r="AR134" s="62" t="s">
        <v>313</v>
      </c>
      <c r="AS134" s="508" t="str" cm="1">
        <f t="array" aca="1" ref="AS134" ca="1">IF(OR(AQ134="",AQ134=0),"",IF(SUMPRODUCT(($D$31:$D$144=AQ134)*(ISNUMBER(SEARCH("Real",$T$32:$T$145)))*($V$30:$AJ$30&lt;EOMONTH(TODAY(),-1)+1)*($V$32:$AJ$145))=0,"",SUMPRODUCT(($D$31:$D$144=AQ134)*(ISNUMBER(SEARCH("Real",$T$32:$T$145)))*($V$30:$AJ$30&lt;EOMONTH(TODAY(),-1)+1)*($V$32:$AJ$145))))</f>
        <v/>
      </c>
      <c r="AT134" s="62">
        <f t="shared" ref="AT134" si="279">A133</f>
        <v>0</v>
      </c>
      <c r="AV134" s="1567"/>
      <c r="AW134" s="1567"/>
    </row>
    <row r="135" spans="1:49" ht="29.1" customHeight="1" x14ac:dyDescent="0.3">
      <c r="A135" s="1380"/>
      <c r="B135" s="1482"/>
      <c r="C135" s="1380"/>
      <c r="D135" s="1486"/>
      <c r="E135" s="2362"/>
      <c r="F135" s="1370"/>
      <c r="G135" s="1372"/>
      <c r="H135" s="1372"/>
      <c r="I135" s="1354"/>
      <c r="J135" s="1376"/>
      <c r="K135" s="1389"/>
      <c r="L135" s="1354"/>
      <c r="M135" s="1350"/>
      <c r="N135" s="1391"/>
      <c r="O135" s="1327"/>
      <c r="P135" s="1327"/>
      <c r="Q135" s="1327"/>
      <c r="R135" s="1327"/>
      <c r="S135" s="2197"/>
      <c r="T135" s="91" t="s">
        <v>116</v>
      </c>
      <c r="U135" s="91">
        <f>_xlfn.XLOOKUP(B135,[50]Detalhamento!$A:$A,[50]Detalhamento!$M:$M)</f>
        <v>0</v>
      </c>
      <c r="V135" s="715">
        <f>IFERROR(IF(AND(V$30&gt;=EOMONTH($J135,-1)+1,V$30&lt;=EOMONTH(EOMONTH($J135,-1)+1,$K135-1)),IF(NOT(ISBLANK($N135)),$N135/$K135,$I135/$K135),0),0)</f>
        <v>0</v>
      </c>
      <c r="W135" s="715">
        <f>IFERROR(IF(AND(W$30&gt;=EOMONTH($J135,-1)+1,W$30&lt;=EOMONTH(EOMONTH($J135,-1)+1,$K135-1)),IF(NOT(ISBLANK($N135)),$N135/$K135,$I135/$K135),0),0)</f>
        <v>0</v>
      </c>
      <c r="X135" s="715">
        <f>IFERROR(IF(AND(X$30&gt;=EOMONTH($J135,-1)+1,X$30&lt;=EOMONTH(EOMONTH($J135,-1)+1,$K135-1)),IF(NOT(ISBLANK($N135)),$N135/$K135,$I135/$K135),0),0)</f>
        <v>0</v>
      </c>
      <c r="Y135" s="440">
        <f t="shared" si="264"/>
        <v>0</v>
      </c>
      <c r="Z135" s="715">
        <f>IFERROR(IF(AND(Z$30&gt;=EOMONTH($J135,-1)+1,Z$30&lt;=EOMONTH(EOMONTH($J135,-1)+1,$K135-1)),IF(NOT(ISBLANK($N135)),$N135/$K135,$I135/$K135),0),0)</f>
        <v>0</v>
      </c>
      <c r="AA135" s="715">
        <f>IFERROR(IF(AND(AA$30&gt;=EOMONTH($J135,-1)+1,AA$30&lt;=EOMONTH(EOMONTH($J135,-1)+1,$K135-1)),IF(NOT(ISBLANK($N135)),$N135/$K135,$I135/$K135),0),0)</f>
        <v>0</v>
      </c>
      <c r="AB135" s="715">
        <f>IFERROR(IF(AND(AB$30&gt;=EOMONTH($J135,-1)+1,AB$30&lt;=EOMONTH(EOMONTH($J135,-1)+1,$K135-1)),IF(NOT(ISBLANK($N135)),$N135/$K135,$I135/$K135),0),0)</f>
        <v>0</v>
      </c>
      <c r="AC135" s="440">
        <f t="shared" si="270"/>
        <v>0</v>
      </c>
      <c r="AD135" s="715">
        <f>IFERROR(IF(AND(AD$30&gt;=EOMONTH($J135,-1)+1,AD$30&lt;=EOMONTH(EOMONTH($J135,-1)+1,$K135-1)),IF(NOT(ISBLANK($N135)),$N135/$K135,$I135/$K135),0),0)</f>
        <v>0</v>
      </c>
      <c r="AE135" s="715">
        <f>IFERROR(IF(AND(AE$30&gt;=EOMONTH($J135,-1)+1,AE$30&lt;=EOMONTH(EOMONTH($J135,-1)+1,$K135-1)),IF(NOT(ISBLANK($N135)),$N135/$K135,$I135/$K135),0),0)</f>
        <v>0</v>
      </c>
      <c r="AF135" s="715">
        <f>IFERROR(IF(AND(AF$30&gt;=EOMONTH($J135,-1)+1,AF$30&lt;=EOMONTH(EOMONTH($J135,-1)+1,$K135-1)),IF(NOT(ISBLANK($N135)),$N135/$K135,$I135/$K135),0),0)</f>
        <v>0</v>
      </c>
      <c r="AG135" s="440">
        <f t="shared" si="271"/>
        <v>0</v>
      </c>
      <c r="AH135" s="715">
        <f>IFERROR(IF(AND(AH$30&gt;=EOMONTH($J135,-1)+1,AH$30&lt;=EOMONTH(EOMONTH($J135,-1)+1,$K135-1)),IF(NOT(ISBLANK($N135)),$N135/$K135,$I135/$K135),0),0)</f>
        <v>0</v>
      </c>
      <c r="AI135" s="715">
        <f>IFERROR(IF(AND(AI$30&gt;=EOMONTH($J135,-1)+1,AI$30&lt;=EOMONTH(EOMONTH($J135,-1)+1,$K135-1)),IF(NOT(ISBLANK($N135)),$N135/$K135,$I135/$K135),0),0)</f>
        <v>0</v>
      </c>
      <c r="AJ135" s="715">
        <f>IFERROR(IF(AND(AJ$30&gt;=EOMONTH($J135,-1)+1,AJ$30&lt;=EOMONTH(EOMONTH($J135,-1)+1,$K135-1)),IF(NOT(ISBLANK($N135)),$N135/$K135,$I135/$K135),0),0)</f>
        <v>0</v>
      </c>
      <c r="AK135" s="440">
        <f t="shared" si="252"/>
        <v>0</v>
      </c>
      <c r="AL135" s="116">
        <f t="shared" si="265"/>
        <v>0</v>
      </c>
      <c r="AM135" s="1407"/>
      <c r="AN135" s="1407"/>
      <c r="AO135" s="1334"/>
      <c r="AP135" s="1403">
        <f>I135*AO135</f>
        <v>0</v>
      </c>
      <c r="AQ135" s="553">
        <f>D135</f>
        <v>0</v>
      </c>
      <c r="AR135" s="62" t="s">
        <v>311</v>
      </c>
      <c r="AS135" s="508" t="str" cm="1">
        <f t="array" aca="1" ref="AS135" ca="1">IF(OR(AQ135="",AQ135=0),"",IF(SUMPRODUCT(($D$31:$D$144=AQ135)*($T$31:$T$144="Previsto")*($V$30:$AJ$30&lt;EOMONTH(TODAY(),-1)+1)*($V$31:$AJ$144))=0,"",SUMPRODUCT(($D$31:$D$144=AQ135)*($T$31:$T$144="Previsto")*($V$30:$AJ$30&lt;EOMONTH(TODAY(),-1)+1)*($V$31:$AJ$144))))</f>
        <v/>
      </c>
      <c r="AT135" s="62">
        <f t="shared" ref="AT135" si="280">A135</f>
        <v>0</v>
      </c>
      <c r="AV135" s="1566">
        <f t="shared" ref="AV135" si="281">IF(OR(I135="",K135=""),0,(I135/12)*K135)</f>
        <v>0</v>
      </c>
      <c r="AW135" s="1566">
        <f t="shared" ref="AW135" si="282">IF(OR(N135="",K135="",K135=0),0,(N135/K135)*12)</f>
        <v>0</v>
      </c>
    </row>
    <row r="136" spans="1:49" ht="29.1" customHeight="1" x14ac:dyDescent="0.3">
      <c r="A136" s="1381"/>
      <c r="B136" s="1483"/>
      <c r="C136" s="1381"/>
      <c r="D136" s="1487"/>
      <c r="E136" s="2363"/>
      <c r="F136" s="1371"/>
      <c r="G136" s="1373"/>
      <c r="H136" s="1373"/>
      <c r="I136" s="1355"/>
      <c r="J136" s="1377"/>
      <c r="K136" s="1390"/>
      <c r="L136" s="1355"/>
      <c r="M136" s="1460"/>
      <c r="N136" s="1392"/>
      <c r="O136" s="1328"/>
      <c r="P136" s="1328"/>
      <c r="Q136" s="1328"/>
      <c r="R136" s="1328"/>
      <c r="S136" s="2198"/>
      <c r="T136" s="91" t="s">
        <v>117</v>
      </c>
      <c r="U136" s="452">
        <f>_xlfn.XLOOKUP(B135,[50]Detalhamento!$A:$A,[50]Detalhamento!$N:$N)</f>
        <v>0</v>
      </c>
      <c r="V136" s="715"/>
      <c r="W136" s="715"/>
      <c r="X136" s="715"/>
      <c r="Y136" s="440">
        <f t="shared" si="264"/>
        <v>0</v>
      </c>
      <c r="Z136" s="715"/>
      <c r="AA136" s="715"/>
      <c r="AB136" s="715"/>
      <c r="AC136" s="440">
        <f t="shared" si="270"/>
        <v>0</v>
      </c>
      <c r="AD136" s="715"/>
      <c r="AE136" s="715"/>
      <c r="AF136" s="715"/>
      <c r="AG136" s="440">
        <f t="shared" si="271"/>
        <v>0</v>
      </c>
      <c r="AH136" s="715"/>
      <c r="AI136" s="715"/>
      <c r="AJ136" s="715"/>
      <c r="AK136" s="440">
        <f t="shared" si="252"/>
        <v>0</v>
      </c>
      <c r="AL136" s="454">
        <f t="shared" si="265"/>
        <v>0</v>
      </c>
      <c r="AM136" s="1408"/>
      <c r="AN136" s="1408"/>
      <c r="AO136" s="1330"/>
      <c r="AP136" s="1404"/>
      <c r="AQ136" s="554">
        <f>D135</f>
        <v>0</v>
      </c>
      <c r="AR136" s="62" t="s">
        <v>313</v>
      </c>
      <c r="AS136" s="508" t="str" cm="1">
        <f t="array" aca="1" ref="AS136" ca="1">IF(OR(AQ136="",AQ136=0),"",IF(SUMPRODUCT(($D$31:$D$144=AQ136)*(ISNUMBER(SEARCH("Real",$T$32:$T$145)))*($V$30:$AJ$30&lt;EOMONTH(TODAY(),-1)+1)*($V$32:$AJ$145))=0,"",SUMPRODUCT(($D$31:$D$144=AQ136)*(ISNUMBER(SEARCH("Real",$T$32:$T$145)))*($V$30:$AJ$30&lt;EOMONTH(TODAY(),-1)+1)*($V$32:$AJ$145))))</f>
        <v/>
      </c>
      <c r="AT136" s="62">
        <f t="shared" ref="AT136" si="283">A135</f>
        <v>0</v>
      </c>
      <c r="AV136" s="1567"/>
      <c r="AW136" s="1567"/>
    </row>
    <row r="137" spans="1:49" ht="29.1" customHeight="1" x14ac:dyDescent="0.3">
      <c r="A137" s="1809"/>
      <c r="B137" s="1465"/>
      <c r="C137" s="1407"/>
      <c r="D137" s="1356"/>
      <c r="E137" s="2360"/>
      <c r="F137" s="1451"/>
      <c r="G137" s="1366"/>
      <c r="H137" s="1366"/>
      <c r="I137" s="1488"/>
      <c r="J137" s="1378"/>
      <c r="K137" s="1378"/>
      <c r="L137" s="1395"/>
      <c r="M137" s="1352"/>
      <c r="N137" s="1393"/>
      <c r="O137" s="1334"/>
      <c r="P137" s="1334"/>
      <c r="Q137" s="1334"/>
      <c r="R137" s="1334"/>
      <c r="S137" s="2191"/>
      <c r="T137" s="96" t="s">
        <v>116</v>
      </c>
      <c r="U137" s="96">
        <f>_xlfn.XLOOKUP(B137,[50]Detalhamento!$A:$A,[50]Detalhamento!$M:$M)</f>
        <v>0</v>
      </c>
      <c r="V137" s="547">
        <f>IFERROR(IF(AND(V$30&gt;=EOMONTH($J137,-1)+1,V$30&lt;=EOMONTH(EOMONTH($J137,-1)+1,$K137-1)),IF(NOT(ISBLANK($N137)),$N137/$K137,$I137/$K137),0),0)</f>
        <v>0</v>
      </c>
      <c r="W137" s="547">
        <f>IFERROR(IF(AND(W$30&gt;=EOMONTH($J137,-1)+1,W$30&lt;=EOMONTH(EOMONTH($J137,-1)+1,$K137-1)),IF(NOT(ISBLANK($N137)),$N137/$K137,$I137/$K137),0),0)</f>
        <v>0</v>
      </c>
      <c r="X137" s="547">
        <f>IFERROR(IF(AND(X$30&gt;=EOMONTH($J137,-1)+1,X$30&lt;=EOMONTH(EOMONTH($J137,-1)+1,$K137-1)),IF(NOT(ISBLANK($N137)),$N137/$K137,$I137/$K137),0),0)</f>
        <v>0</v>
      </c>
      <c r="Y137" s="440">
        <f t="shared" si="264"/>
        <v>0</v>
      </c>
      <c r="Z137" s="547">
        <f>IFERROR(IF(AND(Z$30&gt;=EOMONTH($J137,-1)+1,Z$30&lt;=EOMONTH(EOMONTH($J137,-1)+1,$K137-1)),IF(NOT(ISBLANK($N137)),$N137/$K137,$I137/$K137),0),0)</f>
        <v>0</v>
      </c>
      <c r="AA137" s="547">
        <f>IFERROR(IF(AND(AA$30&gt;=EOMONTH($J137,-1)+1,AA$30&lt;=EOMONTH(EOMONTH($J137,-1)+1,$K137-1)),IF(NOT(ISBLANK($N137)),$N137/$K137,$I137/$K137),0),0)</f>
        <v>0</v>
      </c>
      <c r="AB137" s="547">
        <f>IFERROR(IF(AND(AB$30&gt;=EOMONTH($J137,-1)+1,AB$30&lt;=EOMONTH(EOMONTH($J137,-1)+1,$K137-1)),IF(NOT(ISBLANK($N137)),$N137/$K137,$I137/$K137),0),0)</f>
        <v>0</v>
      </c>
      <c r="AC137" s="440">
        <f t="shared" si="270"/>
        <v>0</v>
      </c>
      <c r="AD137" s="547">
        <f>IFERROR(IF(AND(AD$30&gt;=EOMONTH($J137,-1)+1,AD$30&lt;=EOMONTH(EOMONTH($J137,-1)+1,$K137-1)),IF(NOT(ISBLANK($N137)),$N137/$K137,$I137/$K137),0),0)</f>
        <v>0</v>
      </c>
      <c r="AE137" s="547">
        <f>IFERROR(IF(AND(AE$30&gt;=EOMONTH($J137,-1)+1,AE$30&lt;=EOMONTH(EOMONTH($J137,-1)+1,$K137-1)),IF(NOT(ISBLANK($N137)),$N137/$K137,$I137/$K137),0),0)</f>
        <v>0</v>
      </c>
      <c r="AF137" s="547">
        <f>IFERROR(IF(AND(AF$30&gt;=EOMONTH($J137,-1)+1,AF$30&lt;=EOMONTH(EOMONTH($J137,-1)+1,$K137-1)),IF(NOT(ISBLANK($N137)),$N137/$K137,$I137/$K137),0),0)</f>
        <v>0</v>
      </c>
      <c r="AG137" s="440">
        <f t="shared" si="271"/>
        <v>0</v>
      </c>
      <c r="AH137" s="547">
        <f>IFERROR(IF(AND(AH$30&gt;=EOMONTH($J137,-1)+1,AH$30&lt;=EOMONTH(EOMONTH($J137,-1)+1,$K137-1)),IF(NOT(ISBLANK($N137)),$N137/$K137,$I137/$K137),0),0)</f>
        <v>0</v>
      </c>
      <c r="AI137" s="547">
        <f>IFERROR(IF(AND(AI$30&gt;=EOMONTH($J137,-1)+1,AI$30&lt;=EOMONTH(EOMONTH($J137,-1)+1,$K137-1)),IF(NOT(ISBLANK($N137)),$N137/$K137,$I137/$K137),0),0)</f>
        <v>0</v>
      </c>
      <c r="AJ137" s="547">
        <f>IFERROR(IF(AND(AJ$30&gt;=EOMONTH($J137,-1)+1,AJ$30&lt;=EOMONTH(EOMONTH($J137,-1)+1,$K137-1)),IF(NOT(ISBLANK($N137)),$N137/$K137,$I137/$K137),0),0)</f>
        <v>0</v>
      </c>
      <c r="AK137" s="440">
        <f t="shared" si="252"/>
        <v>0</v>
      </c>
      <c r="AL137" s="94">
        <f t="shared" si="265"/>
        <v>0</v>
      </c>
      <c r="AM137" s="1407"/>
      <c r="AN137" s="1407"/>
      <c r="AO137" s="1334"/>
      <c r="AP137" s="1403">
        <f>I137*AO137</f>
        <v>0</v>
      </c>
      <c r="AQ137" s="553">
        <f>D137</f>
        <v>0</v>
      </c>
      <c r="AR137" s="62" t="s">
        <v>311</v>
      </c>
      <c r="AS137" s="508" t="str" cm="1">
        <f t="array" aca="1" ref="AS137" ca="1">IF(OR(AQ137="",AQ137=0),"",IF(SUMPRODUCT(($D$31:$D$144=AQ137)*($T$31:$T$144="Previsto")*($V$30:$AJ$30&lt;EOMONTH(TODAY(),-1)+1)*($V$31:$AJ$144))=0,"",SUMPRODUCT(($D$31:$D$144=AQ137)*($T$31:$T$144="Previsto")*($V$30:$AJ$30&lt;EOMONTH(TODAY(),-1)+1)*($V$31:$AJ$144))))</f>
        <v/>
      </c>
      <c r="AT137" s="62">
        <f t="shared" ref="AT137" si="284">A137</f>
        <v>0</v>
      </c>
      <c r="AV137" s="1566">
        <f t="shared" ref="AV137" si="285">IF(OR(I137="",K137=""),0,(I137/12)*K137)</f>
        <v>0</v>
      </c>
      <c r="AW137" s="1566">
        <f t="shared" ref="AW137" si="286">IF(OR(N137="",K137="",K137=0),0,(N137/K137)*12)</f>
        <v>0</v>
      </c>
    </row>
    <row r="138" spans="1:49" ht="29.1" customHeight="1" x14ac:dyDescent="0.3">
      <c r="A138" s="1810"/>
      <c r="B138" s="1466"/>
      <c r="C138" s="1408"/>
      <c r="D138" s="1455"/>
      <c r="E138" s="2361"/>
      <c r="F138" s="1452"/>
      <c r="G138" s="1367"/>
      <c r="H138" s="1367"/>
      <c r="I138" s="1367"/>
      <c r="J138" s="1379"/>
      <c r="K138" s="1379"/>
      <c r="L138" s="1396"/>
      <c r="M138" s="1353"/>
      <c r="N138" s="1394"/>
      <c r="O138" s="1330"/>
      <c r="P138" s="1330"/>
      <c r="Q138" s="1330"/>
      <c r="R138" s="1330"/>
      <c r="S138" s="2192"/>
      <c r="T138" s="96" t="s">
        <v>117</v>
      </c>
      <c r="U138" s="453">
        <f>_xlfn.XLOOKUP(B137,[50]Detalhamento!$A:$A,[50]Detalhamento!$N:$N)</f>
        <v>0</v>
      </c>
      <c r="V138" s="547"/>
      <c r="W138" s="547"/>
      <c r="X138" s="547"/>
      <c r="Y138" s="440">
        <f t="shared" si="264"/>
        <v>0</v>
      </c>
      <c r="Z138" s="547"/>
      <c r="AA138" s="547"/>
      <c r="AB138" s="547"/>
      <c r="AC138" s="440">
        <f t="shared" si="270"/>
        <v>0</v>
      </c>
      <c r="AD138" s="547"/>
      <c r="AE138" s="547"/>
      <c r="AF138" s="547"/>
      <c r="AG138" s="440">
        <f t="shared" si="271"/>
        <v>0</v>
      </c>
      <c r="AH138" s="547"/>
      <c r="AI138" s="547"/>
      <c r="AJ138" s="547"/>
      <c r="AK138" s="440">
        <f t="shared" si="252"/>
        <v>0</v>
      </c>
      <c r="AL138" s="94">
        <f t="shared" si="265"/>
        <v>0</v>
      </c>
      <c r="AM138" s="1408"/>
      <c r="AN138" s="1408"/>
      <c r="AO138" s="1330"/>
      <c r="AP138" s="1404"/>
      <c r="AQ138" s="554">
        <f>D137</f>
        <v>0</v>
      </c>
      <c r="AR138" s="62" t="s">
        <v>313</v>
      </c>
      <c r="AS138" s="508" t="str" cm="1">
        <f t="array" aca="1" ref="AS138" ca="1">IF(OR(AQ138="",AQ138=0),"",IF(SUMPRODUCT(($D$31:$D$144=AQ138)*(ISNUMBER(SEARCH("Real",$T$32:$T$145)))*($V$30:$AJ$30&lt;EOMONTH(TODAY(),-1)+1)*($V$32:$AJ$145))=0,"",SUMPRODUCT(($D$31:$D$144=AQ138)*(ISNUMBER(SEARCH("Real",$T$32:$T$145)))*($V$30:$AJ$30&lt;EOMONTH(TODAY(),-1)+1)*($V$32:$AJ$145))))</f>
        <v/>
      </c>
      <c r="AT138" s="62">
        <f t="shared" ref="AT138" si="287">A137</f>
        <v>0</v>
      </c>
      <c r="AV138" s="1567"/>
      <c r="AW138" s="1567"/>
    </row>
    <row r="139" spans="1:49" ht="29.1" customHeight="1" x14ac:dyDescent="0.3">
      <c r="A139" s="1380"/>
      <c r="B139" s="1482"/>
      <c r="C139" s="1380"/>
      <c r="D139" s="1486"/>
      <c r="E139" s="2362"/>
      <c r="F139" s="1370"/>
      <c r="G139" s="1372"/>
      <c r="H139" s="1372"/>
      <c r="I139" s="1354"/>
      <c r="J139" s="1376"/>
      <c r="K139" s="1389"/>
      <c r="L139" s="1354"/>
      <c r="M139" s="1350"/>
      <c r="N139" s="1391"/>
      <c r="O139" s="1327"/>
      <c r="P139" s="1327"/>
      <c r="Q139" s="1327"/>
      <c r="R139" s="1327"/>
      <c r="S139" s="2197"/>
      <c r="T139" s="91" t="s">
        <v>116</v>
      </c>
      <c r="U139" s="91">
        <f>_xlfn.XLOOKUP(B139,[50]Detalhamento!$A:$A,[50]Detalhamento!$M:$M)</f>
        <v>0</v>
      </c>
      <c r="V139" s="715">
        <f>IFERROR(IF(AND(V$30&gt;=EOMONTH($J139,-1)+1,V$30&lt;=EOMONTH(EOMONTH($J139,-1)+1,$K139-1)),IF(NOT(ISBLANK($N139)),$N139/$K139,$I139/$K139),0),0)</f>
        <v>0</v>
      </c>
      <c r="W139" s="715">
        <f>IFERROR(IF(AND(W$30&gt;=EOMONTH($J139,-1)+1,W$30&lt;=EOMONTH(EOMONTH($J139,-1)+1,$K139-1)),IF(NOT(ISBLANK($N139)),$N139/$K139,$I139/$K139),0),0)</f>
        <v>0</v>
      </c>
      <c r="X139" s="715">
        <f>IFERROR(IF(AND(X$30&gt;=EOMONTH($J139,-1)+1,X$30&lt;=EOMONTH(EOMONTH($J139,-1)+1,$K139-1)),IF(NOT(ISBLANK($N139)),$N139/$K139,$I139/$K139),0),0)</f>
        <v>0</v>
      </c>
      <c r="Y139" s="440">
        <f t="shared" si="264"/>
        <v>0</v>
      </c>
      <c r="Z139" s="715">
        <f>IFERROR(IF(AND(Z$30&gt;=EOMONTH($J139,-1)+1,Z$30&lt;=EOMONTH(EOMONTH($J139,-1)+1,$K139-1)),IF(NOT(ISBLANK($N139)),$N139/$K139,$I139/$K139),0),0)</f>
        <v>0</v>
      </c>
      <c r="AA139" s="715">
        <f>IFERROR(IF(AND(AA$30&gt;=EOMONTH($J139,-1)+1,AA$30&lt;=EOMONTH(EOMONTH($J139,-1)+1,$K139-1)),IF(NOT(ISBLANK($N139)),$N139/$K139,$I139/$K139),0),0)</f>
        <v>0</v>
      </c>
      <c r="AB139" s="715">
        <f>IFERROR(IF(AND(AB$30&gt;=EOMONTH($J139,-1)+1,AB$30&lt;=EOMONTH(EOMONTH($J139,-1)+1,$K139-1)),IF(NOT(ISBLANK($N139)),$N139/$K139,$I139/$K139),0),0)</f>
        <v>0</v>
      </c>
      <c r="AC139" s="440">
        <f t="shared" si="270"/>
        <v>0</v>
      </c>
      <c r="AD139" s="715">
        <f>IFERROR(IF(AND(AD$30&gt;=EOMONTH($J139,-1)+1,AD$30&lt;=EOMONTH(EOMONTH($J139,-1)+1,$K139-1)),IF(NOT(ISBLANK($N139)),$N139/$K139,$I139/$K139),0),0)</f>
        <v>0</v>
      </c>
      <c r="AE139" s="715">
        <f>IFERROR(IF(AND(AE$30&gt;=EOMONTH($J139,-1)+1,AE$30&lt;=EOMONTH(EOMONTH($J139,-1)+1,$K139-1)),IF(NOT(ISBLANK($N139)),$N139/$K139,$I139/$K139),0),0)</f>
        <v>0</v>
      </c>
      <c r="AF139" s="715">
        <f>IFERROR(IF(AND(AF$30&gt;=EOMONTH($J139,-1)+1,AF$30&lt;=EOMONTH(EOMONTH($J139,-1)+1,$K139-1)),IF(NOT(ISBLANK($N139)),$N139/$K139,$I139/$K139),0),0)</f>
        <v>0</v>
      </c>
      <c r="AG139" s="440">
        <f t="shared" si="271"/>
        <v>0</v>
      </c>
      <c r="AH139" s="715">
        <f>IFERROR(IF(AND(AH$30&gt;=EOMONTH($J139,-1)+1,AH$30&lt;=EOMONTH(EOMONTH($J139,-1)+1,$K139-1)),IF(NOT(ISBLANK($N139)),$N139/$K139,$I139/$K139),0),0)</f>
        <v>0</v>
      </c>
      <c r="AI139" s="715">
        <f>IFERROR(IF(AND(AI$30&gt;=EOMONTH($J139,-1)+1,AI$30&lt;=EOMONTH(EOMONTH($J139,-1)+1,$K139-1)),IF(NOT(ISBLANK($N139)),$N139/$K139,$I139/$K139),0),0)</f>
        <v>0</v>
      </c>
      <c r="AJ139" s="715">
        <f>IFERROR(IF(AND(AJ$30&gt;=EOMONTH($J139,-1)+1,AJ$30&lt;=EOMONTH(EOMONTH($J139,-1)+1,$K139-1)),IF(NOT(ISBLANK($N139)),$N139/$K139,$I139/$K139),0),0)</f>
        <v>0</v>
      </c>
      <c r="AK139" s="440">
        <f t="shared" si="252"/>
        <v>0</v>
      </c>
      <c r="AL139" s="116">
        <f t="shared" si="265"/>
        <v>0</v>
      </c>
      <c r="AM139" s="1407"/>
      <c r="AN139" s="1407"/>
      <c r="AO139" s="1334"/>
      <c r="AP139" s="1403">
        <f>I139*AO139</f>
        <v>0</v>
      </c>
      <c r="AQ139" s="553">
        <f>D139</f>
        <v>0</v>
      </c>
      <c r="AR139" s="62" t="s">
        <v>311</v>
      </c>
      <c r="AS139" s="508" t="str" cm="1">
        <f t="array" aca="1" ref="AS139" ca="1">IF(OR(AQ139="",AQ139=0),"",IF(SUMPRODUCT(($D$31:$D$144=AQ139)*($T$31:$T$144="Previsto")*($V$30:$AJ$30&lt;EOMONTH(TODAY(),-1)+1)*($V$31:$AJ$144))=0,"",SUMPRODUCT(($D$31:$D$144=AQ139)*($T$31:$T$144="Previsto")*($V$30:$AJ$30&lt;EOMONTH(TODAY(),-1)+1)*($V$31:$AJ$144))))</f>
        <v/>
      </c>
      <c r="AT139" s="62">
        <f t="shared" ref="AT139" si="288">A139</f>
        <v>0</v>
      </c>
      <c r="AV139" s="1566">
        <f t="shared" ref="AV139" si="289">IF(OR(I139="",K139=""),0,(I139/12)*K139)</f>
        <v>0</v>
      </c>
      <c r="AW139" s="1566">
        <f t="shared" ref="AW139" si="290">IF(OR(N139="",K139="",K139=0),0,(N139/K139)*12)</f>
        <v>0</v>
      </c>
    </row>
    <row r="140" spans="1:49" ht="29.1" customHeight="1" x14ac:dyDescent="0.3">
      <c r="A140" s="1381"/>
      <c r="B140" s="1483"/>
      <c r="C140" s="1381"/>
      <c r="D140" s="1487"/>
      <c r="E140" s="2363"/>
      <c r="F140" s="1371"/>
      <c r="G140" s="1373"/>
      <c r="H140" s="1373"/>
      <c r="I140" s="1355"/>
      <c r="J140" s="1377"/>
      <c r="K140" s="1390"/>
      <c r="L140" s="1355"/>
      <c r="M140" s="1460"/>
      <c r="N140" s="1392"/>
      <c r="O140" s="1328"/>
      <c r="P140" s="1328"/>
      <c r="Q140" s="1328"/>
      <c r="R140" s="1328"/>
      <c r="S140" s="2198"/>
      <c r="T140" s="91" t="s">
        <v>117</v>
      </c>
      <c r="U140" s="452">
        <f>_xlfn.XLOOKUP(B139,[50]Detalhamento!$A:$A,[50]Detalhamento!$N:$N)</f>
        <v>0</v>
      </c>
      <c r="V140" s="715"/>
      <c r="W140" s="715"/>
      <c r="X140" s="715"/>
      <c r="Y140" s="440">
        <f t="shared" si="264"/>
        <v>0</v>
      </c>
      <c r="Z140" s="715"/>
      <c r="AA140" s="715"/>
      <c r="AB140" s="715"/>
      <c r="AC140" s="440">
        <f t="shared" si="270"/>
        <v>0</v>
      </c>
      <c r="AD140" s="715"/>
      <c r="AE140" s="715"/>
      <c r="AF140" s="715"/>
      <c r="AG140" s="440">
        <f t="shared" si="271"/>
        <v>0</v>
      </c>
      <c r="AH140" s="715"/>
      <c r="AI140" s="715"/>
      <c r="AJ140" s="715"/>
      <c r="AK140" s="440">
        <f t="shared" si="252"/>
        <v>0</v>
      </c>
      <c r="AL140" s="454">
        <f t="shared" si="265"/>
        <v>0</v>
      </c>
      <c r="AM140" s="1408"/>
      <c r="AN140" s="1408"/>
      <c r="AO140" s="1330"/>
      <c r="AP140" s="1404"/>
      <c r="AQ140" s="554">
        <f>D139</f>
        <v>0</v>
      </c>
      <c r="AR140" s="62" t="s">
        <v>313</v>
      </c>
      <c r="AS140" s="508" t="str" cm="1">
        <f t="array" aca="1" ref="AS140" ca="1">IF(OR(AQ140="",AQ140=0),"",IF(SUMPRODUCT(($D$31:$D$144=AQ140)*(ISNUMBER(SEARCH("Real",$T$32:$T$145)))*($V$30:$AJ$30&lt;EOMONTH(TODAY(),-1)+1)*($V$32:$AJ$145))=0,"",SUMPRODUCT(($D$31:$D$144=AQ140)*(ISNUMBER(SEARCH("Real",$T$32:$T$145)))*($V$30:$AJ$30&lt;EOMONTH(TODAY(),-1)+1)*($V$32:$AJ$145))))</f>
        <v/>
      </c>
      <c r="AT140" s="62">
        <f t="shared" ref="AT140" si="291">A139</f>
        <v>0</v>
      </c>
      <c r="AV140" s="1567"/>
      <c r="AW140" s="1567"/>
    </row>
    <row r="141" spans="1:49" ht="29.1" customHeight="1" x14ac:dyDescent="0.3">
      <c r="A141" s="1809"/>
      <c r="B141" s="1482"/>
      <c r="C141" s="1407"/>
      <c r="D141" s="1486"/>
      <c r="E141" s="2362"/>
      <c r="F141" s="1370"/>
      <c r="G141" s="1372"/>
      <c r="H141" s="1372"/>
      <c r="I141" s="1354"/>
      <c r="J141" s="1376"/>
      <c r="K141" s="1389"/>
      <c r="L141" s="1354"/>
      <c r="M141" s="1350"/>
      <c r="N141" s="1391"/>
      <c r="O141" s="1327"/>
      <c r="P141" s="1327"/>
      <c r="Q141" s="1327"/>
      <c r="R141" s="1327"/>
      <c r="S141" s="2197"/>
      <c r="T141" s="91" t="s">
        <v>116</v>
      </c>
      <c r="U141" s="91">
        <f>_xlfn.XLOOKUP(B141,[50]Detalhamento!$A:$A,[50]Detalhamento!$M:$M)</f>
        <v>0</v>
      </c>
      <c r="V141" s="287">
        <f>IFERROR(IF(AND(V$30&gt;=EOMONTH($J141,-1)+1,V$30&lt;=EOMONTH(EOMONTH($J141,-1)+1,$K141-1)),IF(NOT(ISBLANK($N141)),$N141/$K141,$I141/$K141),0),0)</f>
        <v>0</v>
      </c>
      <c r="W141" s="287">
        <f>IFERROR(IF(AND(W$30&gt;=EOMONTH($J141,-1)+1,W$30&lt;=EOMONTH(EOMONTH($J141,-1)+1,$K141-1)),IF(NOT(ISBLANK($N141)),$N141/$K141,$I141/$K141),0),0)</f>
        <v>0</v>
      </c>
      <c r="X141" s="287">
        <f>IFERROR(IF(AND(X$30&gt;=EOMONTH($J141,-1)+1,X$30&lt;=EOMONTH(EOMONTH($J141,-1)+1,$K141-1)),IF(NOT(ISBLANK($N141)),$N141/$K141,$I141/$K141),0),0)</f>
        <v>0</v>
      </c>
      <c r="Y141" s="440">
        <f t="shared" si="264"/>
        <v>0</v>
      </c>
      <c r="Z141" s="287">
        <f>IFERROR(IF(AND(Z$30&gt;=EOMONTH($J141,-1)+1,Z$30&lt;=EOMONTH(EOMONTH($J141,-1)+1,$K141-1)),IF(NOT(ISBLANK($N141)),$N141/$K141,$I141/$K141),0),0)</f>
        <v>0</v>
      </c>
      <c r="AA141" s="287">
        <f>IFERROR(IF(AND(AA$30&gt;=EOMONTH($J141,-1)+1,AA$30&lt;=EOMONTH(EOMONTH($J141,-1)+1,$K141-1)),IF(NOT(ISBLANK($N141)),$N141/$K141,$I141/$K141),0),0)</f>
        <v>0</v>
      </c>
      <c r="AB141" s="287">
        <f>IFERROR(IF(AND(AB$30&gt;=EOMONTH($J141,-1)+1,AB$30&lt;=EOMONTH(EOMONTH($J141,-1)+1,$K141-1)),IF(NOT(ISBLANK($N141)),$N141/$K141,$I141/$K141),0),0)</f>
        <v>0</v>
      </c>
      <c r="AC141" s="440">
        <f t="shared" si="270"/>
        <v>0</v>
      </c>
      <c r="AD141" s="287">
        <f>IFERROR(IF(AND(AD$30&gt;=EOMONTH($J141,-1)+1,AD$30&lt;=EOMONTH(EOMONTH($J141,-1)+1,$K141-1)),IF(NOT(ISBLANK($N141)),$N141/$K141,$I141/$K141),0),0)</f>
        <v>0</v>
      </c>
      <c r="AE141" s="287">
        <f>IFERROR(IF(AND(AE$30&gt;=EOMONTH($J141,-1)+1,AE$30&lt;=EOMONTH(EOMONTH($J141,-1)+1,$K141-1)),IF(NOT(ISBLANK($N141)),$N141/$K141,$I141/$K141),0),0)</f>
        <v>0</v>
      </c>
      <c r="AF141" s="287">
        <f>IFERROR(IF(AND(AF$30&gt;=EOMONTH($J141,-1)+1,AF$30&lt;=EOMONTH(EOMONTH($J141,-1)+1,$K141-1)),IF(NOT(ISBLANK($N141)),$N141/$K141,$I141/$K141),0),0)</f>
        <v>0</v>
      </c>
      <c r="AG141" s="440">
        <f t="shared" si="271"/>
        <v>0</v>
      </c>
      <c r="AH141" s="287">
        <f>IFERROR(IF(AND(AH$30&gt;=EOMONTH($J141,-1)+1,AH$30&lt;=EOMONTH(EOMONTH($J141,-1)+1,$K141-1)),IF(NOT(ISBLANK($N141)),$N141/$K141,$I141/$K141),0),0)</f>
        <v>0</v>
      </c>
      <c r="AI141" s="287">
        <f>IFERROR(IF(AND(AI$30&gt;=EOMONTH($J141,-1)+1,AI$30&lt;=EOMONTH(EOMONTH($J141,-1)+1,$K141-1)),IF(NOT(ISBLANK($N141)),$N141/$K141,$I141/$K141),0),0)</f>
        <v>0</v>
      </c>
      <c r="AJ141" s="287">
        <f>IFERROR(IF(AND(AJ$30&gt;=EOMONTH($J141,-1)+1,AJ$30&lt;=EOMONTH(EOMONTH($J141,-1)+1,$K141-1)),IF(NOT(ISBLANK($N141)),$N141/$K141,$I141/$K141),0),0)</f>
        <v>0</v>
      </c>
      <c r="AK141" s="440">
        <f t="shared" si="252"/>
        <v>0</v>
      </c>
      <c r="AL141" s="116">
        <f t="shared" si="265"/>
        <v>0</v>
      </c>
      <c r="AM141" s="1407"/>
      <c r="AN141" s="1407"/>
      <c r="AO141" s="1334"/>
      <c r="AP141" s="1403">
        <f>I141*AO141</f>
        <v>0</v>
      </c>
      <c r="AQ141" s="553">
        <f>D141</f>
        <v>0</v>
      </c>
      <c r="AR141" s="62" t="s">
        <v>311</v>
      </c>
      <c r="AS141" s="508" t="str" cm="1">
        <f t="array" aca="1" ref="AS141" ca="1">IF(OR(AQ141="",AQ141=0),"",IF(SUMPRODUCT(($D$31:$D$144=AQ141)*($T$31:$T$144="Previsto")*($V$30:$AJ$30&lt;EOMONTH(TODAY(),-1)+1)*($V$31:$AJ$144))=0,"",SUMPRODUCT(($D$31:$D$144=AQ141)*($T$31:$T$144="Previsto")*($V$30:$AJ$30&lt;EOMONTH(TODAY(),-1)+1)*($V$31:$AJ$144))))</f>
        <v/>
      </c>
      <c r="AT141" s="62">
        <f t="shared" ref="AT141" si="292">A141</f>
        <v>0</v>
      </c>
      <c r="AV141" s="1566">
        <f t="shared" ref="AV141" si="293">IF(OR(I141="",K141=""),0,(I141/12)*K141)</f>
        <v>0</v>
      </c>
      <c r="AW141" s="1566">
        <f t="shared" ref="AW141" si="294">IF(OR(N141="",K141="",K141=0),0,(N141/K141)*12)</f>
        <v>0</v>
      </c>
    </row>
    <row r="142" spans="1:49" ht="29.1" customHeight="1" x14ac:dyDescent="0.3">
      <c r="A142" s="1810"/>
      <c r="B142" s="1483"/>
      <c r="C142" s="1408"/>
      <c r="D142" s="1487"/>
      <c r="E142" s="2363"/>
      <c r="F142" s="1371"/>
      <c r="G142" s="1373"/>
      <c r="H142" s="1373"/>
      <c r="I142" s="1355"/>
      <c r="J142" s="1377"/>
      <c r="K142" s="1390"/>
      <c r="L142" s="1355"/>
      <c r="M142" s="1460"/>
      <c r="N142" s="1392"/>
      <c r="O142" s="1328"/>
      <c r="P142" s="1328"/>
      <c r="Q142" s="1328"/>
      <c r="R142" s="1328"/>
      <c r="S142" s="2198"/>
      <c r="T142" s="91" t="s">
        <v>117</v>
      </c>
      <c r="U142" s="452">
        <f>_xlfn.XLOOKUP(B141,[50]Detalhamento!$A:$A,[50]Detalhamento!$N:$N)</f>
        <v>0</v>
      </c>
      <c r="V142" s="287"/>
      <c r="W142" s="287"/>
      <c r="X142" s="287"/>
      <c r="Y142" s="440">
        <f t="shared" si="264"/>
        <v>0</v>
      </c>
      <c r="Z142" s="287"/>
      <c r="AA142" s="287"/>
      <c r="AB142" s="287"/>
      <c r="AC142" s="440">
        <f t="shared" si="270"/>
        <v>0</v>
      </c>
      <c r="AD142" s="287"/>
      <c r="AE142" s="287"/>
      <c r="AF142" s="287"/>
      <c r="AG142" s="440">
        <f t="shared" si="271"/>
        <v>0</v>
      </c>
      <c r="AH142" s="287"/>
      <c r="AI142" s="287"/>
      <c r="AJ142" s="287"/>
      <c r="AK142" s="440">
        <f t="shared" si="252"/>
        <v>0</v>
      </c>
      <c r="AL142" s="454">
        <f t="shared" si="265"/>
        <v>0</v>
      </c>
      <c r="AM142" s="1408"/>
      <c r="AN142" s="1408"/>
      <c r="AO142" s="1330"/>
      <c r="AP142" s="1404"/>
      <c r="AQ142" s="554">
        <f>D141</f>
        <v>0</v>
      </c>
      <c r="AR142" s="62" t="s">
        <v>313</v>
      </c>
      <c r="AS142" s="508" t="str" cm="1">
        <f t="array" aca="1" ref="AS142" ca="1">IF(OR(AQ142="",AQ142=0),"",IF(SUMPRODUCT(($D$31:$D$144=AQ142)*(ISNUMBER(SEARCH("Real",$T$32:$T$145)))*($V$30:$AJ$30&lt;EOMONTH(TODAY(),-1)+1)*($V$32:$AJ$145))=0,"",SUMPRODUCT(($D$31:$D$144=AQ142)*(ISNUMBER(SEARCH("Real",$T$32:$T$145)))*($V$30:$AJ$30&lt;EOMONTH(TODAY(),-1)+1)*($V$32:$AJ$145))))</f>
        <v/>
      </c>
      <c r="AT142" s="62">
        <f t="shared" ref="AT142" si="295">A141</f>
        <v>0</v>
      </c>
      <c r="AV142" s="1567"/>
      <c r="AW142" s="1567"/>
    </row>
    <row r="143" spans="1:49" ht="29.1" customHeight="1" x14ac:dyDescent="0.3">
      <c r="A143" s="1380"/>
      <c r="B143" s="1465"/>
      <c r="C143" s="1380"/>
      <c r="D143" s="1356"/>
      <c r="E143" s="2360"/>
      <c r="F143" s="1451"/>
      <c r="G143" s="1366"/>
      <c r="H143" s="1366"/>
      <c r="I143" s="1488"/>
      <c r="J143" s="1378"/>
      <c r="K143" s="1378"/>
      <c r="L143" s="1395"/>
      <c r="M143" s="1352"/>
      <c r="N143" s="1393"/>
      <c r="O143" s="1334"/>
      <c r="P143" s="1334"/>
      <c r="Q143" s="1334"/>
      <c r="R143" s="1334"/>
      <c r="S143" s="2191"/>
      <c r="T143" s="96" t="s">
        <v>116</v>
      </c>
      <c r="U143" s="96">
        <f>_xlfn.XLOOKUP(B143,[50]Detalhamento!$A:$A,[50]Detalhamento!$M:$M)</f>
        <v>0</v>
      </c>
      <c r="V143" s="498">
        <f>IFERROR(IF(AND(V$30&gt;=EOMONTH($J143,-1)+1,V$30&lt;=EOMONTH(EOMONTH($J143,-1)+1,$K143-1)),IF(NOT(ISBLANK($N143)),$N143/$K143,$I143/$K143),0),0)</f>
        <v>0</v>
      </c>
      <c r="W143" s="498">
        <f>IFERROR(IF(AND(W$30&gt;=EOMONTH($J143,-1)+1,W$30&lt;=EOMONTH(EOMONTH($J143,-1)+1,$K143-1)),IF(NOT(ISBLANK($N143)),$N143/$K143,$I143/$K143),0),0)</f>
        <v>0</v>
      </c>
      <c r="X143" s="498">
        <f>IFERROR(IF(AND(X$30&gt;=EOMONTH($J143,-1)+1,X$30&lt;=EOMONTH(EOMONTH($J143,-1)+1,$K143-1)),IF(NOT(ISBLANK($N143)),$N143/$K143,$I143/$K143),0),0)</f>
        <v>0</v>
      </c>
      <c r="Y143" s="440">
        <f t="shared" si="189"/>
        <v>0</v>
      </c>
      <c r="Z143" s="498">
        <f>IFERROR(IF(AND(Z$30&gt;=EOMONTH($J143,-1)+1,Z$30&lt;=EOMONTH(EOMONTH($J143,-1)+1,$K143-1)),IF(NOT(ISBLANK($N143)),$N143/$K143,$I143/$K143),0),0)</f>
        <v>0</v>
      </c>
      <c r="AA143" s="498">
        <f>IFERROR(IF(AND(AA$30&gt;=EOMONTH($J143,-1)+1,AA$30&lt;=EOMONTH(EOMONTH($J143,-1)+1,$K143-1)),IF(NOT(ISBLANK($N143)),$N143/$K143,$I143/$K143),0),0)</f>
        <v>0</v>
      </c>
      <c r="AB143" s="498">
        <f>IFERROR(IF(AND(AB$30&gt;=EOMONTH($J143,-1)+1,AB$30&lt;=EOMONTH(EOMONTH($J143,-1)+1,$K143-1)),IF(NOT(ISBLANK($N143)),$N143/$K143,$I143/$K143),0),0)</f>
        <v>0</v>
      </c>
      <c r="AC143" s="440">
        <f t="shared" si="184"/>
        <v>0</v>
      </c>
      <c r="AD143" s="498">
        <f>IFERROR(IF(AND(AD$30&gt;=EOMONTH($J143,-1)+1,AD$30&lt;=EOMONTH(EOMONTH($J143,-1)+1,$K143-1)),IF(NOT(ISBLANK($N143)),$N143/$K143,$I143/$K143),0),0)</f>
        <v>0</v>
      </c>
      <c r="AE143" s="498">
        <f>IFERROR(IF(AND(AE$30&gt;=EOMONTH($J143,-1)+1,AE$30&lt;=EOMONTH(EOMONTH($J143,-1)+1,$K143-1)),IF(NOT(ISBLANK($N143)),$N143/$K143,$I143/$K143),0),0)</f>
        <v>0</v>
      </c>
      <c r="AF143" s="498">
        <f>IFERROR(IF(AND(AF$30&gt;=EOMONTH($J143,-1)+1,AF$30&lt;=EOMONTH(EOMONTH($J143,-1)+1,$K143-1)),IF(NOT(ISBLANK($N143)),$N143/$K143,$I143/$K143),0),0)</f>
        <v>0</v>
      </c>
      <c r="AG143" s="440">
        <f t="shared" si="185"/>
        <v>0</v>
      </c>
      <c r="AH143" s="498">
        <f>IFERROR(IF(AND(AH$30&gt;=EOMONTH($J143,-1)+1,AH$30&lt;=EOMONTH(EOMONTH($J143,-1)+1,$K143-1)),IF(NOT(ISBLANK($N143)),$N143/$K143,$I143/$K143),0),0)</f>
        <v>0</v>
      </c>
      <c r="AI143" s="498">
        <f>IFERROR(IF(AND(AI$30&gt;=EOMONTH($J143,-1)+1,AI$30&lt;=EOMONTH(EOMONTH($J143,-1)+1,$K143-1)),IF(NOT(ISBLANK($N143)),$N143/$K143,$I143/$K143),0),0)</f>
        <v>0</v>
      </c>
      <c r="AJ143" s="498">
        <f>IFERROR(IF(AND(AJ$30&gt;=EOMONTH($J143,-1)+1,AJ$30&lt;=EOMONTH(EOMONTH($J143,-1)+1,$K143-1)),IF(NOT(ISBLANK($N143)),$N143/$K143,$I143/$K143),0),0)</f>
        <v>0</v>
      </c>
      <c r="AK143" s="440">
        <f t="shared" si="167"/>
        <v>0</v>
      </c>
      <c r="AL143" s="94">
        <f t="shared" si="171"/>
        <v>0</v>
      </c>
      <c r="AM143" s="1407"/>
      <c r="AN143" s="1407"/>
      <c r="AO143" s="1334"/>
      <c r="AP143" s="1403">
        <f>I143*AO143</f>
        <v>0</v>
      </c>
      <c r="AQ143" s="553">
        <f>D143</f>
        <v>0</v>
      </c>
      <c r="AR143" s="62" t="s">
        <v>311</v>
      </c>
      <c r="AS143" s="508" t="str" cm="1">
        <f t="array" aca="1" ref="AS143" ca="1">IF(OR(AQ143="",AQ143=0),"",IF(SUMPRODUCT(($D$31:$D$144=AQ143)*($T$31:$T$144="Previsto")*($V$30:$AJ$30&lt;EOMONTH(TODAY(),-1)+1)*($V$31:$AJ$144))=0,"",SUMPRODUCT(($D$31:$D$144=AQ143)*($T$31:$T$144="Previsto")*($V$30:$AJ$30&lt;EOMONTH(TODAY(),-1)+1)*($V$31:$AJ$144))))</f>
        <v/>
      </c>
      <c r="AT143" s="62">
        <f t="shared" ref="AT143" si="296">A143</f>
        <v>0</v>
      </c>
      <c r="AV143" s="1566">
        <f t="shared" ref="AV143" si="297">IF(OR(I143="",K143=""),0,(I143/12)*K143)</f>
        <v>0</v>
      </c>
      <c r="AW143" s="1566">
        <f t="shared" ref="AW143" si="298">IF(OR(N143="",K143="",K143=0),0,(N143/K143)*12)</f>
        <v>0</v>
      </c>
    </row>
    <row r="144" spans="1:49" ht="29.1" customHeight="1" x14ac:dyDescent="0.3">
      <c r="A144" s="1381"/>
      <c r="B144" s="1466"/>
      <c r="C144" s="1381"/>
      <c r="D144" s="1455"/>
      <c r="E144" s="2361"/>
      <c r="F144" s="1452"/>
      <c r="G144" s="1367"/>
      <c r="H144" s="1367"/>
      <c r="I144" s="1367"/>
      <c r="J144" s="1379"/>
      <c r="K144" s="1379"/>
      <c r="L144" s="1396"/>
      <c r="M144" s="1353"/>
      <c r="N144" s="1394"/>
      <c r="O144" s="1330"/>
      <c r="P144" s="1330"/>
      <c r="Q144" s="1330"/>
      <c r="R144" s="1330"/>
      <c r="S144" s="2192"/>
      <c r="T144" s="96" t="s">
        <v>117</v>
      </c>
      <c r="U144" s="453">
        <f>_xlfn.XLOOKUP(B143,[50]Detalhamento!$A:$A,[50]Detalhamento!$N:$N)</f>
        <v>0</v>
      </c>
      <c r="V144" s="498"/>
      <c r="W144" s="498"/>
      <c r="X144" s="498"/>
      <c r="Y144" s="440">
        <f t="shared" si="189"/>
        <v>0</v>
      </c>
      <c r="Z144" s="498"/>
      <c r="AA144" s="498"/>
      <c r="AB144" s="498"/>
      <c r="AC144" s="440">
        <f t="shared" si="184"/>
        <v>0</v>
      </c>
      <c r="AD144" s="498"/>
      <c r="AE144" s="498"/>
      <c r="AF144" s="498"/>
      <c r="AG144" s="440">
        <f t="shared" si="185"/>
        <v>0</v>
      </c>
      <c r="AH144" s="498"/>
      <c r="AI144" s="498"/>
      <c r="AJ144" s="498"/>
      <c r="AK144" s="440">
        <f t="shared" si="167"/>
        <v>0</v>
      </c>
      <c r="AL144" s="94">
        <f t="shared" si="171"/>
        <v>0</v>
      </c>
      <c r="AM144" s="1408"/>
      <c r="AN144" s="1408"/>
      <c r="AO144" s="1330"/>
      <c r="AP144" s="1404"/>
      <c r="AQ144" s="554">
        <f>D143</f>
        <v>0</v>
      </c>
      <c r="AR144" s="62" t="s">
        <v>313</v>
      </c>
      <c r="AS144" s="508" t="str" cm="1">
        <f t="array" aca="1" ref="AS144" ca="1">IF(OR(AQ144="",AQ144=0),"",IF(SUMPRODUCT(($D$31:$D$144=AQ144)*(ISNUMBER(SEARCH("Real",$T$32:$T$145)))*($V$30:$AJ$30&lt;EOMONTH(TODAY(),-1)+1)*($V$32:$AJ$145))=0,"",SUMPRODUCT(($D$31:$D$144=AQ144)*(ISNUMBER(SEARCH("Real",$T$32:$T$145)))*($V$30:$AJ$30&lt;EOMONTH(TODAY(),-1)+1)*($V$32:$AJ$145))))</f>
        <v/>
      </c>
      <c r="AT144" s="62">
        <f t="shared" ref="AT144" si="299">A143</f>
        <v>0</v>
      </c>
      <c r="AV144" s="1567"/>
      <c r="AW144" s="1567"/>
    </row>
    <row r="145" spans="10:28" s="120" customFormat="1" ht="20.85" customHeight="1" x14ac:dyDescent="0.3"/>
    <row r="146" spans="10:28" x14ac:dyDescent="0.3">
      <c r="O146" s="151"/>
      <c r="P146" s="151">
        <v>46023</v>
      </c>
      <c r="Q146" s="151">
        <v>46054</v>
      </c>
      <c r="R146" s="151">
        <v>46082</v>
      </c>
      <c r="S146" s="151">
        <v>46113</v>
      </c>
      <c r="T146" s="151">
        <v>46143</v>
      </c>
      <c r="U146" s="151">
        <v>46174</v>
      </c>
      <c r="V146" s="151">
        <v>46204</v>
      </c>
      <c r="W146" s="151">
        <v>46235</v>
      </c>
      <c r="X146" s="151">
        <v>46266</v>
      </c>
      <c r="Y146" s="151">
        <v>46296</v>
      </c>
      <c r="Z146" s="151">
        <v>46327</v>
      </c>
      <c r="AA146" s="151">
        <v>46357</v>
      </c>
      <c r="AB146" s="151" t="s">
        <v>115</v>
      </c>
    </row>
    <row r="147" spans="10:28" x14ac:dyDescent="0.3">
      <c r="O147" s="471" t="s">
        <v>116</v>
      </c>
      <c r="P147" s="152">
        <f>SUMIF($T$31:$T$144,$O$147,V31:V144)</f>
        <v>251073.1258333333</v>
      </c>
      <c r="Q147" s="152">
        <f>SUMIF($T$31:$T$144,$O$147,W31:W144)</f>
        <v>282053.10765151511</v>
      </c>
      <c r="R147" s="152">
        <f>SUMIF($T$31:$T$144,$O$147,X31:X144)</f>
        <v>352262.72165151511</v>
      </c>
      <c r="S147" s="152">
        <f>SUMIF($T$31:$T$144,$O$147,Z31:Z144)</f>
        <v>379785.7116515151</v>
      </c>
      <c r="T147" s="152">
        <f>SUMIF($T$31:$T$144,$O$147,AA31:AA144)</f>
        <v>387531.3966515151</v>
      </c>
      <c r="U147" s="152">
        <f>SUMIF($T$31:$T$144,$O$147,AB31:AB144)</f>
        <v>821963.14665151527</v>
      </c>
      <c r="V147" s="152">
        <f>SUMIF($T$31:$T$144,$O$147,AD31:AD144)</f>
        <v>883978.97998484864</v>
      </c>
      <c r="W147" s="152">
        <f>SUMIF($T$31:$T$144,$O$147,AE31:AE144)</f>
        <v>936924.97998484864</v>
      </c>
      <c r="X147" s="152">
        <f>SUMIF($T$31:$T$144,$O$147,AF31:AF144)</f>
        <v>1030562.1649848486</v>
      </c>
      <c r="Y147" s="152">
        <f>SUMIF($T$31:$T$144,$O$147,AH31:AH144)</f>
        <v>1541081.4983181818</v>
      </c>
      <c r="Z147" s="152">
        <f>SUMIF($T$31:$T$144,$O$147,AI31:AI144)</f>
        <v>1571197.2983181819</v>
      </c>
      <c r="AA147" s="152">
        <f>SUMIF($T$31:$T$144,$O$147,AJ31:AJ144)</f>
        <v>3154725.2983181821</v>
      </c>
      <c r="AB147" s="152">
        <f>SUM(P147:AA147)</f>
        <v>11593139.43</v>
      </c>
    </row>
    <row r="148" spans="10:28" x14ac:dyDescent="0.3">
      <c r="O148" s="472" t="s">
        <v>117</v>
      </c>
      <c r="P148" s="154">
        <f>SUMIF($T$31:$T$144,$O$148,V31:V144)</f>
        <v>212117.82</v>
      </c>
      <c r="Q148" s="154">
        <f>SUMIF($T$31:$T$144,$O$148,W31:W144)</f>
        <v>225319.86072864002</v>
      </c>
      <c r="R148" s="154">
        <f>SUMIF($T$31:$T$144,$O$148,X31:X144)</f>
        <v>188186.91692024999</v>
      </c>
      <c r="S148" s="154">
        <f>SUMIF($T$31:$T$144,$O$148,Z31:Z144)</f>
        <v>191240.72387360001</v>
      </c>
      <c r="T148" s="154">
        <f>SUMIF($T$31:$T$144,$O$148,AA31:AA144)</f>
        <v>192124.89369330002</v>
      </c>
      <c r="U148" s="154">
        <f>SUMIF($T$31:$T$144,$O$148,AB31:AB144)</f>
        <v>273446.09629101004</v>
      </c>
      <c r="V148" s="154">
        <f>SUMIF($T$31:$T$144,$O$148,AD31:AD144)</f>
        <v>0</v>
      </c>
      <c r="W148" s="154">
        <f>SUMIF($T$31:$T$144,$O$148,AE31:AE144)</f>
        <v>0</v>
      </c>
      <c r="X148" s="154">
        <f>SUMIF($T$31:$T$144,$O$148,AF31:AF144)</f>
        <v>0</v>
      </c>
      <c r="Y148" s="154">
        <f>SUMIF($T$31:$T$144,$O$148,AH31:AH144)</f>
        <v>0</v>
      </c>
      <c r="Z148" s="154">
        <f>SUMIF($T$31:$T$144,$O$148,AI31:AI144)</f>
        <v>0</v>
      </c>
      <c r="AA148" s="154">
        <f>SUMIF($T$31:$T$144,$O$148,AJ31:AJ144)</f>
        <v>0</v>
      </c>
      <c r="AB148" s="154">
        <f>SUM(P148:AA148)</f>
        <v>1282436.3115068001</v>
      </c>
    </row>
    <row r="149" spans="10:28" x14ac:dyDescent="0.3">
      <c r="O149" s="473" t="s">
        <v>118</v>
      </c>
      <c r="P149" s="160" t="e" cm="1">
        <f t="array" ref="P149">SUMPRODUCT(($G$31:$G$144&lt;&gt;"")*($G$31:$G$144&lt;=P$146)*(($H$31:$H$144="")+($H$31:$H$144&gt;=P$146)))</f>
        <v>#REF!</v>
      </c>
      <c r="Q149" s="160" t="e" cm="1">
        <f t="array" ref="Q149">SUMPRODUCT(($G$31:$G$144&lt;&gt;"")*($G$31:$G$144&lt;=Q$146)*(($H$31:$H$144="")+($H$31:$H$144&gt;=Q$146)))</f>
        <v>#REF!</v>
      </c>
      <c r="R149" s="160" t="e" cm="1">
        <f t="array" ref="R149">SUMPRODUCT(($G$31:$G$144&lt;&gt;"")*($G$31:$G$144&lt;=R$146)*(($H$31:$H$144="")+($H$31:$H$144&gt;=R$146)))</f>
        <v>#REF!</v>
      </c>
      <c r="S149" s="160" t="e" cm="1">
        <f t="array" ref="S149">SUMPRODUCT(($G$31:$G$144&lt;&gt;"")*($G$31:$G$144&lt;=S$146)*(($H$31:$H$144="")+($H$31:$H$144&gt;=S$146)))</f>
        <v>#REF!</v>
      </c>
      <c r="T149" s="160" t="e" cm="1">
        <f t="array" ref="T149">SUMPRODUCT(($G$31:$G$144&lt;&gt;"")*($G$31:$G$144&lt;=T$146)*(($H$31:$H$144="")+($H$31:$H$144&gt;=T$146)))</f>
        <v>#REF!</v>
      </c>
      <c r="U149" s="160" t="e" cm="1">
        <f t="array" ref="U149">SUMPRODUCT(($G$31:$G$144&lt;&gt;"")*($G$31:$G$144&lt;=U$146)*(($H$31:$H$144="")+($H$31:$H$144&gt;=U$146)))</f>
        <v>#REF!</v>
      </c>
      <c r="V149" s="160" t="e" cm="1">
        <f t="array" ref="V149">SUMPRODUCT(($G$31:$G$144&lt;&gt;"")*($G$31:$G$144&lt;=V$146)*(($H$31:$H$144="")+($H$31:$H$144&gt;=V$146)))</f>
        <v>#REF!</v>
      </c>
      <c r="W149" s="160" t="e" cm="1">
        <f t="array" ref="W149">SUMPRODUCT(($G$31:$G$144&lt;&gt;"")*($G$31:$G$144&lt;=W$146)*(($H$31:$H$144="")+($H$31:$H$144&gt;=W$146)))</f>
        <v>#REF!</v>
      </c>
      <c r="X149" s="160" t="e" cm="1">
        <f t="array" ref="X149">SUMPRODUCT(($G$31:$G$144&lt;&gt;"")*($G$31:$G$144&lt;=X$146)*(($H$31:$H$144="")+($H$31:$H$144&gt;=X$146)))</f>
        <v>#REF!</v>
      </c>
      <c r="Y149" s="160" t="e" cm="1">
        <f t="array" ref="Y149">SUMPRODUCT(($G$31:$G$144&lt;&gt;"")*($G$31:$G$144&lt;=Y$146)*(($H$31:$H$144="")+($H$31:$H$144&gt;=Y$146)))</f>
        <v>#REF!</v>
      </c>
      <c r="Z149" s="160" t="e" cm="1">
        <f t="array" ref="Z149">SUMPRODUCT(($G$31:$G$144&lt;&gt;"")*($G$31:$G$144&lt;=Z$146)*(($H$31:$H$144="")+($H$31:$H$144&gt;=Z$146)))</f>
        <v>#REF!</v>
      </c>
      <c r="AA149" s="160" t="e" cm="1">
        <f t="array" ref="AA149">SUMPRODUCT(($G$31:$G$144&lt;&gt;"")*($G$31:$G$144&lt;=AA$146)*(($H$31:$H$144="")+($H$31:$H$144&gt;=AA$146)))</f>
        <v>#REF!</v>
      </c>
      <c r="AB149" s="160"/>
    </row>
    <row r="150" spans="10:28" x14ac:dyDescent="0.3">
      <c r="J150" s="495"/>
      <c r="O150" s="472" t="s">
        <v>119</v>
      </c>
      <c r="P150" s="154">
        <f>P147</f>
        <v>251073.1258333333</v>
      </c>
      <c r="Q150" s="154">
        <f>P150+Q147</f>
        <v>533126.2334848484</v>
      </c>
      <c r="R150" s="154">
        <f t="shared" ref="R150:AA151" si="300">Q150+R147</f>
        <v>885388.95513636351</v>
      </c>
      <c r="S150" s="154">
        <f t="shared" si="300"/>
        <v>1265174.6667878786</v>
      </c>
      <c r="T150" s="154">
        <f t="shared" si="300"/>
        <v>1652706.0634393936</v>
      </c>
      <c r="U150" s="154">
        <f t="shared" si="300"/>
        <v>2474669.2100909092</v>
      </c>
      <c r="V150" s="154">
        <f t="shared" si="300"/>
        <v>3358648.1900757579</v>
      </c>
      <c r="W150" s="154">
        <f t="shared" si="300"/>
        <v>4295573.1700606067</v>
      </c>
      <c r="X150" s="154">
        <f t="shared" si="300"/>
        <v>5326135.335045455</v>
      </c>
      <c r="Y150" s="154">
        <f t="shared" si="300"/>
        <v>6867216.8333636373</v>
      </c>
      <c r="Z150" s="154">
        <f t="shared" si="300"/>
        <v>8438414.1316818185</v>
      </c>
      <c r="AA150" s="154">
        <f t="shared" si="300"/>
        <v>11593139.43</v>
      </c>
      <c r="AB150" s="154"/>
    </row>
    <row r="151" spans="10:28" x14ac:dyDescent="0.3">
      <c r="O151" s="473" t="s">
        <v>120</v>
      </c>
      <c r="P151" s="474">
        <f>P148</f>
        <v>212117.82</v>
      </c>
      <c r="Q151" s="474">
        <f>P151+Q148</f>
        <v>437437.68072864006</v>
      </c>
      <c r="R151" s="474">
        <f t="shared" si="300"/>
        <v>625624.59764888999</v>
      </c>
      <c r="S151" s="474">
        <f t="shared" si="300"/>
        <v>816865.32152249001</v>
      </c>
      <c r="T151" s="474">
        <f t="shared" si="300"/>
        <v>1008990.2152157901</v>
      </c>
      <c r="U151" s="474">
        <f t="shared" si="300"/>
        <v>1282436.3115068001</v>
      </c>
      <c r="V151" s="474">
        <f t="shared" si="300"/>
        <v>1282436.3115068001</v>
      </c>
      <c r="W151" s="474">
        <f t="shared" si="300"/>
        <v>1282436.3115068001</v>
      </c>
      <c r="X151" s="474">
        <f t="shared" si="300"/>
        <v>1282436.3115068001</v>
      </c>
      <c r="Y151" s="474">
        <f t="shared" si="300"/>
        <v>1282436.3115068001</v>
      </c>
      <c r="Z151" s="474">
        <f t="shared" si="300"/>
        <v>1282436.3115068001</v>
      </c>
      <c r="AA151" s="474">
        <f t="shared" si="300"/>
        <v>1282436.3115068001</v>
      </c>
      <c r="AB151" s="474"/>
    </row>
    <row r="152" spans="10:28" x14ac:dyDescent="0.3">
      <c r="O152" s="472" t="s">
        <v>121</v>
      </c>
      <c r="P152" s="154">
        <f>P151</f>
        <v>212117.82</v>
      </c>
      <c r="Q152" s="154">
        <f t="shared" ref="Q152:AA152" si="301">IF(AND(ISNUMBER(Q148),Q148&lt;&gt;0), Q151, P152 + (($A$5 - MAX($P$151:$AG$151)) / COUNTIF($P$148:$AG$148,0)))</f>
        <v>437437.68072864006</v>
      </c>
      <c r="R152" s="154">
        <f t="shared" si="301"/>
        <v>625624.59764888999</v>
      </c>
      <c r="S152" s="154">
        <f t="shared" si="301"/>
        <v>816865.32152249001</v>
      </c>
      <c r="T152" s="154">
        <f t="shared" si="301"/>
        <v>1008990.2152157901</v>
      </c>
      <c r="U152" s="154">
        <f t="shared" si="301"/>
        <v>1282436.3115068001</v>
      </c>
      <c r="V152" s="154">
        <f t="shared" si="301"/>
        <v>2235363.5929223336</v>
      </c>
      <c r="W152" s="154">
        <f t="shared" si="301"/>
        <v>3188290.8743378669</v>
      </c>
      <c r="X152" s="154">
        <f t="shared" si="301"/>
        <v>4141218.1557534002</v>
      </c>
      <c r="Y152" s="154">
        <f t="shared" si="301"/>
        <v>5094145.4371689335</v>
      </c>
      <c r="Z152" s="154">
        <f t="shared" si="301"/>
        <v>6047072.7185844667</v>
      </c>
      <c r="AA152" s="154">
        <f t="shared" si="301"/>
        <v>7000000</v>
      </c>
      <c r="AB152" s="154"/>
    </row>
    <row r="153" spans="10:28" x14ac:dyDescent="0.3">
      <c r="O153" s="62" t="s">
        <v>122</v>
      </c>
      <c r="P153" s="1003">
        <f>SUMIFS(V31:V144,$T$31:$T$144,$T$31,$M$31:$M$144,"ok")</f>
        <v>242648.1258333333</v>
      </c>
      <c r="Q153" s="1003">
        <f>SUMIFS(W31:W144,$T$31:$T$144,$T$31,$M$31:$M$144,"ok")</f>
        <v>273628.10765151511</v>
      </c>
      <c r="R153" s="1003">
        <f>SUMIFS(X31:X144,$T$31:$T$144,$T$31,$M$31:$M$144,"ok")</f>
        <v>302405.53365151514</v>
      </c>
      <c r="S153" s="1003">
        <f>SUMIFS(Z31:Z144,$T$31:$T$144,$T$31,$M$31:$M$144,"ok")</f>
        <v>302405.53365151514</v>
      </c>
      <c r="T153" s="1003">
        <f>SUMIFS(AA31:AA144,$T$31:$T$144,$T$31,$M$31:$M$144,"ok")</f>
        <v>302405.53365151514</v>
      </c>
      <c r="U153" s="1003">
        <f>SUMIFS(AB31:AB144,$T$31:$T$144,$T$31,$M$31:$M$144,"ok")</f>
        <v>508759.63793722942</v>
      </c>
      <c r="V153" s="1003">
        <f>SUMIFS(AD31:AD144,$T$31:$T$144,$T$31,$M$31:$M$144,"ok")</f>
        <v>508759.63793722942</v>
      </c>
      <c r="W153" s="1003">
        <f>SUMIFS(AE31:AE144,$T$31:$T$144,$T$31,$M$31:$M$144,"ok")</f>
        <v>508759.63793722942</v>
      </c>
      <c r="X153" s="1003">
        <f>SUMIFS(AF31:AF144,$T$31:$T$144,$T$31,$M$31:$M$144,"ok")</f>
        <v>508759.63793722942</v>
      </c>
      <c r="Y153" s="1003">
        <f>SUMIFS(AH31:AH144,$T$31:$T$144,$T$31,$M$31:$M$144,"ok")</f>
        <v>508759.63793722942</v>
      </c>
      <c r="Z153" s="1003">
        <f>SUMIFS(AI31:AI144,$T$31:$T$144,$T$31,$M$31:$M$144,"ok")</f>
        <v>508759.63793722942</v>
      </c>
      <c r="AA153" s="1003">
        <f>SUMIFS(AJ31:AJ144,$T$31:$T$144,$T$31,$M$31:$M$144,"ok")</f>
        <v>508759.63793722942</v>
      </c>
      <c r="AB153" s="154">
        <f>SUM(P153:AA153)</f>
        <v>4984810.3</v>
      </c>
    </row>
  </sheetData>
  <sheetProtection formatCells="0" formatColumns="0" formatRows="0" insertHyperlinks="0"/>
  <autoFilter ref="A30:AW144" xr:uid="{5DE51545-8593-4605-A1AD-B24552488CB1}"/>
  <mergeCells count="1471">
    <mergeCell ref="AV135:AV136"/>
    <mergeCell ref="AW135:AW136"/>
    <mergeCell ref="AV111:AV112"/>
    <mergeCell ref="AW111:AW112"/>
    <mergeCell ref="AV113:AV114"/>
    <mergeCell ref="AW113:AW114"/>
    <mergeCell ref="AV115:AV116"/>
    <mergeCell ref="AW115:AW116"/>
    <mergeCell ref="AV117:AV118"/>
    <mergeCell ref="AW117:AW118"/>
    <mergeCell ref="AV137:AV138"/>
    <mergeCell ref="AW137:AW138"/>
    <mergeCell ref="AV139:AV140"/>
    <mergeCell ref="AW139:AW140"/>
    <mergeCell ref="AV141:AV142"/>
    <mergeCell ref="AW141:AW142"/>
    <mergeCell ref="AV143:AV144"/>
    <mergeCell ref="AW143:AW144"/>
    <mergeCell ref="AV119:AV120"/>
    <mergeCell ref="AW119:AW120"/>
    <mergeCell ref="AV121:AV122"/>
    <mergeCell ref="AW121:AW122"/>
    <mergeCell ref="AV123:AV124"/>
    <mergeCell ref="AW123:AW124"/>
    <mergeCell ref="AV125:AV126"/>
    <mergeCell ref="AW125:AW126"/>
    <mergeCell ref="AV127:AV128"/>
    <mergeCell ref="AW127:AW128"/>
    <mergeCell ref="AV129:AV130"/>
    <mergeCell ref="AW129:AW130"/>
    <mergeCell ref="AV131:AV132"/>
    <mergeCell ref="AW131:AW132"/>
    <mergeCell ref="AV85:AV86"/>
    <mergeCell ref="AW85:AW86"/>
    <mergeCell ref="AV87:AV88"/>
    <mergeCell ref="AW87:AW88"/>
    <mergeCell ref="AV89:AV90"/>
    <mergeCell ref="AW89:AW90"/>
    <mergeCell ref="AV91:AV92"/>
    <mergeCell ref="AW91:AW92"/>
    <mergeCell ref="AV93:AV94"/>
    <mergeCell ref="AW93:AW94"/>
    <mergeCell ref="AV133:AV134"/>
    <mergeCell ref="AW133:AW134"/>
    <mergeCell ref="AV95:AV96"/>
    <mergeCell ref="AX95:AX96"/>
    <mergeCell ref="AV97:AV98"/>
    <mergeCell ref="AW97:AW98"/>
    <mergeCell ref="AV99:AV100"/>
    <mergeCell ref="AW99:AW100"/>
    <mergeCell ref="AW95:AW96"/>
    <mergeCell ref="AV101:AV102"/>
    <mergeCell ref="AW101:AW102"/>
    <mergeCell ref="AV103:AV104"/>
    <mergeCell ref="AW103:AW104"/>
    <mergeCell ref="AV105:AV106"/>
    <mergeCell ref="AW105:AW106"/>
    <mergeCell ref="AV107:AV108"/>
    <mergeCell ref="AW107:AW108"/>
    <mergeCell ref="AV109:AV110"/>
    <mergeCell ref="AW109:AW110"/>
    <mergeCell ref="AV67:AV68"/>
    <mergeCell ref="AW67:AW68"/>
    <mergeCell ref="AV69:AV70"/>
    <mergeCell ref="AW69:AW70"/>
    <mergeCell ref="AV71:AV72"/>
    <mergeCell ref="AW71:AW72"/>
    <mergeCell ref="AV73:AV74"/>
    <mergeCell ref="AW73:AW74"/>
    <mergeCell ref="AV75:AV76"/>
    <mergeCell ref="AW75:AW76"/>
    <mergeCell ref="AV77:AV78"/>
    <mergeCell ref="AW77:AW78"/>
    <mergeCell ref="AV79:AV80"/>
    <mergeCell ref="AW79:AW80"/>
    <mergeCell ref="AV81:AV82"/>
    <mergeCell ref="AW81:AW82"/>
    <mergeCell ref="AV83:AV84"/>
    <mergeCell ref="AW83:AW84"/>
    <mergeCell ref="AV49:AV50"/>
    <mergeCell ref="AW49:AW50"/>
    <mergeCell ref="AV51:AV52"/>
    <mergeCell ref="AW51:AW52"/>
    <mergeCell ref="AV53:AV54"/>
    <mergeCell ref="AW53:AW54"/>
    <mergeCell ref="AV55:AV56"/>
    <mergeCell ref="AW55:AW56"/>
    <mergeCell ref="AV57:AV58"/>
    <mergeCell ref="AW57:AW58"/>
    <mergeCell ref="AV59:AV60"/>
    <mergeCell ref="AW59:AW60"/>
    <mergeCell ref="AV61:AV62"/>
    <mergeCell ref="AW61:AW62"/>
    <mergeCell ref="AV63:AV64"/>
    <mergeCell ref="AW63:AW64"/>
    <mergeCell ref="AV65:AV66"/>
    <mergeCell ref="AW65:AW66"/>
    <mergeCell ref="AV31:AV32"/>
    <mergeCell ref="AW31:AW32"/>
    <mergeCell ref="AV33:AV34"/>
    <mergeCell ref="AW33:AW34"/>
    <mergeCell ref="AV35:AV36"/>
    <mergeCell ref="AW35:AW36"/>
    <mergeCell ref="AV37:AV38"/>
    <mergeCell ref="AW37:AW38"/>
    <mergeCell ref="AV39:AV40"/>
    <mergeCell ref="AW39:AW40"/>
    <mergeCell ref="AV41:AV42"/>
    <mergeCell ref="AW41:AW42"/>
    <mergeCell ref="AV43:AV44"/>
    <mergeCell ref="AW43:AW44"/>
    <mergeCell ref="AV45:AV46"/>
    <mergeCell ref="AW45:AW46"/>
    <mergeCell ref="AV47:AV48"/>
    <mergeCell ref="AW47:AW48"/>
    <mergeCell ref="C143:C144"/>
    <mergeCell ref="C105:C106"/>
    <mergeCell ref="C107:C108"/>
    <mergeCell ref="C109:C110"/>
    <mergeCell ref="C111:C112"/>
    <mergeCell ref="C113:C114"/>
    <mergeCell ref="C115:C116"/>
    <mergeCell ref="C117:C118"/>
    <mergeCell ref="C119:C120"/>
    <mergeCell ref="C121:C122"/>
    <mergeCell ref="C123:C124"/>
    <mergeCell ref="C125:C126"/>
    <mergeCell ref="C127:C128"/>
    <mergeCell ref="C129:C130"/>
    <mergeCell ref="C131:C132"/>
    <mergeCell ref="C133:C134"/>
    <mergeCell ref="C135:C136"/>
    <mergeCell ref="AO91:AO92"/>
    <mergeCell ref="AP91:AP92"/>
    <mergeCell ref="C69:C70"/>
    <mergeCell ref="C71:C72"/>
    <mergeCell ref="C73:C74"/>
    <mergeCell ref="C75:C76"/>
    <mergeCell ref="C77:C78"/>
    <mergeCell ref="C79:C80"/>
    <mergeCell ref="C81:C82"/>
    <mergeCell ref="C83:C84"/>
    <mergeCell ref="C85:C86"/>
    <mergeCell ref="C87:C88"/>
    <mergeCell ref="C89:C90"/>
    <mergeCell ref="C91:C92"/>
    <mergeCell ref="C93:C94"/>
    <mergeCell ref="C95:C96"/>
    <mergeCell ref="C141:C142"/>
    <mergeCell ref="AO135:AO136"/>
    <mergeCell ref="AP135:AP136"/>
    <mergeCell ref="AP139:AP140"/>
    <mergeCell ref="AN131:AN132"/>
    <mergeCell ref="AO101:AO102"/>
    <mergeCell ref="AP101:AP102"/>
    <mergeCell ref="AM83:AM84"/>
    <mergeCell ref="AM85:AM86"/>
    <mergeCell ref="AM87:AM88"/>
    <mergeCell ref="AM107:AM108"/>
    <mergeCell ref="AM105:AM106"/>
    <mergeCell ref="AM79:AM80"/>
    <mergeCell ref="AM109:AM110"/>
    <mergeCell ref="AN99:AN100"/>
    <mergeCell ref="AP89:AP90"/>
    <mergeCell ref="AM143:AM144"/>
    <mergeCell ref="AM89:AM90"/>
    <mergeCell ref="AM91:AM92"/>
    <mergeCell ref="AM93:AM94"/>
    <mergeCell ref="AM95:AM96"/>
    <mergeCell ref="AM97:AM98"/>
    <mergeCell ref="AM99:AM100"/>
    <mergeCell ref="AM101:AM102"/>
    <mergeCell ref="AM113:AM114"/>
    <mergeCell ref="AM129:AM130"/>
    <mergeCell ref="AM127:AM128"/>
    <mergeCell ref="AM111:AM112"/>
    <mergeCell ref="AM81:AM82"/>
    <mergeCell ref="AM119:AM120"/>
    <mergeCell ref="AM131:AM132"/>
    <mergeCell ref="AM141:AM142"/>
    <mergeCell ref="AM125:AM126"/>
    <mergeCell ref="AM121:AM122"/>
    <mergeCell ref="AN89:AN90"/>
    <mergeCell ref="AO89:AO90"/>
    <mergeCell ref="AO143:AO144"/>
    <mergeCell ref="AP143:AP144"/>
    <mergeCell ref="AN101:AN102"/>
    <mergeCell ref="AP111:AP112"/>
    <mergeCell ref="AN113:AN114"/>
    <mergeCell ref="AO113:AO114"/>
    <mergeCell ref="AP113:AP114"/>
    <mergeCell ref="AO115:AO116"/>
    <mergeCell ref="AP115:AP116"/>
    <mergeCell ref="AO119:AO120"/>
    <mergeCell ref="AO127:AO128"/>
    <mergeCell ref="AP127:AP128"/>
    <mergeCell ref="AN129:AN130"/>
    <mergeCell ref="AO129:AO130"/>
    <mergeCell ref="AP129:AP130"/>
    <mergeCell ref="AO131:AO132"/>
    <mergeCell ref="AO111:AO112"/>
    <mergeCell ref="AN143:AN144"/>
    <mergeCell ref="AO121:AO122"/>
    <mergeCell ref="AP121:AP122"/>
    <mergeCell ref="AN119:AN120"/>
    <mergeCell ref="AO123:AO124"/>
    <mergeCell ref="AP123:AP124"/>
    <mergeCell ref="AN125:AN126"/>
    <mergeCell ref="AO125:AO126"/>
    <mergeCell ref="AP125:AP126"/>
    <mergeCell ref="AN127:AN128"/>
    <mergeCell ref="AO139:AO140"/>
    <mergeCell ref="AN111:AN112"/>
    <mergeCell ref="AP117:AP118"/>
    <mergeCell ref="AP81:AP82"/>
    <mergeCell ref="AP83:AP84"/>
    <mergeCell ref="AN85:AN86"/>
    <mergeCell ref="AO85:AO86"/>
    <mergeCell ref="AP85:AP86"/>
    <mergeCell ref="AN83:AN84"/>
    <mergeCell ref="AO83:AO84"/>
    <mergeCell ref="AN77:AN78"/>
    <mergeCell ref="AO77:AO78"/>
    <mergeCell ref="AN87:AN88"/>
    <mergeCell ref="AO87:AO88"/>
    <mergeCell ref="AP87:AP88"/>
    <mergeCell ref="AN107:AN108"/>
    <mergeCell ref="AO107:AO108"/>
    <mergeCell ref="AP107:AP108"/>
    <mergeCell ref="AN109:AN110"/>
    <mergeCell ref="AO109:AO110"/>
    <mergeCell ref="AP109:AP110"/>
    <mergeCell ref="AO103:AO104"/>
    <mergeCell ref="AP103:AP104"/>
    <mergeCell ref="AN105:AN106"/>
    <mergeCell ref="AO105:AO106"/>
    <mergeCell ref="AP105:AP106"/>
    <mergeCell ref="AN103:AN104"/>
    <mergeCell ref="AO95:AO96"/>
    <mergeCell ref="AP95:AP96"/>
    <mergeCell ref="AN97:AN98"/>
    <mergeCell ref="AO97:AO98"/>
    <mergeCell ref="AP97:AP98"/>
    <mergeCell ref="AN95:AN96"/>
    <mergeCell ref="AO99:AO100"/>
    <mergeCell ref="AP99:AP100"/>
    <mergeCell ref="I33:I34"/>
    <mergeCell ref="Q35:Q36"/>
    <mergeCell ref="AP49:AP50"/>
    <mergeCell ref="AN45:AN46"/>
    <mergeCell ref="AO45:AO46"/>
    <mergeCell ref="AP45:AP46"/>
    <mergeCell ref="AO35:AO36"/>
    <mergeCell ref="AP43:AP44"/>
    <mergeCell ref="AO37:AO38"/>
    <mergeCell ref="AP37:AP38"/>
    <mergeCell ref="AP41:AP42"/>
    <mergeCell ref="AN35:AN36"/>
    <mergeCell ref="AN93:AN94"/>
    <mergeCell ref="AO93:AO94"/>
    <mergeCell ref="AP93:AP94"/>
    <mergeCell ref="AM45:AM46"/>
    <mergeCell ref="AM47:AM48"/>
    <mergeCell ref="AM49:AM50"/>
    <mergeCell ref="AM51:AM52"/>
    <mergeCell ref="AM61:AM62"/>
    <mergeCell ref="AM63:AM64"/>
    <mergeCell ref="AM65:AM66"/>
    <mergeCell ref="AM67:AM68"/>
    <mergeCell ref="AM53:AM54"/>
    <mergeCell ref="AM55:AM56"/>
    <mergeCell ref="AM77:AM78"/>
    <mergeCell ref="AP77:AP78"/>
    <mergeCell ref="AN79:AN80"/>
    <mergeCell ref="AO79:AO80"/>
    <mergeCell ref="AP79:AP80"/>
    <mergeCell ref="AN81:AN82"/>
    <mergeCell ref="AO81:AO82"/>
    <mergeCell ref="O65:O66"/>
    <mergeCell ref="L5:N5"/>
    <mergeCell ref="N33:N34"/>
    <mergeCell ref="O33:O34"/>
    <mergeCell ref="K7:M7"/>
    <mergeCell ref="O5:P5"/>
    <mergeCell ref="O35:O36"/>
    <mergeCell ref="S31:S32"/>
    <mergeCell ref="S33:S34"/>
    <mergeCell ref="S35:S36"/>
    <mergeCell ref="R26:S26"/>
    <mergeCell ref="K71:K72"/>
    <mergeCell ref="K73:K74"/>
    <mergeCell ref="H69:H70"/>
    <mergeCell ref="J67:J68"/>
    <mergeCell ref="J69:J70"/>
    <mergeCell ref="K67:K68"/>
    <mergeCell ref="K69:K70"/>
    <mergeCell ref="J63:J64"/>
    <mergeCell ref="J65:J66"/>
    <mergeCell ref="H61:H62"/>
    <mergeCell ref="I61:I62"/>
    <mergeCell ref="M61:M62"/>
    <mergeCell ref="N61:N62"/>
    <mergeCell ref="I59:I60"/>
    <mergeCell ref="M33:M34"/>
    <mergeCell ref="L31:L32"/>
    <mergeCell ref="L33:L34"/>
    <mergeCell ref="N35:N36"/>
    <mergeCell ref="I5:K5"/>
    <mergeCell ref="P31:P32"/>
    <mergeCell ref="P33:P34"/>
    <mergeCell ref="E95:E96"/>
    <mergeCell ref="X22:AB22"/>
    <mergeCell ref="X13:AB13"/>
    <mergeCell ref="X14:AB14"/>
    <mergeCell ref="X15:AB15"/>
    <mergeCell ref="N31:N32"/>
    <mergeCell ref="R31:R32"/>
    <mergeCell ref="R33:R34"/>
    <mergeCell ref="R35:R36"/>
    <mergeCell ref="O31:O32"/>
    <mergeCell ref="M87:M88"/>
    <mergeCell ref="L87:L88"/>
    <mergeCell ref="G79:G80"/>
    <mergeCell ref="H79:H80"/>
    <mergeCell ref="I79:I80"/>
    <mergeCell ref="E79:E80"/>
    <mergeCell ref="I75:I76"/>
    <mergeCell ref="M75:M76"/>
    <mergeCell ref="N75:N76"/>
    <mergeCell ref="H75:H76"/>
    <mergeCell ref="M85:M86"/>
    <mergeCell ref="E85:E86"/>
    <mergeCell ref="L85:L86"/>
    <mergeCell ref="E87:E88"/>
    <mergeCell ref="O75:O76"/>
    <mergeCell ref="K75:K76"/>
    <mergeCell ref="I71:I72"/>
    <mergeCell ref="M71:M72"/>
    <mergeCell ref="H71:H72"/>
    <mergeCell ref="O71:O72"/>
    <mergeCell ref="O73:O74"/>
    <mergeCell ref="O63:O64"/>
    <mergeCell ref="C37:C38"/>
    <mergeCell ref="C39:C40"/>
    <mergeCell ref="C41:C42"/>
    <mergeCell ref="C43:C44"/>
    <mergeCell ref="C45:C46"/>
    <mergeCell ref="C47:C48"/>
    <mergeCell ref="E35:E36"/>
    <mergeCell ref="E37:E38"/>
    <mergeCell ref="E39:E40"/>
    <mergeCell ref="E41:E42"/>
    <mergeCell ref="E43:E44"/>
    <mergeCell ref="E45:E46"/>
    <mergeCell ref="E47:E48"/>
    <mergeCell ref="E33:E34"/>
    <mergeCell ref="E75:E76"/>
    <mergeCell ref="E77:E78"/>
    <mergeCell ref="E93:E94"/>
    <mergeCell ref="D49:D50"/>
    <mergeCell ref="D39:D40"/>
    <mergeCell ref="A83:A84"/>
    <mergeCell ref="B83:B84"/>
    <mergeCell ref="D83:D84"/>
    <mergeCell ref="F83:F84"/>
    <mergeCell ref="G83:G84"/>
    <mergeCell ref="H83:H84"/>
    <mergeCell ref="I83:I84"/>
    <mergeCell ref="A87:A88"/>
    <mergeCell ref="B87:B88"/>
    <mergeCell ref="D87:D88"/>
    <mergeCell ref="F87:F88"/>
    <mergeCell ref="G87:G88"/>
    <mergeCell ref="H87:H88"/>
    <mergeCell ref="E83:E84"/>
    <mergeCell ref="I87:I88"/>
    <mergeCell ref="O93:O94"/>
    <mergeCell ref="O97:O98"/>
    <mergeCell ref="B93:B94"/>
    <mergeCell ref="D93:D94"/>
    <mergeCell ref="F93:F94"/>
    <mergeCell ref="G93:G94"/>
    <mergeCell ref="H93:H94"/>
    <mergeCell ref="I93:I94"/>
    <mergeCell ref="E89:E90"/>
    <mergeCell ref="A85:A86"/>
    <mergeCell ref="B85:B86"/>
    <mergeCell ref="D85:D86"/>
    <mergeCell ref="F85:F86"/>
    <mergeCell ref="G85:G86"/>
    <mergeCell ref="H85:H86"/>
    <mergeCell ref="I85:I86"/>
    <mergeCell ref="A95:A96"/>
    <mergeCell ref="M77:M78"/>
    <mergeCell ref="A81:A82"/>
    <mergeCell ref="B81:B82"/>
    <mergeCell ref="D81:D82"/>
    <mergeCell ref="F81:F82"/>
    <mergeCell ref="G81:G82"/>
    <mergeCell ref="H81:H82"/>
    <mergeCell ref="I81:I82"/>
    <mergeCell ref="M81:M82"/>
    <mergeCell ref="E81:E82"/>
    <mergeCell ref="L81:L82"/>
    <mergeCell ref="K77:K78"/>
    <mergeCell ref="A79:A80"/>
    <mergeCell ref="B79:B80"/>
    <mergeCell ref="D79:D80"/>
    <mergeCell ref="F79:F80"/>
    <mergeCell ref="K79:K80"/>
    <mergeCell ref="K81:K82"/>
    <mergeCell ref="A77:A78"/>
    <mergeCell ref="B77:B78"/>
    <mergeCell ref="D77:D78"/>
    <mergeCell ref="F77:F78"/>
    <mergeCell ref="E101:E102"/>
    <mergeCell ref="D103:D104"/>
    <mergeCell ref="F103:F104"/>
    <mergeCell ref="G103:G104"/>
    <mergeCell ref="H103:H104"/>
    <mergeCell ref="I103:I104"/>
    <mergeCell ref="A99:A100"/>
    <mergeCell ref="H99:H100"/>
    <mergeCell ref="I99:I100"/>
    <mergeCell ref="E97:E98"/>
    <mergeCell ref="E99:E100"/>
    <mergeCell ref="G101:G102"/>
    <mergeCell ref="H101:H102"/>
    <mergeCell ref="I101:I102"/>
    <mergeCell ref="C101:C102"/>
    <mergeCell ref="C103:C104"/>
    <mergeCell ref="C97:C98"/>
    <mergeCell ref="C99:C100"/>
    <mergeCell ref="G99:G100"/>
    <mergeCell ref="A97:A98"/>
    <mergeCell ref="B97:B98"/>
    <mergeCell ref="D97:D98"/>
    <mergeCell ref="E103:E104"/>
    <mergeCell ref="H97:H98"/>
    <mergeCell ref="I97:I98"/>
    <mergeCell ref="A143:A144"/>
    <mergeCell ref="B143:B144"/>
    <mergeCell ref="D143:D144"/>
    <mergeCell ref="F143:F144"/>
    <mergeCell ref="G143:G144"/>
    <mergeCell ref="H143:H144"/>
    <mergeCell ref="L143:L144"/>
    <mergeCell ref="K143:K144"/>
    <mergeCell ref="H109:H110"/>
    <mergeCell ref="I109:I110"/>
    <mergeCell ref="M109:M110"/>
    <mergeCell ref="N109:N110"/>
    <mergeCell ref="A109:A110"/>
    <mergeCell ref="B109:B110"/>
    <mergeCell ref="D109:D110"/>
    <mergeCell ref="F109:F110"/>
    <mergeCell ref="E109:E110"/>
    <mergeCell ref="E143:E144"/>
    <mergeCell ref="G109:G110"/>
    <mergeCell ref="A113:A114"/>
    <mergeCell ref="A117:A118"/>
    <mergeCell ref="B117:B118"/>
    <mergeCell ref="D117:D118"/>
    <mergeCell ref="E117:E118"/>
    <mergeCell ref="F117:F118"/>
    <mergeCell ref="G117:G118"/>
    <mergeCell ref="H117:H118"/>
    <mergeCell ref="C137:C138"/>
    <mergeCell ref="M111:M112"/>
    <mergeCell ref="A129:A130"/>
    <mergeCell ref="B129:B130"/>
    <mergeCell ref="D129:D130"/>
    <mergeCell ref="K83:K84"/>
    <mergeCell ref="L83:L84"/>
    <mergeCell ref="K107:K108"/>
    <mergeCell ref="K105:K106"/>
    <mergeCell ref="K97:K98"/>
    <mergeCell ref="K99:K100"/>
    <mergeCell ref="L91:L92"/>
    <mergeCell ref="J79:J80"/>
    <mergeCell ref="J81:J82"/>
    <mergeCell ref="J83:J84"/>
    <mergeCell ref="J85:J86"/>
    <mergeCell ref="J87:J88"/>
    <mergeCell ref="I143:I144"/>
    <mergeCell ref="M143:M144"/>
    <mergeCell ref="N143:N144"/>
    <mergeCell ref="A75:A76"/>
    <mergeCell ref="B75:B76"/>
    <mergeCell ref="D75:D76"/>
    <mergeCell ref="F75:F76"/>
    <mergeCell ref="G75:G76"/>
    <mergeCell ref="A105:A106"/>
    <mergeCell ref="B105:B106"/>
    <mergeCell ref="D105:D106"/>
    <mergeCell ref="F105:F106"/>
    <mergeCell ref="G105:G106"/>
    <mergeCell ref="A101:A102"/>
    <mergeCell ref="B101:B102"/>
    <mergeCell ref="D101:D102"/>
    <mergeCell ref="F101:F102"/>
    <mergeCell ref="B99:B100"/>
    <mergeCell ref="D99:D100"/>
    <mergeCell ref="F99:F100"/>
    <mergeCell ref="H65:H66"/>
    <mergeCell ref="I65:I66"/>
    <mergeCell ref="I63:I64"/>
    <mergeCell ref="H63:H64"/>
    <mergeCell ref="C63:C64"/>
    <mergeCell ref="C65:C66"/>
    <mergeCell ref="B103:B104"/>
    <mergeCell ref="A93:A94"/>
    <mergeCell ref="D67:D68"/>
    <mergeCell ref="F67:F68"/>
    <mergeCell ref="G67:G68"/>
    <mergeCell ref="E67:E68"/>
    <mergeCell ref="E69:E70"/>
    <mergeCell ref="I69:I70"/>
    <mergeCell ref="I67:I68"/>
    <mergeCell ref="H67:H68"/>
    <mergeCell ref="A73:A74"/>
    <mergeCell ref="B73:B74"/>
    <mergeCell ref="D73:D74"/>
    <mergeCell ref="F73:F74"/>
    <mergeCell ref="G73:G74"/>
    <mergeCell ref="H95:H96"/>
    <mergeCell ref="I95:I96"/>
    <mergeCell ref="A71:A72"/>
    <mergeCell ref="B71:B72"/>
    <mergeCell ref="D71:D72"/>
    <mergeCell ref="F71:F72"/>
    <mergeCell ref="G71:G72"/>
    <mergeCell ref="E71:E72"/>
    <mergeCell ref="E73:E74"/>
    <mergeCell ref="H73:H74"/>
    <mergeCell ref="I73:I74"/>
    <mergeCell ref="A69:A70"/>
    <mergeCell ref="B69:B70"/>
    <mergeCell ref="D69:D70"/>
    <mergeCell ref="F69:F70"/>
    <mergeCell ref="G69:G70"/>
    <mergeCell ref="A67:A68"/>
    <mergeCell ref="B67:B68"/>
    <mergeCell ref="C67:C68"/>
    <mergeCell ref="I89:I90"/>
    <mergeCell ref="H89:H90"/>
    <mergeCell ref="G89:G90"/>
    <mergeCell ref="F89:F90"/>
    <mergeCell ref="D89:D90"/>
    <mergeCell ref="B89:B90"/>
    <mergeCell ref="A89:A90"/>
    <mergeCell ref="F97:F98"/>
    <mergeCell ref="G97:G98"/>
    <mergeCell ref="A91:A92"/>
    <mergeCell ref="B91:B92"/>
    <mergeCell ref="D91:D92"/>
    <mergeCell ref="F91:F92"/>
    <mergeCell ref="G91:G92"/>
    <mergeCell ref="H91:H92"/>
    <mergeCell ref="I91:I92"/>
    <mergeCell ref="E91:E92"/>
    <mergeCell ref="B95:B96"/>
    <mergeCell ref="D95:D96"/>
    <mergeCell ref="F95:F96"/>
    <mergeCell ref="G95:G96"/>
    <mergeCell ref="G77:G78"/>
    <mergeCell ref="H77:H78"/>
    <mergeCell ref="I77:I78"/>
    <mergeCell ref="F61:F62"/>
    <mergeCell ref="G61:G62"/>
    <mergeCell ref="A59:A60"/>
    <mergeCell ref="B59:B60"/>
    <mergeCell ref="D59:D60"/>
    <mergeCell ref="F59:F60"/>
    <mergeCell ref="G59:G60"/>
    <mergeCell ref="E59:E60"/>
    <mergeCell ref="E61:E62"/>
    <mergeCell ref="A65:A66"/>
    <mergeCell ref="B65:B66"/>
    <mergeCell ref="D65:D66"/>
    <mergeCell ref="F65:F66"/>
    <mergeCell ref="G65:G66"/>
    <mergeCell ref="A63:A64"/>
    <mergeCell ref="B63:B64"/>
    <mergeCell ref="D63:D64"/>
    <mergeCell ref="F63:F64"/>
    <mergeCell ref="G63:G64"/>
    <mergeCell ref="E63:E64"/>
    <mergeCell ref="E65:E66"/>
    <mergeCell ref="H59:H60"/>
    <mergeCell ref="L61:L62"/>
    <mergeCell ref="J59:J60"/>
    <mergeCell ref="J61:J62"/>
    <mergeCell ref="L59:L60"/>
    <mergeCell ref="C59:C60"/>
    <mergeCell ref="C61:C62"/>
    <mergeCell ref="B57:B58"/>
    <mergeCell ref="D57:D58"/>
    <mergeCell ref="F57:F58"/>
    <mergeCell ref="G57:G58"/>
    <mergeCell ref="A55:A56"/>
    <mergeCell ref="B55:B56"/>
    <mergeCell ref="D55:D56"/>
    <mergeCell ref="F55:F56"/>
    <mergeCell ref="G55:G56"/>
    <mergeCell ref="E55:E56"/>
    <mergeCell ref="E57:E58"/>
    <mergeCell ref="H57:H58"/>
    <mergeCell ref="I57:I58"/>
    <mergeCell ref="I55:I56"/>
    <mergeCell ref="L55:L56"/>
    <mergeCell ref="L57:L58"/>
    <mergeCell ref="A57:A58"/>
    <mergeCell ref="H55:H56"/>
    <mergeCell ref="C55:C56"/>
    <mergeCell ref="C57:C58"/>
    <mergeCell ref="J55:J56"/>
    <mergeCell ref="J57:J58"/>
    <mergeCell ref="A61:A62"/>
    <mergeCell ref="B61:B62"/>
    <mergeCell ref="D61:D62"/>
    <mergeCell ref="A53:A54"/>
    <mergeCell ref="B53:B54"/>
    <mergeCell ref="D53:D54"/>
    <mergeCell ref="F53:F54"/>
    <mergeCell ref="G53:G54"/>
    <mergeCell ref="A51:A52"/>
    <mergeCell ref="B51:B52"/>
    <mergeCell ref="D51:D52"/>
    <mergeCell ref="F51:F52"/>
    <mergeCell ref="G51:G52"/>
    <mergeCell ref="E51:E52"/>
    <mergeCell ref="E53:E54"/>
    <mergeCell ref="H53:H54"/>
    <mergeCell ref="I53:I54"/>
    <mergeCell ref="M53:M54"/>
    <mergeCell ref="N53:N54"/>
    <mergeCell ref="I51:I52"/>
    <mergeCell ref="M51:M52"/>
    <mergeCell ref="N51:N52"/>
    <mergeCell ref="H51:H52"/>
    <mergeCell ref="L51:L52"/>
    <mergeCell ref="L53:L54"/>
    <mergeCell ref="C51:C52"/>
    <mergeCell ref="C53:C54"/>
    <mergeCell ref="J51:J52"/>
    <mergeCell ref="J53:J54"/>
    <mergeCell ref="F49:F50"/>
    <mergeCell ref="G49:G50"/>
    <mergeCell ref="A47:A48"/>
    <mergeCell ref="B47:B48"/>
    <mergeCell ref="D47:D48"/>
    <mergeCell ref="F47:F48"/>
    <mergeCell ref="G47:G48"/>
    <mergeCell ref="E49:E50"/>
    <mergeCell ref="H49:H50"/>
    <mergeCell ref="I49:I50"/>
    <mergeCell ref="M49:M50"/>
    <mergeCell ref="N49:N50"/>
    <mergeCell ref="I47:I48"/>
    <mergeCell ref="M47:M48"/>
    <mergeCell ref="N47:N48"/>
    <mergeCell ref="H47:H48"/>
    <mergeCell ref="L47:L48"/>
    <mergeCell ref="L49:L50"/>
    <mergeCell ref="J47:J48"/>
    <mergeCell ref="J49:J50"/>
    <mergeCell ref="A49:A50"/>
    <mergeCell ref="B49:B50"/>
    <mergeCell ref="C49:C50"/>
    <mergeCell ref="N45:N46"/>
    <mergeCell ref="I43:I44"/>
    <mergeCell ref="M43:M44"/>
    <mergeCell ref="N43:N44"/>
    <mergeCell ref="H43:H44"/>
    <mergeCell ref="R45:R46"/>
    <mergeCell ref="O43:O44"/>
    <mergeCell ref="O45:O46"/>
    <mergeCell ref="L43:L44"/>
    <mergeCell ref="L45:L46"/>
    <mergeCell ref="R43:R44"/>
    <mergeCell ref="J43:J44"/>
    <mergeCell ref="J45:J46"/>
    <mergeCell ref="N37:N38"/>
    <mergeCell ref="O37:O38"/>
    <mergeCell ref="O39:O40"/>
    <mergeCell ref="H37:H38"/>
    <mergeCell ref="I37:I38"/>
    <mergeCell ref="I41:I42"/>
    <mergeCell ref="M41:M42"/>
    <mergeCell ref="N41:N42"/>
    <mergeCell ref="I39:I40"/>
    <mergeCell ref="M39:M40"/>
    <mergeCell ref="N39:N40"/>
    <mergeCell ref="H39:H40"/>
    <mergeCell ref="L41:L42"/>
    <mergeCell ref="R37:R38"/>
    <mergeCell ref="R39:R40"/>
    <mergeCell ref="P37:P38"/>
    <mergeCell ref="Q37:Q38"/>
    <mergeCell ref="P39:P40"/>
    <mergeCell ref="F39:F40"/>
    <mergeCell ref="G39:G40"/>
    <mergeCell ref="A41:A42"/>
    <mergeCell ref="A45:A46"/>
    <mergeCell ref="B45:B46"/>
    <mergeCell ref="D45:D46"/>
    <mergeCell ref="F45:F46"/>
    <mergeCell ref="G45:G46"/>
    <mergeCell ref="A43:A44"/>
    <mergeCell ref="B43:B44"/>
    <mergeCell ref="D43:D44"/>
    <mergeCell ref="F43:F44"/>
    <mergeCell ref="G43:G44"/>
    <mergeCell ref="H45:H46"/>
    <mergeCell ref="I45:I46"/>
    <mergeCell ref="M45:M46"/>
    <mergeCell ref="H41:H42"/>
    <mergeCell ref="J35:J36"/>
    <mergeCell ref="J37:J38"/>
    <mergeCell ref="J39:J40"/>
    <mergeCell ref="J41:J42"/>
    <mergeCell ref="L35:L36"/>
    <mergeCell ref="L37:L38"/>
    <mergeCell ref="L39:L40"/>
    <mergeCell ref="J31:J32"/>
    <mergeCell ref="J33:J34"/>
    <mergeCell ref="H31:H32"/>
    <mergeCell ref="I31:I32"/>
    <mergeCell ref="M31:M32"/>
    <mergeCell ref="A37:A38"/>
    <mergeCell ref="B37:B38"/>
    <mergeCell ref="D37:D38"/>
    <mergeCell ref="F37:F38"/>
    <mergeCell ref="G37:G38"/>
    <mergeCell ref="A35:A36"/>
    <mergeCell ref="B35:B36"/>
    <mergeCell ref="D35:D36"/>
    <mergeCell ref="F35:F36"/>
    <mergeCell ref="G35:G36"/>
    <mergeCell ref="A33:A34"/>
    <mergeCell ref="B33:B34"/>
    <mergeCell ref="D33:D34"/>
    <mergeCell ref="B41:B42"/>
    <mergeCell ref="D41:D42"/>
    <mergeCell ref="F41:F42"/>
    <mergeCell ref="G41:G42"/>
    <mergeCell ref="A39:A40"/>
    <mergeCell ref="B39:B40"/>
    <mergeCell ref="I35:I36"/>
    <mergeCell ref="M35:M36"/>
    <mergeCell ref="A1:N1"/>
    <mergeCell ref="A2:N2"/>
    <mergeCell ref="A4:B4"/>
    <mergeCell ref="G4:H4"/>
    <mergeCell ref="I4:K4"/>
    <mergeCell ref="L4:N4"/>
    <mergeCell ref="O4:P4"/>
    <mergeCell ref="R4:AI4"/>
    <mergeCell ref="E4:F4"/>
    <mergeCell ref="AC1:AM1"/>
    <mergeCell ref="AC2:AM2"/>
    <mergeCell ref="G7:I7"/>
    <mergeCell ref="A5:B5"/>
    <mergeCell ref="F33:F34"/>
    <mergeCell ref="G33:G34"/>
    <mergeCell ref="H33:H34"/>
    <mergeCell ref="A31:A32"/>
    <mergeCell ref="B31:B32"/>
    <mergeCell ref="D31:D32"/>
    <mergeCell ref="F31:F32"/>
    <mergeCell ref="G31:G32"/>
    <mergeCell ref="G5:H5"/>
    <mergeCell ref="E31:E32"/>
    <mergeCell ref="E5:F5"/>
    <mergeCell ref="H35:H36"/>
    <mergeCell ref="C31:C32"/>
    <mergeCell ref="C33:C34"/>
    <mergeCell ref="C35:C36"/>
    <mergeCell ref="Q31:Q32"/>
    <mergeCell ref="Q33:Q34"/>
    <mergeCell ref="O1:AB1"/>
    <mergeCell ref="O2:AB2"/>
    <mergeCell ref="X18:AB18"/>
    <mergeCell ref="X19:AB19"/>
    <mergeCell ref="X20:AB20"/>
    <mergeCell ref="X21:AB21"/>
    <mergeCell ref="AL21:AM21"/>
    <mergeCell ref="AN29:AP29"/>
    <mergeCell ref="AN31:AN32"/>
    <mergeCell ref="AO31:AO32"/>
    <mergeCell ref="AP31:AP32"/>
    <mergeCell ref="AN33:AN34"/>
    <mergeCell ref="AO33:AO34"/>
    <mergeCell ref="AP33:AP34"/>
    <mergeCell ref="X7:AB7"/>
    <mergeCell ref="X8:AB8"/>
    <mergeCell ref="X9:AB9"/>
    <mergeCell ref="X10:AB10"/>
    <mergeCell ref="X6:AB6"/>
    <mergeCell ref="X23:AB23"/>
    <mergeCell ref="X24:AB24"/>
    <mergeCell ref="X25:AB25"/>
    <mergeCell ref="X11:AB11"/>
    <mergeCell ref="X12:AB12"/>
    <mergeCell ref="X5:AB5"/>
    <mergeCell ref="X16:AB16"/>
    <mergeCell ref="X17:AB17"/>
    <mergeCell ref="AM31:AM32"/>
    <mergeCell ref="AM33:AM34"/>
    <mergeCell ref="AP35:AP36"/>
    <mergeCell ref="AN37:AN38"/>
    <mergeCell ref="AN39:AN40"/>
    <mergeCell ref="AO39:AO40"/>
    <mergeCell ref="S51:S52"/>
    <mergeCell ref="S53:S54"/>
    <mergeCell ref="S55:S56"/>
    <mergeCell ref="AN53:AN54"/>
    <mergeCell ref="AO53:AO54"/>
    <mergeCell ref="R51:R52"/>
    <mergeCell ref="R53:R54"/>
    <mergeCell ref="R55:R56"/>
    <mergeCell ref="R47:R48"/>
    <mergeCell ref="R49:R50"/>
    <mergeCell ref="AM41:AM42"/>
    <mergeCell ref="AM43:AM44"/>
    <mergeCell ref="AM35:AM36"/>
    <mergeCell ref="S37:S38"/>
    <mergeCell ref="S39:S40"/>
    <mergeCell ref="AP39:AP40"/>
    <mergeCell ref="AP53:AP54"/>
    <mergeCell ref="AP51:AP52"/>
    <mergeCell ref="AP55:AP56"/>
    <mergeCell ref="AP47:AP48"/>
    <mergeCell ref="P35:P36"/>
    <mergeCell ref="O41:O42"/>
    <mergeCell ref="S45:S46"/>
    <mergeCell ref="S47:S48"/>
    <mergeCell ref="S49:S50"/>
    <mergeCell ref="AN41:AN42"/>
    <mergeCell ref="AO41:AO42"/>
    <mergeCell ref="AN43:AN44"/>
    <mergeCell ref="AN47:AN48"/>
    <mergeCell ref="O55:O56"/>
    <mergeCell ref="AN55:AN56"/>
    <mergeCell ref="AO55:AO56"/>
    <mergeCell ref="AN51:AN52"/>
    <mergeCell ref="AO51:AO52"/>
    <mergeCell ref="AO47:AO48"/>
    <mergeCell ref="R41:R42"/>
    <mergeCell ref="S41:S42"/>
    <mergeCell ref="S43:S44"/>
    <mergeCell ref="AO43:AO44"/>
    <mergeCell ref="O49:O50"/>
    <mergeCell ref="O47:O48"/>
    <mergeCell ref="O51:O52"/>
    <mergeCell ref="O53:O54"/>
    <mergeCell ref="AN49:AN50"/>
    <mergeCell ref="AO49:AO50"/>
    <mergeCell ref="AM37:AM38"/>
    <mergeCell ref="AM39:AM40"/>
    <mergeCell ref="S83:S84"/>
    <mergeCell ref="S85:S86"/>
    <mergeCell ref="P57:P58"/>
    <mergeCell ref="L73:L74"/>
    <mergeCell ref="L75:L76"/>
    <mergeCell ref="L77:L78"/>
    <mergeCell ref="L79:L80"/>
    <mergeCell ref="R73:R74"/>
    <mergeCell ref="R75:R76"/>
    <mergeCell ref="R77:R78"/>
    <mergeCell ref="R79:R80"/>
    <mergeCell ref="N79:N80"/>
    <mergeCell ref="R57:R58"/>
    <mergeCell ref="R59:R60"/>
    <mergeCell ref="AP73:AP74"/>
    <mergeCell ref="AN75:AN76"/>
    <mergeCell ref="L63:L64"/>
    <mergeCell ref="L65:L66"/>
    <mergeCell ref="L67:L68"/>
    <mergeCell ref="L69:L70"/>
    <mergeCell ref="R61:R62"/>
    <mergeCell ref="R63:R64"/>
    <mergeCell ref="R65:R66"/>
    <mergeCell ref="R67:R68"/>
    <mergeCell ref="R69:R70"/>
    <mergeCell ref="M59:M60"/>
    <mergeCell ref="N59:N60"/>
    <mergeCell ref="M57:M58"/>
    <mergeCell ref="N57:N58"/>
    <mergeCell ref="M69:M70"/>
    <mergeCell ref="S57:S58"/>
    <mergeCell ref="AP61:AP62"/>
    <mergeCell ref="S59:S60"/>
    <mergeCell ref="AN57:AN58"/>
    <mergeCell ref="AO57:AO58"/>
    <mergeCell ref="AP57:AP58"/>
    <mergeCell ref="AN59:AN60"/>
    <mergeCell ref="AO59:AO60"/>
    <mergeCell ref="AP59:AP60"/>
    <mergeCell ref="AM57:AM58"/>
    <mergeCell ref="AM59:AM60"/>
    <mergeCell ref="AP69:AP70"/>
    <mergeCell ref="AN71:AN72"/>
    <mergeCell ref="AO71:AO72"/>
    <mergeCell ref="AP71:AP72"/>
    <mergeCell ref="AN65:AN66"/>
    <mergeCell ref="AO65:AO66"/>
    <mergeCell ref="AP75:AP76"/>
    <mergeCell ref="AO75:AO76"/>
    <mergeCell ref="AN73:AN74"/>
    <mergeCell ref="AO73:AO74"/>
    <mergeCell ref="AM69:AM70"/>
    <mergeCell ref="AM71:AM72"/>
    <mergeCell ref="AM73:AM74"/>
    <mergeCell ref="AM75:AM76"/>
    <mergeCell ref="AN69:AN70"/>
    <mergeCell ref="AO69:AO70"/>
    <mergeCell ref="AP65:AP66"/>
    <mergeCell ref="AN67:AN68"/>
    <mergeCell ref="AO67:AO68"/>
    <mergeCell ref="AP67:AP68"/>
    <mergeCell ref="S91:S92"/>
    <mergeCell ref="S93:S94"/>
    <mergeCell ref="S95:S96"/>
    <mergeCell ref="S97:S98"/>
    <mergeCell ref="S61:S62"/>
    <mergeCell ref="S63:S64"/>
    <mergeCell ref="S65:S66"/>
    <mergeCell ref="S67:S68"/>
    <mergeCell ref="S69:S70"/>
    <mergeCell ref="AN63:AN64"/>
    <mergeCell ref="AO63:AO64"/>
    <mergeCell ref="AP63:AP64"/>
    <mergeCell ref="AN61:AN62"/>
    <mergeCell ref="AO61:AO62"/>
    <mergeCell ref="M99:M100"/>
    <mergeCell ref="N99:N100"/>
    <mergeCell ref="O99:O100"/>
    <mergeCell ref="M95:M96"/>
    <mergeCell ref="N95:N96"/>
    <mergeCell ref="O95:O96"/>
    <mergeCell ref="M93:M94"/>
    <mergeCell ref="S71:S72"/>
    <mergeCell ref="S73:S74"/>
    <mergeCell ref="S75:S76"/>
    <mergeCell ref="S77:S78"/>
    <mergeCell ref="S79:S80"/>
    <mergeCell ref="O77:O78"/>
    <mergeCell ref="R71:R72"/>
    <mergeCell ref="AN91:AN92"/>
    <mergeCell ref="N77:N78"/>
    <mergeCell ref="N81:N82"/>
    <mergeCell ref="N85:N86"/>
    <mergeCell ref="O143:O144"/>
    <mergeCell ref="R101:R102"/>
    <mergeCell ref="R103:R104"/>
    <mergeCell ref="R105:R106"/>
    <mergeCell ref="R107:R108"/>
    <mergeCell ref="R109:R110"/>
    <mergeCell ref="R143:R144"/>
    <mergeCell ref="S101:S102"/>
    <mergeCell ref="S103:S104"/>
    <mergeCell ref="S107:S108"/>
    <mergeCell ref="S109:S110"/>
    <mergeCell ref="S143:S144"/>
    <mergeCell ref="S105:S106"/>
    <mergeCell ref="R93:R94"/>
    <mergeCell ref="O91:O92"/>
    <mergeCell ref="R91:R92"/>
    <mergeCell ref="R95:R96"/>
    <mergeCell ref="R97:R98"/>
    <mergeCell ref="R111:R112"/>
    <mergeCell ref="S111:S112"/>
    <mergeCell ref="O101:O102"/>
    <mergeCell ref="R119:R120"/>
    <mergeCell ref="S119:S120"/>
    <mergeCell ref="S129:S130"/>
    <mergeCell ref="S141:S142"/>
    <mergeCell ref="P143:P144"/>
    <mergeCell ref="Q143:Q144"/>
    <mergeCell ref="Q107:Q108"/>
    <mergeCell ref="P109:P110"/>
    <mergeCell ref="Q109:Q110"/>
    <mergeCell ref="P111:P112"/>
    <mergeCell ref="Q111:Q112"/>
    <mergeCell ref="O57:O58"/>
    <mergeCell ref="O59:O60"/>
    <mergeCell ref="O61:O62"/>
    <mergeCell ref="O67:O68"/>
    <mergeCell ref="O69:O70"/>
    <mergeCell ref="M65:M66"/>
    <mergeCell ref="N65:N66"/>
    <mergeCell ref="M63:M64"/>
    <mergeCell ref="N63:N64"/>
    <mergeCell ref="J91:J92"/>
    <mergeCell ref="K91:K92"/>
    <mergeCell ref="N71:N72"/>
    <mergeCell ref="P59:P60"/>
    <mergeCell ref="Q59:Q60"/>
    <mergeCell ref="P61:P62"/>
    <mergeCell ref="Q61:Q62"/>
    <mergeCell ref="P63:P64"/>
    <mergeCell ref="Q63:Q64"/>
    <mergeCell ref="M89:M90"/>
    <mergeCell ref="M73:M74"/>
    <mergeCell ref="N73:N74"/>
    <mergeCell ref="J71:J72"/>
    <mergeCell ref="K85:K86"/>
    <mergeCell ref="M91:M92"/>
    <mergeCell ref="O83:O84"/>
    <mergeCell ref="O87:O88"/>
    <mergeCell ref="N83:N84"/>
    <mergeCell ref="N87:N88"/>
    <mergeCell ref="M79:M80"/>
    <mergeCell ref="M83:M84"/>
    <mergeCell ref="N91:N92"/>
    <mergeCell ref="P75:P76"/>
    <mergeCell ref="M55:M56"/>
    <mergeCell ref="N55:N56"/>
    <mergeCell ref="L71:L72"/>
    <mergeCell ref="J143:J144"/>
    <mergeCell ref="K31:K32"/>
    <mergeCell ref="K33:K34"/>
    <mergeCell ref="K35:K36"/>
    <mergeCell ref="K37:K38"/>
    <mergeCell ref="K39:K40"/>
    <mergeCell ref="K41:K42"/>
    <mergeCell ref="K43:K44"/>
    <mergeCell ref="K45:K46"/>
    <mergeCell ref="K47:K48"/>
    <mergeCell ref="K49:K50"/>
    <mergeCell ref="K51:K52"/>
    <mergeCell ref="K53:K54"/>
    <mergeCell ref="K55:K56"/>
    <mergeCell ref="K57:K58"/>
    <mergeCell ref="K59:K60"/>
    <mergeCell ref="K61:K62"/>
    <mergeCell ref="K63:K64"/>
    <mergeCell ref="K93:K94"/>
    <mergeCell ref="K95:K96"/>
    <mergeCell ref="M105:M106"/>
    <mergeCell ref="N105:N106"/>
    <mergeCell ref="L105:L106"/>
    <mergeCell ref="J75:J76"/>
    <mergeCell ref="J77:J78"/>
    <mergeCell ref="M97:M98"/>
    <mergeCell ref="N97:N98"/>
    <mergeCell ref="N93:N94"/>
    <mergeCell ref="M37:M38"/>
    <mergeCell ref="S87:S88"/>
    <mergeCell ref="S89:S90"/>
    <mergeCell ref="O81:O82"/>
    <mergeCell ref="R81:R82"/>
    <mergeCell ref="K65:K66"/>
    <mergeCell ref="J73:J74"/>
    <mergeCell ref="R83:R84"/>
    <mergeCell ref="L89:L90"/>
    <mergeCell ref="K89:K90"/>
    <mergeCell ref="N89:N90"/>
    <mergeCell ref="K87:K88"/>
    <mergeCell ref="P65:P66"/>
    <mergeCell ref="Q65:Q66"/>
    <mergeCell ref="P67:P68"/>
    <mergeCell ref="Q67:Q68"/>
    <mergeCell ref="P69:P70"/>
    <mergeCell ref="Q69:Q70"/>
    <mergeCell ref="P71:P72"/>
    <mergeCell ref="Q71:Q72"/>
    <mergeCell ref="P73:P74"/>
    <mergeCell ref="Q73:Q74"/>
    <mergeCell ref="Q75:Q76"/>
    <mergeCell ref="R85:R86"/>
    <mergeCell ref="R87:R88"/>
    <mergeCell ref="R89:R90"/>
    <mergeCell ref="O79:O80"/>
    <mergeCell ref="N69:N70"/>
    <mergeCell ref="M67:M68"/>
    <mergeCell ref="N67:N68"/>
    <mergeCell ref="O85:O86"/>
    <mergeCell ref="O89:O90"/>
    <mergeCell ref="S81:S82"/>
    <mergeCell ref="H107:H108"/>
    <mergeCell ref="I107:I108"/>
    <mergeCell ref="A111:A112"/>
    <mergeCell ref="B111:B112"/>
    <mergeCell ref="D111:D112"/>
    <mergeCell ref="E111:E112"/>
    <mergeCell ref="F111:F112"/>
    <mergeCell ref="G111:G112"/>
    <mergeCell ref="H111:H112"/>
    <mergeCell ref="I111:I112"/>
    <mergeCell ref="J111:J112"/>
    <mergeCell ref="J103:J104"/>
    <mergeCell ref="J105:J106"/>
    <mergeCell ref="J107:J108"/>
    <mergeCell ref="J109:J110"/>
    <mergeCell ref="S99:S100"/>
    <mergeCell ref="AM103:AM104"/>
    <mergeCell ref="K111:K112"/>
    <mergeCell ref="L111:L112"/>
    <mergeCell ref="J99:J100"/>
    <mergeCell ref="E105:E106"/>
    <mergeCell ref="M101:M102"/>
    <mergeCell ref="B107:B108"/>
    <mergeCell ref="N111:N112"/>
    <mergeCell ref="K101:K102"/>
    <mergeCell ref="K103:K104"/>
    <mergeCell ref="R99:R100"/>
    <mergeCell ref="L101:L102"/>
    <mergeCell ref="N103:N104"/>
    <mergeCell ref="I105:I106"/>
    <mergeCell ref="L107:L108"/>
    <mergeCell ref="L103:L104"/>
    <mergeCell ref="AN121:AN122"/>
    <mergeCell ref="P117:P118"/>
    <mergeCell ref="Q117:Q118"/>
    <mergeCell ref="S113:S114"/>
    <mergeCell ref="K117:K118"/>
    <mergeCell ref="L117:L118"/>
    <mergeCell ref="M117:M118"/>
    <mergeCell ref="N117:N118"/>
    <mergeCell ref="O117:O118"/>
    <mergeCell ref="R117:R118"/>
    <mergeCell ref="S117:S118"/>
    <mergeCell ref="AM117:AM118"/>
    <mergeCell ref="AN117:AN118"/>
    <mergeCell ref="AO117:AO118"/>
    <mergeCell ref="E107:E108"/>
    <mergeCell ref="B115:B116"/>
    <mergeCell ref="D115:D116"/>
    <mergeCell ref="E115:E116"/>
    <mergeCell ref="F115:F116"/>
    <mergeCell ref="G115:G116"/>
    <mergeCell ref="H115:H116"/>
    <mergeCell ref="I115:I116"/>
    <mergeCell ref="J115:J116"/>
    <mergeCell ref="B113:B114"/>
    <mergeCell ref="D113:D114"/>
    <mergeCell ref="E113:E114"/>
    <mergeCell ref="F113:F114"/>
    <mergeCell ref="G113:G114"/>
    <mergeCell ref="H113:H114"/>
    <mergeCell ref="I113:I114"/>
    <mergeCell ref="J113:J114"/>
    <mergeCell ref="R113:R114"/>
    <mergeCell ref="Q123:Q124"/>
    <mergeCell ref="P119:P120"/>
    <mergeCell ref="Q119:Q120"/>
    <mergeCell ref="A125:A126"/>
    <mergeCell ref="B125:B126"/>
    <mergeCell ref="K115:K116"/>
    <mergeCell ref="L115:L116"/>
    <mergeCell ref="M115:M116"/>
    <mergeCell ref="N115:N116"/>
    <mergeCell ref="O115:O116"/>
    <mergeCell ref="R115:R116"/>
    <mergeCell ref="S115:S116"/>
    <mergeCell ref="AM115:AM116"/>
    <mergeCell ref="AN115:AN116"/>
    <mergeCell ref="A115:A116"/>
    <mergeCell ref="AP119:AP120"/>
    <mergeCell ref="A121:A122"/>
    <mergeCell ref="B121:B122"/>
    <mergeCell ref="D121:D122"/>
    <mergeCell ref="E121:E122"/>
    <mergeCell ref="F121:F122"/>
    <mergeCell ref="G121:G122"/>
    <mergeCell ref="H121:H122"/>
    <mergeCell ref="I121:I122"/>
    <mergeCell ref="J121:J122"/>
    <mergeCell ref="K121:K122"/>
    <mergeCell ref="L121:L122"/>
    <mergeCell ref="M121:M122"/>
    <mergeCell ref="N121:N122"/>
    <mergeCell ref="O121:O122"/>
    <mergeCell ref="R121:R122"/>
    <mergeCell ref="S121:S122"/>
    <mergeCell ref="R127:R128"/>
    <mergeCell ref="S127:S128"/>
    <mergeCell ref="P125:P126"/>
    <mergeCell ref="P127:P128"/>
    <mergeCell ref="Q127:Q128"/>
    <mergeCell ref="Q125:Q126"/>
    <mergeCell ref="A119:A120"/>
    <mergeCell ref="B119:B120"/>
    <mergeCell ref="M123:M124"/>
    <mergeCell ref="N123:N124"/>
    <mergeCell ref="O123:O124"/>
    <mergeCell ref="R123:R124"/>
    <mergeCell ref="S123:S124"/>
    <mergeCell ref="AM123:AM124"/>
    <mergeCell ref="AN123:AN124"/>
    <mergeCell ref="A123:A124"/>
    <mergeCell ref="B123:B124"/>
    <mergeCell ref="D123:D124"/>
    <mergeCell ref="E123:E124"/>
    <mergeCell ref="F123:F124"/>
    <mergeCell ref="G123:G124"/>
    <mergeCell ref="H123:H124"/>
    <mergeCell ref="I123:I124"/>
    <mergeCell ref="J123:J124"/>
    <mergeCell ref="D119:D120"/>
    <mergeCell ref="E119:E120"/>
    <mergeCell ref="F119:F120"/>
    <mergeCell ref="G119:G120"/>
    <mergeCell ref="H119:H120"/>
    <mergeCell ref="K123:K124"/>
    <mergeCell ref="L123:L124"/>
    <mergeCell ref="P123:P124"/>
    <mergeCell ref="P131:P132"/>
    <mergeCell ref="E129:E130"/>
    <mergeCell ref="F129:F130"/>
    <mergeCell ref="G129:G130"/>
    <mergeCell ref="H129:H130"/>
    <mergeCell ref="I129:I130"/>
    <mergeCell ref="N131:N132"/>
    <mergeCell ref="D125:D126"/>
    <mergeCell ref="E125:E126"/>
    <mergeCell ref="F125:F126"/>
    <mergeCell ref="G125:G126"/>
    <mergeCell ref="H125:H126"/>
    <mergeCell ref="I125:I126"/>
    <mergeCell ref="J125:J126"/>
    <mergeCell ref="K125:K126"/>
    <mergeCell ref="L125:L126"/>
    <mergeCell ref="M125:M126"/>
    <mergeCell ref="N125:N126"/>
    <mergeCell ref="P129:P130"/>
    <mergeCell ref="A127:A128"/>
    <mergeCell ref="AP131:AP132"/>
    <mergeCell ref="A133:A134"/>
    <mergeCell ref="B133:B134"/>
    <mergeCell ref="D133:D134"/>
    <mergeCell ref="E133:E134"/>
    <mergeCell ref="F133:F134"/>
    <mergeCell ref="G133:G134"/>
    <mergeCell ref="H133:H134"/>
    <mergeCell ref="I133:I134"/>
    <mergeCell ref="J133:J134"/>
    <mergeCell ref="K133:K134"/>
    <mergeCell ref="L133:L134"/>
    <mergeCell ref="M133:M134"/>
    <mergeCell ref="N133:N134"/>
    <mergeCell ref="O133:O134"/>
    <mergeCell ref="R133:R134"/>
    <mergeCell ref="S133:S134"/>
    <mergeCell ref="AM133:AM134"/>
    <mergeCell ref="B127:B128"/>
    <mergeCell ref="D127:D128"/>
    <mergeCell ref="E127:E128"/>
    <mergeCell ref="F127:F128"/>
    <mergeCell ref="G127:G128"/>
    <mergeCell ref="H127:H128"/>
    <mergeCell ref="I127:I128"/>
    <mergeCell ref="J127:J128"/>
    <mergeCell ref="K127:K128"/>
    <mergeCell ref="L127:L128"/>
    <mergeCell ref="M127:M128"/>
    <mergeCell ref="N127:N128"/>
    <mergeCell ref="E131:E132"/>
    <mergeCell ref="R137:R138"/>
    <mergeCell ref="S137:S138"/>
    <mergeCell ref="AM137:AM138"/>
    <mergeCell ref="A131:A132"/>
    <mergeCell ref="B131:B132"/>
    <mergeCell ref="M135:M136"/>
    <mergeCell ref="N135:N136"/>
    <mergeCell ref="O135:O136"/>
    <mergeCell ref="R135:R136"/>
    <mergeCell ref="S135:S136"/>
    <mergeCell ref="AM135:AM136"/>
    <mergeCell ref="A135:A136"/>
    <mergeCell ref="B135:B136"/>
    <mergeCell ref="D135:D136"/>
    <mergeCell ref="E135:E136"/>
    <mergeCell ref="F135:F136"/>
    <mergeCell ref="G135:G136"/>
    <mergeCell ref="H135:H136"/>
    <mergeCell ref="I135:I136"/>
    <mergeCell ref="J135:J136"/>
    <mergeCell ref="D131:D132"/>
    <mergeCell ref="Q131:Q132"/>
    <mergeCell ref="L131:L132"/>
    <mergeCell ref="M131:M132"/>
    <mergeCell ref="J131:J132"/>
    <mergeCell ref="O131:O132"/>
    <mergeCell ref="R131:R132"/>
    <mergeCell ref="F131:F132"/>
    <mergeCell ref="G131:G132"/>
    <mergeCell ref="H131:H132"/>
    <mergeCell ref="P133:P134"/>
    <mergeCell ref="I131:I132"/>
    <mergeCell ref="AN137:AN138"/>
    <mergeCell ref="AO137:AO138"/>
    <mergeCell ref="AP137:AP138"/>
    <mergeCell ref="K135:K136"/>
    <mergeCell ref="L135:L136"/>
    <mergeCell ref="S131:S132"/>
    <mergeCell ref="J129:J130"/>
    <mergeCell ref="K129:K130"/>
    <mergeCell ref="L129:L130"/>
    <mergeCell ref="M129:M130"/>
    <mergeCell ref="N129:N130"/>
    <mergeCell ref="O129:O130"/>
    <mergeCell ref="R129:R130"/>
    <mergeCell ref="I119:I120"/>
    <mergeCell ref="J119:J120"/>
    <mergeCell ref="P121:P122"/>
    <mergeCell ref="Q121:Q122"/>
    <mergeCell ref="K119:K120"/>
    <mergeCell ref="L119:L120"/>
    <mergeCell ref="AN135:AN136"/>
    <mergeCell ref="AN133:AN134"/>
    <mergeCell ref="AO133:AO134"/>
    <mergeCell ref="AP133:AP134"/>
    <mergeCell ref="K131:K132"/>
    <mergeCell ref="O125:O126"/>
    <mergeCell ref="R125:R126"/>
    <mergeCell ref="S125:S126"/>
    <mergeCell ref="O127:O128"/>
    <mergeCell ref="P137:P138"/>
    <mergeCell ref="Q137:Q138"/>
    <mergeCell ref="I137:I138"/>
    <mergeCell ref="J137:J138"/>
    <mergeCell ref="J89:J90"/>
    <mergeCell ref="O105:O106"/>
    <mergeCell ref="M107:M108"/>
    <mergeCell ref="N107:N108"/>
    <mergeCell ref="O107:O108"/>
    <mergeCell ref="O103:O104"/>
    <mergeCell ref="P97:P98"/>
    <mergeCell ref="Q97:Q98"/>
    <mergeCell ref="P99:P100"/>
    <mergeCell ref="Q99:Q100"/>
    <mergeCell ref="P101:P102"/>
    <mergeCell ref="Q101:Q102"/>
    <mergeCell ref="P103:P104"/>
    <mergeCell ref="Q103:Q104"/>
    <mergeCell ref="P105:P106"/>
    <mergeCell ref="Q105:Q106"/>
    <mergeCell ref="K113:K114"/>
    <mergeCell ref="O109:O110"/>
    <mergeCell ref="N101:N102"/>
    <mergeCell ref="L109:L110"/>
    <mergeCell ref="M103:M104"/>
    <mergeCell ref="J101:J102"/>
    <mergeCell ref="L93:L94"/>
    <mergeCell ref="L95:L96"/>
    <mergeCell ref="L97:L98"/>
    <mergeCell ref="L99:L100"/>
    <mergeCell ref="J93:J94"/>
    <mergeCell ref="J95:J96"/>
    <mergeCell ref="J97:J98"/>
    <mergeCell ref="K109:K110"/>
    <mergeCell ref="P95:P96"/>
    <mergeCell ref="Q95:Q96"/>
    <mergeCell ref="A141:A142"/>
    <mergeCell ref="B141:B142"/>
    <mergeCell ref="D141:D142"/>
    <mergeCell ref="E141:E142"/>
    <mergeCell ref="F141:F142"/>
    <mergeCell ref="G141:G142"/>
    <mergeCell ref="H141:H142"/>
    <mergeCell ref="I141:I142"/>
    <mergeCell ref="J141:J142"/>
    <mergeCell ref="K141:K142"/>
    <mergeCell ref="L141:L142"/>
    <mergeCell ref="M141:M142"/>
    <mergeCell ref="N141:N142"/>
    <mergeCell ref="O141:O142"/>
    <mergeCell ref="R141:R142"/>
    <mergeCell ref="Q133:Q134"/>
    <mergeCell ref="P135:P136"/>
    <mergeCell ref="C139:C140"/>
    <mergeCell ref="A139:A140"/>
    <mergeCell ref="P141:P142"/>
    <mergeCell ref="Q141:Q142"/>
    <mergeCell ref="D139:D140"/>
    <mergeCell ref="Q135:Q136"/>
    <mergeCell ref="E139:E140"/>
    <mergeCell ref="F139:F140"/>
    <mergeCell ref="G139:G140"/>
    <mergeCell ref="H139:H140"/>
    <mergeCell ref="I139:I140"/>
    <mergeCell ref="J139:J140"/>
    <mergeCell ref="A137:A138"/>
    <mergeCell ref="B137:B138"/>
    <mergeCell ref="D137:D138"/>
    <mergeCell ref="AN141:AN142"/>
    <mergeCell ref="AO141:AO142"/>
    <mergeCell ref="AP141:AP142"/>
    <mergeCell ref="K139:K140"/>
    <mergeCell ref="L139:L140"/>
    <mergeCell ref="M139:M140"/>
    <mergeCell ref="N139:N140"/>
    <mergeCell ref="O139:O140"/>
    <mergeCell ref="R139:R140"/>
    <mergeCell ref="S139:S140"/>
    <mergeCell ref="AM139:AM140"/>
    <mergeCell ref="AN139:AN140"/>
    <mergeCell ref="B139:B140"/>
    <mergeCell ref="Q39:Q40"/>
    <mergeCell ref="P41:P42"/>
    <mergeCell ref="Q41:Q42"/>
    <mergeCell ref="P43:P44"/>
    <mergeCell ref="Q43:Q44"/>
    <mergeCell ref="P45:P46"/>
    <mergeCell ref="Q45:Q46"/>
    <mergeCell ref="P47:P48"/>
    <mergeCell ref="Q47:Q48"/>
    <mergeCell ref="P49:P50"/>
    <mergeCell ref="Q49:Q50"/>
    <mergeCell ref="P51:P52"/>
    <mergeCell ref="Q51:Q52"/>
    <mergeCell ref="P53:P54"/>
    <mergeCell ref="Q53:Q54"/>
    <mergeCell ref="P55:P56"/>
    <mergeCell ref="Q55:Q56"/>
    <mergeCell ref="P107:P108"/>
    <mergeCell ref="Q57:Q58"/>
    <mergeCell ref="P77:P78"/>
    <mergeCell ref="Q77:Q78"/>
    <mergeCell ref="P79:P80"/>
    <mergeCell ref="Q79:Q80"/>
    <mergeCell ref="P81:P82"/>
    <mergeCell ref="Q81:Q82"/>
    <mergeCell ref="P83:P84"/>
    <mergeCell ref="Q83:Q84"/>
    <mergeCell ref="P85:P86"/>
    <mergeCell ref="Q85:Q86"/>
    <mergeCell ref="P87:P88"/>
    <mergeCell ref="Q87:Q88"/>
    <mergeCell ref="P89:P90"/>
    <mergeCell ref="Q89:Q90"/>
    <mergeCell ref="P91:P92"/>
    <mergeCell ref="Q91:Q92"/>
    <mergeCell ref="P93:P94"/>
    <mergeCell ref="Q93:Q94"/>
    <mergeCell ref="Q129:Q130"/>
    <mergeCell ref="L113:L114"/>
    <mergeCell ref="O111:O112"/>
    <mergeCell ref="P139:P140"/>
    <mergeCell ref="Q139:Q140"/>
    <mergeCell ref="M119:M120"/>
    <mergeCell ref="N119:N120"/>
    <mergeCell ref="O119:O120"/>
    <mergeCell ref="M113:M114"/>
    <mergeCell ref="N113:N114"/>
    <mergeCell ref="O113:O114"/>
    <mergeCell ref="A107:A108"/>
    <mergeCell ref="D107:D108"/>
    <mergeCell ref="F107:F108"/>
    <mergeCell ref="G107:G108"/>
    <mergeCell ref="A103:A104"/>
    <mergeCell ref="I117:I118"/>
    <mergeCell ref="J117:J118"/>
    <mergeCell ref="H105:H106"/>
    <mergeCell ref="P113:P114"/>
    <mergeCell ref="Q113:Q114"/>
    <mergeCell ref="P115:P116"/>
    <mergeCell ref="Q115:Q116"/>
    <mergeCell ref="E137:E138"/>
    <mergeCell ref="F137:F138"/>
    <mergeCell ref="G137:G138"/>
    <mergeCell ref="H137:H138"/>
    <mergeCell ref="K137:K138"/>
    <mergeCell ref="L137:L138"/>
    <mergeCell ref="M137:M138"/>
    <mergeCell ref="N137:N138"/>
    <mergeCell ref="O137:O138"/>
  </mergeCells>
  <conditionalFormatting sqref="U6:U25">
    <cfRule type="cellIs" dxfId="39" priority="13" operator="between">
      <formula>$S$6</formula>
      <formula>0.01</formula>
    </cfRule>
    <cfRule type="cellIs" dxfId="38" priority="14" operator="greaterThanOrEqual">
      <formula>$S$6</formula>
    </cfRule>
    <cfRule type="cellIs" dxfId="37" priority="15" operator="equal">
      <formula>0</formula>
    </cfRule>
  </conditionalFormatting>
  <conditionalFormatting sqref="W6:W25 AS31:AS144">
    <cfRule type="cellIs" dxfId="36" priority="4" operator="lessThan">
      <formula>0</formula>
    </cfRule>
  </conditionalFormatting>
  <conditionalFormatting sqref="AD6:AD25">
    <cfRule type="cellIs" dxfId="35" priority="31" operator="lessThanOrEqual">
      <formula>0.81</formula>
    </cfRule>
  </conditionalFormatting>
  <conditionalFormatting sqref="AG6:AG25">
    <cfRule type="containsText" dxfId="34" priority="7" operator="containsText" text="ADIANTADO">
      <formula>NOT(ISERROR(SEARCH("ADIANTADO",AG6)))</formula>
    </cfRule>
    <cfRule type="containsText" dxfId="33" priority="8" operator="containsText" text="FALTA DE ACOMPANHAMENTO">
      <formula>NOT(ISERROR(SEARCH("FALTA DE ACOMPANHAMENTO",AG6)))</formula>
    </cfRule>
    <cfRule type="containsText" dxfId="32" priority="9" operator="containsText" text="Concluído">
      <formula>NOT(ISERROR(SEARCH("Concluído",AG6)))</formula>
    </cfRule>
    <cfRule type="containsText" dxfId="31" priority="10" operator="containsText" text="Conforme Planejado">
      <formula>NOT(ISERROR(SEARCH("Conforme Planejado",AG6)))</formula>
    </cfRule>
    <cfRule type="containsText" dxfId="30" priority="11" operator="containsText" text="PROJETO NÃO INICIADO">
      <formula>NOT(ISERROR(SEARCH("PROJETO NÃO INICIADO",AG6)))</formula>
    </cfRule>
    <cfRule type="containsText" dxfId="29" priority="12" operator="containsText" text="Atraso">
      <formula>NOT(ISERROR(SEARCH("Atraso",AG6)))</formula>
    </cfRule>
  </conditionalFormatting>
  <conditionalFormatting sqref="AI6:AI25">
    <cfRule type="containsText" dxfId="28" priority="16" operator="containsText" text="Concluído">
      <formula>NOT(ISERROR(SEARCH("Concluído",AI6)))</formula>
    </cfRule>
    <cfRule type="containsText" dxfId="27" priority="17" operator="containsText" text="Conforme Planejado">
      <formula>NOT(ISERROR(SEARCH("Conforme Planejado",AI6)))</formula>
    </cfRule>
    <cfRule type="containsText" dxfId="26" priority="18" operator="containsText" text="FALTA PLANEJAMENTO">
      <formula>NOT(ISERROR(SEARCH("FALTA PLANEJAMENTO",AI6)))</formula>
    </cfRule>
    <cfRule type="containsText" dxfId="25" priority="19" operator="containsText" text="Atraso">
      <formula>NOT(ISERROR(SEARCH("Atraso",AI6)))</formula>
    </cfRule>
  </conditionalFormatting>
  <dataValidations count="5">
    <dataValidation type="list" allowBlank="1" showInputMessage="1" showErrorMessage="1" sqref="S31 S33 S35:S144" xr:uid="{57F8332D-2BC6-4E67-BEE9-5061A52D60B4}">
      <formula1>"Diadema,Jarinu,Ferraz,Anchieta,São Leopoldo, Multi Unidades"</formula1>
    </dataValidation>
    <dataValidation type="list" allowBlank="1" showInputMessage="1" showErrorMessage="1" sqref="A99:A100 A33:A96" xr:uid="{8D763D36-6D12-4DA2-B39E-84AF80DCD39C}">
      <formula1>"Kaizen, Redução de Custos, BSW, Estratégia Comercial"</formula1>
    </dataValidation>
    <dataValidation type="list" allowBlank="1" showInputMessage="1" showErrorMessage="1" sqref="A31:A32 A97:A98 A101:A144" xr:uid="{0D083F69-B464-4595-92BE-F9D23A64D127}">
      <formula1>"Kaizen, Redução de Custo, BSW, Estratégia Comercial"</formula1>
    </dataValidation>
    <dataValidation type="list" allowBlank="1" showInputMessage="1" showErrorMessage="1" sqref="C115:C117 C119:C121 C123:C125 C143:C144 C131:C133 C135:C137 C139:C141 C127:C129 C31:C113" xr:uid="{A8E1F639-A111-43A2-81F9-782043555CE1}">
      <formula1>"VA,GGF,MA,Outros"</formula1>
    </dataValidation>
    <dataValidation type="list" allowBlank="1" showInputMessage="1" showErrorMessage="1" sqref="AM31:AN144" xr:uid="{1D6015C2-CF67-4920-9278-04396DFB6E30}">
      <formula1>$AM$45:$AM$49</formula1>
    </dataValidation>
  </dataValidations>
  <hyperlinks>
    <hyperlink ref="E31" r:id="rId1" xr:uid="{6179A913-68F3-4FAB-8587-3D61FA94AEE9}"/>
    <hyperlink ref="E51" r:id="rId2" display="\\DDSRVFILE\Rede_Geral\Deptos\Compras\GESTAO DEPARTAMENTO SUPRIMENTOS\27-PROJETOS\JE0825\JE0825 - Arame de Solda.xlsx" xr:uid="{E25885D7-42AD-4F35-BD96-D921B851418A}"/>
    <hyperlink ref="E33" r:id="rId3" display="\\DDSRVFILE\Rede_Geral\Deptos\Compras\GESTAO DEPARTAMENTO SUPRIMENTOS\27-PROJETOS\DN0825\DN825 - PORCA 73189.xlsx" xr:uid="{A8811153-8CC9-4E88-86F9-33063A9F7856}"/>
    <hyperlink ref="E45" r:id="rId4" display="\\DDSRVFILE\Rede_Geral\Deptos\Compras\GESTAO DEPARTAMENTO SUPRIMENTOS\27-PROJETOS\EF0426\Projetos_EF0426_ Agua recuperação de valores.xlsx" xr:uid="{63D35A80-8221-42FF-AA54-E429CCAADAD7}"/>
    <hyperlink ref="E49" r:id="rId5" display="\\DDSRVFILE\Rede_Geral\Deptos\Compras\GESTAO DEPARTAMENTO SUPRIMENTOS\27-PROJETOS\DN1525\DN1525 - Resourcing Tubos Mercante para Cartec.xlsx" xr:uid="{132A8D1B-B16B-48F8-9E9A-5F45B83581FD}"/>
    <hyperlink ref="E61" r:id="rId6" display="\\DDSRVFILE\Rede_Geral\Deptos\Compras\GESTAO DEPARTAMENTO SUPRIMENTOS\27-PROJETOS\VH0125\VH0125-Gonvarri itens Usiminas.xlsx" xr:uid="{00F08AD0-C74F-4A26-9829-080EC9AED1C1}"/>
    <hyperlink ref="E35" r:id="rId7" display="\\DDSRVFILE\Rede_Geral\Deptos\Compras\GESTAO DEPARTAMENTO SUPRIMENTOS\27-PROJETOS\DN0625\DN625 - RESOURCING ITENS PARA WURTH.xlsx" xr:uid="{4DA253B3-8403-489A-AE3D-70AEA14A5AD6}"/>
    <hyperlink ref="E73" r:id="rId8" display="\\DDSRVFILE\Rede_Geral\Deptos\Compras\GESTAO DEPARTAMENTO SUPRIMENTOS\27-PROJETOS\JE0125\JE0125-Fita Zebrada e Etiqueta Litografada.xlsx" xr:uid="{4359D608-9DEE-4A4C-BD96-82E5E3E983A1}"/>
    <hyperlink ref="E59" r:id="rId9" display="\\DDSRVFILE\Rede_Geral\Deptos\Compras\GESTAO DEPARTAMENTO SUPRIMENTOS\27-PROJETOS\VH1325\VH1325-Viabilizar material alternativo Carcaça Scania.xlsx" xr:uid="{8F8449B6-B1C8-4629-9EE6-76951D107303}"/>
    <hyperlink ref="E53" r:id="rId10" display="\\DDSRVFILE\Rede_Geral\Deptos\Compras\GESTAO DEPARTAMENTO SUPRIMENTOS\27-PROJETOS\JE0126\JE0126 - Troca fornecedor usinagem.xlsx" xr:uid="{173D79DD-1FB4-4331-9F34-BE800D341E48}"/>
    <hyperlink ref="E87" r:id="rId11" display="\\DDSRVFILE\Rede_Geral\Deptos\Compras\GESTAO DEPARTAMENTO SUPRIMENTOS\27-PROJETOS\JE0326\JE0326 - Troca fornecedor decapagem gancheiras.xlsx" xr:uid="{7388691E-6B78-4F48-BCF1-979F0152CAEA}"/>
    <hyperlink ref="E37" r:id="rId12" display="\\DDSRVFILE\Rede_Geral\Deptos\Compras\GESTAO DEPARTAMENTO SUPRIMENTOS\27-PROJETOS\JE0325\JE0325 - Abrasivos Curva A Ferraz.xlsx" xr:uid="{986D91A9-D745-4D6A-8D2B-04F949549402}"/>
    <hyperlink ref="E41" r:id="rId13" display="\\192.168.0.20\departamentos\Compras\GESTAO DEPARTAMENTO SUPRIMENTOS\27-PROJETOS\EF0226\EF00226_ MO.xlsx" xr:uid="{C1B62380-8AED-4035-BD90-87BD8781C90F}"/>
    <hyperlink ref="E57" r:id="rId14" display="\\DDSRVFILE\Rede_Geral\Deptos\Compras\GESTAO DEPARTAMENTO SUPRIMENTOS\27-PROJETOS\EF0526\Projetos_EF0526_ Mod Tarifária.xlsx" xr:uid="{C7735DAC-EEE2-4102-B404-1822E848F753}"/>
    <hyperlink ref="E47" r:id="rId15" display="\\DDSRVFILE\Rede_Geral\Deptos\Compras\GESTAO DEPARTAMENTO SUPRIMENTOS\27-PROJETOS\DN1125\DN1125 - Resourcing Pino Esférico GM.xlsx" xr:uid="{5622B004-20B8-4B62-BD93-B882D94A3F7A}"/>
    <hyperlink ref="E67" r:id="rId16" display="\\DDSRVFILE\Rede_Geral\Deptos\Compras\GESTAO DEPARTAMENTO SUPRIMENTOS\27-PROJETOS\AG0225\AG0225-Lixadeiras.xlsx" xr:uid="{8E4BFC56-2375-4A60-849C-2ABC99D1F2ED}"/>
    <hyperlink ref="E39" r:id="rId17" display="\\DDSRVFILE\Rede_Geral\Deptos\Compras\GESTAO DEPARTAMENTO SUPRIMENTOS\27-PROJETOS\EF0126\EF0126_Substituição Plano Médico -DSL.xlsx" xr:uid="{04B59D61-75E8-47DD-A9C4-4354FA4FC120}"/>
    <hyperlink ref="E55" r:id="rId18" display="\\DDSRVFILE\Rede_Geral\Deptos\Compras\GESTAO DEPARTAMENTO SUPRIMENTOS\27-PROJETOS\ES0126\ES0126 - LOCAÇÃO GERADOR.xlsx" xr:uid="{D84E8FB0-3425-4D70-892F-AA46F3D2EDE2}"/>
    <hyperlink ref="E63" r:id="rId19" display="\\DDSRVFILE\Rede_Geral\Deptos\Compras\GESTAO DEPARTAMENTO SUPRIMENTOS\27-PROJETOS\AG0125\AG0125-Compressores.xlsx" xr:uid="{BF860C31-1039-41D1-A8C2-723EF88FCF0A}"/>
    <hyperlink ref="E75" r:id="rId20" display="\\DDSRVFILE\Rede_Geral\Deptos\Compras\GESTAO DEPARTAMENTO SUPRIMENTOS\27-PROJETOS\JE0625\JE0625 - Unificação óleos de processo.xlsx" xr:uid="{9A50430F-E63E-4D5D-9604-06CED77542D2}"/>
    <hyperlink ref="E77" r:id="rId21" display="\\DDSRVFILE\Rede_Geral\Deptos\Compras\GESTAO DEPARTAMENTO SUPRIMENTOS\27-PROJETOS\JE0725\JE0725 - PR Carimbos.xlsx" xr:uid="{E804C05E-D6C9-4957-B0EB-E2DF70FFD6BE}"/>
    <hyperlink ref="E81" r:id="rId22" display="\\DDSRVFILE\Rede_Geral\Deptos\Compras\GESTAO DEPARTAMENTO SUPRIMENTOS\27-PROJETOS\JE1125\JE1125 - Punções Jarinu.xlsx" xr:uid="{9AE8F9BD-5F4D-4ACB-91A5-97435FF90A1B}"/>
    <hyperlink ref="E83" r:id="rId23" display="\\DDSRVFILE\Rede_Geral\Deptos\Compras\GESTAO DEPARTAMENTO SUPRIMENTOS\27-PROJETOS\JE1225\JE1225 - BID Tampões Pintura Anchieta.xlsx" xr:uid="{9DFF23EA-540F-478F-AC07-1D050E470A6F}"/>
    <hyperlink ref="E85" r:id="rId24" display="\\DDSRVFILE\Rede_Geral\Deptos\Compras\GESTAO DEPARTAMENTO SUPRIMENTOS\27-PROJETOS\JE0226\JE0226 - BID Consumíveis Laser.xlsx" xr:uid="{9F80287C-1C7A-4AF9-81E2-1C443D419CBB}"/>
    <hyperlink ref="E69" r:id="rId25" xr:uid="{5B3B7880-F361-4DE4-8E4B-986E48B0BB6B}"/>
    <hyperlink ref="E91" r:id="rId26" xr:uid="{E35C4700-BCD8-4ABA-AA30-AB852A5329D6}"/>
    <hyperlink ref="E93" r:id="rId27" xr:uid="{2BD9258F-D483-487F-BF69-40AF4438B45A}"/>
    <hyperlink ref="E95" r:id="rId28" xr:uid="{AC7DA255-2057-4663-9117-705B53D5F2D9}"/>
    <hyperlink ref="E43" r:id="rId29" xr:uid="{9B0C056A-CFE7-4EA8-A5DF-2A58EF7D826E}"/>
    <hyperlink ref="E99" r:id="rId30" xr:uid="{952DFB40-822D-4E40-A830-906DA1449F2B}"/>
    <hyperlink ref="E101" r:id="rId31" xr:uid="{FE9C8EFF-B0EE-4A6F-9FE7-5E095B825799}"/>
    <hyperlink ref="E103:E104" r:id="rId32" display="R:\Deptos\Compras\GESTAO DEPARTAMENTO SUPRIMENTOS\27-PROJETOS\LJ0226\LJ0226 - PROJETO DANA - FORNECIMENTO MTL.xlsx" xr:uid="{BC523DB3-764B-464A-91B1-92213F2E7018}"/>
    <hyperlink ref="E71:E72" r:id="rId33" display="R:\Deptos\Compras\GESTAO DEPARTAMENTO SUPRIMENTOS\27-PROJETOS\DN0526\DN0526 - NEGOCIAÇÃO 85290 (BOELLHOFF).xlsx" xr:uid="{D669E639-A49A-4B62-9D39-E33570833E68}"/>
    <hyperlink ref="E105:E106" r:id="rId34" display="R:\Deptos\Compras\GESTAO DEPARTAMENTO SUPRIMENTOS\27-PROJETOS\EF0626\Projetos_EF0626_ Borra Plasma Ferraz.xlsx" xr:uid="{685A1884-58A9-481E-9BFE-67ADE0163505}"/>
    <hyperlink ref="E107:E108" r:id="rId35" display="R:\Deptos\Compras\GESTAO DEPARTAMENTO SUPRIMENTOS\27-PROJETOS\TS0126\TS0126-Ex-tarifário - Transfer.xlsx" xr:uid="{40C7A699-F058-48AF-8476-C43B3092B62F}"/>
    <hyperlink ref="E109:E110" r:id="rId36" display="R:\Deptos\Compras\GESTAO DEPARTAMENTO SUPRIMENTOS\27-PROJETOS\LJ0726\LJ0127 - USIMINAS - REDUÇÃO DE ITENS MBB.xlsx" xr:uid="{2AB480BA-D2FD-4E98-80FF-B0EA549A87FC}"/>
    <hyperlink ref="E111:E112" r:id="rId37" display="\\DDSRVFILE01\Departamentos\Compras\GESTAO DEPARTAMENTO SUPRIMENTOS\27-PROJETOS\DN0726\DN0726 -Negociação TCC00690-691.xlsx" xr:uid="{847F1EC1-1281-44D1-80EA-70C3F8D93C0D}"/>
    <hyperlink ref="E113:E114" r:id="rId38" display="\\DDSRVFILE01\Departamentos\Compras\GESTAO DEPARTAMENTO SUPRIMENTOS\27-PROJETOS\TS0226\TS0226-Compressores.xlsx" xr:uid="{B5C848D0-9B6A-4DCC-87A1-8689F23CADC7}"/>
    <hyperlink ref="E115:E116" r:id="rId39" display="R:\Deptos\Compras\GESTAO DEPARTAMENTO SUPRIMENTOS\27-PROJETOS\DN0226\DN0226 - Negociação Mercante (Corte a Laser).xlsx" xr:uid="{2D0F42F4-480D-4C1A-950C-C6DD8A0B76DD}"/>
    <hyperlink ref="E117:E118" r:id="rId40" display="R:\Deptos\Compras\GESTAO DEPARTAMENTO SUPRIMENTOS\27-PROJETOS\JE0526\JE0526 - BID Fita Alta Temp 3M + Anti-Slip 3M.xlsx" xr:uid="{05578C06-E6B6-49B7-8D8E-C9FAA464739D}"/>
    <hyperlink ref="E119:E120" r:id="rId41" display="R:\Deptos\Compras\GESTAO DEPARTAMENTO SUPRIMENTOS\27-PROJETOS\JE0626\JE0626 - BID Poliuretano Expansivo.xlsx" xr:uid="{A88BDAB4-BB60-4FFE-8532-3C83C3365CC9}"/>
    <hyperlink ref="E121:E122" r:id="rId42" display="R:\Deptos\Compras\GESTAO DEPARTAMENTO SUPRIMENTOS\27-PROJETOS\DN0826\DN0826 - NACIONALIZAÇÃO RIBE - 75640 (PINO REBITE M6 X 16).xlsx" xr:uid="{5F59B177-4D90-40F9-8F64-5B5DF37F726C}"/>
    <hyperlink ref="E123:E124" r:id="rId43" display="R:\Deptos\Compras\GESTAO DEPARTAMENTO SUPRIMENTOS\27-PROJETOS\TS0326\TS0326-Venda Máquinas.xlsx" xr:uid="{4C197884-6A1B-423A-BAC0-ADA558C67333}"/>
    <hyperlink ref="E125:E126" r:id="rId44" display="R:\Deptos\Compras\GESTAO DEPARTAMENTO SUPRIMENTOS\27-PROJETOS\TS0426\TS0426- Ultrasom.xlsx" xr:uid="{C465D50B-DD84-4D73-A491-0A4D8325D3AC}"/>
    <hyperlink ref="E127:E128" r:id="rId45" display="R:\Deptos\Compras\GESTAO DEPARTAMENTO SUPRIMENTOS\27-PROJETOS\LJ0426\Migração de itens Usiminas para Arcelor.xlsx" xr:uid="{A2AC3DB5-D6C2-405B-BDAE-A0F880338D4B}"/>
    <hyperlink ref="E129:E130" r:id="rId46" display="\\DDSRVFILE01\Rede_Geral\Deptos\Compras\GESTAO DEPARTAMENTO SUPRIMENTOS\27-PROJETOS\LJ0826\LJ0826 MIGRAÇÃO DE ITENS CSN E USIMINAS PARA ARCELOR MITTAL- .xlsx" xr:uid="{A451094D-C35E-4F4A-983B-5EDBD31CED8F}"/>
    <hyperlink ref="E97:E98" r:id="rId47" display="\\DDSRVFILE01\Departamentos\Compras\GESTAO DEPARTAMENTO SUPRIMENTOS\27-PROJETOS\JE0726\JE0726 - BID Corporativo Punções.xlsx" xr:uid="{57592F4D-00E8-4D0A-BEA3-97ED6C6AC8F4}"/>
    <hyperlink ref="E131:E132" r:id="rId48" display="R:\Deptos\Compras\GESTAO DEPARTAMENTO SUPRIMENTOS\27-PROJETOS\LJ0926\LJ0926.xlsx" xr:uid="{758B52A2-BDC8-4F24-B365-2B020B825FF4}"/>
  </hyperlinks>
  <pageMargins left="0.15748031496062992" right="0.15748031496062992" top="0.98425196850393704" bottom="0.98425196850393704" header="0.51181102362204722" footer="0.51181102362204722"/>
  <pageSetup paperSize="9" orientation="landscape" r:id="rId49"/>
  <drawing r:id="rId50"/>
  <legacyDrawing r:id="rId51"/>
  <mc:AlternateContent xmlns:mc="http://schemas.openxmlformats.org/markup-compatibility/2006">
    <mc:Choice Requires="x14">
      <controls>
        <mc:AlternateContent xmlns:mc="http://schemas.openxmlformats.org/markup-compatibility/2006">
          <mc:Choice Requires="x14">
            <control shapeId="11276" r:id="rId52" name="Check Box 12">
              <controlPr defaultSize="0" autoFill="0" autoLine="0" autoPict="0">
                <anchor moveWithCells="1">
                  <from>
                    <xdr:col>11</xdr:col>
                    <xdr:colOff>0</xdr:colOff>
                    <xdr:row>30</xdr:row>
                    <xdr:rowOff>266700</xdr:rowOff>
                  </from>
                  <to>
                    <xdr:col>11</xdr:col>
                    <xdr:colOff>1752600</xdr:colOff>
                    <xdr:row>31</xdr:row>
                    <xdr:rowOff>137160</xdr:rowOff>
                  </to>
                </anchor>
              </controlPr>
            </control>
          </mc:Choice>
        </mc:AlternateContent>
        <mc:AlternateContent xmlns:mc="http://schemas.openxmlformats.org/markup-compatibility/2006">
          <mc:Choice Requires="x14">
            <control shapeId="11277" r:id="rId53" name="Check Box 13">
              <controlPr defaultSize="0" autoFill="0" autoLine="0" autoPict="0">
                <anchor moveWithCells="1">
                  <from>
                    <xdr:col>11</xdr:col>
                    <xdr:colOff>0</xdr:colOff>
                    <xdr:row>31</xdr:row>
                    <xdr:rowOff>144780</xdr:rowOff>
                  </from>
                  <to>
                    <xdr:col>12</xdr:col>
                    <xdr:colOff>99060</xdr:colOff>
                    <xdr:row>32</xdr:row>
                    <xdr:rowOff>0</xdr:rowOff>
                  </to>
                </anchor>
              </controlPr>
            </control>
          </mc:Choice>
        </mc:AlternateContent>
        <mc:AlternateContent xmlns:mc="http://schemas.openxmlformats.org/markup-compatibility/2006">
          <mc:Choice Requires="x14">
            <control shapeId="11278" r:id="rId54" name="Check Box 14">
              <controlPr defaultSize="0" autoFill="0" autoLine="0" autoPict="0">
                <anchor moveWithCells="1">
                  <from>
                    <xdr:col>11</xdr:col>
                    <xdr:colOff>0</xdr:colOff>
                    <xdr:row>30</xdr:row>
                    <xdr:rowOff>30480</xdr:rowOff>
                  </from>
                  <to>
                    <xdr:col>11</xdr:col>
                    <xdr:colOff>1752600</xdr:colOff>
                    <xdr:row>30</xdr:row>
                    <xdr:rowOff>327660</xdr:rowOff>
                  </to>
                </anchor>
              </controlPr>
            </control>
          </mc:Choice>
        </mc:AlternateContent>
        <mc:AlternateContent xmlns:mc="http://schemas.openxmlformats.org/markup-compatibility/2006">
          <mc:Choice Requires="x14">
            <control shapeId="11279" r:id="rId55" name="Check Box 15">
              <controlPr defaultSize="0" autoFill="0" autoLine="0" autoPict="0">
                <anchor moveWithCells="1">
                  <from>
                    <xdr:col>11</xdr:col>
                    <xdr:colOff>0</xdr:colOff>
                    <xdr:row>32</xdr:row>
                    <xdr:rowOff>266700</xdr:rowOff>
                  </from>
                  <to>
                    <xdr:col>11</xdr:col>
                    <xdr:colOff>1752600</xdr:colOff>
                    <xdr:row>33</xdr:row>
                    <xdr:rowOff>182880</xdr:rowOff>
                  </to>
                </anchor>
              </controlPr>
            </control>
          </mc:Choice>
        </mc:AlternateContent>
        <mc:AlternateContent xmlns:mc="http://schemas.openxmlformats.org/markup-compatibility/2006">
          <mc:Choice Requires="x14">
            <control shapeId="11280" r:id="rId56" name="Check Box 16">
              <controlPr defaultSize="0" autoFill="0" autoLine="0" autoPict="0">
                <anchor moveWithCells="1">
                  <from>
                    <xdr:col>11</xdr:col>
                    <xdr:colOff>0</xdr:colOff>
                    <xdr:row>33</xdr:row>
                    <xdr:rowOff>144780</xdr:rowOff>
                  </from>
                  <to>
                    <xdr:col>12</xdr:col>
                    <xdr:colOff>99060</xdr:colOff>
                    <xdr:row>34</xdr:row>
                    <xdr:rowOff>7620</xdr:rowOff>
                  </to>
                </anchor>
              </controlPr>
            </control>
          </mc:Choice>
        </mc:AlternateContent>
        <mc:AlternateContent xmlns:mc="http://schemas.openxmlformats.org/markup-compatibility/2006">
          <mc:Choice Requires="x14">
            <control shapeId="11281" r:id="rId57" name="Check Box 17">
              <controlPr defaultSize="0" autoFill="0" autoLine="0" autoPict="0">
                <anchor moveWithCells="1">
                  <from>
                    <xdr:col>11</xdr:col>
                    <xdr:colOff>0</xdr:colOff>
                    <xdr:row>32</xdr:row>
                    <xdr:rowOff>30480</xdr:rowOff>
                  </from>
                  <to>
                    <xdr:col>11</xdr:col>
                    <xdr:colOff>1752600</xdr:colOff>
                    <xdr:row>32</xdr:row>
                    <xdr:rowOff>327660</xdr:rowOff>
                  </to>
                </anchor>
              </controlPr>
            </control>
          </mc:Choice>
        </mc:AlternateContent>
        <mc:AlternateContent xmlns:mc="http://schemas.openxmlformats.org/markup-compatibility/2006">
          <mc:Choice Requires="x14">
            <control shapeId="11283" r:id="rId58" name="Check Box 19">
              <controlPr defaultSize="0" autoFill="0" autoLine="0" autoPict="0">
                <anchor moveWithCells="1">
                  <from>
                    <xdr:col>11</xdr:col>
                    <xdr:colOff>0</xdr:colOff>
                    <xdr:row>34</xdr:row>
                    <xdr:rowOff>0</xdr:rowOff>
                  </from>
                  <to>
                    <xdr:col>11</xdr:col>
                    <xdr:colOff>1752600</xdr:colOff>
                    <xdr:row>34</xdr:row>
                    <xdr:rowOff>266700</xdr:rowOff>
                  </to>
                </anchor>
              </controlPr>
            </control>
          </mc:Choice>
        </mc:AlternateContent>
        <mc:AlternateContent xmlns:mc="http://schemas.openxmlformats.org/markup-compatibility/2006">
          <mc:Choice Requires="x14">
            <control shapeId="11286" r:id="rId59" name="Check Box 22">
              <controlPr defaultSize="0" autoFill="0" autoLine="0" autoPict="0">
                <anchor moveWithCells="1">
                  <from>
                    <xdr:col>11</xdr:col>
                    <xdr:colOff>0</xdr:colOff>
                    <xdr:row>34</xdr:row>
                    <xdr:rowOff>266700</xdr:rowOff>
                  </from>
                  <to>
                    <xdr:col>11</xdr:col>
                    <xdr:colOff>1752600</xdr:colOff>
                    <xdr:row>35</xdr:row>
                    <xdr:rowOff>137160</xdr:rowOff>
                  </to>
                </anchor>
              </controlPr>
            </control>
          </mc:Choice>
        </mc:AlternateContent>
        <mc:AlternateContent xmlns:mc="http://schemas.openxmlformats.org/markup-compatibility/2006">
          <mc:Choice Requires="x14">
            <control shapeId="11287" r:id="rId60" name="Check Box 23">
              <controlPr defaultSize="0" autoFill="0" autoLine="0" autoPict="0">
                <anchor moveWithCells="1">
                  <from>
                    <xdr:col>11</xdr:col>
                    <xdr:colOff>0</xdr:colOff>
                    <xdr:row>35</xdr:row>
                    <xdr:rowOff>144780</xdr:rowOff>
                  </from>
                  <to>
                    <xdr:col>11</xdr:col>
                    <xdr:colOff>1752600</xdr:colOff>
                    <xdr:row>36</xdr:row>
                    <xdr:rowOff>0</xdr:rowOff>
                  </to>
                </anchor>
              </controlPr>
            </control>
          </mc:Choice>
        </mc:AlternateContent>
        <mc:AlternateContent xmlns:mc="http://schemas.openxmlformats.org/markup-compatibility/2006">
          <mc:Choice Requires="x14">
            <control shapeId="11289" r:id="rId61" name="Check Box 25">
              <controlPr defaultSize="0" autoFill="0" autoLine="0" autoPict="0">
                <anchor moveWithCells="1">
                  <from>
                    <xdr:col>11</xdr:col>
                    <xdr:colOff>0</xdr:colOff>
                    <xdr:row>36</xdr:row>
                    <xdr:rowOff>266700</xdr:rowOff>
                  </from>
                  <to>
                    <xdr:col>11</xdr:col>
                    <xdr:colOff>1752600</xdr:colOff>
                    <xdr:row>37</xdr:row>
                    <xdr:rowOff>182880</xdr:rowOff>
                  </to>
                </anchor>
              </controlPr>
            </control>
          </mc:Choice>
        </mc:AlternateContent>
        <mc:AlternateContent xmlns:mc="http://schemas.openxmlformats.org/markup-compatibility/2006">
          <mc:Choice Requires="x14">
            <control shapeId="11290" r:id="rId62" name="Check Box 26">
              <controlPr defaultSize="0" autoFill="0" autoLine="0" autoPict="0">
                <anchor moveWithCells="1">
                  <from>
                    <xdr:col>11</xdr:col>
                    <xdr:colOff>0</xdr:colOff>
                    <xdr:row>37</xdr:row>
                    <xdr:rowOff>144780</xdr:rowOff>
                  </from>
                  <to>
                    <xdr:col>12</xdr:col>
                    <xdr:colOff>449580</xdr:colOff>
                    <xdr:row>38</xdr:row>
                    <xdr:rowOff>99060</xdr:rowOff>
                  </to>
                </anchor>
              </controlPr>
            </control>
          </mc:Choice>
        </mc:AlternateContent>
        <mc:AlternateContent xmlns:mc="http://schemas.openxmlformats.org/markup-compatibility/2006">
          <mc:Choice Requires="x14">
            <control shapeId="11291" r:id="rId63" name="Check Box 27">
              <controlPr defaultSize="0" autoFill="0" autoLine="0" autoPict="0">
                <anchor moveWithCells="1">
                  <from>
                    <xdr:col>11</xdr:col>
                    <xdr:colOff>0</xdr:colOff>
                    <xdr:row>36</xdr:row>
                    <xdr:rowOff>30480</xdr:rowOff>
                  </from>
                  <to>
                    <xdr:col>11</xdr:col>
                    <xdr:colOff>1752600</xdr:colOff>
                    <xdr:row>36</xdr:row>
                    <xdr:rowOff>327660</xdr:rowOff>
                  </to>
                </anchor>
              </controlPr>
            </control>
          </mc:Choice>
        </mc:AlternateContent>
        <mc:AlternateContent xmlns:mc="http://schemas.openxmlformats.org/markup-compatibility/2006">
          <mc:Choice Requires="x14">
            <control shapeId="11292" r:id="rId64" name="Check Box 28">
              <controlPr defaultSize="0" autoFill="0" autoLine="0" autoPict="0">
                <anchor moveWithCells="1">
                  <from>
                    <xdr:col>11</xdr:col>
                    <xdr:colOff>0</xdr:colOff>
                    <xdr:row>38</xdr:row>
                    <xdr:rowOff>266700</xdr:rowOff>
                  </from>
                  <to>
                    <xdr:col>11</xdr:col>
                    <xdr:colOff>1752600</xdr:colOff>
                    <xdr:row>39</xdr:row>
                    <xdr:rowOff>137160</xdr:rowOff>
                  </to>
                </anchor>
              </controlPr>
            </control>
          </mc:Choice>
        </mc:AlternateContent>
        <mc:AlternateContent xmlns:mc="http://schemas.openxmlformats.org/markup-compatibility/2006">
          <mc:Choice Requires="x14">
            <control shapeId="11293" r:id="rId65" name="Check Box 29">
              <controlPr defaultSize="0" autoFill="0" autoLine="0" autoPict="0">
                <anchor moveWithCells="1">
                  <from>
                    <xdr:col>11</xdr:col>
                    <xdr:colOff>0</xdr:colOff>
                    <xdr:row>39</xdr:row>
                    <xdr:rowOff>144780</xdr:rowOff>
                  </from>
                  <to>
                    <xdr:col>11</xdr:col>
                    <xdr:colOff>1752600</xdr:colOff>
                    <xdr:row>40</xdr:row>
                    <xdr:rowOff>0</xdr:rowOff>
                  </to>
                </anchor>
              </controlPr>
            </control>
          </mc:Choice>
        </mc:AlternateContent>
        <mc:AlternateContent xmlns:mc="http://schemas.openxmlformats.org/markup-compatibility/2006">
          <mc:Choice Requires="x14">
            <control shapeId="11294" r:id="rId66" name="Check Box 30">
              <controlPr defaultSize="0" autoFill="0" autoLine="0" autoPict="0">
                <anchor moveWithCells="1">
                  <from>
                    <xdr:col>11</xdr:col>
                    <xdr:colOff>0</xdr:colOff>
                    <xdr:row>38</xdr:row>
                    <xdr:rowOff>30480</xdr:rowOff>
                  </from>
                  <to>
                    <xdr:col>11</xdr:col>
                    <xdr:colOff>1752600</xdr:colOff>
                    <xdr:row>38</xdr:row>
                    <xdr:rowOff>350520</xdr:rowOff>
                  </to>
                </anchor>
              </controlPr>
            </control>
          </mc:Choice>
        </mc:AlternateContent>
        <mc:AlternateContent xmlns:mc="http://schemas.openxmlformats.org/markup-compatibility/2006">
          <mc:Choice Requires="x14">
            <control shapeId="11295" r:id="rId67" name="Check Box 31">
              <controlPr defaultSize="0" autoFill="0" autoLine="0" autoPict="0">
                <anchor moveWithCells="1">
                  <from>
                    <xdr:col>11</xdr:col>
                    <xdr:colOff>0</xdr:colOff>
                    <xdr:row>40</xdr:row>
                    <xdr:rowOff>266700</xdr:rowOff>
                  </from>
                  <to>
                    <xdr:col>11</xdr:col>
                    <xdr:colOff>1752600</xdr:colOff>
                    <xdr:row>41</xdr:row>
                    <xdr:rowOff>182880</xdr:rowOff>
                  </to>
                </anchor>
              </controlPr>
            </control>
          </mc:Choice>
        </mc:AlternateContent>
        <mc:AlternateContent xmlns:mc="http://schemas.openxmlformats.org/markup-compatibility/2006">
          <mc:Choice Requires="x14">
            <control shapeId="11296" r:id="rId68" name="Check Box 32">
              <controlPr defaultSize="0" autoFill="0" autoLine="0" autoPict="0">
                <anchor moveWithCells="1">
                  <from>
                    <xdr:col>11</xdr:col>
                    <xdr:colOff>0</xdr:colOff>
                    <xdr:row>41</xdr:row>
                    <xdr:rowOff>144780</xdr:rowOff>
                  </from>
                  <to>
                    <xdr:col>11</xdr:col>
                    <xdr:colOff>1752600</xdr:colOff>
                    <xdr:row>42</xdr:row>
                    <xdr:rowOff>99060</xdr:rowOff>
                  </to>
                </anchor>
              </controlPr>
            </control>
          </mc:Choice>
        </mc:AlternateContent>
        <mc:AlternateContent xmlns:mc="http://schemas.openxmlformats.org/markup-compatibility/2006">
          <mc:Choice Requires="x14">
            <control shapeId="11297" r:id="rId69" name="Check Box 33">
              <controlPr defaultSize="0" autoFill="0" autoLine="0" autoPict="0">
                <anchor moveWithCells="1">
                  <from>
                    <xdr:col>11</xdr:col>
                    <xdr:colOff>0</xdr:colOff>
                    <xdr:row>40</xdr:row>
                    <xdr:rowOff>30480</xdr:rowOff>
                  </from>
                  <to>
                    <xdr:col>11</xdr:col>
                    <xdr:colOff>1752600</xdr:colOff>
                    <xdr:row>40</xdr:row>
                    <xdr:rowOff>342900</xdr:rowOff>
                  </to>
                </anchor>
              </controlPr>
            </control>
          </mc:Choice>
        </mc:AlternateContent>
        <mc:AlternateContent xmlns:mc="http://schemas.openxmlformats.org/markup-compatibility/2006">
          <mc:Choice Requires="x14">
            <control shapeId="11298" r:id="rId70" name="Check Box 34">
              <controlPr defaultSize="0" autoFill="0" autoLine="0" autoPict="0">
                <anchor moveWithCells="1">
                  <from>
                    <xdr:col>11</xdr:col>
                    <xdr:colOff>0</xdr:colOff>
                    <xdr:row>42</xdr:row>
                    <xdr:rowOff>266700</xdr:rowOff>
                  </from>
                  <to>
                    <xdr:col>12</xdr:col>
                    <xdr:colOff>0</xdr:colOff>
                    <xdr:row>43</xdr:row>
                    <xdr:rowOff>137160</xdr:rowOff>
                  </to>
                </anchor>
              </controlPr>
            </control>
          </mc:Choice>
        </mc:AlternateContent>
        <mc:AlternateContent xmlns:mc="http://schemas.openxmlformats.org/markup-compatibility/2006">
          <mc:Choice Requires="x14">
            <control shapeId="11299" r:id="rId71" name="Check Box 35">
              <controlPr defaultSize="0" autoFill="0" autoLine="0" autoPict="0">
                <anchor moveWithCells="1">
                  <from>
                    <xdr:col>11</xdr:col>
                    <xdr:colOff>0</xdr:colOff>
                    <xdr:row>43</xdr:row>
                    <xdr:rowOff>144780</xdr:rowOff>
                  </from>
                  <to>
                    <xdr:col>11</xdr:col>
                    <xdr:colOff>1752600</xdr:colOff>
                    <xdr:row>44</xdr:row>
                    <xdr:rowOff>0</xdr:rowOff>
                  </to>
                </anchor>
              </controlPr>
            </control>
          </mc:Choice>
        </mc:AlternateContent>
        <mc:AlternateContent xmlns:mc="http://schemas.openxmlformats.org/markup-compatibility/2006">
          <mc:Choice Requires="x14">
            <control shapeId="11300" r:id="rId72" name="Check Box 36">
              <controlPr defaultSize="0" autoFill="0" autoLine="0" autoPict="0">
                <anchor moveWithCells="1">
                  <from>
                    <xdr:col>11</xdr:col>
                    <xdr:colOff>0</xdr:colOff>
                    <xdr:row>42</xdr:row>
                    <xdr:rowOff>30480</xdr:rowOff>
                  </from>
                  <to>
                    <xdr:col>12</xdr:col>
                    <xdr:colOff>0</xdr:colOff>
                    <xdr:row>42</xdr:row>
                    <xdr:rowOff>350520</xdr:rowOff>
                  </to>
                </anchor>
              </controlPr>
            </control>
          </mc:Choice>
        </mc:AlternateContent>
        <mc:AlternateContent xmlns:mc="http://schemas.openxmlformats.org/markup-compatibility/2006">
          <mc:Choice Requires="x14">
            <control shapeId="11301" r:id="rId73" name="Check Box 37">
              <controlPr defaultSize="0" autoFill="0" autoLine="0" autoPict="0">
                <anchor moveWithCells="1">
                  <from>
                    <xdr:col>11</xdr:col>
                    <xdr:colOff>0</xdr:colOff>
                    <xdr:row>44</xdr:row>
                    <xdr:rowOff>266700</xdr:rowOff>
                  </from>
                  <to>
                    <xdr:col>11</xdr:col>
                    <xdr:colOff>1752600</xdr:colOff>
                    <xdr:row>45</xdr:row>
                    <xdr:rowOff>137160</xdr:rowOff>
                  </to>
                </anchor>
              </controlPr>
            </control>
          </mc:Choice>
        </mc:AlternateContent>
        <mc:AlternateContent xmlns:mc="http://schemas.openxmlformats.org/markup-compatibility/2006">
          <mc:Choice Requires="x14">
            <control shapeId="11302" r:id="rId74" name="Check Box 38">
              <controlPr defaultSize="0" autoFill="0" autoLine="0" autoPict="0">
                <anchor moveWithCells="1">
                  <from>
                    <xdr:col>11</xdr:col>
                    <xdr:colOff>0</xdr:colOff>
                    <xdr:row>45</xdr:row>
                    <xdr:rowOff>144780</xdr:rowOff>
                  </from>
                  <to>
                    <xdr:col>11</xdr:col>
                    <xdr:colOff>1752600</xdr:colOff>
                    <xdr:row>46</xdr:row>
                    <xdr:rowOff>99060</xdr:rowOff>
                  </to>
                </anchor>
              </controlPr>
            </control>
          </mc:Choice>
        </mc:AlternateContent>
        <mc:AlternateContent xmlns:mc="http://schemas.openxmlformats.org/markup-compatibility/2006">
          <mc:Choice Requires="x14">
            <control shapeId="11303" r:id="rId75" name="Check Box 39">
              <controlPr defaultSize="0" autoFill="0" autoLine="0" autoPict="0">
                <anchor moveWithCells="1">
                  <from>
                    <xdr:col>11</xdr:col>
                    <xdr:colOff>0</xdr:colOff>
                    <xdr:row>44</xdr:row>
                    <xdr:rowOff>30480</xdr:rowOff>
                  </from>
                  <to>
                    <xdr:col>11</xdr:col>
                    <xdr:colOff>1752600</xdr:colOff>
                    <xdr:row>44</xdr:row>
                    <xdr:rowOff>350520</xdr:rowOff>
                  </to>
                </anchor>
              </controlPr>
            </control>
          </mc:Choice>
        </mc:AlternateContent>
        <mc:AlternateContent xmlns:mc="http://schemas.openxmlformats.org/markup-compatibility/2006">
          <mc:Choice Requires="x14">
            <control shapeId="11304" r:id="rId76" name="Check Box 40">
              <controlPr defaultSize="0" autoFill="0" autoLine="0" autoPict="0">
                <anchor moveWithCells="1">
                  <from>
                    <xdr:col>11</xdr:col>
                    <xdr:colOff>0</xdr:colOff>
                    <xdr:row>46</xdr:row>
                    <xdr:rowOff>266700</xdr:rowOff>
                  </from>
                  <to>
                    <xdr:col>11</xdr:col>
                    <xdr:colOff>1752600</xdr:colOff>
                    <xdr:row>47</xdr:row>
                    <xdr:rowOff>137160</xdr:rowOff>
                  </to>
                </anchor>
              </controlPr>
            </control>
          </mc:Choice>
        </mc:AlternateContent>
        <mc:AlternateContent xmlns:mc="http://schemas.openxmlformats.org/markup-compatibility/2006">
          <mc:Choice Requires="x14">
            <control shapeId="11305" r:id="rId77" name="Check Box 41">
              <controlPr defaultSize="0" autoFill="0" autoLine="0" autoPict="0">
                <anchor moveWithCells="1">
                  <from>
                    <xdr:col>11</xdr:col>
                    <xdr:colOff>0</xdr:colOff>
                    <xdr:row>47</xdr:row>
                    <xdr:rowOff>144780</xdr:rowOff>
                  </from>
                  <to>
                    <xdr:col>11</xdr:col>
                    <xdr:colOff>1752600</xdr:colOff>
                    <xdr:row>48</xdr:row>
                    <xdr:rowOff>0</xdr:rowOff>
                  </to>
                </anchor>
              </controlPr>
            </control>
          </mc:Choice>
        </mc:AlternateContent>
        <mc:AlternateContent xmlns:mc="http://schemas.openxmlformats.org/markup-compatibility/2006">
          <mc:Choice Requires="x14">
            <control shapeId="11306" r:id="rId78" name="Check Box 42">
              <controlPr defaultSize="0" autoFill="0" autoLine="0" autoPict="0">
                <anchor moveWithCells="1">
                  <from>
                    <xdr:col>11</xdr:col>
                    <xdr:colOff>0</xdr:colOff>
                    <xdr:row>46</xdr:row>
                    <xdr:rowOff>30480</xdr:rowOff>
                  </from>
                  <to>
                    <xdr:col>11</xdr:col>
                    <xdr:colOff>1752600</xdr:colOff>
                    <xdr:row>46</xdr:row>
                    <xdr:rowOff>350520</xdr:rowOff>
                  </to>
                </anchor>
              </controlPr>
            </control>
          </mc:Choice>
        </mc:AlternateContent>
        <mc:AlternateContent xmlns:mc="http://schemas.openxmlformats.org/markup-compatibility/2006">
          <mc:Choice Requires="x14">
            <control shapeId="11307" r:id="rId79" name="Check Box 43">
              <controlPr defaultSize="0" autoFill="0" autoLine="0" autoPict="0">
                <anchor moveWithCells="1">
                  <from>
                    <xdr:col>11</xdr:col>
                    <xdr:colOff>0</xdr:colOff>
                    <xdr:row>48</xdr:row>
                    <xdr:rowOff>266700</xdr:rowOff>
                  </from>
                  <to>
                    <xdr:col>11</xdr:col>
                    <xdr:colOff>1752600</xdr:colOff>
                    <xdr:row>49</xdr:row>
                    <xdr:rowOff>167640</xdr:rowOff>
                  </to>
                </anchor>
              </controlPr>
            </control>
          </mc:Choice>
        </mc:AlternateContent>
        <mc:AlternateContent xmlns:mc="http://schemas.openxmlformats.org/markup-compatibility/2006">
          <mc:Choice Requires="x14">
            <control shapeId="11308" r:id="rId80" name="Check Box 44">
              <controlPr defaultSize="0" autoFill="0" autoLine="0" autoPict="0">
                <anchor moveWithCells="1">
                  <from>
                    <xdr:col>11</xdr:col>
                    <xdr:colOff>0</xdr:colOff>
                    <xdr:row>49</xdr:row>
                    <xdr:rowOff>144780</xdr:rowOff>
                  </from>
                  <to>
                    <xdr:col>11</xdr:col>
                    <xdr:colOff>1752600</xdr:colOff>
                    <xdr:row>50</xdr:row>
                    <xdr:rowOff>99060</xdr:rowOff>
                  </to>
                </anchor>
              </controlPr>
            </control>
          </mc:Choice>
        </mc:AlternateContent>
        <mc:AlternateContent xmlns:mc="http://schemas.openxmlformats.org/markup-compatibility/2006">
          <mc:Choice Requires="x14">
            <control shapeId="11309" r:id="rId81" name="Check Box 45">
              <controlPr defaultSize="0" autoFill="0" autoLine="0" autoPict="0">
                <anchor moveWithCells="1">
                  <from>
                    <xdr:col>11</xdr:col>
                    <xdr:colOff>0</xdr:colOff>
                    <xdr:row>48</xdr:row>
                    <xdr:rowOff>30480</xdr:rowOff>
                  </from>
                  <to>
                    <xdr:col>11</xdr:col>
                    <xdr:colOff>1752600</xdr:colOff>
                    <xdr:row>48</xdr:row>
                    <xdr:rowOff>342900</xdr:rowOff>
                  </to>
                </anchor>
              </controlPr>
            </control>
          </mc:Choice>
        </mc:AlternateContent>
        <mc:AlternateContent xmlns:mc="http://schemas.openxmlformats.org/markup-compatibility/2006">
          <mc:Choice Requires="x14">
            <control shapeId="11310" r:id="rId82" name="Check Box 46">
              <controlPr defaultSize="0" autoFill="0" autoLine="0" autoPict="0">
                <anchor moveWithCells="1">
                  <from>
                    <xdr:col>11</xdr:col>
                    <xdr:colOff>0</xdr:colOff>
                    <xdr:row>50</xdr:row>
                    <xdr:rowOff>266700</xdr:rowOff>
                  </from>
                  <to>
                    <xdr:col>11</xdr:col>
                    <xdr:colOff>1752600</xdr:colOff>
                    <xdr:row>51</xdr:row>
                    <xdr:rowOff>182880</xdr:rowOff>
                  </to>
                </anchor>
              </controlPr>
            </control>
          </mc:Choice>
        </mc:AlternateContent>
        <mc:AlternateContent xmlns:mc="http://schemas.openxmlformats.org/markup-compatibility/2006">
          <mc:Choice Requires="x14">
            <control shapeId="11311" r:id="rId83" name="Check Box 47">
              <controlPr defaultSize="0" autoFill="0" autoLine="0" autoPict="0">
                <anchor moveWithCells="1">
                  <from>
                    <xdr:col>11</xdr:col>
                    <xdr:colOff>0</xdr:colOff>
                    <xdr:row>51</xdr:row>
                    <xdr:rowOff>144780</xdr:rowOff>
                  </from>
                  <to>
                    <xdr:col>11</xdr:col>
                    <xdr:colOff>1752600</xdr:colOff>
                    <xdr:row>52</xdr:row>
                    <xdr:rowOff>7620</xdr:rowOff>
                  </to>
                </anchor>
              </controlPr>
            </control>
          </mc:Choice>
        </mc:AlternateContent>
        <mc:AlternateContent xmlns:mc="http://schemas.openxmlformats.org/markup-compatibility/2006">
          <mc:Choice Requires="x14">
            <control shapeId="11312" r:id="rId84" name="Check Box 48">
              <controlPr defaultSize="0" autoFill="0" autoLine="0" autoPict="0">
                <anchor moveWithCells="1">
                  <from>
                    <xdr:col>11</xdr:col>
                    <xdr:colOff>0</xdr:colOff>
                    <xdr:row>50</xdr:row>
                    <xdr:rowOff>30480</xdr:rowOff>
                  </from>
                  <to>
                    <xdr:col>11</xdr:col>
                    <xdr:colOff>1752600</xdr:colOff>
                    <xdr:row>50</xdr:row>
                    <xdr:rowOff>342900</xdr:rowOff>
                  </to>
                </anchor>
              </controlPr>
            </control>
          </mc:Choice>
        </mc:AlternateContent>
        <mc:AlternateContent xmlns:mc="http://schemas.openxmlformats.org/markup-compatibility/2006">
          <mc:Choice Requires="x14">
            <control shapeId="11313" r:id="rId85" name="Check Box 49">
              <controlPr defaultSize="0" autoFill="0" autoLine="0" autoPict="0">
                <anchor moveWithCells="1">
                  <from>
                    <xdr:col>11</xdr:col>
                    <xdr:colOff>0</xdr:colOff>
                    <xdr:row>52</xdr:row>
                    <xdr:rowOff>266700</xdr:rowOff>
                  </from>
                  <to>
                    <xdr:col>11</xdr:col>
                    <xdr:colOff>1752600</xdr:colOff>
                    <xdr:row>53</xdr:row>
                    <xdr:rowOff>137160</xdr:rowOff>
                  </to>
                </anchor>
              </controlPr>
            </control>
          </mc:Choice>
        </mc:AlternateContent>
        <mc:AlternateContent xmlns:mc="http://schemas.openxmlformats.org/markup-compatibility/2006">
          <mc:Choice Requires="x14">
            <control shapeId="11314" r:id="rId86" name="Check Box 50">
              <controlPr defaultSize="0" autoFill="0" autoLine="0" autoPict="0">
                <anchor moveWithCells="1">
                  <from>
                    <xdr:col>11</xdr:col>
                    <xdr:colOff>0</xdr:colOff>
                    <xdr:row>53</xdr:row>
                    <xdr:rowOff>144780</xdr:rowOff>
                  </from>
                  <to>
                    <xdr:col>11</xdr:col>
                    <xdr:colOff>1752600</xdr:colOff>
                    <xdr:row>54</xdr:row>
                    <xdr:rowOff>99060</xdr:rowOff>
                  </to>
                </anchor>
              </controlPr>
            </control>
          </mc:Choice>
        </mc:AlternateContent>
        <mc:AlternateContent xmlns:mc="http://schemas.openxmlformats.org/markup-compatibility/2006">
          <mc:Choice Requires="x14">
            <control shapeId="11315" r:id="rId87" name="Check Box 51">
              <controlPr defaultSize="0" autoFill="0" autoLine="0" autoPict="0">
                <anchor moveWithCells="1">
                  <from>
                    <xdr:col>11</xdr:col>
                    <xdr:colOff>0</xdr:colOff>
                    <xdr:row>52</xdr:row>
                    <xdr:rowOff>30480</xdr:rowOff>
                  </from>
                  <to>
                    <xdr:col>11</xdr:col>
                    <xdr:colOff>1752600</xdr:colOff>
                    <xdr:row>52</xdr:row>
                    <xdr:rowOff>350520</xdr:rowOff>
                  </to>
                </anchor>
              </controlPr>
            </control>
          </mc:Choice>
        </mc:AlternateContent>
        <mc:AlternateContent xmlns:mc="http://schemas.openxmlformats.org/markup-compatibility/2006">
          <mc:Choice Requires="x14">
            <control shapeId="11316" r:id="rId88" name="Check Box 52">
              <controlPr defaultSize="0" autoFill="0" autoLine="0" autoPict="0">
                <anchor moveWithCells="1">
                  <from>
                    <xdr:col>11</xdr:col>
                    <xdr:colOff>0</xdr:colOff>
                    <xdr:row>54</xdr:row>
                    <xdr:rowOff>266700</xdr:rowOff>
                  </from>
                  <to>
                    <xdr:col>11</xdr:col>
                    <xdr:colOff>1752600</xdr:colOff>
                    <xdr:row>55</xdr:row>
                    <xdr:rowOff>167640</xdr:rowOff>
                  </to>
                </anchor>
              </controlPr>
            </control>
          </mc:Choice>
        </mc:AlternateContent>
        <mc:AlternateContent xmlns:mc="http://schemas.openxmlformats.org/markup-compatibility/2006">
          <mc:Choice Requires="x14">
            <control shapeId="11317" r:id="rId89" name="Check Box 53">
              <controlPr defaultSize="0" autoFill="0" autoLine="0" autoPict="0">
                <anchor moveWithCells="1">
                  <from>
                    <xdr:col>11</xdr:col>
                    <xdr:colOff>0</xdr:colOff>
                    <xdr:row>55</xdr:row>
                    <xdr:rowOff>144780</xdr:rowOff>
                  </from>
                  <to>
                    <xdr:col>11</xdr:col>
                    <xdr:colOff>1752600</xdr:colOff>
                    <xdr:row>56</xdr:row>
                    <xdr:rowOff>0</xdr:rowOff>
                  </to>
                </anchor>
              </controlPr>
            </control>
          </mc:Choice>
        </mc:AlternateContent>
        <mc:AlternateContent xmlns:mc="http://schemas.openxmlformats.org/markup-compatibility/2006">
          <mc:Choice Requires="x14">
            <control shapeId="11318" r:id="rId90" name="Check Box 54">
              <controlPr defaultSize="0" autoFill="0" autoLine="0" autoPict="0">
                <anchor moveWithCells="1">
                  <from>
                    <xdr:col>11</xdr:col>
                    <xdr:colOff>0</xdr:colOff>
                    <xdr:row>54</xdr:row>
                    <xdr:rowOff>30480</xdr:rowOff>
                  </from>
                  <to>
                    <xdr:col>11</xdr:col>
                    <xdr:colOff>1752600</xdr:colOff>
                    <xdr:row>54</xdr:row>
                    <xdr:rowOff>320040</xdr:rowOff>
                  </to>
                </anchor>
              </controlPr>
            </control>
          </mc:Choice>
        </mc:AlternateContent>
        <mc:AlternateContent xmlns:mc="http://schemas.openxmlformats.org/markup-compatibility/2006">
          <mc:Choice Requires="x14">
            <control shapeId="11319" r:id="rId91" name="Check Box 55">
              <controlPr defaultSize="0" autoFill="0" autoLine="0" autoPict="0">
                <anchor moveWithCells="1">
                  <from>
                    <xdr:col>11</xdr:col>
                    <xdr:colOff>0</xdr:colOff>
                    <xdr:row>56</xdr:row>
                    <xdr:rowOff>266700</xdr:rowOff>
                  </from>
                  <to>
                    <xdr:col>11</xdr:col>
                    <xdr:colOff>1752600</xdr:colOff>
                    <xdr:row>57</xdr:row>
                    <xdr:rowOff>167640</xdr:rowOff>
                  </to>
                </anchor>
              </controlPr>
            </control>
          </mc:Choice>
        </mc:AlternateContent>
        <mc:AlternateContent xmlns:mc="http://schemas.openxmlformats.org/markup-compatibility/2006">
          <mc:Choice Requires="x14">
            <control shapeId="11320" r:id="rId92" name="Check Box 56">
              <controlPr defaultSize="0" autoFill="0" autoLine="0" autoPict="0">
                <anchor moveWithCells="1">
                  <from>
                    <xdr:col>11</xdr:col>
                    <xdr:colOff>0</xdr:colOff>
                    <xdr:row>57</xdr:row>
                    <xdr:rowOff>144780</xdr:rowOff>
                  </from>
                  <to>
                    <xdr:col>11</xdr:col>
                    <xdr:colOff>1752600</xdr:colOff>
                    <xdr:row>58</xdr:row>
                    <xdr:rowOff>30480</xdr:rowOff>
                  </to>
                </anchor>
              </controlPr>
            </control>
          </mc:Choice>
        </mc:AlternateContent>
        <mc:AlternateContent xmlns:mc="http://schemas.openxmlformats.org/markup-compatibility/2006">
          <mc:Choice Requires="x14">
            <control shapeId="11321" r:id="rId93" name="Check Box 57">
              <controlPr defaultSize="0" autoFill="0" autoLine="0" autoPict="0">
                <anchor moveWithCells="1">
                  <from>
                    <xdr:col>11</xdr:col>
                    <xdr:colOff>0</xdr:colOff>
                    <xdr:row>56</xdr:row>
                    <xdr:rowOff>30480</xdr:rowOff>
                  </from>
                  <to>
                    <xdr:col>11</xdr:col>
                    <xdr:colOff>1752600</xdr:colOff>
                    <xdr:row>56</xdr:row>
                    <xdr:rowOff>228600</xdr:rowOff>
                  </to>
                </anchor>
              </controlPr>
            </control>
          </mc:Choice>
        </mc:AlternateContent>
        <mc:AlternateContent xmlns:mc="http://schemas.openxmlformats.org/markup-compatibility/2006">
          <mc:Choice Requires="x14">
            <control shapeId="11322" r:id="rId94" name="Check Box 58">
              <controlPr defaultSize="0" autoFill="0" autoLine="0" autoPict="0">
                <anchor moveWithCells="1">
                  <from>
                    <xdr:col>11</xdr:col>
                    <xdr:colOff>0</xdr:colOff>
                    <xdr:row>58</xdr:row>
                    <xdr:rowOff>266700</xdr:rowOff>
                  </from>
                  <to>
                    <xdr:col>11</xdr:col>
                    <xdr:colOff>1752600</xdr:colOff>
                    <xdr:row>59</xdr:row>
                    <xdr:rowOff>137160</xdr:rowOff>
                  </to>
                </anchor>
              </controlPr>
            </control>
          </mc:Choice>
        </mc:AlternateContent>
        <mc:AlternateContent xmlns:mc="http://schemas.openxmlformats.org/markup-compatibility/2006">
          <mc:Choice Requires="x14">
            <control shapeId="11323" r:id="rId95" name="Check Box 59">
              <controlPr defaultSize="0" autoFill="0" autoLine="0" autoPict="0">
                <anchor moveWithCells="1">
                  <from>
                    <xdr:col>11</xdr:col>
                    <xdr:colOff>0</xdr:colOff>
                    <xdr:row>59</xdr:row>
                    <xdr:rowOff>144780</xdr:rowOff>
                  </from>
                  <to>
                    <xdr:col>11</xdr:col>
                    <xdr:colOff>1752600</xdr:colOff>
                    <xdr:row>60</xdr:row>
                    <xdr:rowOff>0</xdr:rowOff>
                  </to>
                </anchor>
              </controlPr>
            </control>
          </mc:Choice>
        </mc:AlternateContent>
        <mc:AlternateContent xmlns:mc="http://schemas.openxmlformats.org/markup-compatibility/2006">
          <mc:Choice Requires="x14">
            <control shapeId="11324" r:id="rId96" name="Check Box 60">
              <controlPr defaultSize="0" autoFill="0" autoLine="0" autoPict="0">
                <anchor moveWithCells="1">
                  <from>
                    <xdr:col>11</xdr:col>
                    <xdr:colOff>0</xdr:colOff>
                    <xdr:row>58</xdr:row>
                    <xdr:rowOff>30480</xdr:rowOff>
                  </from>
                  <to>
                    <xdr:col>11</xdr:col>
                    <xdr:colOff>1752600</xdr:colOff>
                    <xdr:row>58</xdr:row>
                    <xdr:rowOff>228600</xdr:rowOff>
                  </to>
                </anchor>
              </controlPr>
            </control>
          </mc:Choice>
        </mc:AlternateContent>
        <mc:AlternateContent xmlns:mc="http://schemas.openxmlformats.org/markup-compatibility/2006">
          <mc:Choice Requires="x14">
            <control shapeId="11325" r:id="rId97" name="Check Box 61">
              <controlPr defaultSize="0" autoFill="0" autoLine="0" autoPict="0">
                <anchor moveWithCells="1">
                  <from>
                    <xdr:col>11</xdr:col>
                    <xdr:colOff>0</xdr:colOff>
                    <xdr:row>60</xdr:row>
                    <xdr:rowOff>266700</xdr:rowOff>
                  </from>
                  <to>
                    <xdr:col>11</xdr:col>
                    <xdr:colOff>1752600</xdr:colOff>
                    <xdr:row>61</xdr:row>
                    <xdr:rowOff>182880</xdr:rowOff>
                  </to>
                </anchor>
              </controlPr>
            </control>
          </mc:Choice>
        </mc:AlternateContent>
        <mc:AlternateContent xmlns:mc="http://schemas.openxmlformats.org/markup-compatibility/2006">
          <mc:Choice Requires="x14">
            <control shapeId="11326" r:id="rId98" name="Check Box 62">
              <controlPr defaultSize="0" autoFill="0" autoLine="0" autoPict="0">
                <anchor moveWithCells="1">
                  <from>
                    <xdr:col>11</xdr:col>
                    <xdr:colOff>0</xdr:colOff>
                    <xdr:row>61</xdr:row>
                    <xdr:rowOff>144780</xdr:rowOff>
                  </from>
                  <to>
                    <xdr:col>11</xdr:col>
                    <xdr:colOff>1752600</xdr:colOff>
                    <xdr:row>62</xdr:row>
                    <xdr:rowOff>30480</xdr:rowOff>
                  </to>
                </anchor>
              </controlPr>
            </control>
          </mc:Choice>
        </mc:AlternateContent>
        <mc:AlternateContent xmlns:mc="http://schemas.openxmlformats.org/markup-compatibility/2006">
          <mc:Choice Requires="x14">
            <control shapeId="11327" r:id="rId99" name="Check Box 63">
              <controlPr defaultSize="0" autoFill="0" autoLine="0" autoPict="0">
                <anchor moveWithCells="1">
                  <from>
                    <xdr:col>11</xdr:col>
                    <xdr:colOff>0</xdr:colOff>
                    <xdr:row>60</xdr:row>
                    <xdr:rowOff>30480</xdr:rowOff>
                  </from>
                  <to>
                    <xdr:col>11</xdr:col>
                    <xdr:colOff>1752600</xdr:colOff>
                    <xdr:row>60</xdr:row>
                    <xdr:rowOff>228600</xdr:rowOff>
                  </to>
                </anchor>
              </controlPr>
            </control>
          </mc:Choice>
        </mc:AlternateContent>
        <mc:AlternateContent xmlns:mc="http://schemas.openxmlformats.org/markup-compatibility/2006">
          <mc:Choice Requires="x14">
            <control shapeId="11328" r:id="rId100" name="Check Box 64">
              <controlPr defaultSize="0" autoFill="0" autoLine="0" autoPict="0">
                <anchor moveWithCells="1">
                  <from>
                    <xdr:col>11</xdr:col>
                    <xdr:colOff>0</xdr:colOff>
                    <xdr:row>62</xdr:row>
                    <xdr:rowOff>266700</xdr:rowOff>
                  </from>
                  <to>
                    <xdr:col>11</xdr:col>
                    <xdr:colOff>1752600</xdr:colOff>
                    <xdr:row>63</xdr:row>
                    <xdr:rowOff>152400</xdr:rowOff>
                  </to>
                </anchor>
              </controlPr>
            </control>
          </mc:Choice>
        </mc:AlternateContent>
        <mc:AlternateContent xmlns:mc="http://schemas.openxmlformats.org/markup-compatibility/2006">
          <mc:Choice Requires="x14">
            <control shapeId="11329" r:id="rId101" name="Check Box 65">
              <controlPr defaultSize="0" autoFill="0" autoLine="0" autoPict="0">
                <anchor moveWithCells="1">
                  <from>
                    <xdr:col>11</xdr:col>
                    <xdr:colOff>0</xdr:colOff>
                    <xdr:row>63</xdr:row>
                    <xdr:rowOff>144780</xdr:rowOff>
                  </from>
                  <to>
                    <xdr:col>11</xdr:col>
                    <xdr:colOff>1752600</xdr:colOff>
                    <xdr:row>64</xdr:row>
                    <xdr:rowOff>7620</xdr:rowOff>
                  </to>
                </anchor>
              </controlPr>
            </control>
          </mc:Choice>
        </mc:AlternateContent>
        <mc:AlternateContent xmlns:mc="http://schemas.openxmlformats.org/markup-compatibility/2006">
          <mc:Choice Requires="x14">
            <control shapeId="11330" r:id="rId102" name="Check Box 66">
              <controlPr defaultSize="0" autoFill="0" autoLine="0" autoPict="0">
                <anchor moveWithCells="1">
                  <from>
                    <xdr:col>11</xdr:col>
                    <xdr:colOff>0</xdr:colOff>
                    <xdr:row>62</xdr:row>
                    <xdr:rowOff>30480</xdr:rowOff>
                  </from>
                  <to>
                    <xdr:col>11</xdr:col>
                    <xdr:colOff>1752600</xdr:colOff>
                    <xdr:row>62</xdr:row>
                    <xdr:rowOff>228600</xdr:rowOff>
                  </to>
                </anchor>
              </controlPr>
            </control>
          </mc:Choice>
        </mc:AlternateContent>
        <mc:AlternateContent xmlns:mc="http://schemas.openxmlformats.org/markup-compatibility/2006">
          <mc:Choice Requires="x14">
            <control shapeId="11331" r:id="rId103" name="Check Box 67">
              <controlPr defaultSize="0" autoFill="0" autoLine="0" autoPict="0">
                <anchor moveWithCells="1">
                  <from>
                    <xdr:col>11</xdr:col>
                    <xdr:colOff>0</xdr:colOff>
                    <xdr:row>64</xdr:row>
                    <xdr:rowOff>266700</xdr:rowOff>
                  </from>
                  <to>
                    <xdr:col>11</xdr:col>
                    <xdr:colOff>1752600</xdr:colOff>
                    <xdr:row>65</xdr:row>
                    <xdr:rowOff>137160</xdr:rowOff>
                  </to>
                </anchor>
              </controlPr>
            </control>
          </mc:Choice>
        </mc:AlternateContent>
        <mc:AlternateContent xmlns:mc="http://schemas.openxmlformats.org/markup-compatibility/2006">
          <mc:Choice Requires="x14">
            <control shapeId="11332" r:id="rId104" name="Check Box 68">
              <controlPr defaultSize="0" autoFill="0" autoLine="0" autoPict="0">
                <anchor moveWithCells="1">
                  <from>
                    <xdr:col>11</xdr:col>
                    <xdr:colOff>0</xdr:colOff>
                    <xdr:row>65</xdr:row>
                    <xdr:rowOff>144780</xdr:rowOff>
                  </from>
                  <to>
                    <xdr:col>11</xdr:col>
                    <xdr:colOff>1752600</xdr:colOff>
                    <xdr:row>66</xdr:row>
                    <xdr:rowOff>45720</xdr:rowOff>
                  </to>
                </anchor>
              </controlPr>
            </control>
          </mc:Choice>
        </mc:AlternateContent>
        <mc:AlternateContent xmlns:mc="http://schemas.openxmlformats.org/markup-compatibility/2006">
          <mc:Choice Requires="x14">
            <control shapeId="11333" r:id="rId105" name="Check Box 69">
              <controlPr defaultSize="0" autoFill="0" autoLine="0" autoPict="0">
                <anchor moveWithCells="1">
                  <from>
                    <xdr:col>11</xdr:col>
                    <xdr:colOff>0</xdr:colOff>
                    <xdr:row>64</xdr:row>
                    <xdr:rowOff>30480</xdr:rowOff>
                  </from>
                  <to>
                    <xdr:col>11</xdr:col>
                    <xdr:colOff>1752600</xdr:colOff>
                    <xdr:row>64</xdr:row>
                    <xdr:rowOff>228600</xdr:rowOff>
                  </to>
                </anchor>
              </controlPr>
            </control>
          </mc:Choice>
        </mc:AlternateContent>
        <mc:AlternateContent xmlns:mc="http://schemas.openxmlformats.org/markup-compatibility/2006">
          <mc:Choice Requires="x14">
            <control shapeId="11334" r:id="rId106" name="Check Box 70">
              <controlPr defaultSize="0" autoFill="0" autoLine="0" autoPict="0">
                <anchor moveWithCells="1">
                  <from>
                    <xdr:col>11</xdr:col>
                    <xdr:colOff>0</xdr:colOff>
                    <xdr:row>66</xdr:row>
                    <xdr:rowOff>266700</xdr:rowOff>
                  </from>
                  <to>
                    <xdr:col>11</xdr:col>
                    <xdr:colOff>1752600</xdr:colOff>
                    <xdr:row>67</xdr:row>
                    <xdr:rowOff>137160</xdr:rowOff>
                  </to>
                </anchor>
              </controlPr>
            </control>
          </mc:Choice>
        </mc:AlternateContent>
        <mc:AlternateContent xmlns:mc="http://schemas.openxmlformats.org/markup-compatibility/2006">
          <mc:Choice Requires="x14">
            <control shapeId="11335" r:id="rId107" name="Check Box 71">
              <controlPr defaultSize="0" autoFill="0" autoLine="0" autoPict="0">
                <anchor moveWithCells="1">
                  <from>
                    <xdr:col>11</xdr:col>
                    <xdr:colOff>0</xdr:colOff>
                    <xdr:row>67</xdr:row>
                    <xdr:rowOff>144780</xdr:rowOff>
                  </from>
                  <to>
                    <xdr:col>11</xdr:col>
                    <xdr:colOff>1752600</xdr:colOff>
                    <xdr:row>68</xdr:row>
                    <xdr:rowOff>0</xdr:rowOff>
                  </to>
                </anchor>
              </controlPr>
            </control>
          </mc:Choice>
        </mc:AlternateContent>
        <mc:AlternateContent xmlns:mc="http://schemas.openxmlformats.org/markup-compatibility/2006">
          <mc:Choice Requires="x14">
            <control shapeId="11336" r:id="rId108" name="Check Box 72">
              <controlPr defaultSize="0" autoFill="0" autoLine="0" autoPict="0">
                <anchor moveWithCells="1">
                  <from>
                    <xdr:col>11</xdr:col>
                    <xdr:colOff>0</xdr:colOff>
                    <xdr:row>66</xdr:row>
                    <xdr:rowOff>30480</xdr:rowOff>
                  </from>
                  <to>
                    <xdr:col>11</xdr:col>
                    <xdr:colOff>1752600</xdr:colOff>
                    <xdr:row>66</xdr:row>
                    <xdr:rowOff>228600</xdr:rowOff>
                  </to>
                </anchor>
              </controlPr>
            </control>
          </mc:Choice>
        </mc:AlternateContent>
        <mc:AlternateContent xmlns:mc="http://schemas.openxmlformats.org/markup-compatibility/2006">
          <mc:Choice Requires="x14">
            <control shapeId="11337" r:id="rId109" name="Check Box 73">
              <controlPr defaultSize="0" autoFill="0" autoLine="0" autoPict="0">
                <anchor moveWithCells="1">
                  <from>
                    <xdr:col>11</xdr:col>
                    <xdr:colOff>0</xdr:colOff>
                    <xdr:row>68</xdr:row>
                    <xdr:rowOff>266700</xdr:rowOff>
                  </from>
                  <to>
                    <xdr:col>11</xdr:col>
                    <xdr:colOff>1752600</xdr:colOff>
                    <xdr:row>69</xdr:row>
                    <xdr:rowOff>167640</xdr:rowOff>
                  </to>
                </anchor>
              </controlPr>
            </control>
          </mc:Choice>
        </mc:AlternateContent>
        <mc:AlternateContent xmlns:mc="http://schemas.openxmlformats.org/markup-compatibility/2006">
          <mc:Choice Requires="x14">
            <control shapeId="11338" r:id="rId110" name="Check Box 74">
              <controlPr defaultSize="0" autoFill="0" autoLine="0" autoPict="0">
                <anchor moveWithCells="1">
                  <from>
                    <xdr:col>11</xdr:col>
                    <xdr:colOff>0</xdr:colOff>
                    <xdr:row>69</xdr:row>
                    <xdr:rowOff>144780</xdr:rowOff>
                  </from>
                  <to>
                    <xdr:col>11</xdr:col>
                    <xdr:colOff>1752600</xdr:colOff>
                    <xdr:row>70</xdr:row>
                    <xdr:rowOff>30480</xdr:rowOff>
                  </to>
                </anchor>
              </controlPr>
            </control>
          </mc:Choice>
        </mc:AlternateContent>
        <mc:AlternateContent xmlns:mc="http://schemas.openxmlformats.org/markup-compatibility/2006">
          <mc:Choice Requires="x14">
            <control shapeId="11339" r:id="rId111" name="Check Box 75">
              <controlPr defaultSize="0" autoFill="0" autoLine="0" autoPict="0">
                <anchor moveWithCells="1">
                  <from>
                    <xdr:col>11</xdr:col>
                    <xdr:colOff>0</xdr:colOff>
                    <xdr:row>68</xdr:row>
                    <xdr:rowOff>30480</xdr:rowOff>
                  </from>
                  <to>
                    <xdr:col>11</xdr:col>
                    <xdr:colOff>1752600</xdr:colOff>
                    <xdr:row>68</xdr:row>
                    <xdr:rowOff>320040</xdr:rowOff>
                  </to>
                </anchor>
              </controlPr>
            </control>
          </mc:Choice>
        </mc:AlternateContent>
        <mc:AlternateContent xmlns:mc="http://schemas.openxmlformats.org/markup-compatibility/2006">
          <mc:Choice Requires="x14">
            <control shapeId="11340" r:id="rId112" name="Check Box 76">
              <controlPr defaultSize="0" autoFill="0" autoLine="0" autoPict="0">
                <anchor moveWithCells="1">
                  <from>
                    <xdr:col>11</xdr:col>
                    <xdr:colOff>0</xdr:colOff>
                    <xdr:row>70</xdr:row>
                    <xdr:rowOff>266700</xdr:rowOff>
                  </from>
                  <to>
                    <xdr:col>11</xdr:col>
                    <xdr:colOff>1752600</xdr:colOff>
                    <xdr:row>71</xdr:row>
                    <xdr:rowOff>137160</xdr:rowOff>
                  </to>
                </anchor>
              </controlPr>
            </control>
          </mc:Choice>
        </mc:AlternateContent>
        <mc:AlternateContent xmlns:mc="http://schemas.openxmlformats.org/markup-compatibility/2006">
          <mc:Choice Requires="x14">
            <control shapeId="11341" r:id="rId113" name="Check Box 77">
              <controlPr defaultSize="0" autoFill="0" autoLine="0" autoPict="0">
                <anchor moveWithCells="1">
                  <from>
                    <xdr:col>11</xdr:col>
                    <xdr:colOff>0</xdr:colOff>
                    <xdr:row>71</xdr:row>
                    <xdr:rowOff>144780</xdr:rowOff>
                  </from>
                  <to>
                    <xdr:col>11</xdr:col>
                    <xdr:colOff>1752600</xdr:colOff>
                    <xdr:row>72</xdr:row>
                    <xdr:rowOff>0</xdr:rowOff>
                  </to>
                </anchor>
              </controlPr>
            </control>
          </mc:Choice>
        </mc:AlternateContent>
        <mc:AlternateContent xmlns:mc="http://schemas.openxmlformats.org/markup-compatibility/2006">
          <mc:Choice Requires="x14">
            <control shapeId="11342" r:id="rId114" name="Check Box 78">
              <controlPr defaultSize="0" autoFill="0" autoLine="0" autoPict="0">
                <anchor moveWithCells="1">
                  <from>
                    <xdr:col>11</xdr:col>
                    <xdr:colOff>0</xdr:colOff>
                    <xdr:row>70</xdr:row>
                    <xdr:rowOff>30480</xdr:rowOff>
                  </from>
                  <to>
                    <xdr:col>11</xdr:col>
                    <xdr:colOff>1752600</xdr:colOff>
                    <xdr:row>70</xdr:row>
                    <xdr:rowOff>228600</xdr:rowOff>
                  </to>
                </anchor>
              </controlPr>
            </control>
          </mc:Choice>
        </mc:AlternateContent>
        <mc:AlternateContent xmlns:mc="http://schemas.openxmlformats.org/markup-compatibility/2006">
          <mc:Choice Requires="x14">
            <control shapeId="11343" r:id="rId115" name="Check Box 79">
              <controlPr defaultSize="0" autoFill="0" autoLine="0" autoPict="0">
                <anchor moveWithCells="1">
                  <from>
                    <xdr:col>11</xdr:col>
                    <xdr:colOff>0</xdr:colOff>
                    <xdr:row>72</xdr:row>
                    <xdr:rowOff>266700</xdr:rowOff>
                  </from>
                  <to>
                    <xdr:col>11</xdr:col>
                    <xdr:colOff>1752600</xdr:colOff>
                    <xdr:row>73</xdr:row>
                    <xdr:rowOff>137160</xdr:rowOff>
                  </to>
                </anchor>
              </controlPr>
            </control>
          </mc:Choice>
        </mc:AlternateContent>
        <mc:AlternateContent xmlns:mc="http://schemas.openxmlformats.org/markup-compatibility/2006">
          <mc:Choice Requires="x14">
            <control shapeId="11344" r:id="rId116" name="Check Box 80">
              <controlPr defaultSize="0" autoFill="0" autoLine="0" autoPict="0">
                <anchor moveWithCells="1">
                  <from>
                    <xdr:col>11</xdr:col>
                    <xdr:colOff>0</xdr:colOff>
                    <xdr:row>73</xdr:row>
                    <xdr:rowOff>144780</xdr:rowOff>
                  </from>
                  <to>
                    <xdr:col>11</xdr:col>
                    <xdr:colOff>1752600</xdr:colOff>
                    <xdr:row>74</xdr:row>
                    <xdr:rowOff>30480</xdr:rowOff>
                  </to>
                </anchor>
              </controlPr>
            </control>
          </mc:Choice>
        </mc:AlternateContent>
        <mc:AlternateContent xmlns:mc="http://schemas.openxmlformats.org/markup-compatibility/2006">
          <mc:Choice Requires="x14">
            <control shapeId="11345" r:id="rId117" name="Check Box 81">
              <controlPr defaultSize="0" autoFill="0" autoLine="0" autoPict="0">
                <anchor moveWithCells="1">
                  <from>
                    <xdr:col>11</xdr:col>
                    <xdr:colOff>0</xdr:colOff>
                    <xdr:row>72</xdr:row>
                    <xdr:rowOff>30480</xdr:rowOff>
                  </from>
                  <to>
                    <xdr:col>11</xdr:col>
                    <xdr:colOff>1752600</xdr:colOff>
                    <xdr:row>72</xdr:row>
                    <xdr:rowOff>228600</xdr:rowOff>
                  </to>
                </anchor>
              </controlPr>
            </control>
          </mc:Choice>
        </mc:AlternateContent>
        <mc:AlternateContent xmlns:mc="http://schemas.openxmlformats.org/markup-compatibility/2006">
          <mc:Choice Requires="x14">
            <control shapeId="11346" r:id="rId118" name="Check Box 82">
              <controlPr defaultSize="0" autoFill="0" autoLine="0" autoPict="0">
                <anchor moveWithCells="1">
                  <from>
                    <xdr:col>11</xdr:col>
                    <xdr:colOff>0</xdr:colOff>
                    <xdr:row>74</xdr:row>
                    <xdr:rowOff>266700</xdr:rowOff>
                  </from>
                  <to>
                    <xdr:col>11</xdr:col>
                    <xdr:colOff>1752600</xdr:colOff>
                    <xdr:row>75</xdr:row>
                    <xdr:rowOff>137160</xdr:rowOff>
                  </to>
                </anchor>
              </controlPr>
            </control>
          </mc:Choice>
        </mc:AlternateContent>
        <mc:AlternateContent xmlns:mc="http://schemas.openxmlformats.org/markup-compatibility/2006">
          <mc:Choice Requires="x14">
            <control shapeId="11347" r:id="rId119" name="Check Box 83">
              <controlPr defaultSize="0" autoFill="0" autoLine="0" autoPict="0">
                <anchor moveWithCells="1">
                  <from>
                    <xdr:col>11</xdr:col>
                    <xdr:colOff>0</xdr:colOff>
                    <xdr:row>75</xdr:row>
                    <xdr:rowOff>144780</xdr:rowOff>
                  </from>
                  <to>
                    <xdr:col>11</xdr:col>
                    <xdr:colOff>1752600</xdr:colOff>
                    <xdr:row>76</xdr:row>
                    <xdr:rowOff>0</xdr:rowOff>
                  </to>
                </anchor>
              </controlPr>
            </control>
          </mc:Choice>
        </mc:AlternateContent>
        <mc:AlternateContent xmlns:mc="http://schemas.openxmlformats.org/markup-compatibility/2006">
          <mc:Choice Requires="x14">
            <control shapeId="11348" r:id="rId120" name="Check Box 84">
              <controlPr defaultSize="0" autoFill="0" autoLine="0" autoPict="0">
                <anchor moveWithCells="1">
                  <from>
                    <xdr:col>11</xdr:col>
                    <xdr:colOff>0</xdr:colOff>
                    <xdr:row>74</xdr:row>
                    <xdr:rowOff>30480</xdr:rowOff>
                  </from>
                  <to>
                    <xdr:col>11</xdr:col>
                    <xdr:colOff>1752600</xdr:colOff>
                    <xdr:row>74</xdr:row>
                    <xdr:rowOff>228600</xdr:rowOff>
                  </to>
                </anchor>
              </controlPr>
            </control>
          </mc:Choice>
        </mc:AlternateContent>
        <mc:AlternateContent xmlns:mc="http://schemas.openxmlformats.org/markup-compatibility/2006">
          <mc:Choice Requires="x14">
            <control shapeId="11349" r:id="rId121" name="Check Box 85">
              <controlPr defaultSize="0" autoFill="0" autoLine="0" autoPict="0">
                <anchor moveWithCells="1">
                  <from>
                    <xdr:col>11</xdr:col>
                    <xdr:colOff>0</xdr:colOff>
                    <xdr:row>76</xdr:row>
                    <xdr:rowOff>266700</xdr:rowOff>
                  </from>
                  <to>
                    <xdr:col>11</xdr:col>
                    <xdr:colOff>1752600</xdr:colOff>
                    <xdr:row>77</xdr:row>
                    <xdr:rowOff>182880</xdr:rowOff>
                  </to>
                </anchor>
              </controlPr>
            </control>
          </mc:Choice>
        </mc:AlternateContent>
        <mc:AlternateContent xmlns:mc="http://schemas.openxmlformats.org/markup-compatibility/2006">
          <mc:Choice Requires="x14">
            <control shapeId="11350" r:id="rId122" name="Check Box 86">
              <controlPr defaultSize="0" autoFill="0" autoLine="0" autoPict="0">
                <anchor moveWithCells="1">
                  <from>
                    <xdr:col>11</xdr:col>
                    <xdr:colOff>0</xdr:colOff>
                    <xdr:row>77</xdr:row>
                    <xdr:rowOff>144780</xdr:rowOff>
                  </from>
                  <to>
                    <xdr:col>11</xdr:col>
                    <xdr:colOff>1752600</xdr:colOff>
                    <xdr:row>78</xdr:row>
                    <xdr:rowOff>30480</xdr:rowOff>
                  </to>
                </anchor>
              </controlPr>
            </control>
          </mc:Choice>
        </mc:AlternateContent>
        <mc:AlternateContent xmlns:mc="http://schemas.openxmlformats.org/markup-compatibility/2006">
          <mc:Choice Requires="x14">
            <control shapeId="11351" r:id="rId123" name="Check Box 87">
              <controlPr defaultSize="0" autoFill="0" autoLine="0" autoPict="0">
                <anchor moveWithCells="1">
                  <from>
                    <xdr:col>11</xdr:col>
                    <xdr:colOff>0</xdr:colOff>
                    <xdr:row>76</xdr:row>
                    <xdr:rowOff>30480</xdr:rowOff>
                  </from>
                  <to>
                    <xdr:col>11</xdr:col>
                    <xdr:colOff>1752600</xdr:colOff>
                    <xdr:row>76</xdr:row>
                    <xdr:rowOff>320040</xdr:rowOff>
                  </to>
                </anchor>
              </controlPr>
            </control>
          </mc:Choice>
        </mc:AlternateContent>
        <mc:AlternateContent xmlns:mc="http://schemas.openxmlformats.org/markup-compatibility/2006">
          <mc:Choice Requires="x14">
            <control shapeId="11352" r:id="rId124" name="Check Box 88">
              <controlPr defaultSize="0" autoFill="0" autoLine="0" autoPict="0">
                <anchor moveWithCells="1">
                  <from>
                    <xdr:col>11</xdr:col>
                    <xdr:colOff>0</xdr:colOff>
                    <xdr:row>78</xdr:row>
                    <xdr:rowOff>266700</xdr:rowOff>
                  </from>
                  <to>
                    <xdr:col>11</xdr:col>
                    <xdr:colOff>1752600</xdr:colOff>
                    <xdr:row>79</xdr:row>
                    <xdr:rowOff>137160</xdr:rowOff>
                  </to>
                </anchor>
              </controlPr>
            </control>
          </mc:Choice>
        </mc:AlternateContent>
        <mc:AlternateContent xmlns:mc="http://schemas.openxmlformats.org/markup-compatibility/2006">
          <mc:Choice Requires="x14">
            <control shapeId="11353" r:id="rId125" name="Check Box 89">
              <controlPr defaultSize="0" autoFill="0" autoLine="0" autoPict="0">
                <anchor moveWithCells="1">
                  <from>
                    <xdr:col>11</xdr:col>
                    <xdr:colOff>0</xdr:colOff>
                    <xdr:row>79</xdr:row>
                    <xdr:rowOff>144780</xdr:rowOff>
                  </from>
                  <to>
                    <xdr:col>11</xdr:col>
                    <xdr:colOff>1752600</xdr:colOff>
                    <xdr:row>80</xdr:row>
                    <xdr:rowOff>0</xdr:rowOff>
                  </to>
                </anchor>
              </controlPr>
            </control>
          </mc:Choice>
        </mc:AlternateContent>
        <mc:AlternateContent xmlns:mc="http://schemas.openxmlformats.org/markup-compatibility/2006">
          <mc:Choice Requires="x14">
            <control shapeId="11354" r:id="rId126" name="Check Box 90">
              <controlPr defaultSize="0" autoFill="0" autoLine="0" autoPict="0">
                <anchor moveWithCells="1">
                  <from>
                    <xdr:col>11</xdr:col>
                    <xdr:colOff>0</xdr:colOff>
                    <xdr:row>78</xdr:row>
                    <xdr:rowOff>30480</xdr:rowOff>
                  </from>
                  <to>
                    <xdr:col>11</xdr:col>
                    <xdr:colOff>1752600</xdr:colOff>
                    <xdr:row>78</xdr:row>
                    <xdr:rowOff>228600</xdr:rowOff>
                  </to>
                </anchor>
              </controlPr>
            </control>
          </mc:Choice>
        </mc:AlternateContent>
        <mc:AlternateContent xmlns:mc="http://schemas.openxmlformats.org/markup-compatibility/2006">
          <mc:Choice Requires="x14">
            <control shapeId="11355" r:id="rId127" name="Check Box 91">
              <controlPr defaultSize="0" autoFill="0" autoLine="0" autoPict="0">
                <anchor moveWithCells="1">
                  <from>
                    <xdr:col>11</xdr:col>
                    <xdr:colOff>0</xdr:colOff>
                    <xdr:row>80</xdr:row>
                    <xdr:rowOff>266700</xdr:rowOff>
                  </from>
                  <to>
                    <xdr:col>11</xdr:col>
                    <xdr:colOff>1752600</xdr:colOff>
                    <xdr:row>81</xdr:row>
                    <xdr:rowOff>167640</xdr:rowOff>
                  </to>
                </anchor>
              </controlPr>
            </control>
          </mc:Choice>
        </mc:AlternateContent>
        <mc:AlternateContent xmlns:mc="http://schemas.openxmlformats.org/markup-compatibility/2006">
          <mc:Choice Requires="x14">
            <control shapeId="11356" r:id="rId128" name="Check Box 92">
              <controlPr defaultSize="0" autoFill="0" autoLine="0" autoPict="0">
                <anchor moveWithCells="1">
                  <from>
                    <xdr:col>11</xdr:col>
                    <xdr:colOff>0</xdr:colOff>
                    <xdr:row>81</xdr:row>
                    <xdr:rowOff>144780</xdr:rowOff>
                  </from>
                  <to>
                    <xdr:col>11</xdr:col>
                    <xdr:colOff>1752600</xdr:colOff>
                    <xdr:row>82</xdr:row>
                    <xdr:rowOff>30480</xdr:rowOff>
                  </to>
                </anchor>
              </controlPr>
            </control>
          </mc:Choice>
        </mc:AlternateContent>
        <mc:AlternateContent xmlns:mc="http://schemas.openxmlformats.org/markup-compatibility/2006">
          <mc:Choice Requires="x14">
            <control shapeId="11357" r:id="rId129" name="Check Box 93">
              <controlPr defaultSize="0" autoFill="0" autoLine="0" autoPict="0">
                <anchor moveWithCells="1">
                  <from>
                    <xdr:col>11</xdr:col>
                    <xdr:colOff>0</xdr:colOff>
                    <xdr:row>80</xdr:row>
                    <xdr:rowOff>30480</xdr:rowOff>
                  </from>
                  <to>
                    <xdr:col>11</xdr:col>
                    <xdr:colOff>1752600</xdr:colOff>
                    <xdr:row>80</xdr:row>
                    <xdr:rowOff>320040</xdr:rowOff>
                  </to>
                </anchor>
              </controlPr>
            </control>
          </mc:Choice>
        </mc:AlternateContent>
        <mc:AlternateContent xmlns:mc="http://schemas.openxmlformats.org/markup-compatibility/2006">
          <mc:Choice Requires="x14">
            <control shapeId="11358" r:id="rId130" name="Check Box 94">
              <controlPr defaultSize="0" autoFill="0" autoLine="0" autoPict="0">
                <anchor moveWithCells="1">
                  <from>
                    <xdr:col>11</xdr:col>
                    <xdr:colOff>0</xdr:colOff>
                    <xdr:row>82</xdr:row>
                    <xdr:rowOff>266700</xdr:rowOff>
                  </from>
                  <to>
                    <xdr:col>11</xdr:col>
                    <xdr:colOff>1752600</xdr:colOff>
                    <xdr:row>83</xdr:row>
                    <xdr:rowOff>167640</xdr:rowOff>
                  </to>
                </anchor>
              </controlPr>
            </control>
          </mc:Choice>
        </mc:AlternateContent>
        <mc:AlternateContent xmlns:mc="http://schemas.openxmlformats.org/markup-compatibility/2006">
          <mc:Choice Requires="x14">
            <control shapeId="11359" r:id="rId131" name="Check Box 95">
              <controlPr defaultSize="0" autoFill="0" autoLine="0" autoPict="0">
                <anchor moveWithCells="1">
                  <from>
                    <xdr:col>11</xdr:col>
                    <xdr:colOff>0</xdr:colOff>
                    <xdr:row>83</xdr:row>
                    <xdr:rowOff>144780</xdr:rowOff>
                  </from>
                  <to>
                    <xdr:col>11</xdr:col>
                    <xdr:colOff>1752600</xdr:colOff>
                    <xdr:row>84</xdr:row>
                    <xdr:rowOff>0</xdr:rowOff>
                  </to>
                </anchor>
              </controlPr>
            </control>
          </mc:Choice>
        </mc:AlternateContent>
        <mc:AlternateContent xmlns:mc="http://schemas.openxmlformats.org/markup-compatibility/2006">
          <mc:Choice Requires="x14">
            <control shapeId="11360" r:id="rId132" name="Check Box 96">
              <controlPr defaultSize="0" autoFill="0" autoLine="0" autoPict="0">
                <anchor moveWithCells="1">
                  <from>
                    <xdr:col>11</xdr:col>
                    <xdr:colOff>0</xdr:colOff>
                    <xdr:row>82</xdr:row>
                    <xdr:rowOff>30480</xdr:rowOff>
                  </from>
                  <to>
                    <xdr:col>11</xdr:col>
                    <xdr:colOff>1752600</xdr:colOff>
                    <xdr:row>82</xdr:row>
                    <xdr:rowOff>320040</xdr:rowOff>
                  </to>
                </anchor>
              </controlPr>
            </control>
          </mc:Choice>
        </mc:AlternateContent>
        <mc:AlternateContent xmlns:mc="http://schemas.openxmlformats.org/markup-compatibility/2006">
          <mc:Choice Requires="x14">
            <control shapeId="11361" r:id="rId133" name="Check Box 97">
              <controlPr defaultSize="0" autoFill="0" autoLine="0" autoPict="0">
                <anchor moveWithCells="1">
                  <from>
                    <xdr:col>11</xdr:col>
                    <xdr:colOff>0</xdr:colOff>
                    <xdr:row>84</xdr:row>
                    <xdr:rowOff>266700</xdr:rowOff>
                  </from>
                  <to>
                    <xdr:col>11</xdr:col>
                    <xdr:colOff>1752600</xdr:colOff>
                    <xdr:row>85</xdr:row>
                    <xdr:rowOff>182880</xdr:rowOff>
                  </to>
                </anchor>
              </controlPr>
            </control>
          </mc:Choice>
        </mc:AlternateContent>
        <mc:AlternateContent xmlns:mc="http://schemas.openxmlformats.org/markup-compatibility/2006">
          <mc:Choice Requires="x14">
            <control shapeId="11362" r:id="rId134" name="Check Box 98">
              <controlPr defaultSize="0" autoFill="0" autoLine="0" autoPict="0">
                <anchor moveWithCells="1">
                  <from>
                    <xdr:col>11</xdr:col>
                    <xdr:colOff>0</xdr:colOff>
                    <xdr:row>85</xdr:row>
                    <xdr:rowOff>144780</xdr:rowOff>
                  </from>
                  <to>
                    <xdr:col>11</xdr:col>
                    <xdr:colOff>1752600</xdr:colOff>
                    <xdr:row>86</xdr:row>
                    <xdr:rowOff>30480</xdr:rowOff>
                  </to>
                </anchor>
              </controlPr>
            </control>
          </mc:Choice>
        </mc:AlternateContent>
        <mc:AlternateContent xmlns:mc="http://schemas.openxmlformats.org/markup-compatibility/2006">
          <mc:Choice Requires="x14">
            <control shapeId="11363" r:id="rId135" name="Check Box 99">
              <controlPr defaultSize="0" autoFill="0" autoLine="0" autoPict="0">
                <anchor moveWithCells="1">
                  <from>
                    <xdr:col>11</xdr:col>
                    <xdr:colOff>0</xdr:colOff>
                    <xdr:row>84</xdr:row>
                    <xdr:rowOff>30480</xdr:rowOff>
                  </from>
                  <to>
                    <xdr:col>11</xdr:col>
                    <xdr:colOff>1752600</xdr:colOff>
                    <xdr:row>84</xdr:row>
                    <xdr:rowOff>228600</xdr:rowOff>
                  </to>
                </anchor>
              </controlPr>
            </control>
          </mc:Choice>
        </mc:AlternateContent>
        <mc:AlternateContent xmlns:mc="http://schemas.openxmlformats.org/markup-compatibility/2006">
          <mc:Choice Requires="x14">
            <control shapeId="11364" r:id="rId136" name="Check Box 100">
              <controlPr defaultSize="0" autoFill="0" autoLine="0" autoPict="0">
                <anchor moveWithCells="1">
                  <from>
                    <xdr:col>11</xdr:col>
                    <xdr:colOff>0</xdr:colOff>
                    <xdr:row>86</xdr:row>
                    <xdr:rowOff>266700</xdr:rowOff>
                  </from>
                  <to>
                    <xdr:col>11</xdr:col>
                    <xdr:colOff>1752600</xdr:colOff>
                    <xdr:row>87</xdr:row>
                    <xdr:rowOff>167640</xdr:rowOff>
                  </to>
                </anchor>
              </controlPr>
            </control>
          </mc:Choice>
        </mc:AlternateContent>
        <mc:AlternateContent xmlns:mc="http://schemas.openxmlformats.org/markup-compatibility/2006">
          <mc:Choice Requires="x14">
            <control shapeId="11365" r:id="rId137" name="Check Box 101">
              <controlPr defaultSize="0" autoFill="0" autoLine="0" autoPict="0">
                <anchor moveWithCells="1">
                  <from>
                    <xdr:col>11</xdr:col>
                    <xdr:colOff>0</xdr:colOff>
                    <xdr:row>87</xdr:row>
                    <xdr:rowOff>144780</xdr:rowOff>
                  </from>
                  <to>
                    <xdr:col>11</xdr:col>
                    <xdr:colOff>1752600</xdr:colOff>
                    <xdr:row>88</xdr:row>
                    <xdr:rowOff>0</xdr:rowOff>
                  </to>
                </anchor>
              </controlPr>
            </control>
          </mc:Choice>
        </mc:AlternateContent>
        <mc:AlternateContent xmlns:mc="http://schemas.openxmlformats.org/markup-compatibility/2006">
          <mc:Choice Requires="x14">
            <control shapeId="11366" r:id="rId138" name="Check Box 102">
              <controlPr defaultSize="0" autoFill="0" autoLine="0" autoPict="0">
                <anchor moveWithCells="1">
                  <from>
                    <xdr:col>11</xdr:col>
                    <xdr:colOff>0</xdr:colOff>
                    <xdr:row>86</xdr:row>
                    <xdr:rowOff>30480</xdr:rowOff>
                  </from>
                  <to>
                    <xdr:col>11</xdr:col>
                    <xdr:colOff>1752600</xdr:colOff>
                    <xdr:row>86</xdr:row>
                    <xdr:rowOff>228600</xdr:rowOff>
                  </to>
                </anchor>
              </controlPr>
            </control>
          </mc:Choice>
        </mc:AlternateContent>
        <mc:AlternateContent xmlns:mc="http://schemas.openxmlformats.org/markup-compatibility/2006">
          <mc:Choice Requires="x14">
            <control shapeId="11367" r:id="rId139" name="Check Box 103">
              <controlPr defaultSize="0" autoFill="0" autoLine="0" autoPict="0">
                <anchor moveWithCells="1">
                  <from>
                    <xdr:col>11</xdr:col>
                    <xdr:colOff>0</xdr:colOff>
                    <xdr:row>88</xdr:row>
                    <xdr:rowOff>266700</xdr:rowOff>
                  </from>
                  <to>
                    <xdr:col>11</xdr:col>
                    <xdr:colOff>1752600</xdr:colOff>
                    <xdr:row>89</xdr:row>
                    <xdr:rowOff>167640</xdr:rowOff>
                  </to>
                </anchor>
              </controlPr>
            </control>
          </mc:Choice>
        </mc:AlternateContent>
        <mc:AlternateContent xmlns:mc="http://schemas.openxmlformats.org/markup-compatibility/2006">
          <mc:Choice Requires="x14">
            <control shapeId="11368" r:id="rId140" name="Check Box 104">
              <controlPr defaultSize="0" autoFill="0" autoLine="0" autoPict="0">
                <anchor moveWithCells="1">
                  <from>
                    <xdr:col>11</xdr:col>
                    <xdr:colOff>0</xdr:colOff>
                    <xdr:row>89</xdr:row>
                    <xdr:rowOff>144780</xdr:rowOff>
                  </from>
                  <to>
                    <xdr:col>11</xdr:col>
                    <xdr:colOff>1752600</xdr:colOff>
                    <xdr:row>90</xdr:row>
                    <xdr:rowOff>30480</xdr:rowOff>
                  </to>
                </anchor>
              </controlPr>
            </control>
          </mc:Choice>
        </mc:AlternateContent>
        <mc:AlternateContent xmlns:mc="http://schemas.openxmlformats.org/markup-compatibility/2006">
          <mc:Choice Requires="x14">
            <control shapeId="11369" r:id="rId141" name="Check Box 105">
              <controlPr defaultSize="0" autoFill="0" autoLine="0" autoPict="0">
                <anchor moveWithCells="1">
                  <from>
                    <xdr:col>11</xdr:col>
                    <xdr:colOff>0</xdr:colOff>
                    <xdr:row>88</xdr:row>
                    <xdr:rowOff>30480</xdr:rowOff>
                  </from>
                  <to>
                    <xdr:col>11</xdr:col>
                    <xdr:colOff>1752600</xdr:colOff>
                    <xdr:row>88</xdr:row>
                    <xdr:rowOff>205740</xdr:rowOff>
                  </to>
                </anchor>
              </controlPr>
            </control>
          </mc:Choice>
        </mc:AlternateContent>
        <mc:AlternateContent xmlns:mc="http://schemas.openxmlformats.org/markup-compatibility/2006">
          <mc:Choice Requires="x14">
            <control shapeId="11370" r:id="rId142" name="Check Box 106">
              <controlPr defaultSize="0" autoFill="0" autoLine="0" autoPict="0">
                <anchor moveWithCells="1">
                  <from>
                    <xdr:col>11</xdr:col>
                    <xdr:colOff>0</xdr:colOff>
                    <xdr:row>90</xdr:row>
                    <xdr:rowOff>266700</xdr:rowOff>
                  </from>
                  <to>
                    <xdr:col>11</xdr:col>
                    <xdr:colOff>1752600</xdr:colOff>
                    <xdr:row>91</xdr:row>
                    <xdr:rowOff>182880</xdr:rowOff>
                  </to>
                </anchor>
              </controlPr>
            </control>
          </mc:Choice>
        </mc:AlternateContent>
        <mc:AlternateContent xmlns:mc="http://schemas.openxmlformats.org/markup-compatibility/2006">
          <mc:Choice Requires="x14">
            <control shapeId="11371" r:id="rId143" name="Check Box 107">
              <controlPr defaultSize="0" autoFill="0" autoLine="0" autoPict="0">
                <anchor moveWithCells="1">
                  <from>
                    <xdr:col>11</xdr:col>
                    <xdr:colOff>0</xdr:colOff>
                    <xdr:row>91</xdr:row>
                    <xdr:rowOff>144780</xdr:rowOff>
                  </from>
                  <to>
                    <xdr:col>11</xdr:col>
                    <xdr:colOff>1752600</xdr:colOff>
                    <xdr:row>92</xdr:row>
                    <xdr:rowOff>0</xdr:rowOff>
                  </to>
                </anchor>
              </controlPr>
            </control>
          </mc:Choice>
        </mc:AlternateContent>
        <mc:AlternateContent xmlns:mc="http://schemas.openxmlformats.org/markup-compatibility/2006">
          <mc:Choice Requires="x14">
            <control shapeId="11372" r:id="rId144" name="Check Box 108">
              <controlPr defaultSize="0" autoFill="0" autoLine="0" autoPict="0">
                <anchor moveWithCells="1">
                  <from>
                    <xdr:col>11</xdr:col>
                    <xdr:colOff>0</xdr:colOff>
                    <xdr:row>90</xdr:row>
                    <xdr:rowOff>30480</xdr:rowOff>
                  </from>
                  <to>
                    <xdr:col>11</xdr:col>
                    <xdr:colOff>1752600</xdr:colOff>
                    <xdr:row>90</xdr:row>
                    <xdr:rowOff>320040</xdr:rowOff>
                  </to>
                </anchor>
              </controlPr>
            </control>
          </mc:Choice>
        </mc:AlternateContent>
        <mc:AlternateContent xmlns:mc="http://schemas.openxmlformats.org/markup-compatibility/2006">
          <mc:Choice Requires="x14">
            <control shapeId="11373" r:id="rId145" name="Check Box 109">
              <controlPr defaultSize="0" autoFill="0" autoLine="0" autoPict="0">
                <anchor moveWithCells="1">
                  <from>
                    <xdr:col>11</xdr:col>
                    <xdr:colOff>0</xdr:colOff>
                    <xdr:row>92</xdr:row>
                    <xdr:rowOff>266700</xdr:rowOff>
                  </from>
                  <to>
                    <xdr:col>11</xdr:col>
                    <xdr:colOff>1752600</xdr:colOff>
                    <xdr:row>93</xdr:row>
                    <xdr:rowOff>167640</xdr:rowOff>
                  </to>
                </anchor>
              </controlPr>
            </control>
          </mc:Choice>
        </mc:AlternateContent>
        <mc:AlternateContent xmlns:mc="http://schemas.openxmlformats.org/markup-compatibility/2006">
          <mc:Choice Requires="x14">
            <control shapeId="11374" r:id="rId146" name="Check Box 110">
              <controlPr defaultSize="0" autoFill="0" autoLine="0" autoPict="0">
                <anchor moveWithCells="1">
                  <from>
                    <xdr:col>11</xdr:col>
                    <xdr:colOff>0</xdr:colOff>
                    <xdr:row>93</xdr:row>
                    <xdr:rowOff>144780</xdr:rowOff>
                  </from>
                  <to>
                    <xdr:col>11</xdr:col>
                    <xdr:colOff>1752600</xdr:colOff>
                    <xdr:row>94</xdr:row>
                    <xdr:rowOff>30480</xdr:rowOff>
                  </to>
                </anchor>
              </controlPr>
            </control>
          </mc:Choice>
        </mc:AlternateContent>
        <mc:AlternateContent xmlns:mc="http://schemas.openxmlformats.org/markup-compatibility/2006">
          <mc:Choice Requires="x14">
            <control shapeId="11375" r:id="rId147" name="Check Box 111">
              <controlPr defaultSize="0" autoFill="0" autoLine="0" autoPict="0">
                <anchor moveWithCells="1">
                  <from>
                    <xdr:col>11</xdr:col>
                    <xdr:colOff>0</xdr:colOff>
                    <xdr:row>92</xdr:row>
                    <xdr:rowOff>30480</xdr:rowOff>
                  </from>
                  <to>
                    <xdr:col>11</xdr:col>
                    <xdr:colOff>1752600</xdr:colOff>
                    <xdr:row>92</xdr:row>
                    <xdr:rowOff>320040</xdr:rowOff>
                  </to>
                </anchor>
              </controlPr>
            </control>
          </mc:Choice>
        </mc:AlternateContent>
        <mc:AlternateContent xmlns:mc="http://schemas.openxmlformats.org/markup-compatibility/2006">
          <mc:Choice Requires="x14">
            <control shapeId="11376" r:id="rId148" name="Check Box 112">
              <controlPr defaultSize="0" autoFill="0" autoLine="0" autoPict="0">
                <anchor moveWithCells="1">
                  <from>
                    <xdr:col>11</xdr:col>
                    <xdr:colOff>0</xdr:colOff>
                    <xdr:row>94</xdr:row>
                    <xdr:rowOff>266700</xdr:rowOff>
                  </from>
                  <to>
                    <xdr:col>11</xdr:col>
                    <xdr:colOff>1752600</xdr:colOff>
                    <xdr:row>95</xdr:row>
                    <xdr:rowOff>167640</xdr:rowOff>
                  </to>
                </anchor>
              </controlPr>
            </control>
          </mc:Choice>
        </mc:AlternateContent>
        <mc:AlternateContent xmlns:mc="http://schemas.openxmlformats.org/markup-compatibility/2006">
          <mc:Choice Requires="x14">
            <control shapeId="11377" r:id="rId149" name="Check Box 113">
              <controlPr defaultSize="0" autoFill="0" autoLine="0" autoPict="0">
                <anchor moveWithCells="1">
                  <from>
                    <xdr:col>11</xdr:col>
                    <xdr:colOff>0</xdr:colOff>
                    <xdr:row>95</xdr:row>
                    <xdr:rowOff>144780</xdr:rowOff>
                  </from>
                  <to>
                    <xdr:col>11</xdr:col>
                    <xdr:colOff>1752600</xdr:colOff>
                    <xdr:row>96</xdr:row>
                    <xdr:rowOff>0</xdr:rowOff>
                  </to>
                </anchor>
              </controlPr>
            </control>
          </mc:Choice>
        </mc:AlternateContent>
        <mc:AlternateContent xmlns:mc="http://schemas.openxmlformats.org/markup-compatibility/2006">
          <mc:Choice Requires="x14">
            <control shapeId="11378" r:id="rId150" name="Check Box 114">
              <controlPr defaultSize="0" autoFill="0" autoLine="0" autoPict="0">
                <anchor moveWithCells="1">
                  <from>
                    <xdr:col>11</xdr:col>
                    <xdr:colOff>0</xdr:colOff>
                    <xdr:row>94</xdr:row>
                    <xdr:rowOff>30480</xdr:rowOff>
                  </from>
                  <to>
                    <xdr:col>11</xdr:col>
                    <xdr:colOff>1752600</xdr:colOff>
                    <xdr:row>94</xdr:row>
                    <xdr:rowOff>320040</xdr:rowOff>
                  </to>
                </anchor>
              </controlPr>
            </control>
          </mc:Choice>
        </mc:AlternateContent>
        <mc:AlternateContent xmlns:mc="http://schemas.openxmlformats.org/markup-compatibility/2006">
          <mc:Choice Requires="x14">
            <control shapeId="11379" r:id="rId151" name="Check Box 115">
              <controlPr defaultSize="0" autoFill="0" autoLine="0" autoPict="0">
                <anchor moveWithCells="1">
                  <from>
                    <xdr:col>11</xdr:col>
                    <xdr:colOff>0</xdr:colOff>
                    <xdr:row>96</xdr:row>
                    <xdr:rowOff>266700</xdr:rowOff>
                  </from>
                  <to>
                    <xdr:col>11</xdr:col>
                    <xdr:colOff>1752600</xdr:colOff>
                    <xdr:row>97</xdr:row>
                    <xdr:rowOff>167640</xdr:rowOff>
                  </to>
                </anchor>
              </controlPr>
            </control>
          </mc:Choice>
        </mc:AlternateContent>
        <mc:AlternateContent xmlns:mc="http://schemas.openxmlformats.org/markup-compatibility/2006">
          <mc:Choice Requires="x14">
            <control shapeId="11380" r:id="rId152" name="Check Box 116">
              <controlPr defaultSize="0" autoFill="0" autoLine="0" autoPict="0">
                <anchor moveWithCells="1">
                  <from>
                    <xdr:col>11</xdr:col>
                    <xdr:colOff>0</xdr:colOff>
                    <xdr:row>97</xdr:row>
                    <xdr:rowOff>144780</xdr:rowOff>
                  </from>
                  <to>
                    <xdr:col>11</xdr:col>
                    <xdr:colOff>1752600</xdr:colOff>
                    <xdr:row>98</xdr:row>
                    <xdr:rowOff>30480</xdr:rowOff>
                  </to>
                </anchor>
              </controlPr>
            </control>
          </mc:Choice>
        </mc:AlternateContent>
        <mc:AlternateContent xmlns:mc="http://schemas.openxmlformats.org/markup-compatibility/2006">
          <mc:Choice Requires="x14">
            <control shapeId="11381" r:id="rId153" name="Check Box 117">
              <controlPr defaultSize="0" autoFill="0" autoLine="0" autoPict="0">
                <anchor moveWithCells="1">
                  <from>
                    <xdr:col>11</xdr:col>
                    <xdr:colOff>0</xdr:colOff>
                    <xdr:row>96</xdr:row>
                    <xdr:rowOff>30480</xdr:rowOff>
                  </from>
                  <to>
                    <xdr:col>11</xdr:col>
                    <xdr:colOff>1752600</xdr:colOff>
                    <xdr:row>96</xdr:row>
                    <xdr:rowOff>205740</xdr:rowOff>
                  </to>
                </anchor>
              </controlPr>
            </control>
          </mc:Choice>
        </mc:AlternateContent>
        <mc:AlternateContent xmlns:mc="http://schemas.openxmlformats.org/markup-compatibility/2006">
          <mc:Choice Requires="x14">
            <control shapeId="11382" r:id="rId154" name="Check Box 118">
              <controlPr defaultSize="0" autoFill="0" autoLine="0" autoPict="0">
                <anchor moveWithCells="1">
                  <from>
                    <xdr:col>11</xdr:col>
                    <xdr:colOff>0</xdr:colOff>
                    <xdr:row>98</xdr:row>
                    <xdr:rowOff>266700</xdr:rowOff>
                  </from>
                  <to>
                    <xdr:col>11</xdr:col>
                    <xdr:colOff>1752600</xdr:colOff>
                    <xdr:row>99</xdr:row>
                    <xdr:rowOff>137160</xdr:rowOff>
                  </to>
                </anchor>
              </controlPr>
            </control>
          </mc:Choice>
        </mc:AlternateContent>
        <mc:AlternateContent xmlns:mc="http://schemas.openxmlformats.org/markup-compatibility/2006">
          <mc:Choice Requires="x14">
            <control shapeId="11383" r:id="rId155" name="Check Box 119">
              <controlPr defaultSize="0" autoFill="0" autoLine="0" autoPict="0">
                <anchor moveWithCells="1">
                  <from>
                    <xdr:col>11</xdr:col>
                    <xdr:colOff>0</xdr:colOff>
                    <xdr:row>99</xdr:row>
                    <xdr:rowOff>144780</xdr:rowOff>
                  </from>
                  <to>
                    <xdr:col>11</xdr:col>
                    <xdr:colOff>1752600</xdr:colOff>
                    <xdr:row>100</xdr:row>
                    <xdr:rowOff>0</xdr:rowOff>
                  </to>
                </anchor>
              </controlPr>
            </control>
          </mc:Choice>
        </mc:AlternateContent>
        <mc:AlternateContent xmlns:mc="http://schemas.openxmlformats.org/markup-compatibility/2006">
          <mc:Choice Requires="x14">
            <control shapeId="11384" r:id="rId156" name="Check Box 120">
              <controlPr defaultSize="0" autoFill="0" autoLine="0" autoPict="0">
                <anchor moveWithCells="1">
                  <from>
                    <xdr:col>11</xdr:col>
                    <xdr:colOff>0</xdr:colOff>
                    <xdr:row>98</xdr:row>
                    <xdr:rowOff>30480</xdr:rowOff>
                  </from>
                  <to>
                    <xdr:col>11</xdr:col>
                    <xdr:colOff>1752600</xdr:colOff>
                    <xdr:row>98</xdr:row>
                    <xdr:rowOff>228600</xdr:rowOff>
                  </to>
                </anchor>
              </controlPr>
            </control>
          </mc:Choice>
        </mc:AlternateContent>
        <mc:AlternateContent xmlns:mc="http://schemas.openxmlformats.org/markup-compatibility/2006">
          <mc:Choice Requires="x14">
            <control shapeId="11385" r:id="rId157" name="Check Box 121">
              <controlPr defaultSize="0" autoFill="0" autoLine="0" autoPict="0">
                <anchor moveWithCells="1">
                  <from>
                    <xdr:col>11</xdr:col>
                    <xdr:colOff>0</xdr:colOff>
                    <xdr:row>100</xdr:row>
                    <xdr:rowOff>266700</xdr:rowOff>
                  </from>
                  <to>
                    <xdr:col>11</xdr:col>
                    <xdr:colOff>1752600</xdr:colOff>
                    <xdr:row>101</xdr:row>
                    <xdr:rowOff>167640</xdr:rowOff>
                  </to>
                </anchor>
              </controlPr>
            </control>
          </mc:Choice>
        </mc:AlternateContent>
        <mc:AlternateContent xmlns:mc="http://schemas.openxmlformats.org/markup-compatibility/2006">
          <mc:Choice Requires="x14">
            <control shapeId="11386" r:id="rId158" name="Check Box 122">
              <controlPr defaultSize="0" autoFill="0" autoLine="0" autoPict="0">
                <anchor moveWithCells="1">
                  <from>
                    <xdr:col>11</xdr:col>
                    <xdr:colOff>0</xdr:colOff>
                    <xdr:row>101</xdr:row>
                    <xdr:rowOff>144780</xdr:rowOff>
                  </from>
                  <to>
                    <xdr:col>11</xdr:col>
                    <xdr:colOff>1752600</xdr:colOff>
                    <xdr:row>102</xdr:row>
                    <xdr:rowOff>99060</xdr:rowOff>
                  </to>
                </anchor>
              </controlPr>
            </control>
          </mc:Choice>
        </mc:AlternateContent>
        <mc:AlternateContent xmlns:mc="http://schemas.openxmlformats.org/markup-compatibility/2006">
          <mc:Choice Requires="x14">
            <control shapeId="11387" r:id="rId159" name="Check Box 123">
              <controlPr defaultSize="0" autoFill="0" autoLine="0" autoPict="0">
                <anchor moveWithCells="1">
                  <from>
                    <xdr:col>11</xdr:col>
                    <xdr:colOff>0</xdr:colOff>
                    <xdr:row>100</xdr:row>
                    <xdr:rowOff>30480</xdr:rowOff>
                  </from>
                  <to>
                    <xdr:col>11</xdr:col>
                    <xdr:colOff>1752600</xdr:colOff>
                    <xdr:row>100</xdr:row>
                    <xdr:rowOff>320040</xdr:rowOff>
                  </to>
                </anchor>
              </controlPr>
            </control>
          </mc:Choice>
        </mc:AlternateContent>
        <mc:AlternateContent xmlns:mc="http://schemas.openxmlformats.org/markup-compatibility/2006">
          <mc:Choice Requires="x14">
            <control shapeId="11388" r:id="rId160" name="Check Box 124">
              <controlPr defaultSize="0" autoFill="0" autoLine="0" autoPict="0">
                <anchor moveWithCells="1">
                  <from>
                    <xdr:col>11</xdr:col>
                    <xdr:colOff>0</xdr:colOff>
                    <xdr:row>102</xdr:row>
                    <xdr:rowOff>266700</xdr:rowOff>
                  </from>
                  <to>
                    <xdr:col>11</xdr:col>
                    <xdr:colOff>1752600</xdr:colOff>
                    <xdr:row>103</xdr:row>
                    <xdr:rowOff>167640</xdr:rowOff>
                  </to>
                </anchor>
              </controlPr>
            </control>
          </mc:Choice>
        </mc:AlternateContent>
        <mc:AlternateContent xmlns:mc="http://schemas.openxmlformats.org/markup-compatibility/2006">
          <mc:Choice Requires="x14">
            <control shapeId="11389" r:id="rId161" name="Check Box 125">
              <controlPr defaultSize="0" autoFill="0" autoLine="0" autoPict="0">
                <anchor moveWithCells="1">
                  <from>
                    <xdr:col>11</xdr:col>
                    <xdr:colOff>0</xdr:colOff>
                    <xdr:row>103</xdr:row>
                    <xdr:rowOff>144780</xdr:rowOff>
                  </from>
                  <to>
                    <xdr:col>11</xdr:col>
                    <xdr:colOff>1752600</xdr:colOff>
                    <xdr:row>104</xdr:row>
                    <xdr:rowOff>0</xdr:rowOff>
                  </to>
                </anchor>
              </controlPr>
            </control>
          </mc:Choice>
        </mc:AlternateContent>
        <mc:AlternateContent xmlns:mc="http://schemas.openxmlformats.org/markup-compatibility/2006">
          <mc:Choice Requires="x14">
            <control shapeId="11390" r:id="rId162" name="Check Box 126">
              <controlPr defaultSize="0" autoFill="0" autoLine="0" autoPict="0">
                <anchor moveWithCells="1">
                  <from>
                    <xdr:col>11</xdr:col>
                    <xdr:colOff>0</xdr:colOff>
                    <xdr:row>102</xdr:row>
                    <xdr:rowOff>30480</xdr:rowOff>
                  </from>
                  <to>
                    <xdr:col>11</xdr:col>
                    <xdr:colOff>1752600</xdr:colOff>
                    <xdr:row>102</xdr:row>
                    <xdr:rowOff>274320</xdr:rowOff>
                  </to>
                </anchor>
              </controlPr>
            </control>
          </mc:Choice>
        </mc:AlternateContent>
        <mc:AlternateContent xmlns:mc="http://schemas.openxmlformats.org/markup-compatibility/2006">
          <mc:Choice Requires="x14">
            <control shapeId="11391" r:id="rId163" name="Check Box 127">
              <controlPr defaultSize="0" autoFill="0" autoLine="0" autoPict="0">
                <anchor moveWithCells="1">
                  <from>
                    <xdr:col>11</xdr:col>
                    <xdr:colOff>0</xdr:colOff>
                    <xdr:row>104</xdr:row>
                    <xdr:rowOff>266700</xdr:rowOff>
                  </from>
                  <to>
                    <xdr:col>11</xdr:col>
                    <xdr:colOff>1752600</xdr:colOff>
                    <xdr:row>105</xdr:row>
                    <xdr:rowOff>167640</xdr:rowOff>
                  </to>
                </anchor>
              </controlPr>
            </control>
          </mc:Choice>
        </mc:AlternateContent>
        <mc:AlternateContent xmlns:mc="http://schemas.openxmlformats.org/markup-compatibility/2006">
          <mc:Choice Requires="x14">
            <control shapeId="11392" r:id="rId164" name="Check Box 128">
              <controlPr defaultSize="0" autoFill="0" autoLine="0" autoPict="0">
                <anchor moveWithCells="1">
                  <from>
                    <xdr:col>11</xdr:col>
                    <xdr:colOff>0</xdr:colOff>
                    <xdr:row>105</xdr:row>
                    <xdr:rowOff>144780</xdr:rowOff>
                  </from>
                  <to>
                    <xdr:col>11</xdr:col>
                    <xdr:colOff>1752600</xdr:colOff>
                    <xdr:row>106</xdr:row>
                    <xdr:rowOff>99060</xdr:rowOff>
                  </to>
                </anchor>
              </controlPr>
            </control>
          </mc:Choice>
        </mc:AlternateContent>
        <mc:AlternateContent xmlns:mc="http://schemas.openxmlformats.org/markup-compatibility/2006">
          <mc:Choice Requires="x14">
            <control shapeId="11393" r:id="rId165" name="Check Box 129">
              <controlPr defaultSize="0" autoFill="0" autoLine="0" autoPict="0">
                <anchor moveWithCells="1">
                  <from>
                    <xdr:col>11</xdr:col>
                    <xdr:colOff>0</xdr:colOff>
                    <xdr:row>104</xdr:row>
                    <xdr:rowOff>30480</xdr:rowOff>
                  </from>
                  <to>
                    <xdr:col>11</xdr:col>
                    <xdr:colOff>1752600</xdr:colOff>
                    <xdr:row>104</xdr:row>
                    <xdr:rowOff>327660</xdr:rowOff>
                  </to>
                </anchor>
              </controlPr>
            </control>
          </mc:Choice>
        </mc:AlternateContent>
        <mc:AlternateContent xmlns:mc="http://schemas.openxmlformats.org/markup-compatibility/2006">
          <mc:Choice Requires="x14">
            <control shapeId="11394" r:id="rId166" name="Check Box 130">
              <controlPr defaultSize="0" autoFill="0" autoLine="0" autoPict="0">
                <anchor moveWithCells="1">
                  <from>
                    <xdr:col>11</xdr:col>
                    <xdr:colOff>0</xdr:colOff>
                    <xdr:row>106</xdr:row>
                    <xdr:rowOff>266700</xdr:rowOff>
                  </from>
                  <to>
                    <xdr:col>11</xdr:col>
                    <xdr:colOff>1752600</xdr:colOff>
                    <xdr:row>107</xdr:row>
                    <xdr:rowOff>137160</xdr:rowOff>
                  </to>
                </anchor>
              </controlPr>
            </control>
          </mc:Choice>
        </mc:AlternateContent>
        <mc:AlternateContent xmlns:mc="http://schemas.openxmlformats.org/markup-compatibility/2006">
          <mc:Choice Requires="x14">
            <control shapeId="11395" r:id="rId167" name="Check Box 131">
              <controlPr defaultSize="0" autoFill="0" autoLine="0" autoPict="0">
                <anchor moveWithCells="1">
                  <from>
                    <xdr:col>11</xdr:col>
                    <xdr:colOff>0</xdr:colOff>
                    <xdr:row>107</xdr:row>
                    <xdr:rowOff>144780</xdr:rowOff>
                  </from>
                  <to>
                    <xdr:col>11</xdr:col>
                    <xdr:colOff>1752600</xdr:colOff>
                    <xdr:row>108</xdr:row>
                    <xdr:rowOff>0</xdr:rowOff>
                  </to>
                </anchor>
              </controlPr>
            </control>
          </mc:Choice>
        </mc:AlternateContent>
        <mc:AlternateContent xmlns:mc="http://schemas.openxmlformats.org/markup-compatibility/2006">
          <mc:Choice Requires="x14">
            <control shapeId="11396" r:id="rId168" name="Check Box 132">
              <controlPr defaultSize="0" autoFill="0" autoLine="0" autoPict="0">
                <anchor moveWithCells="1">
                  <from>
                    <xdr:col>11</xdr:col>
                    <xdr:colOff>0</xdr:colOff>
                    <xdr:row>106</xdr:row>
                    <xdr:rowOff>30480</xdr:rowOff>
                  </from>
                  <to>
                    <xdr:col>11</xdr:col>
                    <xdr:colOff>1752600</xdr:colOff>
                    <xdr:row>106</xdr:row>
                    <xdr:rowOff>327660</xdr:rowOff>
                  </to>
                </anchor>
              </controlPr>
            </control>
          </mc:Choice>
        </mc:AlternateContent>
        <mc:AlternateContent xmlns:mc="http://schemas.openxmlformats.org/markup-compatibility/2006">
          <mc:Choice Requires="x14">
            <control shapeId="11397" r:id="rId169" name="Check Box 133">
              <controlPr defaultSize="0" autoFill="0" autoLine="0" autoPict="0">
                <anchor moveWithCells="1">
                  <from>
                    <xdr:col>11</xdr:col>
                    <xdr:colOff>0</xdr:colOff>
                    <xdr:row>108</xdr:row>
                    <xdr:rowOff>266700</xdr:rowOff>
                  </from>
                  <to>
                    <xdr:col>11</xdr:col>
                    <xdr:colOff>1752600</xdr:colOff>
                    <xdr:row>109</xdr:row>
                    <xdr:rowOff>167640</xdr:rowOff>
                  </to>
                </anchor>
              </controlPr>
            </control>
          </mc:Choice>
        </mc:AlternateContent>
        <mc:AlternateContent xmlns:mc="http://schemas.openxmlformats.org/markup-compatibility/2006">
          <mc:Choice Requires="x14">
            <control shapeId="11398" r:id="rId170" name="Check Box 134">
              <controlPr defaultSize="0" autoFill="0" autoLine="0" autoPict="0">
                <anchor moveWithCells="1">
                  <from>
                    <xdr:col>11</xdr:col>
                    <xdr:colOff>0</xdr:colOff>
                    <xdr:row>109</xdr:row>
                    <xdr:rowOff>144780</xdr:rowOff>
                  </from>
                  <to>
                    <xdr:col>11</xdr:col>
                    <xdr:colOff>1752600</xdr:colOff>
                    <xdr:row>110</xdr:row>
                    <xdr:rowOff>99060</xdr:rowOff>
                  </to>
                </anchor>
              </controlPr>
            </control>
          </mc:Choice>
        </mc:AlternateContent>
        <mc:AlternateContent xmlns:mc="http://schemas.openxmlformats.org/markup-compatibility/2006">
          <mc:Choice Requires="x14">
            <control shapeId="11399" r:id="rId171" name="Check Box 135">
              <controlPr defaultSize="0" autoFill="0" autoLine="0" autoPict="0">
                <anchor moveWithCells="1">
                  <from>
                    <xdr:col>11</xdr:col>
                    <xdr:colOff>0</xdr:colOff>
                    <xdr:row>108</xdr:row>
                    <xdr:rowOff>30480</xdr:rowOff>
                  </from>
                  <to>
                    <xdr:col>11</xdr:col>
                    <xdr:colOff>1752600</xdr:colOff>
                    <xdr:row>108</xdr:row>
                    <xdr:rowOff>274320</xdr:rowOff>
                  </to>
                </anchor>
              </controlPr>
            </control>
          </mc:Choice>
        </mc:AlternateContent>
        <mc:AlternateContent xmlns:mc="http://schemas.openxmlformats.org/markup-compatibility/2006">
          <mc:Choice Requires="x14">
            <control shapeId="11400" r:id="rId172" name="Check Box 136">
              <controlPr defaultSize="0" autoFill="0" autoLine="0" autoPict="0">
                <anchor moveWithCells="1">
                  <from>
                    <xdr:col>11</xdr:col>
                    <xdr:colOff>0</xdr:colOff>
                    <xdr:row>142</xdr:row>
                    <xdr:rowOff>266700</xdr:rowOff>
                  </from>
                  <to>
                    <xdr:col>11</xdr:col>
                    <xdr:colOff>1752600</xdr:colOff>
                    <xdr:row>143</xdr:row>
                    <xdr:rowOff>182880</xdr:rowOff>
                  </to>
                </anchor>
              </controlPr>
            </control>
          </mc:Choice>
        </mc:AlternateContent>
        <mc:AlternateContent xmlns:mc="http://schemas.openxmlformats.org/markup-compatibility/2006">
          <mc:Choice Requires="x14">
            <control shapeId="11401" r:id="rId173" name="Check Box 137">
              <controlPr defaultSize="0" autoFill="0" autoLine="0" autoPict="0">
                <anchor moveWithCells="1">
                  <from>
                    <xdr:col>11</xdr:col>
                    <xdr:colOff>0</xdr:colOff>
                    <xdr:row>143</xdr:row>
                    <xdr:rowOff>144780</xdr:rowOff>
                  </from>
                  <to>
                    <xdr:col>11</xdr:col>
                    <xdr:colOff>1752600</xdr:colOff>
                    <xdr:row>144</xdr:row>
                    <xdr:rowOff>0</xdr:rowOff>
                  </to>
                </anchor>
              </controlPr>
            </control>
          </mc:Choice>
        </mc:AlternateContent>
        <mc:AlternateContent xmlns:mc="http://schemas.openxmlformats.org/markup-compatibility/2006">
          <mc:Choice Requires="x14">
            <control shapeId="11402" r:id="rId174" name="Check Box 138">
              <controlPr defaultSize="0" autoFill="0" autoLine="0" autoPict="0">
                <anchor moveWithCells="1">
                  <from>
                    <xdr:col>11</xdr:col>
                    <xdr:colOff>0</xdr:colOff>
                    <xdr:row>142</xdr:row>
                    <xdr:rowOff>30480</xdr:rowOff>
                  </from>
                  <to>
                    <xdr:col>11</xdr:col>
                    <xdr:colOff>1752600</xdr:colOff>
                    <xdr:row>142</xdr:row>
                    <xdr:rowOff>327660</xdr:rowOff>
                  </to>
                </anchor>
              </controlPr>
            </control>
          </mc:Choice>
        </mc:AlternateContent>
        <mc:AlternateContent xmlns:mc="http://schemas.openxmlformats.org/markup-compatibility/2006">
          <mc:Choice Requires="x14">
            <control shapeId="11404" r:id="rId175" name="Check Box 140">
              <controlPr defaultSize="0" autoFill="0" autoLine="0" autoPict="0">
                <anchor moveWithCells="1">
                  <from>
                    <xdr:col>11</xdr:col>
                    <xdr:colOff>0</xdr:colOff>
                    <xdr:row>109</xdr:row>
                    <xdr:rowOff>144780</xdr:rowOff>
                  </from>
                  <to>
                    <xdr:col>11</xdr:col>
                    <xdr:colOff>1752600</xdr:colOff>
                    <xdr:row>110</xdr:row>
                    <xdr:rowOff>99060</xdr:rowOff>
                  </to>
                </anchor>
              </controlPr>
            </control>
          </mc:Choice>
        </mc:AlternateContent>
        <mc:AlternateContent xmlns:mc="http://schemas.openxmlformats.org/markup-compatibility/2006">
          <mc:Choice Requires="x14">
            <control shapeId="11405" r:id="rId176" name="Check Box 141">
              <controlPr defaultSize="0" autoFill="0" autoLine="0" autoPict="0">
                <anchor moveWithCells="1">
                  <from>
                    <xdr:col>11</xdr:col>
                    <xdr:colOff>0</xdr:colOff>
                    <xdr:row>110</xdr:row>
                    <xdr:rowOff>266700</xdr:rowOff>
                  </from>
                  <to>
                    <xdr:col>11</xdr:col>
                    <xdr:colOff>1752600</xdr:colOff>
                    <xdr:row>111</xdr:row>
                    <xdr:rowOff>182880</xdr:rowOff>
                  </to>
                </anchor>
              </controlPr>
            </control>
          </mc:Choice>
        </mc:AlternateContent>
        <mc:AlternateContent xmlns:mc="http://schemas.openxmlformats.org/markup-compatibility/2006">
          <mc:Choice Requires="x14">
            <control shapeId="11406" r:id="rId177" name="Check Box 142">
              <controlPr defaultSize="0" autoFill="0" autoLine="0" autoPict="0">
                <anchor moveWithCells="1">
                  <from>
                    <xdr:col>11</xdr:col>
                    <xdr:colOff>0</xdr:colOff>
                    <xdr:row>111</xdr:row>
                    <xdr:rowOff>144780</xdr:rowOff>
                  </from>
                  <to>
                    <xdr:col>11</xdr:col>
                    <xdr:colOff>1752600</xdr:colOff>
                    <xdr:row>112</xdr:row>
                    <xdr:rowOff>7620</xdr:rowOff>
                  </to>
                </anchor>
              </controlPr>
            </control>
          </mc:Choice>
        </mc:AlternateContent>
        <mc:AlternateContent xmlns:mc="http://schemas.openxmlformats.org/markup-compatibility/2006">
          <mc:Choice Requires="x14">
            <control shapeId="11407" r:id="rId178" name="Check Box 143">
              <controlPr defaultSize="0" autoFill="0" autoLine="0" autoPict="0">
                <anchor moveWithCells="1">
                  <from>
                    <xdr:col>11</xdr:col>
                    <xdr:colOff>0</xdr:colOff>
                    <xdr:row>110</xdr:row>
                    <xdr:rowOff>30480</xdr:rowOff>
                  </from>
                  <to>
                    <xdr:col>11</xdr:col>
                    <xdr:colOff>1752600</xdr:colOff>
                    <xdr:row>110</xdr:row>
                    <xdr:rowOff>327660</xdr:rowOff>
                  </to>
                </anchor>
              </controlPr>
            </control>
          </mc:Choice>
        </mc:AlternateContent>
        <mc:AlternateContent xmlns:mc="http://schemas.openxmlformats.org/markup-compatibility/2006">
          <mc:Choice Requires="x14">
            <control shapeId="11408" r:id="rId179" name="Check Box 144">
              <controlPr defaultSize="0" autoFill="0" autoLine="0" autoPict="0">
                <anchor moveWithCells="1">
                  <from>
                    <xdr:col>11</xdr:col>
                    <xdr:colOff>0</xdr:colOff>
                    <xdr:row>112</xdr:row>
                    <xdr:rowOff>266700</xdr:rowOff>
                  </from>
                  <to>
                    <xdr:col>11</xdr:col>
                    <xdr:colOff>1752600</xdr:colOff>
                    <xdr:row>113</xdr:row>
                    <xdr:rowOff>152400</xdr:rowOff>
                  </to>
                </anchor>
              </controlPr>
            </control>
          </mc:Choice>
        </mc:AlternateContent>
        <mc:AlternateContent xmlns:mc="http://schemas.openxmlformats.org/markup-compatibility/2006">
          <mc:Choice Requires="x14">
            <control shapeId="11409" r:id="rId180" name="Check Box 145">
              <controlPr defaultSize="0" autoFill="0" autoLine="0" autoPict="0">
                <anchor moveWithCells="1">
                  <from>
                    <xdr:col>11</xdr:col>
                    <xdr:colOff>0</xdr:colOff>
                    <xdr:row>113</xdr:row>
                    <xdr:rowOff>144780</xdr:rowOff>
                  </from>
                  <to>
                    <xdr:col>11</xdr:col>
                    <xdr:colOff>1752600</xdr:colOff>
                    <xdr:row>114</xdr:row>
                    <xdr:rowOff>99060</xdr:rowOff>
                  </to>
                </anchor>
              </controlPr>
            </control>
          </mc:Choice>
        </mc:AlternateContent>
        <mc:AlternateContent xmlns:mc="http://schemas.openxmlformats.org/markup-compatibility/2006">
          <mc:Choice Requires="x14">
            <control shapeId="11410" r:id="rId181" name="Check Box 146">
              <controlPr defaultSize="0" autoFill="0" autoLine="0" autoPict="0">
                <anchor moveWithCells="1">
                  <from>
                    <xdr:col>11</xdr:col>
                    <xdr:colOff>0</xdr:colOff>
                    <xdr:row>112</xdr:row>
                    <xdr:rowOff>30480</xdr:rowOff>
                  </from>
                  <to>
                    <xdr:col>11</xdr:col>
                    <xdr:colOff>1752600</xdr:colOff>
                    <xdr:row>112</xdr:row>
                    <xdr:rowOff>335280</xdr:rowOff>
                  </to>
                </anchor>
              </controlPr>
            </control>
          </mc:Choice>
        </mc:AlternateContent>
        <mc:AlternateContent xmlns:mc="http://schemas.openxmlformats.org/markup-compatibility/2006">
          <mc:Choice Requires="x14">
            <control shapeId="11411" r:id="rId182" name="Check Box 147">
              <controlPr defaultSize="0" autoFill="0" autoLine="0" autoPict="0">
                <anchor moveWithCells="1">
                  <from>
                    <xdr:col>11</xdr:col>
                    <xdr:colOff>0</xdr:colOff>
                    <xdr:row>114</xdr:row>
                    <xdr:rowOff>266700</xdr:rowOff>
                  </from>
                  <to>
                    <xdr:col>11</xdr:col>
                    <xdr:colOff>1752600</xdr:colOff>
                    <xdr:row>115</xdr:row>
                    <xdr:rowOff>137160</xdr:rowOff>
                  </to>
                </anchor>
              </controlPr>
            </control>
          </mc:Choice>
        </mc:AlternateContent>
        <mc:AlternateContent xmlns:mc="http://schemas.openxmlformats.org/markup-compatibility/2006">
          <mc:Choice Requires="x14">
            <control shapeId="11412" r:id="rId183" name="Check Box 148">
              <controlPr defaultSize="0" autoFill="0" autoLine="0" autoPict="0">
                <anchor moveWithCells="1">
                  <from>
                    <xdr:col>11</xdr:col>
                    <xdr:colOff>0</xdr:colOff>
                    <xdr:row>115</xdr:row>
                    <xdr:rowOff>144780</xdr:rowOff>
                  </from>
                  <to>
                    <xdr:col>11</xdr:col>
                    <xdr:colOff>1752600</xdr:colOff>
                    <xdr:row>116</xdr:row>
                    <xdr:rowOff>0</xdr:rowOff>
                  </to>
                </anchor>
              </controlPr>
            </control>
          </mc:Choice>
        </mc:AlternateContent>
        <mc:AlternateContent xmlns:mc="http://schemas.openxmlformats.org/markup-compatibility/2006">
          <mc:Choice Requires="x14">
            <control shapeId="11413" r:id="rId184" name="Check Box 149">
              <controlPr defaultSize="0" autoFill="0" autoLine="0" autoPict="0">
                <anchor moveWithCells="1">
                  <from>
                    <xdr:col>11</xdr:col>
                    <xdr:colOff>0</xdr:colOff>
                    <xdr:row>114</xdr:row>
                    <xdr:rowOff>30480</xdr:rowOff>
                  </from>
                  <to>
                    <xdr:col>11</xdr:col>
                    <xdr:colOff>1752600</xdr:colOff>
                    <xdr:row>114</xdr:row>
                    <xdr:rowOff>327660</xdr:rowOff>
                  </to>
                </anchor>
              </controlPr>
            </control>
          </mc:Choice>
        </mc:AlternateContent>
        <mc:AlternateContent xmlns:mc="http://schemas.openxmlformats.org/markup-compatibility/2006">
          <mc:Choice Requires="x14">
            <control shapeId="11414" r:id="rId185" name="Check Box 150">
              <controlPr defaultSize="0" autoFill="0" autoLine="0" autoPict="0">
                <anchor moveWithCells="1">
                  <from>
                    <xdr:col>11</xdr:col>
                    <xdr:colOff>0</xdr:colOff>
                    <xdr:row>116</xdr:row>
                    <xdr:rowOff>266700</xdr:rowOff>
                  </from>
                  <to>
                    <xdr:col>11</xdr:col>
                    <xdr:colOff>1752600</xdr:colOff>
                    <xdr:row>117</xdr:row>
                    <xdr:rowOff>182880</xdr:rowOff>
                  </to>
                </anchor>
              </controlPr>
            </control>
          </mc:Choice>
        </mc:AlternateContent>
        <mc:AlternateContent xmlns:mc="http://schemas.openxmlformats.org/markup-compatibility/2006">
          <mc:Choice Requires="x14">
            <control shapeId="11415" r:id="rId186" name="Check Box 151">
              <controlPr defaultSize="0" autoFill="0" autoLine="0" autoPict="0">
                <anchor moveWithCells="1">
                  <from>
                    <xdr:col>11</xdr:col>
                    <xdr:colOff>0</xdr:colOff>
                    <xdr:row>117</xdr:row>
                    <xdr:rowOff>144780</xdr:rowOff>
                  </from>
                  <to>
                    <xdr:col>11</xdr:col>
                    <xdr:colOff>1752600</xdr:colOff>
                    <xdr:row>118</xdr:row>
                    <xdr:rowOff>99060</xdr:rowOff>
                  </to>
                </anchor>
              </controlPr>
            </control>
          </mc:Choice>
        </mc:AlternateContent>
        <mc:AlternateContent xmlns:mc="http://schemas.openxmlformats.org/markup-compatibility/2006">
          <mc:Choice Requires="x14">
            <control shapeId="11416" r:id="rId187" name="Check Box 152">
              <controlPr defaultSize="0" autoFill="0" autoLine="0" autoPict="0">
                <anchor moveWithCells="1">
                  <from>
                    <xdr:col>11</xdr:col>
                    <xdr:colOff>0</xdr:colOff>
                    <xdr:row>116</xdr:row>
                    <xdr:rowOff>30480</xdr:rowOff>
                  </from>
                  <to>
                    <xdr:col>11</xdr:col>
                    <xdr:colOff>1752600</xdr:colOff>
                    <xdr:row>116</xdr:row>
                    <xdr:rowOff>327660</xdr:rowOff>
                  </to>
                </anchor>
              </controlPr>
            </control>
          </mc:Choice>
        </mc:AlternateContent>
        <mc:AlternateContent xmlns:mc="http://schemas.openxmlformats.org/markup-compatibility/2006">
          <mc:Choice Requires="x14">
            <control shapeId="11417" r:id="rId188" name="Check Box 153">
              <controlPr defaultSize="0" autoFill="0" autoLine="0" autoPict="0">
                <anchor moveWithCells="1">
                  <from>
                    <xdr:col>11</xdr:col>
                    <xdr:colOff>0</xdr:colOff>
                    <xdr:row>118</xdr:row>
                    <xdr:rowOff>266700</xdr:rowOff>
                  </from>
                  <to>
                    <xdr:col>11</xdr:col>
                    <xdr:colOff>1752600</xdr:colOff>
                    <xdr:row>119</xdr:row>
                    <xdr:rowOff>137160</xdr:rowOff>
                  </to>
                </anchor>
              </controlPr>
            </control>
          </mc:Choice>
        </mc:AlternateContent>
        <mc:AlternateContent xmlns:mc="http://schemas.openxmlformats.org/markup-compatibility/2006">
          <mc:Choice Requires="x14">
            <control shapeId="11418" r:id="rId189" name="Check Box 154">
              <controlPr defaultSize="0" autoFill="0" autoLine="0" autoPict="0">
                <anchor moveWithCells="1">
                  <from>
                    <xdr:col>11</xdr:col>
                    <xdr:colOff>0</xdr:colOff>
                    <xdr:row>119</xdr:row>
                    <xdr:rowOff>144780</xdr:rowOff>
                  </from>
                  <to>
                    <xdr:col>11</xdr:col>
                    <xdr:colOff>1752600</xdr:colOff>
                    <xdr:row>120</xdr:row>
                    <xdr:rowOff>0</xdr:rowOff>
                  </to>
                </anchor>
              </controlPr>
            </control>
          </mc:Choice>
        </mc:AlternateContent>
        <mc:AlternateContent xmlns:mc="http://schemas.openxmlformats.org/markup-compatibility/2006">
          <mc:Choice Requires="x14">
            <control shapeId="11419" r:id="rId190" name="Check Box 155">
              <controlPr defaultSize="0" autoFill="0" autoLine="0" autoPict="0">
                <anchor moveWithCells="1">
                  <from>
                    <xdr:col>11</xdr:col>
                    <xdr:colOff>0</xdr:colOff>
                    <xdr:row>118</xdr:row>
                    <xdr:rowOff>30480</xdr:rowOff>
                  </from>
                  <to>
                    <xdr:col>11</xdr:col>
                    <xdr:colOff>1752600</xdr:colOff>
                    <xdr:row>118</xdr:row>
                    <xdr:rowOff>228600</xdr:rowOff>
                  </to>
                </anchor>
              </controlPr>
            </control>
          </mc:Choice>
        </mc:AlternateContent>
        <mc:AlternateContent xmlns:mc="http://schemas.openxmlformats.org/markup-compatibility/2006">
          <mc:Choice Requires="x14">
            <control shapeId="11420" r:id="rId191" name="Check Box 156">
              <controlPr defaultSize="0" autoFill="0" autoLine="0" autoPict="0">
                <anchor moveWithCells="1">
                  <from>
                    <xdr:col>11</xdr:col>
                    <xdr:colOff>0</xdr:colOff>
                    <xdr:row>120</xdr:row>
                    <xdr:rowOff>266700</xdr:rowOff>
                  </from>
                  <to>
                    <xdr:col>11</xdr:col>
                    <xdr:colOff>1752600</xdr:colOff>
                    <xdr:row>121</xdr:row>
                    <xdr:rowOff>137160</xdr:rowOff>
                  </to>
                </anchor>
              </controlPr>
            </control>
          </mc:Choice>
        </mc:AlternateContent>
        <mc:AlternateContent xmlns:mc="http://schemas.openxmlformats.org/markup-compatibility/2006">
          <mc:Choice Requires="x14">
            <control shapeId="11421" r:id="rId192" name="Check Box 157">
              <controlPr defaultSize="0" autoFill="0" autoLine="0" autoPict="0">
                <anchor moveWithCells="1">
                  <from>
                    <xdr:col>11</xdr:col>
                    <xdr:colOff>0</xdr:colOff>
                    <xdr:row>121</xdr:row>
                    <xdr:rowOff>144780</xdr:rowOff>
                  </from>
                  <to>
                    <xdr:col>11</xdr:col>
                    <xdr:colOff>1752600</xdr:colOff>
                    <xdr:row>122</xdr:row>
                    <xdr:rowOff>99060</xdr:rowOff>
                  </to>
                </anchor>
              </controlPr>
            </control>
          </mc:Choice>
        </mc:AlternateContent>
        <mc:AlternateContent xmlns:mc="http://schemas.openxmlformats.org/markup-compatibility/2006">
          <mc:Choice Requires="x14">
            <control shapeId="11422" r:id="rId193" name="Check Box 158">
              <controlPr defaultSize="0" autoFill="0" autoLine="0" autoPict="0">
                <anchor moveWithCells="1">
                  <from>
                    <xdr:col>11</xdr:col>
                    <xdr:colOff>0</xdr:colOff>
                    <xdr:row>120</xdr:row>
                    <xdr:rowOff>30480</xdr:rowOff>
                  </from>
                  <to>
                    <xdr:col>11</xdr:col>
                    <xdr:colOff>1752600</xdr:colOff>
                    <xdr:row>120</xdr:row>
                    <xdr:rowOff>281940</xdr:rowOff>
                  </to>
                </anchor>
              </controlPr>
            </control>
          </mc:Choice>
        </mc:AlternateContent>
        <mc:AlternateContent xmlns:mc="http://schemas.openxmlformats.org/markup-compatibility/2006">
          <mc:Choice Requires="x14">
            <control shapeId="11423" r:id="rId194" name="Check Box 159">
              <controlPr defaultSize="0" autoFill="0" autoLine="0" autoPict="0">
                <anchor moveWithCells="1">
                  <from>
                    <xdr:col>11</xdr:col>
                    <xdr:colOff>0</xdr:colOff>
                    <xdr:row>122</xdr:row>
                    <xdr:rowOff>266700</xdr:rowOff>
                  </from>
                  <to>
                    <xdr:col>11</xdr:col>
                    <xdr:colOff>1752600</xdr:colOff>
                    <xdr:row>123</xdr:row>
                    <xdr:rowOff>137160</xdr:rowOff>
                  </to>
                </anchor>
              </controlPr>
            </control>
          </mc:Choice>
        </mc:AlternateContent>
        <mc:AlternateContent xmlns:mc="http://schemas.openxmlformats.org/markup-compatibility/2006">
          <mc:Choice Requires="x14">
            <control shapeId="11424" r:id="rId195" name="Check Box 160">
              <controlPr defaultSize="0" autoFill="0" autoLine="0" autoPict="0">
                <anchor moveWithCells="1">
                  <from>
                    <xdr:col>11</xdr:col>
                    <xdr:colOff>0</xdr:colOff>
                    <xdr:row>123</xdr:row>
                    <xdr:rowOff>144780</xdr:rowOff>
                  </from>
                  <to>
                    <xdr:col>11</xdr:col>
                    <xdr:colOff>1752600</xdr:colOff>
                    <xdr:row>124</xdr:row>
                    <xdr:rowOff>0</xdr:rowOff>
                  </to>
                </anchor>
              </controlPr>
            </control>
          </mc:Choice>
        </mc:AlternateContent>
        <mc:AlternateContent xmlns:mc="http://schemas.openxmlformats.org/markup-compatibility/2006">
          <mc:Choice Requires="x14">
            <control shapeId="11425" r:id="rId196" name="Check Box 161">
              <controlPr defaultSize="0" autoFill="0" autoLine="0" autoPict="0">
                <anchor moveWithCells="1">
                  <from>
                    <xdr:col>11</xdr:col>
                    <xdr:colOff>0</xdr:colOff>
                    <xdr:row>122</xdr:row>
                    <xdr:rowOff>30480</xdr:rowOff>
                  </from>
                  <to>
                    <xdr:col>11</xdr:col>
                    <xdr:colOff>1752600</xdr:colOff>
                    <xdr:row>122</xdr:row>
                    <xdr:rowOff>350520</xdr:rowOff>
                  </to>
                </anchor>
              </controlPr>
            </control>
          </mc:Choice>
        </mc:AlternateContent>
        <mc:AlternateContent xmlns:mc="http://schemas.openxmlformats.org/markup-compatibility/2006">
          <mc:Choice Requires="x14">
            <control shapeId="11426" r:id="rId197" name="Check Box 162">
              <controlPr defaultSize="0" autoFill="0" autoLine="0" autoPict="0">
                <anchor moveWithCells="1">
                  <from>
                    <xdr:col>11</xdr:col>
                    <xdr:colOff>0</xdr:colOff>
                    <xdr:row>124</xdr:row>
                    <xdr:rowOff>266700</xdr:rowOff>
                  </from>
                  <to>
                    <xdr:col>11</xdr:col>
                    <xdr:colOff>1752600</xdr:colOff>
                    <xdr:row>125</xdr:row>
                    <xdr:rowOff>137160</xdr:rowOff>
                  </to>
                </anchor>
              </controlPr>
            </control>
          </mc:Choice>
        </mc:AlternateContent>
        <mc:AlternateContent xmlns:mc="http://schemas.openxmlformats.org/markup-compatibility/2006">
          <mc:Choice Requires="x14">
            <control shapeId="11427" r:id="rId198" name="Check Box 163">
              <controlPr defaultSize="0" autoFill="0" autoLine="0" autoPict="0">
                <anchor moveWithCells="1">
                  <from>
                    <xdr:col>11</xdr:col>
                    <xdr:colOff>0</xdr:colOff>
                    <xdr:row>125</xdr:row>
                    <xdr:rowOff>144780</xdr:rowOff>
                  </from>
                  <to>
                    <xdr:col>11</xdr:col>
                    <xdr:colOff>1752600</xdr:colOff>
                    <xdr:row>126</xdr:row>
                    <xdr:rowOff>99060</xdr:rowOff>
                  </to>
                </anchor>
              </controlPr>
            </control>
          </mc:Choice>
        </mc:AlternateContent>
        <mc:AlternateContent xmlns:mc="http://schemas.openxmlformats.org/markup-compatibility/2006">
          <mc:Choice Requires="x14">
            <control shapeId="11428" r:id="rId199" name="Check Box 164">
              <controlPr defaultSize="0" autoFill="0" autoLine="0" autoPict="0">
                <anchor moveWithCells="1">
                  <from>
                    <xdr:col>11</xdr:col>
                    <xdr:colOff>0</xdr:colOff>
                    <xdr:row>124</xdr:row>
                    <xdr:rowOff>30480</xdr:rowOff>
                  </from>
                  <to>
                    <xdr:col>11</xdr:col>
                    <xdr:colOff>1752600</xdr:colOff>
                    <xdr:row>124</xdr:row>
                    <xdr:rowOff>350520</xdr:rowOff>
                  </to>
                </anchor>
              </controlPr>
            </control>
          </mc:Choice>
        </mc:AlternateContent>
        <mc:AlternateContent xmlns:mc="http://schemas.openxmlformats.org/markup-compatibility/2006">
          <mc:Choice Requires="x14">
            <control shapeId="11429" r:id="rId200" name="Check Box 165">
              <controlPr defaultSize="0" autoFill="0" autoLine="0" autoPict="0">
                <anchor moveWithCells="1">
                  <from>
                    <xdr:col>11</xdr:col>
                    <xdr:colOff>0</xdr:colOff>
                    <xdr:row>126</xdr:row>
                    <xdr:rowOff>266700</xdr:rowOff>
                  </from>
                  <to>
                    <xdr:col>11</xdr:col>
                    <xdr:colOff>1752600</xdr:colOff>
                    <xdr:row>127</xdr:row>
                    <xdr:rowOff>182880</xdr:rowOff>
                  </to>
                </anchor>
              </controlPr>
            </control>
          </mc:Choice>
        </mc:AlternateContent>
        <mc:AlternateContent xmlns:mc="http://schemas.openxmlformats.org/markup-compatibility/2006">
          <mc:Choice Requires="x14">
            <control shapeId="11430" r:id="rId201" name="Check Box 166">
              <controlPr defaultSize="0" autoFill="0" autoLine="0" autoPict="0">
                <anchor moveWithCells="1">
                  <from>
                    <xdr:col>11</xdr:col>
                    <xdr:colOff>0</xdr:colOff>
                    <xdr:row>127</xdr:row>
                    <xdr:rowOff>144780</xdr:rowOff>
                  </from>
                  <to>
                    <xdr:col>11</xdr:col>
                    <xdr:colOff>1752600</xdr:colOff>
                    <xdr:row>128</xdr:row>
                    <xdr:rowOff>7620</xdr:rowOff>
                  </to>
                </anchor>
              </controlPr>
            </control>
          </mc:Choice>
        </mc:AlternateContent>
        <mc:AlternateContent xmlns:mc="http://schemas.openxmlformats.org/markup-compatibility/2006">
          <mc:Choice Requires="x14">
            <control shapeId="11431" r:id="rId202" name="Check Box 167">
              <controlPr defaultSize="0" autoFill="0" autoLine="0" autoPict="0">
                <anchor moveWithCells="1">
                  <from>
                    <xdr:col>11</xdr:col>
                    <xdr:colOff>0</xdr:colOff>
                    <xdr:row>126</xdr:row>
                    <xdr:rowOff>30480</xdr:rowOff>
                  </from>
                  <to>
                    <xdr:col>11</xdr:col>
                    <xdr:colOff>1752600</xdr:colOff>
                    <xdr:row>126</xdr:row>
                    <xdr:rowOff>327660</xdr:rowOff>
                  </to>
                </anchor>
              </controlPr>
            </control>
          </mc:Choice>
        </mc:AlternateContent>
        <mc:AlternateContent xmlns:mc="http://schemas.openxmlformats.org/markup-compatibility/2006">
          <mc:Choice Requires="x14">
            <control shapeId="11432" r:id="rId203" name="Check Box 168">
              <controlPr defaultSize="0" autoFill="0" autoLine="0" autoPict="0">
                <anchor moveWithCells="1">
                  <from>
                    <xdr:col>11</xdr:col>
                    <xdr:colOff>0</xdr:colOff>
                    <xdr:row>128</xdr:row>
                    <xdr:rowOff>266700</xdr:rowOff>
                  </from>
                  <to>
                    <xdr:col>11</xdr:col>
                    <xdr:colOff>1752600</xdr:colOff>
                    <xdr:row>129</xdr:row>
                    <xdr:rowOff>137160</xdr:rowOff>
                  </to>
                </anchor>
              </controlPr>
            </control>
          </mc:Choice>
        </mc:AlternateContent>
        <mc:AlternateContent xmlns:mc="http://schemas.openxmlformats.org/markup-compatibility/2006">
          <mc:Choice Requires="x14">
            <control shapeId="11433" r:id="rId204" name="Check Box 169">
              <controlPr defaultSize="0" autoFill="0" autoLine="0" autoPict="0">
                <anchor moveWithCells="1">
                  <from>
                    <xdr:col>11</xdr:col>
                    <xdr:colOff>0</xdr:colOff>
                    <xdr:row>129</xdr:row>
                    <xdr:rowOff>144780</xdr:rowOff>
                  </from>
                  <to>
                    <xdr:col>11</xdr:col>
                    <xdr:colOff>1752600</xdr:colOff>
                    <xdr:row>130</xdr:row>
                    <xdr:rowOff>30480</xdr:rowOff>
                  </to>
                </anchor>
              </controlPr>
            </control>
          </mc:Choice>
        </mc:AlternateContent>
        <mc:AlternateContent xmlns:mc="http://schemas.openxmlformats.org/markup-compatibility/2006">
          <mc:Choice Requires="x14">
            <control shapeId="11434" r:id="rId205" name="Check Box 170">
              <controlPr defaultSize="0" autoFill="0" autoLine="0" autoPict="0">
                <anchor moveWithCells="1">
                  <from>
                    <xdr:col>11</xdr:col>
                    <xdr:colOff>0</xdr:colOff>
                    <xdr:row>128</xdr:row>
                    <xdr:rowOff>30480</xdr:rowOff>
                  </from>
                  <to>
                    <xdr:col>11</xdr:col>
                    <xdr:colOff>1752600</xdr:colOff>
                    <xdr:row>128</xdr:row>
                    <xdr:rowOff>350520</xdr:rowOff>
                  </to>
                </anchor>
              </controlPr>
            </control>
          </mc:Choice>
        </mc:AlternateContent>
        <mc:AlternateContent xmlns:mc="http://schemas.openxmlformats.org/markup-compatibility/2006">
          <mc:Choice Requires="x14">
            <control shapeId="11435" r:id="rId206" name="Check Box 171">
              <controlPr defaultSize="0" autoFill="0" autoLine="0" autoPict="0">
                <anchor moveWithCells="1">
                  <from>
                    <xdr:col>11</xdr:col>
                    <xdr:colOff>0</xdr:colOff>
                    <xdr:row>130</xdr:row>
                    <xdr:rowOff>266700</xdr:rowOff>
                  </from>
                  <to>
                    <xdr:col>11</xdr:col>
                    <xdr:colOff>1752600</xdr:colOff>
                    <xdr:row>131</xdr:row>
                    <xdr:rowOff>182880</xdr:rowOff>
                  </to>
                </anchor>
              </controlPr>
            </control>
          </mc:Choice>
        </mc:AlternateContent>
        <mc:AlternateContent xmlns:mc="http://schemas.openxmlformats.org/markup-compatibility/2006">
          <mc:Choice Requires="x14">
            <control shapeId="11436" r:id="rId207" name="Check Box 172">
              <controlPr defaultSize="0" autoFill="0" autoLine="0" autoPict="0">
                <anchor moveWithCells="1">
                  <from>
                    <xdr:col>11</xdr:col>
                    <xdr:colOff>0</xdr:colOff>
                    <xdr:row>131</xdr:row>
                    <xdr:rowOff>144780</xdr:rowOff>
                  </from>
                  <to>
                    <xdr:col>11</xdr:col>
                    <xdr:colOff>1752600</xdr:colOff>
                    <xdr:row>132</xdr:row>
                    <xdr:rowOff>0</xdr:rowOff>
                  </to>
                </anchor>
              </controlPr>
            </control>
          </mc:Choice>
        </mc:AlternateContent>
        <mc:AlternateContent xmlns:mc="http://schemas.openxmlformats.org/markup-compatibility/2006">
          <mc:Choice Requires="x14">
            <control shapeId="11437" r:id="rId208" name="Check Box 173">
              <controlPr defaultSize="0" autoFill="0" autoLine="0" autoPict="0">
                <anchor moveWithCells="1">
                  <from>
                    <xdr:col>11</xdr:col>
                    <xdr:colOff>0</xdr:colOff>
                    <xdr:row>130</xdr:row>
                    <xdr:rowOff>30480</xdr:rowOff>
                  </from>
                  <to>
                    <xdr:col>11</xdr:col>
                    <xdr:colOff>1752600</xdr:colOff>
                    <xdr:row>130</xdr:row>
                    <xdr:rowOff>327660</xdr:rowOff>
                  </to>
                </anchor>
              </controlPr>
            </control>
          </mc:Choice>
        </mc:AlternateContent>
        <mc:AlternateContent xmlns:mc="http://schemas.openxmlformats.org/markup-compatibility/2006">
          <mc:Choice Requires="x14">
            <control shapeId="11438" r:id="rId209" name="Check Box 174">
              <controlPr defaultSize="0" autoFill="0" autoLine="0" autoPict="0">
                <anchor moveWithCells="1">
                  <from>
                    <xdr:col>11</xdr:col>
                    <xdr:colOff>0</xdr:colOff>
                    <xdr:row>132</xdr:row>
                    <xdr:rowOff>266700</xdr:rowOff>
                  </from>
                  <to>
                    <xdr:col>11</xdr:col>
                    <xdr:colOff>1752600</xdr:colOff>
                    <xdr:row>133</xdr:row>
                    <xdr:rowOff>160020</xdr:rowOff>
                  </to>
                </anchor>
              </controlPr>
            </control>
          </mc:Choice>
        </mc:AlternateContent>
        <mc:AlternateContent xmlns:mc="http://schemas.openxmlformats.org/markup-compatibility/2006">
          <mc:Choice Requires="x14">
            <control shapeId="11439" r:id="rId210" name="Check Box 175">
              <controlPr defaultSize="0" autoFill="0" autoLine="0" autoPict="0">
                <anchor moveWithCells="1">
                  <from>
                    <xdr:col>11</xdr:col>
                    <xdr:colOff>0</xdr:colOff>
                    <xdr:row>133</xdr:row>
                    <xdr:rowOff>144780</xdr:rowOff>
                  </from>
                  <to>
                    <xdr:col>11</xdr:col>
                    <xdr:colOff>1752600</xdr:colOff>
                    <xdr:row>134</xdr:row>
                    <xdr:rowOff>99060</xdr:rowOff>
                  </to>
                </anchor>
              </controlPr>
            </control>
          </mc:Choice>
        </mc:AlternateContent>
        <mc:AlternateContent xmlns:mc="http://schemas.openxmlformats.org/markup-compatibility/2006">
          <mc:Choice Requires="x14">
            <control shapeId="11440" r:id="rId211" name="Check Box 176">
              <controlPr defaultSize="0" autoFill="0" autoLine="0" autoPict="0">
                <anchor moveWithCells="1">
                  <from>
                    <xdr:col>11</xdr:col>
                    <xdr:colOff>0</xdr:colOff>
                    <xdr:row>132</xdr:row>
                    <xdr:rowOff>30480</xdr:rowOff>
                  </from>
                  <to>
                    <xdr:col>11</xdr:col>
                    <xdr:colOff>1752600</xdr:colOff>
                    <xdr:row>132</xdr:row>
                    <xdr:rowOff>327660</xdr:rowOff>
                  </to>
                </anchor>
              </controlPr>
            </control>
          </mc:Choice>
        </mc:AlternateContent>
        <mc:AlternateContent xmlns:mc="http://schemas.openxmlformats.org/markup-compatibility/2006">
          <mc:Choice Requires="x14">
            <control shapeId="11441" r:id="rId212" name="Check Box 177">
              <controlPr defaultSize="0" autoFill="0" autoLine="0" autoPict="0">
                <anchor moveWithCells="1">
                  <from>
                    <xdr:col>11</xdr:col>
                    <xdr:colOff>0</xdr:colOff>
                    <xdr:row>134</xdr:row>
                    <xdr:rowOff>266700</xdr:rowOff>
                  </from>
                  <to>
                    <xdr:col>11</xdr:col>
                    <xdr:colOff>1752600</xdr:colOff>
                    <xdr:row>135</xdr:row>
                    <xdr:rowOff>182880</xdr:rowOff>
                  </to>
                </anchor>
              </controlPr>
            </control>
          </mc:Choice>
        </mc:AlternateContent>
        <mc:AlternateContent xmlns:mc="http://schemas.openxmlformats.org/markup-compatibility/2006">
          <mc:Choice Requires="x14">
            <control shapeId="11442" r:id="rId213" name="Check Box 178">
              <controlPr defaultSize="0" autoFill="0" autoLine="0" autoPict="0">
                <anchor moveWithCells="1">
                  <from>
                    <xdr:col>11</xdr:col>
                    <xdr:colOff>0</xdr:colOff>
                    <xdr:row>135</xdr:row>
                    <xdr:rowOff>144780</xdr:rowOff>
                  </from>
                  <to>
                    <xdr:col>11</xdr:col>
                    <xdr:colOff>1752600</xdr:colOff>
                    <xdr:row>136</xdr:row>
                    <xdr:rowOff>0</xdr:rowOff>
                  </to>
                </anchor>
              </controlPr>
            </control>
          </mc:Choice>
        </mc:AlternateContent>
        <mc:AlternateContent xmlns:mc="http://schemas.openxmlformats.org/markup-compatibility/2006">
          <mc:Choice Requires="x14">
            <control shapeId="11443" r:id="rId214" name="Check Box 179">
              <controlPr defaultSize="0" autoFill="0" autoLine="0" autoPict="0">
                <anchor moveWithCells="1">
                  <from>
                    <xdr:col>11</xdr:col>
                    <xdr:colOff>0</xdr:colOff>
                    <xdr:row>134</xdr:row>
                    <xdr:rowOff>30480</xdr:rowOff>
                  </from>
                  <to>
                    <xdr:col>11</xdr:col>
                    <xdr:colOff>1752600</xdr:colOff>
                    <xdr:row>134</xdr:row>
                    <xdr:rowOff>327660</xdr:rowOff>
                  </to>
                </anchor>
              </controlPr>
            </control>
          </mc:Choice>
        </mc:AlternateContent>
        <mc:AlternateContent xmlns:mc="http://schemas.openxmlformats.org/markup-compatibility/2006">
          <mc:Choice Requires="x14">
            <control shapeId="11444" r:id="rId215" name="Check Box 180">
              <controlPr defaultSize="0" autoFill="0" autoLine="0" autoPict="0">
                <anchor moveWithCells="1">
                  <from>
                    <xdr:col>11</xdr:col>
                    <xdr:colOff>0</xdr:colOff>
                    <xdr:row>136</xdr:row>
                    <xdr:rowOff>266700</xdr:rowOff>
                  </from>
                  <to>
                    <xdr:col>11</xdr:col>
                    <xdr:colOff>1752600</xdr:colOff>
                    <xdr:row>137</xdr:row>
                    <xdr:rowOff>182880</xdr:rowOff>
                  </to>
                </anchor>
              </controlPr>
            </control>
          </mc:Choice>
        </mc:AlternateContent>
        <mc:AlternateContent xmlns:mc="http://schemas.openxmlformats.org/markup-compatibility/2006">
          <mc:Choice Requires="x14">
            <control shapeId="11445" r:id="rId216" name="Check Box 181">
              <controlPr defaultSize="0" autoFill="0" autoLine="0" autoPict="0">
                <anchor moveWithCells="1">
                  <from>
                    <xdr:col>11</xdr:col>
                    <xdr:colOff>0</xdr:colOff>
                    <xdr:row>137</xdr:row>
                    <xdr:rowOff>144780</xdr:rowOff>
                  </from>
                  <to>
                    <xdr:col>11</xdr:col>
                    <xdr:colOff>1752600</xdr:colOff>
                    <xdr:row>138</xdr:row>
                    <xdr:rowOff>99060</xdr:rowOff>
                  </to>
                </anchor>
              </controlPr>
            </control>
          </mc:Choice>
        </mc:AlternateContent>
        <mc:AlternateContent xmlns:mc="http://schemas.openxmlformats.org/markup-compatibility/2006">
          <mc:Choice Requires="x14">
            <control shapeId="11446" r:id="rId217" name="Check Box 182">
              <controlPr defaultSize="0" autoFill="0" autoLine="0" autoPict="0">
                <anchor moveWithCells="1">
                  <from>
                    <xdr:col>11</xdr:col>
                    <xdr:colOff>0</xdr:colOff>
                    <xdr:row>136</xdr:row>
                    <xdr:rowOff>30480</xdr:rowOff>
                  </from>
                  <to>
                    <xdr:col>11</xdr:col>
                    <xdr:colOff>1752600</xdr:colOff>
                    <xdr:row>136</xdr:row>
                    <xdr:rowOff>327660</xdr:rowOff>
                  </to>
                </anchor>
              </controlPr>
            </control>
          </mc:Choice>
        </mc:AlternateContent>
        <mc:AlternateContent xmlns:mc="http://schemas.openxmlformats.org/markup-compatibility/2006">
          <mc:Choice Requires="x14">
            <control shapeId="11447" r:id="rId218" name="Check Box 183">
              <controlPr defaultSize="0" autoFill="0" autoLine="0" autoPict="0">
                <anchor moveWithCells="1">
                  <from>
                    <xdr:col>11</xdr:col>
                    <xdr:colOff>0</xdr:colOff>
                    <xdr:row>138</xdr:row>
                    <xdr:rowOff>266700</xdr:rowOff>
                  </from>
                  <to>
                    <xdr:col>11</xdr:col>
                    <xdr:colOff>1752600</xdr:colOff>
                    <xdr:row>139</xdr:row>
                    <xdr:rowOff>182880</xdr:rowOff>
                  </to>
                </anchor>
              </controlPr>
            </control>
          </mc:Choice>
        </mc:AlternateContent>
        <mc:AlternateContent xmlns:mc="http://schemas.openxmlformats.org/markup-compatibility/2006">
          <mc:Choice Requires="x14">
            <control shapeId="11448" r:id="rId219" name="Check Box 184">
              <controlPr defaultSize="0" autoFill="0" autoLine="0" autoPict="0">
                <anchor moveWithCells="1">
                  <from>
                    <xdr:col>11</xdr:col>
                    <xdr:colOff>0</xdr:colOff>
                    <xdr:row>139</xdr:row>
                    <xdr:rowOff>144780</xdr:rowOff>
                  </from>
                  <to>
                    <xdr:col>11</xdr:col>
                    <xdr:colOff>1752600</xdr:colOff>
                    <xdr:row>140</xdr:row>
                    <xdr:rowOff>0</xdr:rowOff>
                  </to>
                </anchor>
              </controlPr>
            </control>
          </mc:Choice>
        </mc:AlternateContent>
        <mc:AlternateContent xmlns:mc="http://schemas.openxmlformats.org/markup-compatibility/2006">
          <mc:Choice Requires="x14">
            <control shapeId="11449" r:id="rId220" name="Check Box 185">
              <controlPr defaultSize="0" autoFill="0" autoLine="0" autoPict="0">
                <anchor moveWithCells="1">
                  <from>
                    <xdr:col>11</xdr:col>
                    <xdr:colOff>0</xdr:colOff>
                    <xdr:row>138</xdr:row>
                    <xdr:rowOff>30480</xdr:rowOff>
                  </from>
                  <to>
                    <xdr:col>11</xdr:col>
                    <xdr:colOff>1752600</xdr:colOff>
                    <xdr:row>138</xdr:row>
                    <xdr:rowOff>327660</xdr:rowOff>
                  </to>
                </anchor>
              </controlPr>
            </control>
          </mc:Choice>
        </mc:AlternateContent>
        <mc:AlternateContent xmlns:mc="http://schemas.openxmlformats.org/markup-compatibility/2006">
          <mc:Choice Requires="x14">
            <control shapeId="11450" r:id="rId221" name="Check Box 186">
              <controlPr defaultSize="0" autoFill="0" autoLine="0" autoPict="0">
                <anchor moveWithCells="1">
                  <from>
                    <xdr:col>11</xdr:col>
                    <xdr:colOff>0</xdr:colOff>
                    <xdr:row>140</xdr:row>
                    <xdr:rowOff>266700</xdr:rowOff>
                  </from>
                  <to>
                    <xdr:col>11</xdr:col>
                    <xdr:colOff>1752600</xdr:colOff>
                    <xdr:row>141</xdr:row>
                    <xdr:rowOff>182880</xdr:rowOff>
                  </to>
                </anchor>
              </controlPr>
            </control>
          </mc:Choice>
        </mc:AlternateContent>
        <mc:AlternateContent xmlns:mc="http://schemas.openxmlformats.org/markup-compatibility/2006">
          <mc:Choice Requires="x14">
            <control shapeId="11451" r:id="rId222" name="Check Box 187">
              <controlPr defaultSize="0" autoFill="0" autoLine="0" autoPict="0">
                <anchor moveWithCells="1">
                  <from>
                    <xdr:col>11</xdr:col>
                    <xdr:colOff>0</xdr:colOff>
                    <xdr:row>141</xdr:row>
                    <xdr:rowOff>144780</xdr:rowOff>
                  </from>
                  <to>
                    <xdr:col>11</xdr:col>
                    <xdr:colOff>1752600</xdr:colOff>
                    <xdr:row>142</xdr:row>
                    <xdr:rowOff>99060</xdr:rowOff>
                  </to>
                </anchor>
              </controlPr>
            </control>
          </mc:Choice>
        </mc:AlternateContent>
        <mc:AlternateContent xmlns:mc="http://schemas.openxmlformats.org/markup-compatibility/2006">
          <mc:Choice Requires="x14">
            <control shapeId="11452" r:id="rId223" name="Check Box 188">
              <controlPr defaultSize="0" autoFill="0" autoLine="0" autoPict="0">
                <anchor moveWithCells="1">
                  <from>
                    <xdr:col>11</xdr:col>
                    <xdr:colOff>0</xdr:colOff>
                    <xdr:row>140</xdr:row>
                    <xdr:rowOff>30480</xdr:rowOff>
                  </from>
                  <to>
                    <xdr:col>11</xdr:col>
                    <xdr:colOff>1752600</xdr:colOff>
                    <xdr:row>140</xdr:row>
                    <xdr:rowOff>327660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30" id="{F65FC6FA-49BA-440D-B3FB-C4BEDD8B838B}">
            <x14:iconSet iconSet="3Stars">
              <x14:cfvo type="percent">
                <xm:f>0</xm:f>
              </x14:cfvo>
              <x14:cfvo type="percent">
                <xm:f>33</xm:f>
              </x14:cfvo>
              <x14:cfvo type="percent">
                <xm:f>67</xm:f>
              </x14:cfvo>
            </x14:iconSet>
          </x14:cfRule>
          <xm:sqref>R6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41EE08E2-95C4-4B90-B068-3B234E5797B9}">
          <x14:formula1>
            <xm:f>Parâmetros!$A$28:$A$29</xm:f>
          </x14:formula1>
          <xm:sqref>M89:M119 M121:M144 M31:M87</xm:sqref>
        </x14:dataValidation>
        <x14:dataValidation type="list" allowBlank="1" showInputMessage="1" showErrorMessage="1" xr:uid="{43EDC827-817F-4E39-8401-B7FD47A77451}">
          <x14:formula1>
            <xm:f>Parâmetros!$A$31:$A$33</xm:f>
          </x14:formula1>
          <xm:sqref>O31 O33 O35:O144</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92"/>
  <sheetViews>
    <sheetView topLeftCell="D30" zoomScale="70" zoomScaleNormal="70" workbookViewId="0">
      <selection activeCell="T36" sqref="T36"/>
    </sheetView>
  </sheetViews>
  <sheetFormatPr defaultColWidth="8.5546875" defaultRowHeight="14.4" x14ac:dyDescent="0.3"/>
  <cols>
    <col min="1" max="1" width="22.44140625" style="62" customWidth="1"/>
    <col min="2" max="2" width="17.5546875" style="62" customWidth="1"/>
    <col min="3" max="3" width="42.5546875" style="62" customWidth="1"/>
    <col min="4" max="4" width="30.44140625" style="62" customWidth="1"/>
    <col min="5" max="5" width="25.44140625" style="62" customWidth="1"/>
    <col min="6" max="6" width="12.5546875" style="62" customWidth="1"/>
    <col min="7" max="7" width="15.44140625" style="62" bestFit="1" customWidth="1"/>
    <col min="8" max="8" width="19" style="62" customWidth="1"/>
    <col min="9" max="9" width="20.5546875" style="62" bestFit="1" customWidth="1"/>
    <col min="10" max="10" width="19.5546875" style="62" customWidth="1"/>
    <col min="11" max="11" width="28" style="62" customWidth="1"/>
    <col min="12" max="12" width="17.44140625" style="62" bestFit="1" customWidth="1"/>
    <col min="13" max="13" width="18.5546875" style="62" bestFit="1" customWidth="1"/>
    <col min="14" max="14" width="19.44140625" style="62" bestFit="1" customWidth="1"/>
    <col min="15" max="15" width="20.5546875" style="62" bestFit="1" customWidth="1"/>
    <col min="16" max="16" width="18.5546875" style="62" bestFit="1" customWidth="1"/>
    <col min="17" max="18" width="19" style="62" bestFit="1" customWidth="1"/>
    <col min="19" max="19" width="22.44140625" style="62" bestFit="1" customWidth="1"/>
    <col min="20" max="20" width="23.5546875" style="62" bestFit="1" customWidth="1"/>
    <col min="21" max="21" width="19" style="62" bestFit="1" customWidth="1"/>
    <col min="22" max="22" width="25.44140625" style="62" bestFit="1" customWidth="1"/>
    <col min="23" max="23" width="22.44140625" style="62" bestFit="1" customWidth="1"/>
    <col min="24" max="29" width="17.44140625" style="62" bestFit="1" customWidth="1"/>
    <col min="30" max="30" width="16.5546875" style="62" bestFit="1" customWidth="1"/>
    <col min="31" max="32" width="17.44140625" style="62" bestFit="1" customWidth="1"/>
    <col min="33" max="33" width="28" style="62" bestFit="1" customWidth="1"/>
    <col min="34" max="34" width="19.5546875" style="62" bestFit="1" customWidth="1"/>
    <col min="35" max="35" width="18.5546875" style="62" bestFit="1" customWidth="1"/>
    <col min="36" max="36" width="41.5546875" style="62" bestFit="1" customWidth="1"/>
    <col min="37" max="37" width="22.44140625" style="62" bestFit="1" customWidth="1"/>
    <col min="38" max="38" width="19.44140625" style="62" bestFit="1" customWidth="1"/>
    <col min="39" max="39" width="20.44140625" style="62" bestFit="1" customWidth="1"/>
    <col min="40" max="40" width="54.44140625" style="62" bestFit="1" customWidth="1"/>
    <col min="41" max="41" width="54.44140625" style="62" customWidth="1"/>
    <col min="42" max="42" width="8.5546875" style="62"/>
    <col min="43" max="43" width="22.44140625" style="62" bestFit="1" customWidth="1"/>
    <col min="44" max="44" width="14.44140625" style="62" bestFit="1" customWidth="1"/>
    <col min="45" max="16384" width="8.5546875" style="62"/>
  </cols>
  <sheetData>
    <row r="1" spans="1:44" ht="50.1" customHeight="1" x14ac:dyDescent="0.3">
      <c r="A1" s="1434" t="s">
        <v>2656</v>
      </c>
      <c r="B1" s="2214"/>
      <c r="C1" s="2214"/>
      <c r="D1" s="2214"/>
      <c r="E1" s="2214"/>
      <c r="F1" s="2214"/>
      <c r="G1" s="2214"/>
      <c r="H1" s="2214"/>
      <c r="I1" s="2214"/>
      <c r="J1" s="2214"/>
      <c r="K1" s="2214"/>
      <c r="L1" s="2214"/>
      <c r="M1" s="2214"/>
      <c r="N1" s="2214"/>
      <c r="O1" s="1434"/>
      <c r="P1" s="2214"/>
      <c r="Q1" s="2214"/>
      <c r="R1" s="2214"/>
      <c r="S1" s="2214"/>
      <c r="T1" s="2214"/>
      <c r="U1" s="2214"/>
      <c r="V1" s="2214"/>
      <c r="W1" s="2214"/>
      <c r="X1" s="2214"/>
      <c r="Y1" s="2214"/>
      <c r="Z1" s="2214"/>
      <c r="AA1" s="2214"/>
      <c r="AB1" s="2214"/>
      <c r="AC1" s="1434"/>
      <c r="AD1" s="2214"/>
      <c r="AE1" s="2214"/>
      <c r="AF1" s="2214"/>
      <c r="AG1" s="2214"/>
      <c r="AH1" s="1434"/>
      <c r="AI1" s="2214"/>
      <c r="AJ1" s="2214"/>
      <c r="AK1" s="2214"/>
      <c r="AL1" s="1434"/>
      <c r="AM1" s="2214"/>
      <c r="AN1" s="2214"/>
      <c r="AO1" s="2214"/>
      <c r="AP1" s="2214"/>
    </row>
    <row r="2" spans="1:44" ht="25.35" customHeight="1" x14ac:dyDescent="0.3">
      <c r="A2" s="1443" t="s">
        <v>46</v>
      </c>
      <c r="B2" s="2215"/>
      <c r="C2" s="2215"/>
      <c r="D2" s="2215"/>
      <c r="E2" s="2215"/>
      <c r="F2" s="2215"/>
      <c r="G2" s="2215"/>
      <c r="H2" s="2215"/>
      <c r="I2" s="2215"/>
      <c r="J2" s="2215"/>
      <c r="K2" s="2215"/>
      <c r="L2" s="2215"/>
      <c r="M2" s="2215"/>
      <c r="N2" s="2215"/>
      <c r="O2" s="1443"/>
      <c r="P2" s="2215"/>
      <c r="Q2" s="2215"/>
      <c r="R2" s="2215"/>
      <c r="S2" s="2215"/>
      <c r="T2" s="2215"/>
      <c r="U2" s="2215"/>
      <c r="V2" s="2215"/>
      <c r="W2" s="2215"/>
      <c r="X2" s="2215"/>
      <c r="Y2" s="2215"/>
      <c r="Z2" s="2215"/>
      <c r="AA2" s="2215"/>
      <c r="AB2" s="2215"/>
      <c r="AC2" s="1443"/>
      <c r="AD2" s="2215"/>
      <c r="AE2" s="2215"/>
      <c r="AF2" s="2215"/>
      <c r="AG2" s="2215"/>
      <c r="AH2" s="1443"/>
      <c r="AI2" s="2215"/>
      <c r="AJ2" s="2215"/>
      <c r="AK2" s="2215"/>
      <c r="AL2" s="1443"/>
      <c r="AM2" s="2215"/>
      <c r="AN2" s="2215"/>
      <c r="AO2" s="2215"/>
      <c r="AP2" s="2215"/>
    </row>
    <row r="3" spans="1:44"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row>
    <row r="4" spans="1:44" x14ac:dyDescent="0.3">
      <c r="A4" s="2211" t="s">
        <v>1675</v>
      </c>
      <c r="B4" s="2211"/>
      <c r="C4" s="2212" t="s">
        <v>96</v>
      </c>
      <c r="D4" s="2212"/>
      <c r="E4" s="2387" t="s">
        <v>50</v>
      </c>
      <c r="F4" s="2388"/>
      <c r="G4" s="1415" t="s">
        <v>100</v>
      </c>
      <c r="H4" s="1415"/>
      <c r="I4" s="2213" t="s">
        <v>102</v>
      </c>
      <c r="J4" s="2213"/>
      <c r="K4" s="2213"/>
      <c r="L4" s="1435" t="s">
        <v>54</v>
      </c>
      <c r="M4" s="2172"/>
      <c r="N4" s="1436"/>
      <c r="O4" s="1435" t="s">
        <v>55</v>
      </c>
      <c r="P4" s="1436"/>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row>
    <row r="5" spans="1:44" ht="45" customHeight="1" x14ac:dyDescent="0.3">
      <c r="A5" s="2443">
        <v>10000000</v>
      </c>
      <c r="B5" s="2444"/>
      <c r="C5" s="2445">
        <f>SUM(H34:H83) - SUMIF(A34:A83, "*Meta Executiva*", H34:H83)</f>
        <v>10541563</v>
      </c>
      <c r="D5" s="2446"/>
      <c r="E5" s="2390">
        <f>SUMIFS(AJ34:AJ83, R34:R83, "Previsto", A34:A83, "&lt;&gt;*Meta Executiva*")</f>
        <v>10541563</v>
      </c>
      <c r="F5" s="2391"/>
      <c r="G5" s="2437">
        <f>SUM(M34:M83) - SUMIF(A34:A83, "*Meta Executiva*", M34:M83)</f>
        <v>0</v>
      </c>
      <c r="H5" s="2438"/>
      <c r="I5" s="2206">
        <f ca="1">SUMIF(R34:R117,"Real",AJ34:AJ117) - SUMIFS(AJ34:AJ117, R34:R117, "Real", AR34:AR117, "*Meta Executiva*")</f>
        <v>11219.737999999988</v>
      </c>
      <c r="J5" s="2206"/>
      <c r="K5" s="2206"/>
      <c r="L5" s="1437">
        <f ca="1">I5/A5</f>
        <v>1.1219737999999988E-3</v>
      </c>
      <c r="M5" s="2184"/>
      <c r="N5" s="1438"/>
      <c r="O5" s="1439">
        <f>COUNTA(A34:A83)-O7</f>
        <v>2</v>
      </c>
      <c r="P5" s="1440"/>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row>
    <row r="6" spans="1:44" x14ac:dyDescent="0.3">
      <c r="A6" s="2211" t="s">
        <v>2657</v>
      </c>
      <c r="B6" s="2211"/>
      <c r="C6" s="2212" t="s">
        <v>2658</v>
      </c>
      <c r="D6" s="2212"/>
      <c r="E6" s="2387" t="s">
        <v>2659</v>
      </c>
      <c r="F6" s="2388"/>
      <c r="G6" s="1415" t="s">
        <v>2660</v>
      </c>
      <c r="H6" s="1415"/>
      <c r="I6" s="2213" t="s">
        <v>2661</v>
      </c>
      <c r="J6" s="2213"/>
      <c r="K6" s="2213"/>
      <c r="L6" s="1435" t="s">
        <v>54</v>
      </c>
      <c r="M6" s="2172"/>
      <c r="N6" s="1436"/>
      <c r="O6" s="1435" t="s">
        <v>55</v>
      </c>
      <c r="P6" s="1436"/>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row>
    <row r="7" spans="1:44" ht="45" customHeight="1" x14ac:dyDescent="0.3">
      <c r="A7" s="2464">
        <v>6000000</v>
      </c>
      <c r="B7" s="2465"/>
      <c r="C7" s="2466">
        <f>SUMIF(A34:A83, "*Meta Executiva*", H34:H83)</f>
        <v>186000.00000009901</v>
      </c>
      <c r="D7" s="2467"/>
      <c r="E7" s="2468">
        <f>SUMIFS(AJ34:AJ83, R34:R83, "Previsto", A34:A83, "*Meta Executiva*")</f>
        <v>137632.63</v>
      </c>
      <c r="F7" s="2469"/>
      <c r="G7" s="2470">
        <f>SUMIF(A34:A83, "*Meta Executiva*", M34:M83)</f>
        <v>527168.18999999994</v>
      </c>
      <c r="H7" s="2471"/>
      <c r="I7" s="2472">
        <f>E16</f>
        <v>11219.737999999988</v>
      </c>
      <c r="J7" s="2473"/>
      <c r="K7" s="2474"/>
      <c r="L7" s="2475">
        <f>I7/A7</f>
        <v>1.8699563333333315E-3</v>
      </c>
      <c r="M7" s="2476"/>
      <c r="N7" s="2477"/>
      <c r="O7" s="2478">
        <f>COUNTIF(A34:A83,"Meta Executiva ")</f>
        <v>6</v>
      </c>
      <c r="P7" s="2479"/>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row>
    <row r="8" spans="1:44" ht="20.85" customHeight="1" x14ac:dyDescent="0.3">
      <c r="A8" s="20"/>
      <c r="B8" s="20"/>
      <c r="C8" s="20"/>
      <c r="D8" s="20"/>
      <c r="E8" s="20"/>
      <c r="F8" s="20"/>
      <c r="G8" s="20"/>
      <c r="H8" s="20"/>
      <c r="I8" s="20"/>
      <c r="J8" s="20"/>
      <c r="K8" s="20"/>
      <c r="L8" s="20"/>
      <c r="M8" s="20"/>
      <c r="N8" s="20"/>
      <c r="O8" s="47"/>
      <c r="P8" s="47"/>
      <c r="Q8" s="47"/>
      <c r="R8" s="1441" t="s">
        <v>129</v>
      </c>
      <c r="S8" s="1442"/>
      <c r="T8" s="1442"/>
      <c r="U8" s="1442"/>
      <c r="V8" s="1442"/>
      <c r="W8" s="1442"/>
      <c r="X8" s="1442"/>
      <c r="Y8" s="1442"/>
      <c r="Z8" s="1442"/>
      <c r="AA8" s="1442"/>
      <c r="AB8" s="1442"/>
      <c r="AC8" s="1442"/>
      <c r="AD8" s="1442"/>
      <c r="AE8" s="1442"/>
      <c r="AF8" s="1442"/>
      <c r="AG8" s="1442"/>
      <c r="AH8" s="1442"/>
      <c r="AI8" s="1442"/>
      <c r="AJ8" s="47"/>
      <c r="AK8" s="47"/>
      <c r="AL8" s="47"/>
      <c r="AM8" s="47"/>
      <c r="AN8" s="47"/>
      <c r="AO8" s="47"/>
      <c r="AP8" s="47"/>
      <c r="AQ8" s="47"/>
    </row>
    <row r="9" spans="1:44" ht="20.85" customHeight="1" x14ac:dyDescent="0.3">
      <c r="A9" s="755" t="s">
        <v>145</v>
      </c>
      <c r="B9" s="755"/>
      <c r="C9" s="755"/>
      <c r="D9" s="755"/>
      <c r="E9" s="755"/>
      <c r="F9" s="29"/>
      <c r="G9" s="29"/>
      <c r="H9" s="2202" t="s">
        <v>2498</v>
      </c>
      <c r="I9" s="2202"/>
      <c r="J9" s="2202"/>
      <c r="K9" s="20"/>
      <c r="L9" s="2202" t="s">
        <v>64</v>
      </c>
      <c r="M9" s="2202"/>
      <c r="N9" s="2202"/>
      <c r="O9" s="2439" t="s">
        <v>64</v>
      </c>
      <c r="P9" s="2440"/>
      <c r="Q9" s="2440"/>
      <c r="R9" s="359" t="s">
        <v>132</v>
      </c>
      <c r="S9" s="359" t="s">
        <v>77</v>
      </c>
      <c r="T9" s="359" t="s">
        <v>924</v>
      </c>
      <c r="U9" s="363" t="s">
        <v>134</v>
      </c>
      <c r="V9" s="507" t="s">
        <v>2497</v>
      </c>
      <c r="W9" s="507" t="s">
        <v>136</v>
      </c>
      <c r="X9" s="359" t="s">
        <v>137</v>
      </c>
      <c r="Y9" s="359"/>
      <c r="Z9" s="359"/>
      <c r="AA9" s="359"/>
      <c r="AB9" s="359"/>
      <c r="AC9" s="359" t="s">
        <v>138</v>
      </c>
      <c r="AD9" s="359" t="s">
        <v>139</v>
      </c>
      <c r="AE9" s="359" t="s">
        <v>140</v>
      </c>
      <c r="AF9" s="359" t="s">
        <v>141</v>
      </c>
      <c r="AG9" s="359" t="s">
        <v>142</v>
      </c>
      <c r="AH9" s="363" t="s">
        <v>143</v>
      </c>
      <c r="AI9" s="363" t="s">
        <v>135</v>
      </c>
      <c r="AK9" s="47"/>
      <c r="AL9" s="47"/>
      <c r="AM9" s="47"/>
      <c r="AN9" s="47"/>
      <c r="AO9" s="47"/>
      <c r="AP9" s="47"/>
      <c r="AQ9" s="47"/>
      <c r="AR9" s="47"/>
    </row>
    <row r="10" spans="1:44" ht="20.85" customHeight="1" x14ac:dyDescent="0.3">
      <c r="A10" s="15" t="s">
        <v>67</v>
      </c>
      <c r="B10" s="15" t="s">
        <v>68</v>
      </c>
      <c r="C10" s="15" t="s">
        <v>69</v>
      </c>
      <c r="D10" s="753" t="s">
        <v>70</v>
      </c>
      <c r="E10" s="49" t="s">
        <v>71</v>
      </c>
      <c r="F10" s="29"/>
      <c r="G10" s="29"/>
      <c r="H10" s="382" t="s">
        <v>21</v>
      </c>
      <c r="I10" s="383">
        <f t="shared" ref="I10:I15" si="0">COUNTIF($P$34:$P$117,H10)</f>
        <v>0</v>
      </c>
      <c r="J10" s="384">
        <f t="shared" ref="J10:J15" si="1">SUMIF($P$34:$P$117,H10,$H$34:$H$117)</f>
        <v>0</v>
      </c>
      <c r="K10" s="20"/>
      <c r="L10" s="15" t="s">
        <v>72</v>
      </c>
      <c r="M10" s="15" t="s">
        <v>68</v>
      </c>
      <c r="N10" s="533" t="s">
        <v>73</v>
      </c>
      <c r="O10" s="536" t="s">
        <v>72</v>
      </c>
      <c r="P10" s="530" t="s">
        <v>68</v>
      </c>
      <c r="Q10" s="530" t="s">
        <v>73</v>
      </c>
      <c r="R10" s="349" cm="1">
        <f t="array" ref="R10:R29">_xlfn.SEQUENCE(20)</f>
        <v>1</v>
      </c>
      <c r="S10" s="380" t="str">
        <f t="shared" ref="S10:S15" si="2">_xlfn.XLOOKUP(X10,$B$34:$B$117,$A$34:$A$117)</f>
        <v>Estratégia Comercial</v>
      </c>
      <c r="T10" s="350">
        <f>MAX(H34:H117)</f>
        <v>9996000</v>
      </c>
      <c r="U10" s="436">
        <f>_xlfn.XLOOKUP(X10,$B$34:$B$117,$M$34:$M$117)</f>
        <v>0</v>
      </c>
      <c r="V10" s="350" cm="1">
        <f t="array" aca="1" ref="V10" ca="1">SUMPRODUCT(($C$34:$C$117=X10)*(T$33:$AH$33&lt;EOMONTH(TODAY(),-1)+1)*(ISNUMBER(S$34:$AG$117)),S$34:$AG$117)</f>
        <v>0</v>
      </c>
      <c r="W10" s="508" cm="1">
        <f t="array" aca="1" ref="W10" ca="1">SUMPRODUCT(($C$34:$C$117=X10)*(T$33:$AH$33&lt;=TODAY())*(ISNUMBER(S$35:$AG$118)),S$35:$AG$118)</f>
        <v>0</v>
      </c>
      <c r="X10" s="486" t="str">
        <f t="shared" ref="X10:X15" si="3">IFERROR(HYPERLINK(INDEX($D$34:$D$117,MATCH(T10,$H$34:$H$117,0)),INDEX($B$34:$B$117,MATCH(T10,$H$34:$H$117,0))
   ),
   ""
)</f>
        <v>Realinhamentos e Negociações</v>
      </c>
      <c r="Y10" s="487"/>
      <c r="Z10" s="487"/>
      <c r="AA10" s="487"/>
      <c r="AB10" s="488"/>
      <c r="AC10" s="351">
        <f>T10/T31</f>
        <v>0.93180529445503213</v>
      </c>
      <c r="AD10" s="352">
        <f>AC10</f>
        <v>0.93180529445503213</v>
      </c>
      <c r="AE10" s="353" t="str" cm="1">
        <f t="array" ref="AE10">IFERROR(INDEX($R$34:$R$117,MATCH(1,($AN$34:$AN$117=X10)*($Q$34:$Q$117="Previsto"), 0) ), "")</f>
        <v/>
      </c>
      <c r="AF10" s="353" t="str" cm="1">
        <f t="array" ref="AF10">IFERROR( INDEX($R$34:$R$117,MATCH(1,($AN$34:$AN$117=X10)*($Q$34:$Q$117="Real"),0)),"")</f>
        <v/>
      </c>
      <c r="AG10" s="373" t="str">
        <f t="shared" ref="AG10:AG17" si="4">IF(OR(AE10="",AF10=""),"",IF(AF10=100%,"CONCLUÍDO",IF(AF10=0,IF(AE10=0,"PROJETO NÃO INICIADO","FALTA DE ACOMPANHAMENTO"),IF(AF10&gt;AE10,"ADIANTADO",IF(AF10=AE10,"CONFORME PLANEJADO","ATRASO")))))</f>
        <v/>
      </c>
      <c r="AH10" s="353" t="e">
        <f t="shared" ref="AH10:AH15" si="5">_xlfn.XLOOKUP(X10,$C$34:$C$117,$O$84:$O$117)</f>
        <v>#VALUE!</v>
      </c>
      <c r="AI10" s="496" t="e">
        <f t="shared" ref="AI10:AI15" si="6">_xlfn.XLOOKUP(X10,$C$34:$C$117,$I$34:$I$117)</f>
        <v>#N/A</v>
      </c>
      <c r="AK10" s="47"/>
      <c r="AL10" s="47"/>
      <c r="AM10" s="47"/>
      <c r="AN10" s="47"/>
      <c r="AO10" s="47"/>
      <c r="AP10" s="47"/>
      <c r="AQ10" s="47"/>
      <c r="AR10" s="47"/>
    </row>
    <row r="11" spans="1:44" ht="20.85" customHeight="1" x14ac:dyDescent="0.3">
      <c r="A11" s="16" t="s">
        <v>925</v>
      </c>
      <c r="B11" s="17">
        <f t="shared" ref="B11:B16" si="7">COUNTIF($A$34:$A$117,A11)</f>
        <v>0</v>
      </c>
      <c r="C11" s="18">
        <f t="shared" ref="C11:C16" si="8">SUMIF($A$34:$A$117,A11,$H$34:$H$117)</f>
        <v>0</v>
      </c>
      <c r="D11" s="18">
        <f t="shared" ref="D11:D15" si="9">SUMIF($A$34:$A$117,A11,$M$34:$M$117)</f>
        <v>0</v>
      </c>
      <c r="E11" s="915">
        <f>SUMIFS($AJ$34:$AJ$149,$R$34:$R$149,"Real",$AP$34:$AP$149,A11)</f>
        <v>0</v>
      </c>
      <c r="F11" s="29"/>
      <c r="G11" s="29"/>
      <c r="H11" s="385" t="s">
        <v>24</v>
      </c>
      <c r="I11" s="386">
        <f t="shared" si="0"/>
        <v>0</v>
      </c>
      <c r="J11" s="387">
        <f t="shared" si="1"/>
        <v>0</v>
      </c>
      <c r="K11" s="20"/>
      <c r="L11" s="574" t="s">
        <v>81</v>
      </c>
      <c r="M11" s="575" cm="1">
        <f t="array" ref="M11">SUM(IF($A$34:$A$117&lt;&gt;$A$6, IF($N$34:$N$117=L11, 1, 0), 0))</f>
        <v>0</v>
      </c>
      <c r="N11" s="576">
        <v>0</v>
      </c>
      <c r="O11" s="577" t="s">
        <v>81</v>
      </c>
      <c r="P11" s="571" cm="1">
        <f t="array" ref="P11">SUM(IF($A$34:$A$117=$A$6, IF($N$34:$N$117=L11, 1, 0), 0))</f>
        <v>0</v>
      </c>
      <c r="Q11" s="578">
        <v>0</v>
      </c>
      <c r="R11" s="354">
        <v>2</v>
      </c>
      <c r="S11" s="379" t="str">
        <f t="shared" si="2"/>
        <v>Redução de Custo</v>
      </c>
      <c r="T11" s="355">
        <f>IFERROR(LARGE($H$34:$H$117,R11)," ")</f>
        <v>545563</v>
      </c>
      <c r="U11" s="437">
        <f>_xlfn.XLOOKUP(X11,$B$34:$B$117,$M$34:$M$117)</f>
        <v>0</v>
      </c>
      <c r="V11" s="355" cm="1">
        <f t="array" aca="1" ref="V11" ca="1">SUMPRODUCT(($C$34:$C$117=X11)*(T$33:$AH$33&lt;EOMONTH(TODAY(),-1)+1)*(ISNUMBER(S$34:$AG$117)),S$34:$AG$117)</f>
        <v>0</v>
      </c>
      <c r="W11" s="509" cm="1">
        <f t="array" aca="1" ref="W11" ca="1">SUMPRODUCT(($C$34:$C$117=X11)*(T$33:$AH$33&lt;=TODAY())*(ISNUMBER(S$35:$AG$118)),S$35:$AG$118)</f>
        <v>0</v>
      </c>
      <c r="X11" s="483" t="str">
        <f t="shared" si="3"/>
        <v>Materia Prima - Desenvolvimento</v>
      </c>
      <c r="Y11" s="484"/>
      <c r="Z11" s="484"/>
      <c r="AA11" s="484"/>
      <c r="AB11" s="485"/>
      <c r="AC11" s="356">
        <f>T11/T31</f>
        <v>5.0856191662542086E-2</v>
      </c>
      <c r="AD11" s="357">
        <f>AC11+AD10</f>
        <v>0.9826614861175742</v>
      </c>
      <c r="AE11" s="358" t="str" cm="1">
        <f t="array" ref="AE11">IFERROR(INDEX($R$34:$R$117,MATCH(1,($AN$34:$AN$117=X11)*($Q$34:$Q$117="Previsto"), 0) ), "")</f>
        <v/>
      </c>
      <c r="AF11" s="358" t="str" cm="1">
        <f t="array" ref="AF11">IFERROR( INDEX($R$34:$R$117,MATCH(1,($AN$34:$AN$117=X11)*($Q$34:$Q$117="Real"),0)),"")</f>
        <v/>
      </c>
      <c r="AG11" s="374" t="str">
        <f t="shared" si="4"/>
        <v/>
      </c>
      <c r="AH11" s="358" t="e">
        <f t="shared" si="5"/>
        <v>#VALUE!</v>
      </c>
      <c r="AI11" s="497" t="e">
        <f t="shared" si="6"/>
        <v>#N/A</v>
      </c>
      <c r="AK11" s="47"/>
      <c r="AL11" s="47"/>
      <c r="AM11" s="47"/>
      <c r="AN11" s="47"/>
      <c r="AO11" s="47"/>
      <c r="AP11" s="47"/>
      <c r="AQ11" s="47"/>
      <c r="AR11" s="47"/>
    </row>
    <row r="12" spans="1:44" ht="20.85" customHeight="1" x14ac:dyDescent="0.3">
      <c r="A12" s="16" t="s">
        <v>89</v>
      </c>
      <c r="B12" s="17">
        <f t="shared" si="7"/>
        <v>1</v>
      </c>
      <c r="C12" s="18">
        <f t="shared" si="8"/>
        <v>545563</v>
      </c>
      <c r="D12" s="18">
        <f t="shared" si="9"/>
        <v>0</v>
      </c>
      <c r="E12" s="915">
        <f t="shared" ref="E12:E15" si="10">SUMIFS($AJ$34:$AJ$149,$R$34:$R$149,"Real",$AP$34:$AP$149,A12)</f>
        <v>0</v>
      </c>
      <c r="F12" s="29"/>
      <c r="G12" s="29"/>
      <c r="H12" s="388" t="s">
        <v>25</v>
      </c>
      <c r="I12" s="389">
        <f t="shared" si="0"/>
        <v>0</v>
      </c>
      <c r="J12" s="390">
        <f t="shared" si="1"/>
        <v>0</v>
      </c>
      <c r="K12" s="20"/>
      <c r="L12" s="579" t="s">
        <v>83</v>
      </c>
      <c r="M12" s="569" cm="1">
        <f t="array" ref="M12">SUM(IF($A$34:$A$117&lt;&gt;$A$6, IF($N$34:$N$117=L12, 1, 0), 0))</f>
        <v>1</v>
      </c>
      <c r="N12" s="534">
        <v>0</v>
      </c>
      <c r="O12" s="580" t="s">
        <v>83</v>
      </c>
      <c r="P12" s="572" cm="1">
        <f t="array" ref="P12">SUM(IF($A$34:$A$117=$A$6, IF($N$34:$N$117=L12, 1, 0), 0))</f>
        <v>0</v>
      </c>
      <c r="Q12" s="531">
        <v>0</v>
      </c>
      <c r="R12" s="349">
        <v>3</v>
      </c>
      <c r="S12" s="380" t="str">
        <f t="shared" si="2"/>
        <v xml:space="preserve">Meta Executiva </v>
      </c>
      <c r="T12" s="350">
        <f>IFERROR(LARGE($H$34:$H$117,R12)," ")</f>
        <v>96000</v>
      </c>
      <c r="U12" s="436"/>
      <c r="V12" s="350"/>
      <c r="W12" s="508"/>
      <c r="X12" s="486" t="str">
        <f t="shared" si="3"/>
        <v>43 - Automação Boomerang</v>
      </c>
      <c r="Y12" s="487"/>
      <c r="Z12" s="487"/>
      <c r="AA12" s="487"/>
      <c r="AB12" s="488"/>
      <c r="AC12" s="351">
        <f>T12/T31</f>
        <v>8.9489103909246789E-3</v>
      </c>
      <c r="AD12" s="352">
        <f>AC12+AD11</f>
        <v>0.99161039650849891</v>
      </c>
      <c r="AE12" s="353" t="str" cm="1">
        <f t="array" ref="AE12">IFERROR(INDEX($R$34:$R$117,MATCH(1,($AN$34:$AN$117=X12)*($Q$34:$Q$117="Previsto"), 0) ), "")</f>
        <v/>
      </c>
      <c r="AF12" s="353" t="str" cm="1">
        <f t="array" ref="AF12">IFERROR( INDEX($R$34:$R$117,MATCH(1,($AN$34:$AN$117=X12)*($Q$34:$Q$117="Real"),0)),"")</f>
        <v/>
      </c>
      <c r="AG12" s="373" t="str">
        <f t="shared" si="4"/>
        <v/>
      </c>
      <c r="AH12" s="353" t="e">
        <f t="shared" si="5"/>
        <v>#VALUE!</v>
      </c>
      <c r="AI12" s="496" t="e">
        <f t="shared" si="6"/>
        <v>#N/A</v>
      </c>
      <c r="AK12" s="47"/>
      <c r="AL12" s="47"/>
      <c r="AM12" s="47"/>
      <c r="AN12" s="47"/>
      <c r="AO12" s="47"/>
      <c r="AP12" s="47"/>
      <c r="AQ12" s="47"/>
      <c r="AR12" s="47"/>
    </row>
    <row r="13" spans="1:44" ht="20.85" customHeight="1" x14ac:dyDescent="0.3">
      <c r="A13" s="16" t="s">
        <v>90</v>
      </c>
      <c r="B13" s="17">
        <f t="shared" si="7"/>
        <v>0</v>
      </c>
      <c r="C13" s="18">
        <f t="shared" si="8"/>
        <v>0</v>
      </c>
      <c r="D13" s="18">
        <f t="shared" si="9"/>
        <v>0</v>
      </c>
      <c r="E13" s="915">
        <f t="shared" si="10"/>
        <v>0</v>
      </c>
      <c r="F13" s="29"/>
      <c r="G13" s="29"/>
      <c r="H13" s="391" t="s">
        <v>22</v>
      </c>
      <c r="I13" s="392">
        <f t="shared" si="0"/>
        <v>0</v>
      </c>
      <c r="J13" s="393">
        <f t="shared" si="1"/>
        <v>0</v>
      </c>
      <c r="K13" s="20"/>
      <c r="L13" s="581" t="s">
        <v>85</v>
      </c>
      <c r="M13" s="570">
        <v>1</v>
      </c>
      <c r="N13" s="535">
        <v>0</v>
      </c>
      <c r="O13" s="582" t="s">
        <v>85</v>
      </c>
      <c r="P13" s="573">
        <v>5</v>
      </c>
      <c r="Q13" s="532">
        <v>0</v>
      </c>
      <c r="R13" s="354">
        <v>4</v>
      </c>
      <c r="S13" s="379" t="str">
        <f t="shared" si="2"/>
        <v xml:space="preserve">Meta Executiva </v>
      </c>
      <c r="T13" s="355">
        <f>IFERROR(LARGE($H$34:$H$117,R13)," ")</f>
        <v>90000.000000098997</v>
      </c>
      <c r="U13" s="437"/>
      <c r="V13" s="355"/>
      <c r="W13" s="509"/>
      <c r="X13" s="483" t="str">
        <f t="shared" si="3"/>
        <v>27 - DA000459AA - STC Volvo_</v>
      </c>
      <c r="Y13" s="484"/>
      <c r="Z13" s="484"/>
      <c r="AA13" s="484"/>
      <c r="AB13" s="485"/>
      <c r="AC13" s="356">
        <f>T13/T31</f>
        <v>8.3896034915011148E-3</v>
      </c>
      <c r="AD13" s="357">
        <f>AC13+AD12</f>
        <v>1</v>
      </c>
      <c r="AE13" s="358" t="str" cm="1">
        <f t="array" ref="AE13">IFERROR(INDEX($R$34:$R$117,MATCH(1,($AN$34:$AN$117=X13)*($Q$34:$Q$117="Previsto"), 0) ), "")</f>
        <v/>
      </c>
      <c r="AF13" s="358" t="str" cm="1">
        <f t="array" ref="AF13">IFERROR( INDEX($R$34:$R$117,MATCH(1,($AN$34:$AN$117=X13)*($Q$34:$Q$117="Real"),0)),"")</f>
        <v/>
      </c>
      <c r="AG13" s="374" t="str">
        <f t="shared" si="4"/>
        <v/>
      </c>
      <c r="AH13" s="358" t="e">
        <f t="shared" si="5"/>
        <v>#VALUE!</v>
      </c>
      <c r="AI13" s="497" t="e">
        <f t="shared" si="6"/>
        <v>#N/A</v>
      </c>
      <c r="AK13" s="47"/>
      <c r="AL13" s="47"/>
      <c r="AM13" s="47"/>
      <c r="AN13" s="47"/>
      <c r="AO13" s="47"/>
      <c r="AP13" s="47"/>
      <c r="AQ13" s="47"/>
      <c r="AR13" s="47"/>
    </row>
    <row r="14" spans="1:44" ht="20.85" customHeight="1" x14ac:dyDescent="0.3">
      <c r="A14" s="16" t="s">
        <v>91</v>
      </c>
      <c r="B14" s="17">
        <f t="shared" si="7"/>
        <v>0</v>
      </c>
      <c r="C14" s="18">
        <f t="shared" si="8"/>
        <v>0</v>
      </c>
      <c r="D14" s="18">
        <f t="shared" si="9"/>
        <v>0</v>
      </c>
      <c r="E14" s="915">
        <f t="shared" si="10"/>
        <v>0</v>
      </c>
      <c r="F14" s="29"/>
      <c r="G14" s="29"/>
      <c r="H14" s="394" t="s">
        <v>23</v>
      </c>
      <c r="I14" s="395">
        <f t="shared" si="0"/>
        <v>0</v>
      </c>
      <c r="J14" s="396">
        <f t="shared" si="1"/>
        <v>0</v>
      </c>
      <c r="K14" s="20"/>
      <c r="L14" s="20"/>
      <c r="M14" s="20"/>
      <c r="N14" s="20"/>
      <c r="O14" s="20"/>
      <c r="P14" s="20"/>
      <c r="Q14" s="20"/>
      <c r="R14" s="349">
        <v>5</v>
      </c>
      <c r="S14" s="380" t="e">
        <f t="shared" si="2"/>
        <v>#N/A</v>
      </c>
      <c r="T14" s="350" t="str">
        <f>IFERROR(LARGE($H$34:$H$117,R14)," ")</f>
        <v xml:space="preserve"> </v>
      </c>
      <c r="U14" s="436"/>
      <c r="V14" s="350"/>
      <c r="W14" s="508"/>
      <c r="X14" s="486" t="str">
        <f t="shared" si="3"/>
        <v/>
      </c>
      <c r="Y14" s="487"/>
      <c r="Z14" s="487"/>
      <c r="AA14" s="487"/>
      <c r="AB14" s="488"/>
      <c r="AC14" s="351" t="e">
        <f>T14/T31</f>
        <v>#VALUE!</v>
      </c>
      <c r="AD14" s="352" t="e">
        <f>AC14+AD13</f>
        <v>#VALUE!</v>
      </c>
      <c r="AE14" s="353" t="str" cm="1">
        <f t="array" ref="AE14">IFERROR(INDEX($R$34:$R$117,MATCH(1,($AN$34:$AN$117=X14)*($Q$34:$Q$117="Previsto"), 0) ), "")</f>
        <v/>
      </c>
      <c r="AF14" s="353" t="str" cm="1">
        <f t="array" ref="AF14">IFERROR( INDEX($R$34:$R$117,MATCH(1,($AN$34:$AN$117=X14)*($Q$34:$Q$117="Real"),0)),"")</f>
        <v/>
      </c>
      <c r="AG14" s="373" t="str">
        <f t="shared" si="4"/>
        <v/>
      </c>
      <c r="AH14" s="353" t="e">
        <f t="shared" si="5"/>
        <v>#VALUE!</v>
      </c>
      <c r="AI14" s="496" t="e">
        <f t="shared" si="6"/>
        <v>#N/A</v>
      </c>
      <c r="AK14" s="47"/>
      <c r="AL14" s="47"/>
      <c r="AM14" s="47"/>
      <c r="AN14" s="47"/>
      <c r="AO14" s="47"/>
      <c r="AP14" s="47"/>
      <c r="AQ14" s="47"/>
      <c r="AR14" s="47"/>
    </row>
    <row r="15" spans="1:44" ht="20.85" customHeight="1" x14ac:dyDescent="0.3">
      <c r="A15" s="481" t="s">
        <v>92</v>
      </c>
      <c r="B15" s="17">
        <f t="shared" si="7"/>
        <v>1</v>
      </c>
      <c r="C15" s="18">
        <f t="shared" si="8"/>
        <v>9996000</v>
      </c>
      <c r="D15" s="18">
        <f t="shared" si="9"/>
        <v>0</v>
      </c>
      <c r="E15" s="915">
        <f t="shared" si="10"/>
        <v>0</v>
      </c>
      <c r="F15" s="29"/>
      <c r="G15" s="29"/>
      <c r="H15" s="397" t="s">
        <v>2500</v>
      </c>
      <c r="I15" s="398">
        <f t="shared" si="0"/>
        <v>0</v>
      </c>
      <c r="J15" s="399">
        <f t="shared" si="1"/>
        <v>0</v>
      </c>
      <c r="K15" s="20"/>
      <c r="L15" s="20"/>
      <c r="M15" s="20"/>
      <c r="N15" s="20"/>
      <c r="O15" s="20"/>
      <c r="P15" s="20"/>
      <c r="Q15" s="20"/>
      <c r="R15" s="354">
        <v>6</v>
      </c>
      <c r="S15" s="379" t="e">
        <f t="shared" si="2"/>
        <v>#N/A</v>
      </c>
      <c r="T15" s="355" t="str">
        <f>IFERROR(LARGE($H$34:$H$117,R15)," ")</f>
        <v xml:space="preserve"> </v>
      </c>
      <c r="U15" s="437"/>
      <c r="V15" s="355"/>
      <c r="W15" s="509"/>
      <c r="X15" s="483" t="str">
        <f t="shared" si="3"/>
        <v/>
      </c>
      <c r="Y15" s="484"/>
      <c r="Z15" s="484"/>
      <c r="AA15" s="484"/>
      <c r="AB15" s="485"/>
      <c r="AC15" s="356"/>
      <c r="AD15" s="357"/>
      <c r="AE15" s="358" t="str" cm="1">
        <f t="array" ref="AE15">IFERROR(INDEX($R$34:$R$117,MATCH(1,($AN$34:$AN$117=X15)*($Q$34:$Q$117="Previsto"), 0) ), "")</f>
        <v/>
      </c>
      <c r="AF15" s="358" t="str" cm="1">
        <f t="array" ref="AF15">IFERROR( INDEX($R$34:$R$117,MATCH(1,($AN$34:$AN$117=X15)*($Q$34:$Q$117="Real"),0)),"")</f>
        <v/>
      </c>
      <c r="AG15" s="374" t="str">
        <f t="shared" si="4"/>
        <v/>
      </c>
      <c r="AH15" s="358" t="e">
        <f t="shared" si="5"/>
        <v>#VALUE!</v>
      </c>
      <c r="AI15" s="497" t="e">
        <f t="shared" si="6"/>
        <v>#N/A</v>
      </c>
      <c r="AK15" s="47"/>
      <c r="AL15" s="47"/>
      <c r="AM15" s="47"/>
      <c r="AN15" s="47"/>
      <c r="AO15" s="47"/>
      <c r="AP15" s="47"/>
      <c r="AQ15" s="47"/>
      <c r="AR15" s="47"/>
    </row>
    <row r="16" spans="1:44" ht="20.85" customHeight="1" x14ac:dyDescent="0.3">
      <c r="A16" s="481" t="s">
        <v>2662</v>
      </c>
      <c r="B16" s="17">
        <f t="shared" si="7"/>
        <v>6</v>
      </c>
      <c r="C16" s="18">
        <f t="shared" si="8"/>
        <v>186000.00000009901</v>
      </c>
      <c r="D16" s="18">
        <f>SUMIF($A$34:$A$117,A16,$M$34:$M$117)</f>
        <v>527168.18999999994</v>
      </c>
      <c r="E16" s="915">
        <f t="shared" ref="E16" si="11">SUMIFS($AJ$34:$AJ$149,$R$34:$R$149,"Real",$AP$34:$AP$149,A16)</f>
        <v>11219.737999999988</v>
      </c>
      <c r="F16" s="29"/>
      <c r="G16" s="29"/>
      <c r="H16" s="925"/>
      <c r="I16" s="926"/>
      <c r="J16" s="927"/>
      <c r="K16" s="20"/>
      <c r="L16" s="20"/>
      <c r="M16" s="20"/>
      <c r="N16" s="20"/>
      <c r="O16" s="20"/>
      <c r="P16" s="20"/>
      <c r="Q16" s="20"/>
      <c r="R16" s="354">
        <v>7</v>
      </c>
      <c r="S16" s="379"/>
      <c r="T16" s="355"/>
      <c r="U16" s="437"/>
      <c r="V16" s="355"/>
      <c r="W16" s="509"/>
      <c r="X16" s="483"/>
      <c r="Y16" s="484"/>
      <c r="Z16" s="484"/>
      <c r="AA16" s="484"/>
      <c r="AB16" s="485"/>
      <c r="AC16" s="356"/>
      <c r="AD16" s="357"/>
      <c r="AE16" s="358"/>
      <c r="AF16" s="358"/>
      <c r="AG16" s="374"/>
      <c r="AH16" s="358"/>
      <c r="AI16" s="497"/>
      <c r="AK16" s="47"/>
      <c r="AL16" s="47"/>
      <c r="AM16" s="47"/>
      <c r="AN16" s="47"/>
      <c r="AO16" s="47"/>
      <c r="AP16" s="47"/>
      <c r="AQ16" s="47"/>
      <c r="AR16" s="47"/>
    </row>
    <row r="17" spans="1:44" ht="20.85" customHeight="1" x14ac:dyDescent="0.3">
      <c r="A17" s="173"/>
      <c r="B17" s="174"/>
      <c r="C17" s="30">
        <f>SUM(C12:C16)</f>
        <v>10727563.000000099</v>
      </c>
      <c r="D17" s="30">
        <f>SUM(D12:D16)</f>
        <v>527168.18999999994</v>
      </c>
      <c r="E17" s="61">
        <f>SUM(E8:E16)</f>
        <v>11219.737999999988</v>
      </c>
      <c r="F17" s="20"/>
      <c r="G17" s="29"/>
      <c r="H17" s="20"/>
      <c r="I17" s="20"/>
      <c r="J17" s="20"/>
      <c r="K17" s="20"/>
      <c r="L17" s="20"/>
      <c r="M17" s="20"/>
      <c r="N17" s="20"/>
      <c r="O17" s="20"/>
      <c r="P17" s="47"/>
      <c r="Q17" s="47"/>
      <c r="R17" s="349">
        <v>8</v>
      </c>
      <c r="S17" s="380" t="e">
        <f>_xlfn.XLOOKUP(X17,$B$34:$B$117,$A$34:$A$117)</f>
        <v>#N/A</v>
      </c>
      <c r="T17" s="350" t="str">
        <f>IFERROR(LARGE($H$34:$H$117,R17)," ")</f>
        <v xml:space="preserve"> </v>
      </c>
      <c r="U17" s="436"/>
      <c r="V17" s="350"/>
      <c r="W17" s="508"/>
      <c r="X17" s="486" t="str">
        <f>IFERROR(HYPERLINK(INDEX($D$34:$D$117,MATCH(T17,$H$34:$H$117,0)),INDEX($B$34:$B$117,MATCH(T17,$H$34:$H$117,0))
   ),
   ""
)</f>
        <v/>
      </c>
      <c r="Y17" s="487"/>
      <c r="Z17" s="487"/>
      <c r="AA17" s="487"/>
      <c r="AB17" s="488"/>
      <c r="AC17" s="351"/>
      <c r="AD17" s="352"/>
      <c r="AE17" s="353" t="str" cm="1">
        <f t="array" ref="AE17">IFERROR(INDEX($R$34:$R$117,MATCH(1,($AN$34:$AN$117=X17)*($Q$34:$Q$117="Previsto"), 0) ), "")</f>
        <v/>
      </c>
      <c r="AF17" s="353" t="str" cm="1">
        <f t="array" ref="AF17">IFERROR( INDEX($R$34:$R$117,MATCH(1,($AN$34:$AN$117=X17)*($Q$34:$Q$117="Real"),0)),"")</f>
        <v/>
      </c>
      <c r="AG17" s="373" t="str">
        <f t="shared" si="4"/>
        <v/>
      </c>
      <c r="AH17" s="353" t="e">
        <f>_xlfn.XLOOKUP(X17,$C$34:$C$117,$O$84:$O$117)</f>
        <v>#VALUE!</v>
      </c>
      <c r="AI17" s="496" t="e">
        <f>_xlfn.XLOOKUP(X17,$C$34:$C$117,$I$34:$I$117)</f>
        <v>#N/A</v>
      </c>
      <c r="AK17" s="47"/>
      <c r="AL17" s="47"/>
      <c r="AM17" s="47"/>
      <c r="AN17" s="47"/>
      <c r="AO17" s="47"/>
      <c r="AP17" s="47"/>
      <c r="AQ17" s="47"/>
      <c r="AR17" s="47"/>
    </row>
    <row r="18" spans="1:44" ht="20.85" customHeight="1" x14ac:dyDescent="0.3">
      <c r="A18" s="325"/>
      <c r="B18" s="326"/>
      <c r="C18" s="327"/>
      <c r="D18" s="328"/>
      <c r="E18" s="20"/>
      <c r="F18" s="29"/>
      <c r="G18" s="20"/>
      <c r="H18" s="20"/>
      <c r="I18" s="20"/>
      <c r="J18" s="20"/>
      <c r="K18" s="20"/>
      <c r="L18" s="20"/>
      <c r="M18" s="20"/>
      <c r="N18" s="20"/>
      <c r="O18" s="47"/>
      <c r="P18" s="47"/>
      <c r="Q18" s="47"/>
      <c r="R18" s="354">
        <v>9</v>
      </c>
      <c r="S18" s="379" t="e">
        <f t="shared" ref="S18:S30" si="12">_xlfn.XLOOKUP(X18,$B$34:$B$117,$A$34:$A$117)</f>
        <v>#N/A</v>
      </c>
      <c r="T18" s="355" t="str">
        <f t="shared" ref="T18:T30" si="13">IFERROR(LARGE($H$34:$H$117,R18)," ")</f>
        <v xml:space="preserve"> </v>
      </c>
      <c r="U18" s="437"/>
      <c r="V18" s="355"/>
      <c r="W18" s="509"/>
      <c r="X18" s="483" t="str">
        <f t="shared" ref="X18:X30" si="14">IFERROR(HYPERLINK(INDEX($D$34:$D$117,MATCH(T18,$H$34:$H$117,0)),INDEX($B$34:$B$117,MATCH(T18,$H$34:$H$117,0))
   ),
   ""
)</f>
        <v/>
      </c>
      <c r="Y18" s="484"/>
      <c r="Z18" s="484"/>
      <c r="AA18" s="484"/>
      <c r="AB18" s="485"/>
      <c r="AC18" s="356"/>
      <c r="AD18" s="357"/>
      <c r="AE18" s="358" t="str" cm="1">
        <f t="array" ref="AE18">IFERROR(INDEX($R$34:$R$117,MATCH(1,($AN$34:$AN$117=X18)*($Q$34:$Q$117="Previsto"), 0) ), "")</f>
        <v/>
      </c>
      <c r="AF18" s="358" t="str" cm="1">
        <f t="array" ref="AF18">IFERROR( INDEX($R$34:$R$117,MATCH(1,($AN$34:$AN$117=X18)*($Q$34:$Q$117="Real"),0)),"")</f>
        <v/>
      </c>
      <c r="AG18" s="374" t="str">
        <f t="shared" ref="AG18:AG30" si="15">IF(OR(AE18="",AF18=""),"",IF(AF18=100%,"CONCLUÍDO",IF(AF18=0,IF(AE18=0,"PROJETO NÃO INICIADO","FALTA DE ACOMPANHAMENTO"),IF(AF18&gt;AE18,"ADIANTADO",IF(AF18=AE18,"CONFORME PLANEJADO","ATRASO")))))</f>
        <v/>
      </c>
      <c r="AH18" s="358" t="e">
        <f t="shared" ref="AH18:AH30" si="16">_xlfn.XLOOKUP(X18,$C$34:$C$117,$O$84:$O$117)</f>
        <v>#VALUE!</v>
      </c>
      <c r="AI18" s="497" t="e">
        <f t="shared" ref="AI18:AI30" si="17">_xlfn.XLOOKUP(X18,$C$34:$C$117,$I$34:$I$117)</f>
        <v>#N/A</v>
      </c>
      <c r="AJ18" s="47"/>
      <c r="AK18" s="47"/>
      <c r="AL18" s="47"/>
      <c r="AM18" s="47"/>
      <c r="AN18" s="47"/>
      <c r="AO18" s="47"/>
      <c r="AP18" s="47"/>
      <c r="AQ18" s="47"/>
    </row>
    <row r="19" spans="1:44" ht="20.85" customHeight="1" x14ac:dyDescent="0.3">
      <c r="A19" s="325"/>
      <c r="B19" s="326"/>
      <c r="C19" s="327"/>
      <c r="D19" s="328"/>
      <c r="E19" s="20"/>
      <c r="F19" s="29"/>
      <c r="G19" s="20"/>
      <c r="H19" s="20"/>
      <c r="I19" s="20"/>
      <c r="J19" s="20"/>
      <c r="K19" s="20"/>
      <c r="L19" s="20"/>
      <c r="M19" s="20"/>
      <c r="N19" s="20"/>
      <c r="O19" s="47"/>
      <c r="P19" s="47"/>
      <c r="Q19" s="47"/>
      <c r="R19" s="349">
        <v>10</v>
      </c>
      <c r="S19" s="380" t="e">
        <f t="shared" si="12"/>
        <v>#N/A</v>
      </c>
      <c r="T19" s="350" t="str">
        <f t="shared" si="13"/>
        <v xml:space="preserve"> </v>
      </c>
      <c r="U19" s="436"/>
      <c r="V19" s="350"/>
      <c r="W19" s="508"/>
      <c r="X19" s="486" t="str">
        <f t="shared" si="14"/>
        <v/>
      </c>
      <c r="Y19" s="487"/>
      <c r="Z19" s="487"/>
      <c r="AA19" s="487"/>
      <c r="AB19" s="488"/>
      <c r="AC19" s="351"/>
      <c r="AD19" s="352"/>
      <c r="AE19" s="353" t="str" cm="1">
        <f t="array" ref="AE19">IFERROR(INDEX($R$34:$R$117,MATCH(1,($AN$34:$AN$117=X19)*($Q$34:$Q$117="Previsto"), 0) ), "")</f>
        <v/>
      </c>
      <c r="AF19" s="353" t="str" cm="1">
        <f t="array" ref="AF19">IFERROR( INDEX($R$34:$R$117,MATCH(1,($AN$34:$AN$117=X19)*($Q$34:$Q$117="Real"),0)),"")</f>
        <v/>
      </c>
      <c r="AG19" s="373" t="str">
        <f t="shared" si="15"/>
        <v/>
      </c>
      <c r="AH19" s="353" t="e">
        <f t="shared" si="16"/>
        <v>#VALUE!</v>
      </c>
      <c r="AI19" s="496" t="e">
        <f t="shared" si="17"/>
        <v>#N/A</v>
      </c>
      <c r="AJ19" s="47"/>
      <c r="AK19" s="47"/>
      <c r="AL19" s="47"/>
      <c r="AM19" s="47"/>
      <c r="AN19" s="47"/>
      <c r="AO19" s="47"/>
      <c r="AP19" s="47"/>
      <c r="AQ19" s="47"/>
    </row>
    <row r="20" spans="1:44" ht="20.85" customHeight="1" x14ac:dyDescent="0.3">
      <c r="A20" s="325"/>
      <c r="B20" s="326"/>
      <c r="C20" s="327"/>
      <c r="D20" s="328"/>
      <c r="E20" s="20"/>
      <c r="F20" s="29"/>
      <c r="G20" s="20"/>
      <c r="H20" s="20"/>
      <c r="I20" s="20"/>
      <c r="J20" s="20"/>
      <c r="K20" s="20"/>
      <c r="L20" s="20"/>
      <c r="M20" s="20"/>
      <c r="N20" s="20"/>
      <c r="O20" s="47"/>
      <c r="P20" s="47"/>
      <c r="Q20" s="47"/>
      <c r="R20" s="354">
        <v>11</v>
      </c>
      <c r="S20" s="379" t="e">
        <f t="shared" si="12"/>
        <v>#N/A</v>
      </c>
      <c r="T20" s="355" t="str">
        <f t="shared" si="13"/>
        <v xml:space="preserve"> </v>
      </c>
      <c r="U20" s="437"/>
      <c r="V20" s="355"/>
      <c r="W20" s="509"/>
      <c r="X20" s="483" t="str">
        <f t="shared" si="14"/>
        <v/>
      </c>
      <c r="Y20" s="484"/>
      <c r="Z20" s="484"/>
      <c r="AA20" s="484"/>
      <c r="AB20" s="485"/>
      <c r="AC20" s="356"/>
      <c r="AD20" s="357"/>
      <c r="AE20" s="358" t="str" cm="1">
        <f t="array" ref="AE20">IFERROR(INDEX($R$34:$R$117,MATCH(1,($AN$34:$AN$117=X20)*($Q$34:$Q$117="Previsto"), 0) ), "")</f>
        <v/>
      </c>
      <c r="AF20" s="358" t="str" cm="1">
        <f t="array" ref="AF20">IFERROR( INDEX($R$34:$R$117,MATCH(1,($AN$34:$AN$117=X20)*($Q$34:$Q$117="Real"),0)),"")</f>
        <v/>
      </c>
      <c r="AG20" s="374" t="str">
        <f t="shared" si="15"/>
        <v/>
      </c>
      <c r="AH20" s="358" t="e">
        <f t="shared" si="16"/>
        <v>#VALUE!</v>
      </c>
      <c r="AI20" s="497" t="e">
        <f t="shared" si="17"/>
        <v>#N/A</v>
      </c>
      <c r="AJ20" s="47"/>
      <c r="AK20" s="47"/>
      <c r="AL20" s="47"/>
      <c r="AM20" s="47"/>
      <c r="AN20" s="47"/>
      <c r="AO20" s="47"/>
      <c r="AP20" s="47"/>
      <c r="AQ20" s="47"/>
    </row>
    <row r="21" spans="1:44" ht="20.85" customHeight="1" x14ac:dyDescent="0.3">
      <c r="A21" s="325"/>
      <c r="B21" s="326"/>
      <c r="C21" s="327"/>
      <c r="D21" s="328"/>
      <c r="E21" s="20"/>
      <c r="F21" s="29"/>
      <c r="G21" s="20"/>
      <c r="H21" s="20"/>
      <c r="I21" s="20"/>
      <c r="J21" s="20"/>
      <c r="K21" s="20"/>
      <c r="L21" s="20"/>
      <c r="M21" s="20"/>
      <c r="N21" s="20"/>
      <c r="O21" s="47"/>
      <c r="P21" s="47"/>
      <c r="Q21" s="47"/>
      <c r="R21" s="349">
        <v>12</v>
      </c>
      <c r="S21" s="380" t="e">
        <f t="shared" si="12"/>
        <v>#N/A</v>
      </c>
      <c r="T21" s="350" t="str">
        <f t="shared" si="13"/>
        <v xml:space="preserve"> </v>
      </c>
      <c r="U21" s="436"/>
      <c r="V21" s="350"/>
      <c r="W21" s="508"/>
      <c r="X21" s="486" t="str">
        <f t="shared" si="14"/>
        <v/>
      </c>
      <c r="Y21" s="487"/>
      <c r="Z21" s="487"/>
      <c r="AA21" s="487"/>
      <c r="AB21" s="488"/>
      <c r="AC21" s="351"/>
      <c r="AD21" s="352"/>
      <c r="AE21" s="353" t="str" cm="1">
        <f t="array" ref="AE21">IFERROR(INDEX($R$34:$R$117,MATCH(1,($AN$34:$AN$117=X21)*($Q$34:$Q$117="Previsto"), 0) ), "")</f>
        <v/>
      </c>
      <c r="AF21" s="353" t="str" cm="1">
        <f t="array" ref="AF21">IFERROR( INDEX($R$34:$R$117,MATCH(1,($AN$34:$AN$117=X21)*($Q$34:$Q$117="Real"),0)),"")</f>
        <v/>
      </c>
      <c r="AG21" s="373" t="str">
        <f t="shared" si="15"/>
        <v/>
      </c>
      <c r="AH21" s="353" t="e">
        <f t="shared" si="16"/>
        <v>#VALUE!</v>
      </c>
      <c r="AI21" s="496" t="e">
        <f t="shared" si="17"/>
        <v>#N/A</v>
      </c>
      <c r="AJ21" s="47"/>
      <c r="AK21" s="47"/>
      <c r="AL21" s="47"/>
      <c r="AM21" s="47"/>
      <c r="AN21" s="47"/>
      <c r="AO21" s="47"/>
      <c r="AP21" s="47"/>
      <c r="AQ21" s="47"/>
    </row>
    <row r="22" spans="1:44" ht="20.85" customHeight="1" x14ac:dyDescent="0.3">
      <c r="A22" s="325"/>
      <c r="B22" s="326"/>
      <c r="C22" s="327"/>
      <c r="D22" s="328"/>
      <c r="E22" s="20"/>
      <c r="F22" s="29"/>
      <c r="G22" s="20"/>
      <c r="H22" s="20"/>
      <c r="I22" s="20"/>
      <c r="J22" s="20"/>
      <c r="K22" s="20"/>
      <c r="L22" s="20"/>
      <c r="M22" s="20"/>
      <c r="N22" s="20"/>
      <c r="O22" s="47"/>
      <c r="P22" s="47"/>
      <c r="Q22" s="47"/>
      <c r="R22" s="354">
        <v>13</v>
      </c>
      <c r="S22" s="379" t="e">
        <f t="shared" si="12"/>
        <v>#N/A</v>
      </c>
      <c r="T22" s="355" t="str">
        <f t="shared" si="13"/>
        <v xml:space="preserve"> </v>
      </c>
      <c r="U22" s="437"/>
      <c r="V22" s="355"/>
      <c r="W22" s="509"/>
      <c r="X22" s="483" t="str">
        <f t="shared" si="14"/>
        <v/>
      </c>
      <c r="Y22" s="484"/>
      <c r="Z22" s="484"/>
      <c r="AA22" s="484"/>
      <c r="AB22" s="485"/>
      <c r="AC22" s="356"/>
      <c r="AD22" s="357"/>
      <c r="AE22" s="358" t="str" cm="1">
        <f t="array" ref="AE22">IFERROR(INDEX($R$34:$R$117,MATCH(1,($AN$34:$AN$117=X22)*($Q$34:$Q$117="Previsto"), 0) ), "")</f>
        <v/>
      </c>
      <c r="AF22" s="358" t="str" cm="1">
        <f t="array" ref="AF22">IFERROR( INDEX($R$34:$R$117,MATCH(1,($AN$34:$AN$117=X22)*($Q$34:$Q$117="Real"),0)),"")</f>
        <v/>
      </c>
      <c r="AG22" s="374" t="str">
        <f t="shared" si="15"/>
        <v/>
      </c>
      <c r="AH22" s="358" t="e">
        <f t="shared" si="16"/>
        <v>#VALUE!</v>
      </c>
      <c r="AI22" s="497" t="e">
        <f t="shared" si="17"/>
        <v>#N/A</v>
      </c>
      <c r="AJ22" s="47"/>
      <c r="AK22" s="47"/>
      <c r="AL22" s="47"/>
      <c r="AM22" s="47"/>
      <c r="AN22" s="47"/>
      <c r="AO22" s="47"/>
      <c r="AP22" s="47"/>
      <c r="AQ22" s="47"/>
    </row>
    <row r="23" spans="1:44" ht="20.85" customHeight="1" x14ac:dyDescent="0.3">
      <c r="A23" s="325"/>
      <c r="B23" s="326"/>
      <c r="C23" s="327"/>
      <c r="D23" s="328"/>
      <c r="E23" s="20"/>
      <c r="F23" s="29"/>
      <c r="G23" s="20"/>
      <c r="H23" s="20"/>
      <c r="I23" s="20"/>
      <c r="J23" s="20"/>
      <c r="K23" s="20"/>
      <c r="L23" s="20"/>
      <c r="M23" s="20"/>
      <c r="N23" s="20"/>
      <c r="O23" s="47"/>
      <c r="P23" s="47"/>
      <c r="Q23" s="47"/>
      <c r="R23" s="349">
        <v>14</v>
      </c>
      <c r="S23" s="380" t="e">
        <f t="shared" si="12"/>
        <v>#N/A</v>
      </c>
      <c r="T23" s="350" t="str">
        <f t="shared" si="13"/>
        <v xml:space="preserve"> </v>
      </c>
      <c r="U23" s="436"/>
      <c r="V23" s="350"/>
      <c r="W23" s="508"/>
      <c r="X23" s="486" t="str">
        <f t="shared" si="14"/>
        <v/>
      </c>
      <c r="Y23" s="487"/>
      <c r="Z23" s="487"/>
      <c r="AA23" s="487"/>
      <c r="AB23" s="488"/>
      <c r="AC23" s="351"/>
      <c r="AD23" s="352"/>
      <c r="AE23" s="353" t="str" cm="1">
        <f t="array" ref="AE23">IFERROR(INDEX($R$34:$R$117,MATCH(1,($AN$34:$AN$117=X23)*($Q$34:$Q$117="Previsto"), 0) ), "")</f>
        <v/>
      </c>
      <c r="AF23" s="353" t="str" cm="1">
        <f t="array" ref="AF23">IFERROR( INDEX($R$34:$R$117,MATCH(1,($AN$34:$AN$117=X23)*($Q$34:$Q$117="Real"),0)),"")</f>
        <v/>
      </c>
      <c r="AG23" s="373" t="str">
        <f t="shared" si="15"/>
        <v/>
      </c>
      <c r="AH23" s="353" t="e">
        <f t="shared" si="16"/>
        <v>#VALUE!</v>
      </c>
      <c r="AI23" s="496" t="e">
        <f t="shared" si="17"/>
        <v>#N/A</v>
      </c>
      <c r="AJ23" s="47"/>
      <c r="AK23" s="47"/>
      <c r="AL23" s="47"/>
      <c r="AM23" s="47"/>
      <c r="AN23" s="47"/>
      <c r="AO23" s="47"/>
      <c r="AP23" s="47"/>
      <c r="AQ23" s="47"/>
    </row>
    <row r="24" spans="1:44" ht="20.85" customHeight="1" x14ac:dyDescent="0.3">
      <c r="A24" s="325"/>
      <c r="B24" s="326"/>
      <c r="C24" s="327"/>
      <c r="D24" s="328"/>
      <c r="E24" s="20"/>
      <c r="F24" s="29"/>
      <c r="G24" s="20"/>
      <c r="H24" s="20"/>
      <c r="I24" s="20"/>
      <c r="J24" s="20"/>
      <c r="K24" s="20"/>
      <c r="L24" s="20"/>
      <c r="M24" s="20"/>
      <c r="N24" s="20"/>
      <c r="O24" s="47"/>
      <c r="P24" s="47"/>
      <c r="Q24" s="47"/>
      <c r="R24" s="354">
        <v>15</v>
      </c>
      <c r="S24" s="379" t="e">
        <f t="shared" si="12"/>
        <v>#N/A</v>
      </c>
      <c r="T24" s="355" t="str">
        <f t="shared" si="13"/>
        <v xml:space="preserve"> </v>
      </c>
      <c r="U24" s="437"/>
      <c r="V24" s="355"/>
      <c r="W24" s="509"/>
      <c r="X24" s="483" t="str">
        <f t="shared" si="14"/>
        <v/>
      </c>
      <c r="Y24" s="484"/>
      <c r="Z24" s="484"/>
      <c r="AA24" s="484"/>
      <c r="AB24" s="485"/>
      <c r="AC24" s="356"/>
      <c r="AD24" s="357"/>
      <c r="AE24" s="358" t="str" cm="1">
        <f t="array" ref="AE24">IFERROR(INDEX($R$34:$R$117,MATCH(1,($AN$34:$AN$117=X24)*($Q$34:$Q$117="Previsto"), 0) ), "")</f>
        <v/>
      </c>
      <c r="AF24" s="358" t="str" cm="1">
        <f t="array" ref="AF24">IFERROR( INDEX($R$34:$R$117,MATCH(1,($AN$34:$AN$117=X24)*($Q$34:$Q$117="Real"),0)),"")</f>
        <v/>
      </c>
      <c r="AG24" s="374" t="str">
        <f t="shared" si="15"/>
        <v/>
      </c>
      <c r="AH24" s="358" t="e">
        <f t="shared" si="16"/>
        <v>#VALUE!</v>
      </c>
      <c r="AI24" s="497" t="e">
        <f t="shared" si="17"/>
        <v>#N/A</v>
      </c>
      <c r="AJ24" s="47"/>
      <c r="AK24" s="1409" t="s">
        <v>244</v>
      </c>
      <c r="AL24" s="1409"/>
      <c r="AM24" s="47"/>
      <c r="AN24" s="47"/>
      <c r="AO24" s="47"/>
      <c r="AP24" s="47"/>
      <c r="AQ24" s="47"/>
    </row>
    <row r="25" spans="1:44" ht="20.85" customHeight="1" x14ac:dyDescent="0.3">
      <c r="A25" s="325"/>
      <c r="B25" s="326"/>
      <c r="C25" s="327"/>
      <c r="D25" s="328"/>
      <c r="E25" s="20"/>
      <c r="F25" s="29"/>
      <c r="G25" s="20"/>
      <c r="H25" s="20"/>
      <c r="I25" s="20"/>
      <c r="J25" s="20"/>
      <c r="K25" s="20"/>
      <c r="L25" s="20"/>
      <c r="M25" s="20"/>
      <c r="N25" s="20"/>
      <c r="O25" s="47"/>
      <c r="P25" s="47"/>
      <c r="Q25" s="47"/>
      <c r="R25" s="349">
        <v>16</v>
      </c>
      <c r="S25" s="380" t="e">
        <f t="shared" si="12"/>
        <v>#N/A</v>
      </c>
      <c r="T25" s="350" t="str">
        <f t="shared" si="13"/>
        <v xml:space="preserve"> </v>
      </c>
      <c r="U25" s="436"/>
      <c r="V25" s="350"/>
      <c r="W25" s="508"/>
      <c r="X25" s="486" t="str">
        <f t="shared" si="14"/>
        <v/>
      </c>
      <c r="Y25" s="487"/>
      <c r="Z25" s="487"/>
      <c r="AA25" s="487"/>
      <c r="AB25" s="488"/>
      <c r="AC25" s="351"/>
      <c r="AD25" s="352"/>
      <c r="AE25" s="353" t="str" cm="1">
        <f t="array" ref="AE25">IFERROR(INDEX($R$34:$R$117,MATCH(1,($AN$34:$AN$117=X25)*($Q$34:$Q$117="Previsto"), 0) ), "")</f>
        <v/>
      </c>
      <c r="AF25" s="353" t="str" cm="1">
        <f t="array" ref="AF25">IFERROR( INDEX($R$34:$R$117,MATCH(1,($AN$34:$AN$117=X25)*($Q$34:$Q$117="Real"),0)),"")</f>
        <v/>
      </c>
      <c r="AG25" s="373" t="str">
        <f t="shared" si="15"/>
        <v/>
      </c>
      <c r="AH25" s="353" t="e">
        <f t="shared" si="16"/>
        <v>#VALUE!</v>
      </c>
      <c r="AI25" s="496" t="e">
        <f t="shared" si="17"/>
        <v>#N/A</v>
      </c>
      <c r="AJ25" s="47"/>
      <c r="AK25" s="447" t="s">
        <v>249</v>
      </c>
      <c r="AL25" s="447" t="s">
        <v>250</v>
      </c>
      <c r="AM25" s="47"/>
      <c r="AN25" s="47"/>
      <c r="AO25" s="47"/>
      <c r="AP25" s="47"/>
      <c r="AQ25" s="47"/>
    </row>
    <row r="26" spans="1:44" ht="20.85" customHeight="1" x14ac:dyDescent="0.3">
      <c r="A26" s="325"/>
      <c r="B26" s="326"/>
      <c r="C26" s="327"/>
      <c r="D26" s="328"/>
      <c r="E26" s="20"/>
      <c r="F26" s="29"/>
      <c r="G26" s="20"/>
      <c r="H26" s="20"/>
      <c r="I26" s="20"/>
      <c r="J26" s="20"/>
      <c r="K26" s="20"/>
      <c r="L26" s="20"/>
      <c r="M26" s="20"/>
      <c r="N26" s="20"/>
      <c r="O26" s="47"/>
      <c r="P26" s="47"/>
      <c r="Q26" s="47"/>
      <c r="R26" s="354">
        <v>17</v>
      </c>
      <c r="S26" s="379" t="e">
        <f t="shared" si="12"/>
        <v>#N/A</v>
      </c>
      <c r="T26" s="355" t="str">
        <f t="shared" si="13"/>
        <v xml:space="preserve"> </v>
      </c>
      <c r="U26" s="437"/>
      <c r="V26" s="355"/>
      <c r="W26" s="509"/>
      <c r="X26" s="483" t="str">
        <f t="shared" si="14"/>
        <v/>
      </c>
      <c r="Y26" s="484"/>
      <c r="Z26" s="484"/>
      <c r="AA26" s="484"/>
      <c r="AB26" s="485"/>
      <c r="AC26" s="356"/>
      <c r="AD26" s="357"/>
      <c r="AE26" s="358" t="str" cm="1">
        <f t="array" ref="AE26">IFERROR(INDEX($R$34:$R$117,MATCH(1,($AN$34:$AN$117=X26)*($Q$34:$Q$117="Previsto"), 0) ), "")</f>
        <v/>
      </c>
      <c r="AF26" s="358" t="str" cm="1">
        <f t="array" ref="AF26">IFERROR( INDEX($R$34:$R$117,MATCH(1,($AN$34:$AN$117=X26)*($Q$34:$Q$117="Real"),0)),"")</f>
        <v/>
      </c>
      <c r="AG26" s="374" t="str">
        <f t="shared" si="15"/>
        <v/>
      </c>
      <c r="AH26" s="358" t="e">
        <f t="shared" si="16"/>
        <v>#VALUE!</v>
      </c>
      <c r="AI26" s="497" t="e">
        <f t="shared" si="17"/>
        <v>#N/A</v>
      </c>
      <c r="AJ26" s="47"/>
      <c r="AK26" s="228" t="s">
        <v>26</v>
      </c>
      <c r="AL26" s="448" t="e">
        <f>SUMIF(#REF!,AK26,$AK$58:$AK$109)</f>
        <v>#REF!</v>
      </c>
      <c r="AM26" s="47"/>
      <c r="AN26" s="47"/>
      <c r="AO26" s="47"/>
      <c r="AP26" s="47"/>
      <c r="AQ26" s="47"/>
    </row>
    <row r="27" spans="1:44" ht="20.85" customHeight="1" x14ac:dyDescent="0.3">
      <c r="A27" s="325"/>
      <c r="B27" s="326"/>
      <c r="C27" s="327"/>
      <c r="D27" s="328"/>
      <c r="E27" s="20"/>
      <c r="F27" s="29"/>
      <c r="G27" s="20"/>
      <c r="H27" s="20"/>
      <c r="I27" s="20"/>
      <c r="J27" s="20"/>
      <c r="K27" s="20"/>
      <c r="L27" s="20"/>
      <c r="M27" s="20"/>
      <c r="N27" s="20"/>
      <c r="O27" s="47"/>
      <c r="P27" s="47"/>
      <c r="Q27" s="47"/>
      <c r="R27" s="349">
        <v>18</v>
      </c>
      <c r="S27" s="380" t="e">
        <f t="shared" si="12"/>
        <v>#N/A</v>
      </c>
      <c r="T27" s="350" t="str">
        <f t="shared" si="13"/>
        <v xml:space="preserve"> </v>
      </c>
      <c r="U27" s="436"/>
      <c r="V27" s="350"/>
      <c r="W27" s="508"/>
      <c r="X27" s="486" t="str">
        <f t="shared" si="14"/>
        <v/>
      </c>
      <c r="Y27" s="487"/>
      <c r="Z27" s="487"/>
      <c r="AA27" s="487"/>
      <c r="AB27" s="488"/>
      <c r="AC27" s="351"/>
      <c r="AD27" s="352"/>
      <c r="AE27" s="353" t="str" cm="1">
        <f t="array" ref="AE27">IFERROR(INDEX($R$34:$R$117,MATCH(1,($AN$34:$AN$117=X27)*($Q$34:$Q$117="Previsto"), 0) ), "")</f>
        <v/>
      </c>
      <c r="AF27" s="353" t="str" cm="1">
        <f t="array" ref="AF27">IFERROR( INDEX($R$34:$R$117,MATCH(1,($AN$34:$AN$117=X27)*($Q$34:$Q$117="Real"),0)),"")</f>
        <v/>
      </c>
      <c r="AG27" s="373" t="str">
        <f t="shared" si="15"/>
        <v/>
      </c>
      <c r="AH27" s="353" t="e">
        <f t="shared" si="16"/>
        <v>#VALUE!</v>
      </c>
      <c r="AI27" s="496" t="e">
        <f t="shared" si="17"/>
        <v>#N/A</v>
      </c>
      <c r="AJ27" s="47"/>
      <c r="AK27" s="251" t="s">
        <v>27</v>
      </c>
      <c r="AL27" s="449" t="e">
        <f>SUMIF(#REF!,AK27,$AK$58:$AK$109)</f>
        <v>#REF!</v>
      </c>
      <c r="AM27" s="47"/>
      <c r="AN27" s="47"/>
      <c r="AO27" s="47"/>
      <c r="AP27" s="47"/>
      <c r="AQ27" s="47"/>
    </row>
    <row r="28" spans="1:44" ht="20.85" customHeight="1" x14ac:dyDescent="0.3">
      <c r="A28" s="325"/>
      <c r="B28" s="326"/>
      <c r="C28" s="327"/>
      <c r="D28" s="328"/>
      <c r="E28" s="20"/>
      <c r="F28" s="29"/>
      <c r="G28" s="20"/>
      <c r="H28" s="20"/>
      <c r="I28" s="20"/>
      <c r="J28" s="20"/>
      <c r="K28" s="20"/>
      <c r="L28" s="20"/>
      <c r="M28" s="20"/>
      <c r="N28" s="20"/>
      <c r="O28" s="47"/>
      <c r="P28" s="47"/>
      <c r="Q28" s="47"/>
      <c r="R28" s="354">
        <v>19</v>
      </c>
      <c r="S28" s="379" t="e">
        <f t="shared" si="12"/>
        <v>#N/A</v>
      </c>
      <c r="T28" s="355" t="str">
        <f t="shared" si="13"/>
        <v xml:space="preserve"> </v>
      </c>
      <c r="U28" s="437"/>
      <c r="V28" s="355"/>
      <c r="W28" s="509"/>
      <c r="X28" s="483" t="str">
        <f t="shared" si="14"/>
        <v/>
      </c>
      <c r="Y28" s="484"/>
      <c r="Z28" s="484"/>
      <c r="AA28" s="484"/>
      <c r="AB28" s="485"/>
      <c r="AC28" s="356"/>
      <c r="AD28" s="357"/>
      <c r="AE28" s="358" t="str" cm="1">
        <f t="array" ref="AE28">IFERROR(INDEX($R$34:$R$117,MATCH(1,($AN$34:$AN$117=X28)*($Q$34:$Q$117="Previsto"), 0) ), "")</f>
        <v/>
      </c>
      <c r="AF28" s="358" t="str" cm="1">
        <f t="array" ref="AF28">IFERROR( INDEX($R$34:$R$117,MATCH(1,($AN$34:$AN$117=X28)*($Q$34:$Q$117="Real"),0)),"")</f>
        <v/>
      </c>
      <c r="AG28" s="374" t="str">
        <f t="shared" si="15"/>
        <v/>
      </c>
      <c r="AH28" s="358" t="e">
        <f t="shared" si="16"/>
        <v>#VALUE!</v>
      </c>
      <c r="AI28" s="497" t="e">
        <f t="shared" si="17"/>
        <v>#N/A</v>
      </c>
      <c r="AJ28" s="47"/>
      <c r="AK28" s="228" t="s">
        <v>266</v>
      </c>
      <c r="AL28" s="448" t="e">
        <f>SUMIF(#REF!,AK28,$AK$58:$AK$109)</f>
        <v>#REF!</v>
      </c>
      <c r="AM28" s="47"/>
      <c r="AN28" s="47"/>
      <c r="AO28" s="47"/>
      <c r="AP28" s="47"/>
      <c r="AQ28" s="47"/>
    </row>
    <row r="29" spans="1:44" ht="20.85" customHeight="1" x14ac:dyDescent="0.3">
      <c r="A29" s="325"/>
      <c r="B29" s="326"/>
      <c r="C29" s="327"/>
      <c r="D29" s="328"/>
      <c r="E29" s="20"/>
      <c r="F29" s="29"/>
      <c r="G29" s="20"/>
      <c r="H29" s="20"/>
      <c r="I29" s="20"/>
      <c r="J29" s="20"/>
      <c r="K29" s="20"/>
      <c r="L29" s="20"/>
      <c r="M29" s="20"/>
      <c r="N29" s="20"/>
      <c r="O29" s="47"/>
      <c r="P29" s="47"/>
      <c r="Q29" s="47"/>
      <c r="R29" s="349">
        <v>20</v>
      </c>
      <c r="S29" s="380" t="e">
        <f t="shared" si="12"/>
        <v>#N/A</v>
      </c>
      <c r="T29" s="350" t="str">
        <f t="shared" si="13"/>
        <v xml:space="preserve"> </v>
      </c>
      <c r="U29" s="436"/>
      <c r="V29" s="350"/>
      <c r="W29" s="508"/>
      <c r="X29" s="486" t="str">
        <f t="shared" si="14"/>
        <v/>
      </c>
      <c r="Y29" s="487"/>
      <c r="Z29" s="487"/>
      <c r="AA29" s="487"/>
      <c r="AB29" s="488"/>
      <c r="AC29" s="351"/>
      <c r="AD29" s="352"/>
      <c r="AE29" s="353" t="str" cm="1">
        <f t="array" ref="AE29">IFERROR(INDEX($R$34:$R$117,MATCH(1,($AN$34:$AN$117=X29)*($Q$34:$Q$117="Previsto"), 0) ), "")</f>
        <v/>
      </c>
      <c r="AF29" s="353" t="str" cm="1">
        <f t="array" ref="AF29">IFERROR( INDEX($R$34:$R$117,MATCH(1,($AN$34:$AN$117=X29)*($Q$34:$Q$117="Real"),0)),"")</f>
        <v/>
      </c>
      <c r="AG29" s="373" t="str">
        <f t="shared" si="15"/>
        <v/>
      </c>
      <c r="AH29" s="353" t="e">
        <f t="shared" si="16"/>
        <v>#VALUE!</v>
      </c>
      <c r="AI29" s="496" t="e">
        <f t="shared" si="17"/>
        <v>#N/A</v>
      </c>
      <c r="AJ29" s="47"/>
      <c r="AK29" s="251" t="s">
        <v>267</v>
      </c>
      <c r="AL29" s="449" t="e">
        <f>SUMIF(#REF!,AK29,$AK$58:$AK$109)</f>
        <v>#REF!</v>
      </c>
      <c r="AM29" s="47"/>
      <c r="AN29" s="47"/>
      <c r="AO29" s="47"/>
      <c r="AP29" s="47"/>
      <c r="AQ29" s="47"/>
    </row>
    <row r="30" spans="1:44" ht="20.85" customHeight="1" x14ac:dyDescent="0.3">
      <c r="A30" s="325"/>
      <c r="B30" s="326"/>
      <c r="C30" s="327"/>
      <c r="D30" s="328"/>
      <c r="E30" s="20"/>
      <c r="F30" s="29"/>
      <c r="G30" s="20"/>
      <c r="H30" s="20"/>
      <c r="I30" s="20"/>
      <c r="J30" s="20"/>
      <c r="K30" s="20"/>
      <c r="L30" s="20"/>
      <c r="M30" s="20"/>
      <c r="N30" s="20"/>
      <c r="O30" s="47"/>
      <c r="P30" s="47"/>
      <c r="Q30" s="47"/>
      <c r="R30" s="354"/>
      <c r="S30" s="379" t="e">
        <f t="shared" si="12"/>
        <v>#N/A</v>
      </c>
      <c r="T30" s="355" t="str">
        <f t="shared" si="13"/>
        <v xml:space="preserve"> </v>
      </c>
      <c r="U30" s="437"/>
      <c r="V30" s="355"/>
      <c r="W30" s="509"/>
      <c r="X30" s="483" t="str">
        <f t="shared" si="14"/>
        <v/>
      </c>
      <c r="Y30" s="484"/>
      <c r="Z30" s="484"/>
      <c r="AA30" s="484"/>
      <c r="AB30" s="485"/>
      <c r="AC30" s="356"/>
      <c r="AD30" s="357"/>
      <c r="AE30" s="358" t="str" cm="1">
        <f t="array" ref="AE30">IFERROR(INDEX($R$34:$R$117,MATCH(1,($AN$34:$AN$117=X30)*($Q$34:$Q$117="Previsto"), 0) ), "")</f>
        <v/>
      </c>
      <c r="AF30" s="358" t="str" cm="1">
        <f t="array" ref="AF30">IFERROR( INDEX($R$34:$R$117,MATCH(1,($AN$34:$AN$117=X30)*($Q$34:$Q$117="Real"),0)),"")</f>
        <v/>
      </c>
      <c r="AG30" s="374" t="str">
        <f t="shared" si="15"/>
        <v/>
      </c>
      <c r="AH30" s="358" t="e">
        <f t="shared" si="16"/>
        <v>#VALUE!</v>
      </c>
      <c r="AI30" s="497" t="e">
        <f t="shared" si="17"/>
        <v>#N/A</v>
      </c>
      <c r="AJ30" s="47"/>
      <c r="AK30" s="228" t="s">
        <v>268</v>
      </c>
      <c r="AL30" s="448" t="e">
        <f>SUMIF(#REF!,AK30,$AK$58:$AK$109)</f>
        <v>#REF!</v>
      </c>
      <c r="AM30" s="47"/>
      <c r="AN30" s="47"/>
      <c r="AO30" s="47"/>
      <c r="AP30" s="47"/>
      <c r="AQ30" s="47"/>
    </row>
    <row r="31" spans="1:44" ht="20.85" customHeight="1" x14ac:dyDescent="0.3">
      <c r="A31" s="325"/>
      <c r="B31" s="326"/>
      <c r="C31" s="327"/>
      <c r="D31" s="328"/>
      <c r="E31" s="20"/>
      <c r="F31" s="29"/>
      <c r="G31" s="20"/>
      <c r="H31" s="20"/>
      <c r="I31" s="20"/>
      <c r="J31" s="20"/>
      <c r="K31" s="20"/>
      <c r="L31" s="20"/>
      <c r="M31" s="20"/>
      <c r="N31" s="20"/>
      <c r="O31" s="47"/>
      <c r="P31" s="47"/>
      <c r="Q31" s="47"/>
      <c r="R31" s="524" t="s">
        <v>149</v>
      </c>
      <c r="S31" s="525"/>
      <c r="T31" s="407">
        <f>SUM(T10:T30)</f>
        <v>10727563.000000099</v>
      </c>
      <c r="U31" s="407">
        <f>SUM(U10:U30)</f>
        <v>0</v>
      </c>
      <c r="V31" s="228"/>
      <c r="W31" s="228"/>
      <c r="X31" s="228"/>
      <c r="Y31" s="228"/>
      <c r="Z31" s="228"/>
      <c r="AA31" s="47"/>
      <c r="AB31" s="47"/>
      <c r="AC31" s="47"/>
      <c r="AD31" s="47"/>
      <c r="AE31" s="47"/>
      <c r="AF31" s="47"/>
      <c r="AG31" s="47"/>
      <c r="AH31" s="47"/>
      <c r="AI31" s="47"/>
      <c r="AJ31" s="47"/>
      <c r="AM31" s="47"/>
      <c r="AN31" s="47"/>
      <c r="AO31" s="47"/>
      <c r="AP31" s="47"/>
      <c r="AQ31" s="47"/>
    </row>
    <row r="32" spans="1:44" ht="15.6" x14ac:dyDescent="0.3">
      <c r="A32" s="208" t="s">
        <v>269</v>
      </c>
      <c r="B32" s="208"/>
      <c r="C32" s="208"/>
      <c r="D32" s="208"/>
      <c r="E32" s="208"/>
      <c r="F32" s="208"/>
      <c r="G32" s="208"/>
      <c r="H32" s="208"/>
      <c r="I32" s="208"/>
      <c r="J32" s="208"/>
      <c r="K32" s="208"/>
      <c r="L32" s="208"/>
      <c r="M32" s="208"/>
      <c r="N32" s="82"/>
      <c r="O32" s="208"/>
      <c r="P32" s="208"/>
      <c r="Q32" s="208"/>
      <c r="R32" s="82"/>
      <c r="S32" s="82"/>
      <c r="T32" s="204" t="s">
        <v>270</v>
      </c>
      <c r="U32" s="204"/>
      <c r="V32" s="204"/>
      <c r="W32" s="204"/>
      <c r="X32" s="204" t="s">
        <v>271</v>
      </c>
      <c r="Y32" s="204"/>
      <c r="Z32" s="204"/>
      <c r="AA32" s="204"/>
      <c r="AB32" s="204" t="s">
        <v>272</v>
      </c>
      <c r="AC32" s="204"/>
      <c r="AD32" s="204"/>
      <c r="AE32" s="204"/>
      <c r="AF32" s="204" t="s">
        <v>273</v>
      </c>
      <c r="AG32" s="204"/>
      <c r="AH32" s="204"/>
      <c r="AI32" s="204"/>
      <c r="AJ32" s="83"/>
      <c r="AK32" s="82"/>
      <c r="AL32" s="1410"/>
      <c r="AM32" s="1410"/>
      <c r="AN32" s="1410"/>
      <c r="AO32" s="47"/>
      <c r="AP32" s="47"/>
      <c r="AQ32" s="47"/>
      <c r="AR32" s="47"/>
    </row>
    <row r="33" spans="1:44" ht="36" x14ac:dyDescent="0.3">
      <c r="A33" s="84" t="s">
        <v>950</v>
      </c>
      <c r="B33" s="84" t="s">
        <v>276</v>
      </c>
      <c r="C33" s="84" t="s">
        <v>278</v>
      </c>
      <c r="D33" s="84" t="s">
        <v>277</v>
      </c>
      <c r="E33" s="84" t="s">
        <v>279</v>
      </c>
      <c r="F33" s="84" t="s">
        <v>280</v>
      </c>
      <c r="G33" s="84" t="s">
        <v>281</v>
      </c>
      <c r="H33" s="84" t="s">
        <v>951</v>
      </c>
      <c r="I33" s="84" t="s">
        <v>283</v>
      </c>
      <c r="J33" s="250" t="s">
        <v>284</v>
      </c>
      <c r="K33" s="84" t="s">
        <v>285</v>
      </c>
      <c r="L33" s="7" t="s">
        <v>952</v>
      </c>
      <c r="M33" s="7" t="s">
        <v>287</v>
      </c>
      <c r="N33" s="84" t="s">
        <v>72</v>
      </c>
      <c r="O33" s="84" t="s">
        <v>288</v>
      </c>
      <c r="P33" s="84" t="s">
        <v>289</v>
      </c>
      <c r="Q33" s="84" t="s">
        <v>1694</v>
      </c>
      <c r="R33" s="84"/>
      <c r="S33" s="84" t="s">
        <v>291</v>
      </c>
      <c r="T33" s="85">
        <v>46023</v>
      </c>
      <c r="U33" s="85">
        <v>46054</v>
      </c>
      <c r="V33" s="85">
        <v>46082</v>
      </c>
      <c r="W33" s="86" t="s">
        <v>292</v>
      </c>
      <c r="X33" s="85">
        <v>46113</v>
      </c>
      <c r="Y33" s="85">
        <v>46143</v>
      </c>
      <c r="Z33" s="85">
        <v>46174</v>
      </c>
      <c r="AA33" s="86" t="s">
        <v>293</v>
      </c>
      <c r="AB33" s="85">
        <v>46204</v>
      </c>
      <c r="AC33" s="85">
        <v>46235</v>
      </c>
      <c r="AD33" s="85">
        <v>46266</v>
      </c>
      <c r="AE33" s="86" t="s">
        <v>294</v>
      </c>
      <c r="AF33" s="85">
        <v>46296</v>
      </c>
      <c r="AG33" s="85">
        <v>46327</v>
      </c>
      <c r="AH33" s="85">
        <v>46357</v>
      </c>
      <c r="AI33" s="84" t="s">
        <v>295</v>
      </c>
      <c r="AJ33" s="84" t="s">
        <v>296</v>
      </c>
      <c r="AK33" s="84" t="s">
        <v>297</v>
      </c>
      <c r="AL33" s="84" t="s">
        <v>244</v>
      </c>
      <c r="AM33" s="84" t="s">
        <v>298</v>
      </c>
      <c r="AN33" s="84" t="s">
        <v>299</v>
      </c>
      <c r="AO33" s="47"/>
      <c r="AP33" s="47"/>
      <c r="AR33" s="507" t="s">
        <v>301</v>
      </c>
    </row>
    <row r="34" spans="1:44" ht="29.1" customHeight="1" x14ac:dyDescent="0.3">
      <c r="A34" s="1407" t="s">
        <v>92</v>
      </c>
      <c r="B34" s="1465" t="s">
        <v>2663</v>
      </c>
      <c r="C34" s="1465" t="s">
        <v>2664</v>
      </c>
      <c r="D34" s="1449"/>
      <c r="E34" s="1449" t="s">
        <v>2665</v>
      </c>
      <c r="F34" s="1366"/>
      <c r="G34" s="1366"/>
      <c r="H34" s="1488">
        <v>9996000</v>
      </c>
      <c r="I34" s="1749">
        <v>46023</v>
      </c>
      <c r="J34" s="1387">
        <v>12</v>
      </c>
      <c r="K34" s="1395"/>
      <c r="L34" s="1393"/>
      <c r="M34" s="2155"/>
      <c r="N34" s="1352" t="s">
        <v>85</v>
      </c>
      <c r="O34" s="1352"/>
      <c r="P34" s="1352"/>
      <c r="Q34" s="1334"/>
      <c r="R34" s="96" t="s">
        <v>116</v>
      </c>
      <c r="S34" s="96">
        <v>0</v>
      </c>
      <c r="T34" s="498">
        <f t="shared" ref="T34:U34" si="18">IFERROR(IF(AND(T$33&gt;=EOMONTH($I34,-1)+1,T$33&lt;=EOMONTH(EOMONTH($I34,-1)+1,$J34-1)),IF(NOT(ISBLANK($M34)),$M34/$J34,$H34/$J34),0),0)</f>
        <v>833000</v>
      </c>
      <c r="U34" s="498">
        <f t="shared" si="18"/>
        <v>833000</v>
      </c>
      <c r="V34" s="498">
        <f>IFERROR(IF(AND(V$33&gt;=EOMONTH($I34,-1)+1,V$33&lt;=EOMONTH(EOMONTH($I34,-1)+1,$J34-1)),IF(NOT(ISBLANK($M34)),$M34/$J34,$H34/$J34),0),0)</f>
        <v>833000</v>
      </c>
      <c r="W34" s="440">
        <f t="shared" ref="W34:W35" si="19">SUM(T34:V34)</f>
        <v>2499000</v>
      </c>
      <c r="X34" s="498">
        <f>IFERROR(IF(AND(X$33&gt;=EOMONTH($I34,-1)+1,X$33&lt;=EOMONTH(EOMONTH($I34,-1)+1,$J34-1)),IF(NOT(ISBLANK($M34)),$M34/$J34,$H34/$J34),0),0)</f>
        <v>833000</v>
      </c>
      <c r="Y34" s="498">
        <f>IFERROR(IF(AND(Y$33&gt;=EOMONTH($I34,-1)+1,Y$33&lt;=EOMONTH(EOMONTH($I34,-1)+1,$J34-1)),IF(NOT(ISBLANK($M34)),$M34/$J34,$H34/$J34),0),0)</f>
        <v>833000</v>
      </c>
      <c r="Z34" s="498">
        <f>IFERROR(IF(AND(Z$33&gt;=EOMONTH($I34,-1)+1,Z$33&lt;=EOMONTH(EOMONTH($I34,-1)+1,$J34-1)),IF(NOT(ISBLANK($M34)),$M34/$J34,$H34/$J34),0),0)</f>
        <v>833000</v>
      </c>
      <c r="AA34" s="440">
        <f t="shared" ref="AA34" si="20">SUM(X34:Z34)</f>
        <v>2499000</v>
      </c>
      <c r="AB34" s="498">
        <f>IFERROR(IF(AND(AB$33&gt;=EOMONTH($I34,-1)+1,AB$33&lt;=EOMONTH(EOMONTH($I34,-1)+1,$J34-1)),IF(NOT(ISBLANK($M34)),$M34/$J34,$H34/$J34),0),0)</f>
        <v>833000</v>
      </c>
      <c r="AC34" s="498">
        <f>IFERROR(IF(AND(AC$33&gt;=EOMONTH($I34,-1)+1,AC$33&lt;=EOMONTH(EOMONTH($I34,-1)+1,$J34-1)),IF(NOT(ISBLANK($M34)),$M34/$J34,$H34/$J34),0),0)</f>
        <v>833000</v>
      </c>
      <c r="AD34" s="498">
        <f>IFERROR(IF(AND(AD$33&gt;=EOMONTH($I34,-1)+1,AD$33&lt;=EOMONTH(EOMONTH($I34,-1)+1,$J34-1)),IF(NOT(ISBLANK($M34)),$M34/$J34,$H34/$J34),0),0)</f>
        <v>833000</v>
      </c>
      <c r="AE34" s="440">
        <f t="shared" ref="AE34" si="21">SUM(AB34:AD34)</f>
        <v>2499000</v>
      </c>
      <c r="AF34" s="498">
        <f>IFERROR(IF(AND(AF$33&gt;=EOMONTH($I34,-1)+1,AF$33&lt;=EOMONTH(EOMONTH($I34,-1)+1,$J34-1)),IF(NOT(ISBLANK($M34)),$M34/$J34,$H34/$J34),0),0)</f>
        <v>833000</v>
      </c>
      <c r="AG34" s="498">
        <f>IFERROR(IF(AND(AG$33&gt;=EOMONTH($I34,-1)+1,AG$33&lt;=EOMONTH(EOMONTH($I34,-1)+1,$J34-1)),IF(NOT(ISBLANK($M34)),$M34/$J34,$H34/$J34),0),0)</f>
        <v>833000</v>
      </c>
      <c r="AH34" s="498">
        <f>IFERROR(IF(AND(AH$33&gt;=EOMONTH($I34,-1)+1,AH$33&lt;=EOMONTH(EOMONTH($I34,-1)+1,$J34-1)),IF(NOT(ISBLANK($M34)),$M34/$J34,$H34/$J34),0),0)</f>
        <v>833000</v>
      </c>
      <c r="AI34" s="440">
        <f t="shared" ref="AI34:AI63" si="22">SUM(AF34:AH34)</f>
        <v>2499000</v>
      </c>
      <c r="AJ34" s="94">
        <f t="shared" ref="AJ34:AJ63" si="23">SUM(T34:V34,X34:Z34,AB34:AD34,AF34:AH34)</f>
        <v>9996000</v>
      </c>
      <c r="AK34" s="1488"/>
      <c r="AL34" s="1407"/>
      <c r="AM34" s="1334"/>
      <c r="AN34" s="1403">
        <f>L34*AM34</f>
        <v>0</v>
      </c>
      <c r="AO34" s="47" t="str">
        <f>B34</f>
        <v>Realinhamentos e Negociações</v>
      </c>
      <c r="AP34" s="47" t="str">
        <f>A34</f>
        <v>Estratégia Comercial</v>
      </c>
      <c r="AQ34" s="62" t="s">
        <v>311</v>
      </c>
      <c r="AR34" s="508" cm="1">
        <f t="array" aca="1" ref="AR34" ca="1">IF(OR(AO34="",AO34=0),"",IF(SUMPRODUCT(($B$34:$B$83=AO34)*($R$34:$R$83="Previsto")*($T$33:$AH$33&lt;EOMONTH(TODAY(),-1)+1)*($T$34:$AH$83))=0,"",SUMPRODUCT(($B$34:$B$83=AO34)*($R$34:$R$83="Previsto")*($T$33:$AH$33&lt;EOMONTH(TODAY(),-1)+1)*($T$34:$AH$83))))</f>
        <v>5831000</v>
      </c>
    </row>
    <row r="35" spans="1:44" ht="29.1" customHeight="1" x14ac:dyDescent="0.3">
      <c r="A35" s="1408"/>
      <c r="B35" s="1466"/>
      <c r="C35" s="1466"/>
      <c r="D35" s="1450"/>
      <c r="E35" s="1450"/>
      <c r="F35" s="1513"/>
      <c r="G35" s="1513"/>
      <c r="H35" s="1367"/>
      <c r="I35" s="1750"/>
      <c r="J35" s="1388"/>
      <c r="K35" s="1396"/>
      <c r="L35" s="1394"/>
      <c r="M35" s="2156"/>
      <c r="N35" s="1353"/>
      <c r="O35" s="1353"/>
      <c r="P35" s="1353"/>
      <c r="Q35" s="1330"/>
      <c r="R35" s="96" t="s">
        <v>117</v>
      </c>
      <c r="S35" s="456">
        <v>0</v>
      </c>
      <c r="T35" s="290"/>
      <c r="U35" s="290"/>
      <c r="V35" s="290"/>
      <c r="W35" s="440">
        <f t="shared" si="19"/>
        <v>0</v>
      </c>
      <c r="X35" s="457"/>
      <c r="Y35" s="457"/>
      <c r="Z35" s="290"/>
      <c r="AA35" s="440">
        <f t="shared" ref="AA35:AA36" si="24">SUM(X35:Z35)</f>
        <v>0</v>
      </c>
      <c r="AB35" s="457"/>
      <c r="AC35" s="457"/>
      <c r="AD35" s="290"/>
      <c r="AE35" s="440">
        <f t="shared" ref="AE35:AE36" si="25">SUM(AB35:AD35)</f>
        <v>0</v>
      </c>
      <c r="AF35" s="457"/>
      <c r="AG35" s="457"/>
      <c r="AH35" s="290"/>
      <c r="AI35" s="440">
        <f t="shared" si="22"/>
        <v>0</v>
      </c>
      <c r="AJ35" s="94">
        <f t="shared" si="23"/>
        <v>0</v>
      </c>
      <c r="AK35" s="1367"/>
      <c r="AL35" s="1408"/>
      <c r="AM35" s="1330"/>
      <c r="AN35" s="1404"/>
      <c r="AO35" s="47" t="str">
        <f>B34</f>
        <v>Realinhamentos e Negociações</v>
      </c>
      <c r="AP35" s="47" t="str">
        <f>A34</f>
        <v>Estratégia Comercial</v>
      </c>
      <c r="AQ35" s="62" t="s">
        <v>313</v>
      </c>
      <c r="AR35" s="508" t="str" cm="1">
        <f t="array" aca="1" ref="AR35" ca="1">IF(OR(AO34="",AO34=0),"",IF(SUMPRODUCT(($B$34:$B$83=AO34)*(ISNUMBER(SEARCH("Real",$Q$35:$Q$84)))*($T$33:$AH$33&lt;EOMONTH(TODAY(),-1)+1)*($T$35:$AH$84))=0,"",SUMPRODUCT(($B$34:$B$83=AO34)*(ISNUMBER(SEARCH("Real",$Q$35:$Q$84)))*($T$33:$AH$33&lt;EOMONTH(TODAY(),-1)+1)*($T$35:$AH$84))))</f>
        <v/>
      </c>
    </row>
    <row r="36" spans="1:44" ht="29.1" customHeight="1" x14ac:dyDescent="0.3">
      <c r="A36" s="1380" t="s">
        <v>89</v>
      </c>
      <c r="B36" s="1482" t="s">
        <v>2666</v>
      </c>
      <c r="C36" s="1482" t="s">
        <v>2667</v>
      </c>
      <c r="D36" s="1368"/>
      <c r="E36" s="1482" t="s">
        <v>2668</v>
      </c>
      <c r="F36" s="1372">
        <v>46023</v>
      </c>
      <c r="G36" s="1372">
        <v>46054</v>
      </c>
      <c r="H36" s="1405">
        <v>545563</v>
      </c>
      <c r="I36" s="1376">
        <v>46082</v>
      </c>
      <c r="J36" s="1389">
        <f t="shared" ref="J36" si="26">IF(I36="", "", 12 - MONTH(I36) + 1)</f>
        <v>10</v>
      </c>
      <c r="K36" s="1354"/>
      <c r="L36" s="2222"/>
      <c r="M36" s="2222"/>
      <c r="N36" s="1354" t="s">
        <v>83</v>
      </c>
      <c r="O36" s="1354"/>
      <c r="P36" s="1354"/>
      <c r="Q36" s="1327" t="s">
        <v>24</v>
      </c>
      <c r="R36" s="91" t="s">
        <v>116</v>
      </c>
      <c r="S36" s="91">
        <v>0</v>
      </c>
      <c r="T36" s="287">
        <f t="shared" ref="T36:U36" si="27">IFERROR(IF(AND(T$33&gt;=EOMONTH($I36,-1)+1,T$33&lt;=EOMONTH(EOMONTH($I36,-1)+1,$J36-1)),IF(NOT(ISBLANK($M36)),$M36/$J36,$H36/$J36),0),0)</f>
        <v>0</v>
      </c>
      <c r="U36" s="287">
        <f t="shared" si="27"/>
        <v>0</v>
      </c>
      <c r="V36" s="287">
        <f>IFERROR(IF(AND(V$33&gt;=EOMONTH($I36,-1)+1,V$33&lt;=EOMONTH(EOMONTH($I36,-1)+1,$J36-1)),IF(NOT(ISBLANK($M36)),$M36/$J36,$H36/$J36),0),0)</f>
        <v>54556.3</v>
      </c>
      <c r="W36" s="440">
        <f t="shared" ref="W36" si="28">SUM(T36:V36)</f>
        <v>54556.3</v>
      </c>
      <c r="X36" s="287">
        <f>IFERROR(IF(AND(X$33&gt;=EOMONTH($I36,-1)+1,X$33&lt;=EOMONTH(EOMONTH($I36,-1)+1,$J36-1)),IF(NOT(ISBLANK($M36)),$M36/$J36,$H36/$J36),0),0)</f>
        <v>54556.3</v>
      </c>
      <c r="Y36" s="287">
        <f>IFERROR(IF(AND(Y$33&gt;=EOMONTH($I36,-1)+1,Y$33&lt;=EOMONTH(EOMONTH($I36,-1)+1,$J36-1)),IF(NOT(ISBLANK($M36)),$M36/$J36,$H36/$J36),0),0)</f>
        <v>54556.3</v>
      </c>
      <c r="Z36" s="287">
        <f>IFERROR(IF(AND(Z$33&gt;=EOMONTH($I36,-1)+1,Z$33&lt;=EOMONTH(EOMONTH($I36,-1)+1,$J36-1)),IF(NOT(ISBLANK($M36)),$M36/$J36,$H36/$J36),0),0)</f>
        <v>54556.3</v>
      </c>
      <c r="AA36" s="440">
        <f t="shared" si="24"/>
        <v>163668.90000000002</v>
      </c>
      <c r="AB36" s="287">
        <f>IFERROR(IF(AND(AB$33&gt;=EOMONTH($I36,-1)+1,AB$33&lt;=EOMONTH(EOMONTH($I36,-1)+1,$J36-1)),IF(NOT(ISBLANK($M36)),$M36/$J36,$H36/$J36),0),0)</f>
        <v>54556.3</v>
      </c>
      <c r="AC36" s="287">
        <f>IFERROR(IF(AND(AC$33&gt;=EOMONTH($I36,-1)+1,AC$33&lt;=EOMONTH(EOMONTH($I36,-1)+1,$J36-1)),IF(NOT(ISBLANK($M36)),$M36/$J36,$H36/$J36),0),0)</f>
        <v>54556.3</v>
      </c>
      <c r="AD36" s="287">
        <f>IFERROR(IF(AND(AD$33&gt;=EOMONTH($I36,-1)+1,AD$33&lt;=EOMONTH(EOMONTH($I36,-1)+1,$J36-1)),IF(NOT(ISBLANK($M36)),$M36/$J36,$H36/$J36),0),0)</f>
        <v>54556.3</v>
      </c>
      <c r="AE36" s="440">
        <f t="shared" si="25"/>
        <v>163668.90000000002</v>
      </c>
      <c r="AF36" s="287">
        <f>IFERROR(IF(AND(AF$33&gt;=EOMONTH($I36,-1)+1,AF$33&lt;=EOMONTH(EOMONTH($I36,-1)+1,$J36-1)),IF(NOT(ISBLANK($M36)),$M36/$J36,$H36/$J36),0),0)</f>
        <v>54556.3</v>
      </c>
      <c r="AG36" s="287">
        <f>IFERROR(IF(AND(AG$33&gt;=EOMONTH($I36,-1)+1,AG$33&lt;=EOMONTH(EOMONTH($I36,-1)+1,$J36-1)),IF(NOT(ISBLANK($M36)),$M36/$J36,$H36/$J36),0),0)</f>
        <v>54556.3</v>
      </c>
      <c r="AH36" s="287">
        <f>IFERROR(IF(AND(AH$33&gt;=EOMONTH($I36,-1)+1,AH$33&lt;=EOMONTH(EOMONTH($I36,-1)+1,$J36-1)),IF(NOT(ISBLANK($M36)),$M36/$J36,$H36/$J36),0),0)</f>
        <v>54556.3</v>
      </c>
      <c r="AI36" s="440">
        <f t="shared" si="22"/>
        <v>163668.90000000002</v>
      </c>
      <c r="AJ36" s="116">
        <f t="shared" si="23"/>
        <v>545563</v>
      </c>
      <c r="AK36" s="1354" t="s">
        <v>2669</v>
      </c>
      <c r="AL36" s="1370"/>
      <c r="AM36" s="1411"/>
      <c r="AN36" s="1405">
        <f>L36*AM36</f>
        <v>0</v>
      </c>
      <c r="AO36" s="47" t="str">
        <f>B36</f>
        <v>Materia Prima - Desenvolvimento</v>
      </c>
      <c r="AP36" s="47" t="str">
        <f>A36</f>
        <v>Redução de Custo</v>
      </c>
      <c r="AQ36" s="62" t="s">
        <v>311</v>
      </c>
      <c r="AR36" s="508" cm="1">
        <f t="array" aca="1" ref="AR36" ca="1">IF(OR(AO36="",AO36=0),"",IF(SUMPRODUCT(($B$34:$B$83=AO36)*($R$34:$R$83="Previsto")*($T$33:$AH$33&lt;EOMONTH(TODAY(),-1)+1)*($T$34:$AH$83))=0,"",SUMPRODUCT(($B$34:$B$83=AO36)*($R$34:$R$83="Previsto")*($T$33:$AH$33&lt;EOMONTH(TODAY(),-1)+1)*($T$34:$AH$83))))</f>
        <v>272781.5</v>
      </c>
    </row>
    <row r="37" spans="1:44" ht="29.1" customHeight="1" x14ac:dyDescent="0.3">
      <c r="A37" s="1381"/>
      <c r="B37" s="1483"/>
      <c r="C37" s="1483"/>
      <c r="D37" s="1369"/>
      <c r="E37" s="1483"/>
      <c r="F37" s="1373"/>
      <c r="G37" s="1373"/>
      <c r="H37" s="1406"/>
      <c r="I37" s="1377"/>
      <c r="J37" s="1390"/>
      <c r="K37" s="1355"/>
      <c r="L37" s="2223"/>
      <c r="M37" s="2223"/>
      <c r="N37" s="1355"/>
      <c r="O37" s="1355"/>
      <c r="P37" s="1355"/>
      <c r="Q37" s="1328"/>
      <c r="R37" s="91" t="s">
        <v>117</v>
      </c>
      <c r="S37" s="455">
        <v>0</v>
      </c>
      <c r="T37" s="287"/>
      <c r="U37" s="287"/>
      <c r="V37" s="287"/>
      <c r="W37" s="440">
        <f t="shared" ref="W37:W40" si="29">SUM(T37:V37)</f>
        <v>0</v>
      </c>
      <c r="X37" s="287"/>
      <c r="Y37" s="287"/>
      <c r="Z37" s="287"/>
      <c r="AA37" s="440">
        <f t="shared" ref="AA37:AA40" si="30">SUM(X37:Z37)</f>
        <v>0</v>
      </c>
      <c r="AB37" s="287"/>
      <c r="AC37" s="287"/>
      <c r="AD37" s="287"/>
      <c r="AE37" s="440">
        <f t="shared" ref="AE37:AE40" si="31">SUM(AB37:AD37)</f>
        <v>0</v>
      </c>
      <c r="AF37" s="287"/>
      <c r="AG37" s="287"/>
      <c r="AH37" s="287"/>
      <c r="AI37" s="440">
        <f t="shared" si="22"/>
        <v>0</v>
      </c>
      <c r="AJ37" s="454">
        <f t="shared" si="23"/>
        <v>0</v>
      </c>
      <c r="AK37" s="1355"/>
      <c r="AL37" s="1371"/>
      <c r="AM37" s="1412"/>
      <c r="AN37" s="1406"/>
      <c r="AO37" s="47" t="str">
        <f>B36</f>
        <v>Materia Prima - Desenvolvimento</v>
      </c>
      <c r="AP37" s="47" t="str">
        <f>A36</f>
        <v>Redução de Custo</v>
      </c>
      <c r="AQ37" s="62" t="s">
        <v>313</v>
      </c>
      <c r="AR37" s="508" t="str" cm="1">
        <f t="array" aca="1" ref="AR37" ca="1">IF(OR(AO36="",AO36=0),"",IF(SUMPRODUCT(($B$34:$B$83=AO36)*(ISNUMBER(SEARCH("Real",$Q$35:$Q$84)))*($T$33:$AH$33&lt;EOMONTH(TODAY(),-1)+1)*($T$35:$AH$84))=0,"",SUMPRODUCT(($B$34:$B$83=AO36)*(ISNUMBER(SEARCH("Real",$Q$35:$Q$84)))*($T$33:$AH$33&lt;EOMONTH(TODAY(),-1)+1)*($T$35:$AH$84))))</f>
        <v/>
      </c>
    </row>
    <row r="38" spans="1:44" ht="29.1" customHeight="1" x14ac:dyDescent="0.3">
      <c r="A38" s="1407" t="s">
        <v>2662</v>
      </c>
      <c r="B38" s="1817" t="s">
        <v>442</v>
      </c>
      <c r="C38" s="2292" t="s">
        <v>2670</v>
      </c>
      <c r="D38" s="2459" t="str">
        <f>_xlfn.XLOOKUP(B38,Diadema!$C$55:$C$176,Diadema!$E$55:$E$176,"Nome do Projeto Divergente")</f>
        <v>Redução de 8mm no blank (0,16kg)/peça</v>
      </c>
      <c r="E38" s="2292" t="s">
        <v>2671</v>
      </c>
      <c r="F38" s="2457">
        <f>_xlfn.XLOOKUP(B38,Diadema!$C$55:$C$176,Diadema!$G$55:$G$176,"Nome do Projeto Divergente")</f>
        <v>46050</v>
      </c>
      <c r="G38" s="2457">
        <f>_xlfn.XLOOKUP(B38,Diadema!$C$55:$C$176,Diadema!$H$55:$H$176,"Nome do Projeto Divergente")</f>
        <v>46173</v>
      </c>
      <c r="H38" s="2455">
        <f>_xlfn.XLOOKUP(B38,Diadema!$C$55:$C$176,Diadema!$I$55:$I$176,"Nome do Projeto Divergente")</f>
        <v>90000.000000098997</v>
      </c>
      <c r="I38" s="1749">
        <f>_xlfn.XLOOKUP(B38,Diadema!$C$55:$C$176,Diadema!$J$55:$J$176,"Nome do Projeto Divergente")</f>
        <v>46174</v>
      </c>
      <c r="J38" s="1387">
        <f>_xlfn.XLOOKUP(B38,Diadema!$C$55:$C$176,Diadema!$K$55:$K$176,"Nome do Projeto Divergente")</f>
        <v>7</v>
      </c>
      <c r="K38" s="1395"/>
      <c r="L38" s="2441"/>
      <c r="M38" s="2441">
        <f>_xlfn.XLOOKUP(B38,Diadema!$C$55:$C$176,Diadema!$N$55:$N$176,"Nome do Projeto Divergente")</f>
        <v>41632.629999999997</v>
      </c>
      <c r="N38" s="1352" t="s">
        <v>85</v>
      </c>
      <c r="O38" s="1352"/>
      <c r="P38" s="1352"/>
      <c r="Q38" s="1334" t="s">
        <v>21</v>
      </c>
      <c r="R38" s="96" t="s">
        <v>116</v>
      </c>
      <c r="S38" s="96">
        <v>0</v>
      </c>
      <c r="T38" s="498">
        <f>Diadema!U107</f>
        <v>0</v>
      </c>
      <c r="U38" s="498">
        <f>IFERROR(IF(AND(U$33&gt;=EOMONTH($I38,-1)+1,U$33&lt;=EOMONTH(EOMONTH($I38,-1)+1,$J38-1)),IF(NOT(ISBLANK($M38)),$M38/$J38,$H38/$J38),0),0)</f>
        <v>0</v>
      </c>
      <c r="V38" s="498">
        <f>IFERROR(IF(AND(V$33&gt;=EOMONTH($I38,-1)+1,V$33&lt;=EOMONTH(EOMONTH($I38,-1)+1,$J38-1)),IF(NOT(ISBLANK($M38)),$M38/$J38,$H38/$J38),0),0)</f>
        <v>0</v>
      </c>
      <c r="W38" s="440">
        <f t="shared" si="29"/>
        <v>0</v>
      </c>
      <c r="X38" s="498">
        <f>IFERROR(IF(AND(X$33&gt;=EOMONTH($I38,-1)+1,X$33&lt;=EOMONTH(EOMONTH($I38,-1)+1,$J38-1)),IF(NOT(ISBLANK($M38)),$M38/$J38,$H38/$J38),0),0)</f>
        <v>0</v>
      </c>
      <c r="Y38" s="498">
        <f>IFERROR(IF(AND(Y$33&gt;=EOMONTH($I38,-1)+1,Y$33&lt;=EOMONTH(EOMONTH($I38,-1)+1,$J38-1)),IF(NOT(ISBLANK($M38)),$M38/$J38,$H38/$J38),0),0)</f>
        <v>0</v>
      </c>
      <c r="Z38" s="498">
        <f>IFERROR(IF(AND(Z$33&gt;=EOMONTH($I38,-1)+1,Z$33&lt;=EOMONTH(EOMONTH($I38,-1)+1,$J38-1)),IF(NOT(ISBLANK($M38)),$M38/$J38,$H38/$J38),0),0)</f>
        <v>5947.5185714285708</v>
      </c>
      <c r="AA38" s="440">
        <f t="shared" si="30"/>
        <v>5947.5185714285708</v>
      </c>
      <c r="AB38" s="498">
        <f>IFERROR(IF(AND(AB$33&gt;=EOMONTH($I38,-1)+1,AB$33&lt;=EOMONTH(EOMONTH($I38,-1)+1,$J38-1)),IF(NOT(ISBLANK($M38)),$M38/$J38,$H38/$J38),0),0)</f>
        <v>5947.5185714285708</v>
      </c>
      <c r="AC38" s="498">
        <f>IFERROR(IF(AND(AC$33&gt;=EOMONTH($I38,-1)+1,AC$33&lt;=EOMONTH(EOMONTH($I38,-1)+1,$J38-1)),IF(NOT(ISBLANK($M38)),$M38/$J38,$H38/$J38),0),0)</f>
        <v>5947.5185714285708</v>
      </c>
      <c r="AD38" s="498">
        <f>IFERROR(IF(AND(AD$33&gt;=EOMONTH($I38,-1)+1,AD$33&lt;=EOMONTH(EOMONTH($I38,-1)+1,$J38-1)),IF(NOT(ISBLANK($M38)),$M38/$J38,$H38/$J38),0),0)</f>
        <v>5947.5185714285708</v>
      </c>
      <c r="AE38" s="440">
        <f t="shared" si="31"/>
        <v>17842.555714285714</v>
      </c>
      <c r="AF38" s="498">
        <f>IFERROR(IF(AND(AF$33&gt;=EOMONTH($I38,-1)+1,AF$33&lt;=EOMONTH(EOMONTH($I38,-1)+1,$J38-1)),IF(NOT(ISBLANK($M38)),$M38/$J38,$H38/$J38),0),0)</f>
        <v>5947.5185714285708</v>
      </c>
      <c r="AG38" s="498">
        <f>IFERROR(IF(AND(AG$33&gt;=EOMONTH($I38,-1)+1,AG$33&lt;=EOMONTH(EOMONTH($I38,-1)+1,$J38-1)),IF(NOT(ISBLANK($M38)),$M38/$J38,$H38/$J38),0),0)</f>
        <v>5947.5185714285708</v>
      </c>
      <c r="AH38" s="498">
        <f>IFERROR(IF(AND(AH$33&gt;=EOMONTH($I38,-1)+1,AH$33&lt;=EOMONTH(EOMONTH($I38,-1)+1,$J38-1)),IF(NOT(ISBLANK($M38)),$M38/$J38,$H38/$J38),0),0)</f>
        <v>5947.5185714285708</v>
      </c>
      <c r="AI38" s="440">
        <f t="shared" si="22"/>
        <v>17842.555714285714</v>
      </c>
      <c r="AJ38" s="94">
        <f t="shared" si="23"/>
        <v>41632.62999999999</v>
      </c>
      <c r="AK38" s="1488"/>
      <c r="AL38" s="1407"/>
      <c r="AM38" s="1334"/>
      <c r="AN38" s="1403">
        <f>L38*AM38</f>
        <v>0</v>
      </c>
      <c r="AO38" s="47" t="str">
        <f>B38</f>
        <v>27 - DA000459AA - STC Volvo_</v>
      </c>
      <c r="AP38" s="47" t="str">
        <f>A38</f>
        <v xml:space="preserve">Meta Executiva </v>
      </c>
      <c r="AQ38" s="62" t="s">
        <v>311</v>
      </c>
      <c r="AR38" s="508" cm="1">
        <f t="array" aca="1" ref="AR38" ca="1">IF(OR(AO38="",AO38=0),"",IF(SUMPRODUCT(($B$34:$B$83=AO38)*($R$34:$R$83="Previsto")*($T$33:$AH$33&lt;EOMONTH(TODAY(),-1)+1)*($T$34:$AH$83))=0,"",SUMPRODUCT(($B$34:$B$83=AO38)*($R$34:$R$83="Previsto")*($T$33:$AH$33&lt;EOMONTH(TODAY(),-1)+1)*($T$34:$AH$83))))</f>
        <v>11895.037142857142</v>
      </c>
    </row>
    <row r="39" spans="1:44" ht="29.1" customHeight="1" x14ac:dyDescent="0.3">
      <c r="A39" s="1408"/>
      <c r="B39" s="1818"/>
      <c r="C39" s="2461"/>
      <c r="D39" s="2460"/>
      <c r="E39" s="2461"/>
      <c r="F39" s="2458"/>
      <c r="G39" s="2458"/>
      <c r="H39" s="2456"/>
      <c r="I39" s="1750"/>
      <c r="J39" s="1388"/>
      <c r="K39" s="1396"/>
      <c r="L39" s="2442"/>
      <c r="M39" s="2442"/>
      <c r="N39" s="1353"/>
      <c r="O39" s="1353"/>
      <c r="P39" s="1353"/>
      <c r="Q39" s="1330"/>
      <c r="R39" s="96" t="s">
        <v>117</v>
      </c>
      <c r="S39" s="456">
        <v>0</v>
      </c>
      <c r="T39" s="498">
        <f>Diadema!U108</f>
        <v>0</v>
      </c>
      <c r="U39" s="457"/>
      <c r="V39" s="290">
        <f>Diadema!W108</f>
        <v>0</v>
      </c>
      <c r="W39" s="440">
        <f>Diadema!X108</f>
        <v>0</v>
      </c>
      <c r="X39" s="290">
        <f>Diadema!Y108</f>
        <v>0</v>
      </c>
      <c r="Y39" s="290">
        <f>Diadema!Z108</f>
        <v>0</v>
      </c>
      <c r="Z39" s="290">
        <f>Diadema!AA108</f>
        <v>5074.34</v>
      </c>
      <c r="AA39" s="440">
        <f>Diadema!AB108</f>
        <v>5074.34</v>
      </c>
      <c r="AB39" s="290">
        <f>Diadema!AC108</f>
        <v>6145.3979999999883</v>
      </c>
      <c r="AC39" s="290">
        <f>Diadema!AD108</f>
        <v>0</v>
      </c>
      <c r="AD39" s="290">
        <f>Diadema!AE108</f>
        <v>0</v>
      </c>
      <c r="AE39" s="440">
        <f>Diadema!AF108</f>
        <v>6145.3979999999883</v>
      </c>
      <c r="AF39" s="290">
        <f>Diadema!AG108</f>
        <v>0</v>
      </c>
      <c r="AG39" s="290">
        <f>Diadema!AH108</f>
        <v>0</v>
      </c>
      <c r="AH39" s="290">
        <f>Diadema!AI108</f>
        <v>0</v>
      </c>
      <c r="AI39" s="440">
        <f t="shared" si="22"/>
        <v>0</v>
      </c>
      <c r="AJ39" s="94">
        <f t="shared" si="23"/>
        <v>11219.737999999988</v>
      </c>
      <c r="AK39" s="1367"/>
      <c r="AL39" s="1408"/>
      <c r="AM39" s="1330"/>
      <c r="AN39" s="1404"/>
      <c r="AO39" s="47" t="str">
        <f>B38</f>
        <v>27 - DA000459AA - STC Volvo_</v>
      </c>
      <c r="AP39" s="47" t="str">
        <f>A38</f>
        <v xml:space="preserve">Meta Executiva </v>
      </c>
      <c r="AQ39" s="62" t="s">
        <v>313</v>
      </c>
      <c r="AR39" s="508" t="str" cm="1">
        <f t="array" aca="1" ref="AR39" ca="1">IF(OR(AO38="",AO38=0),"",IF(SUMPRODUCT(($B$34:$B$83=AO38)*(ISNUMBER(SEARCH("Real",$Q$35:$Q$84)))*($T$33:$AH$33&lt;EOMONTH(TODAY(),-1)+1)*($T$35:$AH$84))=0,"",SUMPRODUCT(($B$34:$B$83=AO38)*(ISNUMBER(SEARCH("Real",$Q$35:$Q$84)))*($T$33:$AH$33&lt;EOMONTH(TODAY(),-1)+1)*($T$35:$AH$84))))</f>
        <v/>
      </c>
    </row>
    <row r="40" spans="1:44" ht="29.1" customHeight="1" x14ac:dyDescent="0.3">
      <c r="A40" s="1380" t="s">
        <v>2662</v>
      </c>
      <c r="B40" s="1482" t="s">
        <v>454</v>
      </c>
      <c r="C40" s="1482" t="s">
        <v>2670</v>
      </c>
      <c r="D40" s="2453" t="str">
        <f>_xlfn.XLOOKUP(B40,Diadema!$C$55:$C$176,Diadema!$E$55:$E$176,"Nome do Projeto Divergente")</f>
        <v>Redução de 20mm no blank (0,52kg)/peça</v>
      </c>
      <c r="E40" s="1482" t="s">
        <v>2672</v>
      </c>
      <c r="F40" s="2451">
        <f>_xlfn.XLOOKUP(B40,Diadema!$C$55:$C$176,Diadema!$G$55:$G$176,"Nome do Projeto Divergente")</f>
        <v>46092</v>
      </c>
      <c r="G40" s="2451">
        <f>_xlfn.XLOOKUP(B40,Diadema!$C$55:$C$176,Diadema!$H$55:$H$176,"Nome do Projeto Divergente")</f>
        <v>46132</v>
      </c>
      <c r="H40" s="2451" t="str">
        <f>_xlfn.XLOOKUP(C40,Diadema!$C$55:$C$176,Diadema!$H$55:$H$176,"Nome do Projeto Divergente")</f>
        <v>Nome do Projeto Divergente</v>
      </c>
      <c r="I40" s="1376">
        <f>_xlfn.XLOOKUP(B40,Diadema!$C$55:$C$176,Diadema!$J$55:$J$176,"Nome do Projeto Divergente")</f>
        <v>46235</v>
      </c>
      <c r="J40" s="1389">
        <f>_xlfn.XLOOKUP(B40,Diadema!$C$55:$C$176,Diadema!$K$55:$K$176,"Nome do Projeto Divergente")</f>
        <v>5</v>
      </c>
      <c r="K40" s="1354"/>
      <c r="L40" s="2222" t="s">
        <v>308</v>
      </c>
      <c r="M40" s="2222">
        <f>Diadema!N113+Diadema!N111+Diadema!N109</f>
        <v>485535.56</v>
      </c>
      <c r="N40" s="1354" t="s">
        <v>85</v>
      </c>
      <c r="O40" s="1354"/>
      <c r="P40" s="1354"/>
      <c r="Q40" s="1327" t="s">
        <v>21</v>
      </c>
      <c r="R40" s="91" t="s">
        <v>116</v>
      </c>
      <c r="S40" s="91">
        <v>0</v>
      </c>
      <c r="T40" s="287">
        <f>IFERROR(IF(AND(T$33&gt;=EOMONTH($I40,-1)+1,T$33&lt;=EOMONTH(EOMONTH($I40,-1)+1,$J40-1)),IF(NOT(ISBLANK($M40)),$M40/$J40,$H40/$J40),0),0)</f>
        <v>0</v>
      </c>
      <c r="U40" s="287">
        <f>IFERROR(IF(AND(U$33&gt;=EOMONTH($I40,-1)+1,U$33&lt;=EOMONTH(EOMONTH($I40,-1)+1,$J40-1)),IF(NOT(ISBLANK($M40)),$M40/$J40,$H40/$J40),0),0)</f>
        <v>0</v>
      </c>
      <c r="V40" s="287">
        <f>IFERROR(IF(AND(V$33&gt;=EOMONTH($I40,-1)+1,V$33&lt;=EOMONTH(EOMONTH($I40,-1)+1,$J40-1)),IF(NOT(ISBLANK($M40)),$M40/$J40,$H40/$J40),0),0)</f>
        <v>0</v>
      </c>
      <c r="W40" s="440">
        <f t="shared" si="29"/>
        <v>0</v>
      </c>
      <c r="X40" s="287">
        <f>IFERROR(IF(AND(X$33&gt;=EOMONTH($I40,-1)+1,X$33&lt;=EOMONTH(EOMONTH($I40,-1)+1,$J40-1)),IF(NOT(ISBLANK($M40)),$M40/$J40,$H40/$J40),0),0)</f>
        <v>0</v>
      </c>
      <c r="Y40" s="287">
        <f>IFERROR(IF(AND(Y$33&gt;=EOMONTH($I40,-1)+1,Y$33&lt;=EOMONTH(EOMONTH($I40,-1)+1,$J40-1)),IF(NOT(ISBLANK($M40)),$M40/$J40,$H40/$J40),0),0)</f>
        <v>0</v>
      </c>
      <c r="Z40" s="287">
        <f>IFERROR(IF(AND(Z$33&gt;=EOMONTH($I40,-1)+1,Z$33&lt;=EOMONTH(EOMONTH($I40,-1)+1,$J40-1)),IF(NOT(ISBLANK($M40)),$M40/$J40,$H40/$J40),0),0)</f>
        <v>0</v>
      </c>
      <c r="AA40" s="440">
        <f t="shared" si="30"/>
        <v>0</v>
      </c>
      <c r="AB40" s="287">
        <f>IFERROR(IF(AND(AB$33&gt;=EOMONTH($I40,-1)+1,AB$33&lt;=EOMONTH(EOMONTH($I40,-1)+1,$J40-1)),IF(NOT(ISBLANK($M40)),$M40/$J40,$H40/$J40),0),0)</f>
        <v>0</v>
      </c>
      <c r="AC40" s="287"/>
      <c r="AD40" s="287"/>
      <c r="AE40" s="440">
        <f t="shared" si="31"/>
        <v>0</v>
      </c>
      <c r="AF40" s="287"/>
      <c r="AG40" s="287"/>
      <c r="AH40" s="287"/>
      <c r="AI40" s="440">
        <f t="shared" si="22"/>
        <v>0</v>
      </c>
      <c r="AJ40" s="116">
        <f t="shared" si="23"/>
        <v>0</v>
      </c>
      <c r="AK40" s="1354"/>
      <c r="AL40" s="1370"/>
      <c r="AM40" s="1411"/>
      <c r="AN40" s="1405" t="e">
        <f>L40*AM40</f>
        <v>#VALUE!</v>
      </c>
      <c r="AO40" s="47" t="str">
        <f>B40</f>
        <v>30 - DA000491Z_DE000492Z - STC Scania G_</v>
      </c>
      <c r="AP40" s="47" t="str">
        <f>A40</f>
        <v xml:space="preserve">Meta Executiva </v>
      </c>
      <c r="AQ40" s="62" t="s">
        <v>311</v>
      </c>
      <c r="AR40" s="508" t="str" cm="1">
        <f t="array" aca="1" ref="AR40" ca="1">IF(OR(AO40="",AO40=0),"",IF(SUMPRODUCT(($B$34:$B$83=AO40)*($R$34:$R$83="Previsto")*($T$33:$AH$33&lt;EOMONTH(TODAY(),-1)+1)*($T$34:$AH$83))=0,"",SUMPRODUCT(($B$34:$B$83=AO40)*($R$34:$R$83="Previsto")*($T$33:$AH$33&lt;EOMONTH(TODAY(),-1)+1)*($T$34:$AH$83))))</f>
        <v/>
      </c>
    </row>
    <row r="41" spans="1:44" ht="29.1" customHeight="1" x14ac:dyDescent="0.3">
      <c r="A41" s="1381"/>
      <c r="B41" s="1483"/>
      <c r="C41" s="1483"/>
      <c r="D41" s="2454"/>
      <c r="E41" s="1483"/>
      <c r="F41" s="2452"/>
      <c r="G41" s="2452"/>
      <c r="H41" s="2452"/>
      <c r="I41" s="1377"/>
      <c r="J41" s="1390"/>
      <c r="K41" s="1355"/>
      <c r="L41" s="2223"/>
      <c r="M41" s="2223"/>
      <c r="N41" s="1355"/>
      <c r="O41" s="1355"/>
      <c r="P41" s="1355"/>
      <c r="Q41" s="1328"/>
      <c r="R41" s="91" t="s">
        <v>117</v>
      </c>
      <c r="S41" s="455">
        <v>0</v>
      </c>
      <c r="T41" s="287"/>
      <c r="U41" s="287"/>
      <c r="V41" s="287"/>
      <c r="W41" s="440">
        <f t="shared" ref="W41:W83" si="32">SUM(T41:V41)</f>
        <v>0</v>
      </c>
      <c r="X41" s="287"/>
      <c r="Y41" s="287"/>
      <c r="Z41" s="287"/>
      <c r="AA41" s="440">
        <f t="shared" ref="AA41:AA83" si="33">SUM(X41:Z41)</f>
        <v>0</v>
      </c>
      <c r="AB41" s="287"/>
      <c r="AC41" s="287"/>
      <c r="AD41" s="287"/>
      <c r="AE41" s="440">
        <f t="shared" ref="AE41:AE83" si="34">SUM(AB41:AD41)</f>
        <v>0</v>
      </c>
      <c r="AF41" s="287"/>
      <c r="AG41" s="287"/>
      <c r="AH41" s="287"/>
      <c r="AI41" s="440">
        <f t="shared" si="22"/>
        <v>0</v>
      </c>
      <c r="AJ41" s="454">
        <f t="shared" si="23"/>
        <v>0</v>
      </c>
      <c r="AK41" s="1355"/>
      <c r="AL41" s="1371"/>
      <c r="AM41" s="1412"/>
      <c r="AN41" s="1406"/>
      <c r="AO41" s="47" t="str">
        <f>B40</f>
        <v>30 - DA000491Z_DE000492Z - STC Scania G_</v>
      </c>
      <c r="AP41" s="47" t="str">
        <f>A40</f>
        <v xml:space="preserve">Meta Executiva </v>
      </c>
      <c r="AQ41" s="62" t="s">
        <v>313</v>
      </c>
      <c r="AR41" s="508" t="str" cm="1">
        <f t="array" aca="1" ref="AR41" ca="1">IF(OR(AO40="",AO40=0),"",IF(SUMPRODUCT(($B$34:$B$83=AO40)*(ISNUMBER(SEARCH("Real",$Q$35:$Q$84)))*($T$33:$AH$33&lt;EOMONTH(TODAY(),-1)+1)*($T$35:$AH$84))=0,"",SUMPRODUCT(($B$34:$B$83=AO40)*(ISNUMBER(SEARCH("Real",$Q$35:$Q$84)))*($T$33:$AH$33&lt;EOMONTH(TODAY(),-1)+1)*($T$35:$AH$84))))</f>
        <v/>
      </c>
    </row>
    <row r="42" spans="1:44" ht="29.1" customHeight="1" x14ac:dyDescent="0.3">
      <c r="A42" s="1407" t="s">
        <v>2662</v>
      </c>
      <c r="B42" s="1465" t="s">
        <v>2673</v>
      </c>
      <c r="C42" s="1465" t="s">
        <v>2670</v>
      </c>
      <c r="D42" s="2459" t="str">
        <f>_xlfn.XLOOKUP(B42,Diadema!$C$55:$C$176,Diadema!$E$55:$E$176,"Nome do Projeto Divergente")</f>
        <v>Nome do Projeto Divergente</v>
      </c>
      <c r="E42" s="1465" t="s">
        <v>2674</v>
      </c>
      <c r="F42" s="2457" t="str">
        <f>_xlfn.XLOOKUP(B42,Diadema!$C$55:$C$176,Diadema!$G$55:$G$176,"Nome do Projeto Divergente")</f>
        <v>Nome do Projeto Divergente</v>
      </c>
      <c r="G42" s="2457" t="str">
        <f>_xlfn.XLOOKUP(B42,Diadema!$C$55:$C$176,Diadema!$H$55:$H$176,"Nome do Projeto Divergente")</f>
        <v>Nome do Projeto Divergente</v>
      </c>
      <c r="H42" s="2455" t="str">
        <f>_xlfn.XLOOKUP(B42,Diadema!$C$55:$C$176,Diadema!$I$55:$I$176,"Nome do Projeto Divergente")</f>
        <v>Nome do Projeto Divergente</v>
      </c>
      <c r="I42" s="1749" t="str">
        <f>_xlfn.XLOOKUP(B42,Diadema!$C$55:$C$176,Diadema!$J$55:$J$176,"Nome do Projeto Divergente")</f>
        <v>Nome do Projeto Divergente</v>
      </c>
      <c r="J42" s="1387" t="str">
        <f>_xlfn.XLOOKUP(B42,Diadema!$C$55:$C$176,Diadema!$K$55:$K$176,"Nome do Projeto Divergente")</f>
        <v>Nome do Projeto Divergente</v>
      </c>
      <c r="K42" s="1395"/>
      <c r="L42" s="2441"/>
      <c r="M42" s="2441"/>
      <c r="N42" s="1352" t="s">
        <v>85</v>
      </c>
      <c r="O42" s="1352"/>
      <c r="P42" s="1352"/>
      <c r="Q42" s="1334" t="s">
        <v>21</v>
      </c>
      <c r="R42" s="96" t="s">
        <v>116</v>
      </c>
      <c r="S42" s="96">
        <v>0</v>
      </c>
      <c r="T42" s="498">
        <f>IFERROR(IF(AND(T$33&gt;=EOMONTH($I42,-1)+1,T$33&lt;=EOMONTH(EOMONTH($I42,-1)+1,$J42-1)),IF(NOT(ISBLANK($M42)),$M42/$J42,$H42/$J42),0),0)</f>
        <v>0</v>
      </c>
      <c r="U42" s="498">
        <f>IFERROR(IF(AND(U$33&gt;=EOMONTH($I42,-1)+1,U$33&lt;=EOMONTH(EOMONTH($I42,-1)+1,$J42-1)),IF(NOT(ISBLANK($M42)),$M42/$J42,$H42/$J42),0),0)</f>
        <v>0</v>
      </c>
      <c r="V42" s="498">
        <f>IFERROR(IF(AND(V$33&gt;=EOMONTH($I42,-1)+1,V$33&lt;=EOMONTH(EOMONTH($I42,-1)+1,$J42-1)),IF(NOT(ISBLANK($M42)),$M42/$J42,$H42/$J42),0),0)</f>
        <v>0</v>
      </c>
      <c r="W42" s="440">
        <f t="shared" si="32"/>
        <v>0</v>
      </c>
      <c r="X42" s="498">
        <f>IFERROR(IF(AND(X$33&gt;=EOMONTH($I42,-1)+1,X$33&lt;=EOMONTH(EOMONTH($I42,-1)+1,$J42-1)),IF(NOT(ISBLANK($M42)),$M42/$J42,$H42/$J42),0),0)</f>
        <v>0</v>
      </c>
      <c r="Y42" s="498">
        <f>IFERROR(IF(AND(Y$33&gt;=EOMONTH($I42,-1)+1,Y$33&lt;=EOMONTH(EOMONTH($I42,-1)+1,$J42-1)),IF(NOT(ISBLANK($M42)),$M42/$J42,$H42/$J42),0),0)</f>
        <v>0</v>
      </c>
      <c r="Z42" s="498">
        <f>IFERROR(IF(AND(Z$33&gt;=EOMONTH($I42,-1)+1,Z$33&lt;=EOMONTH(EOMONTH($I42,-1)+1,$J42-1)),IF(NOT(ISBLANK($M42)),$M42/$J42,$H42/$J42),0),0)</f>
        <v>0</v>
      </c>
      <c r="AA42" s="440">
        <f t="shared" si="33"/>
        <v>0</v>
      </c>
      <c r="AB42" s="498">
        <f>IFERROR(IF(AND(AB$33&gt;=EOMONTH($I42,-1)+1,AB$33&lt;=EOMONTH(EOMONTH($I42,-1)+1,$J42-1)),IF(NOT(ISBLANK($M42)),$M42/$J42,$H42/$J42),0),0)</f>
        <v>0</v>
      </c>
      <c r="AC42" s="498">
        <f>IFERROR(IF(AND(AC$33&gt;=EOMONTH($I42,-1)+1,AC$33&lt;=EOMONTH(EOMONTH($I42,-1)+1,$J42-1)),IF(NOT(ISBLANK($M42)),$M42/$J42,$H42/$J42),0),0)</f>
        <v>0</v>
      </c>
      <c r="AD42" s="498">
        <f>IFERROR(IF(AND(AD$33&gt;=EOMONTH($I42,-1)+1,AD$33&lt;=EOMONTH(EOMONTH($I42,-1)+1,$J42-1)),IF(NOT(ISBLANK($M42)),$M42/$J42,$H42/$J42),0),0)</f>
        <v>0</v>
      </c>
      <c r="AE42" s="440">
        <f t="shared" si="34"/>
        <v>0</v>
      </c>
      <c r="AF42" s="498">
        <f>IFERROR(IF(AND(AF$33&gt;=EOMONTH($I42,-1)+1,AF$33&lt;=EOMONTH(EOMONTH($I42,-1)+1,$J42-1)),IF(NOT(ISBLANK($M42)),$M42/$J42,$H42/$J42),0),0)</f>
        <v>0</v>
      </c>
      <c r="AG42" s="498">
        <f>IFERROR(IF(AND(AG$33&gt;=EOMONTH($I42,-1)+1,AG$33&lt;=EOMONTH(EOMONTH($I42,-1)+1,$J42-1)),IF(NOT(ISBLANK($M42)),$M42/$J42,$H42/$J42),0),0)</f>
        <v>0</v>
      </c>
      <c r="AH42" s="498">
        <f>IFERROR(IF(AND(AH$33&gt;=EOMONTH($I42,-1)+1,AH$33&lt;=EOMONTH(EOMONTH($I42,-1)+1,$J42-1)),IF(NOT(ISBLANK($M42)),$M42/$J42,$H42/$J42),0),0)</f>
        <v>0</v>
      </c>
      <c r="AI42" s="440">
        <f t="shared" si="22"/>
        <v>0</v>
      </c>
      <c r="AJ42" s="94">
        <f t="shared" si="23"/>
        <v>0</v>
      </c>
      <c r="AK42" s="2462" t="s">
        <v>2675</v>
      </c>
      <c r="AL42" s="1407"/>
      <c r="AM42" s="1334"/>
      <c r="AN42" s="1403">
        <f>L42*AM42</f>
        <v>0</v>
      </c>
      <c r="AO42" s="47" t="str">
        <f>B42</f>
        <v>Blank ZigZag - Carcaças de Ferraz</v>
      </c>
      <c r="AP42" s="47" t="str">
        <f>A42</f>
        <v xml:space="preserve">Meta Executiva </v>
      </c>
      <c r="AQ42" s="62" t="s">
        <v>311</v>
      </c>
      <c r="AR42" s="508" t="str" cm="1">
        <f t="array" aca="1" ref="AR42" ca="1">IF(OR(AO42="",AO42=0),"",IF(SUMPRODUCT(($B$34:$B$83=AO42)*($R$34:$R$83="Previsto")*($T$33:$AH$33&lt;EOMONTH(TODAY(),-1)+1)*($T$34:$AH$83))=0,"",SUMPRODUCT(($B$34:$B$83=AO42)*($R$34:$R$83="Previsto")*($T$33:$AH$33&lt;EOMONTH(TODAY(),-1)+1)*($T$34:$AH$83))))</f>
        <v/>
      </c>
    </row>
    <row r="43" spans="1:44" ht="29.1" customHeight="1" x14ac:dyDescent="0.3">
      <c r="A43" s="1408"/>
      <c r="B43" s="1466"/>
      <c r="C43" s="1466"/>
      <c r="D43" s="2460"/>
      <c r="E43" s="1466"/>
      <c r="F43" s="2458"/>
      <c r="G43" s="2458"/>
      <c r="H43" s="2456"/>
      <c r="I43" s="1750"/>
      <c r="J43" s="1388"/>
      <c r="K43" s="1396"/>
      <c r="L43" s="2442"/>
      <c r="M43" s="2442"/>
      <c r="N43" s="1353"/>
      <c r="O43" s="1353"/>
      <c r="P43" s="1353"/>
      <c r="Q43" s="1330"/>
      <c r="R43" s="96" t="s">
        <v>117</v>
      </c>
      <c r="S43" s="456">
        <v>0</v>
      </c>
      <c r="T43" s="457"/>
      <c r="U43" s="457"/>
      <c r="V43" s="290"/>
      <c r="W43" s="440">
        <f t="shared" si="32"/>
        <v>0</v>
      </c>
      <c r="X43" s="457"/>
      <c r="Y43" s="457"/>
      <c r="Z43" s="290"/>
      <c r="AA43" s="440">
        <f t="shared" si="33"/>
        <v>0</v>
      </c>
      <c r="AB43" s="457"/>
      <c r="AC43" s="457"/>
      <c r="AD43" s="290"/>
      <c r="AE43" s="440">
        <f t="shared" si="34"/>
        <v>0</v>
      </c>
      <c r="AF43" s="457"/>
      <c r="AG43" s="457"/>
      <c r="AH43" s="290"/>
      <c r="AI43" s="440">
        <f t="shared" si="22"/>
        <v>0</v>
      </c>
      <c r="AJ43" s="94">
        <f t="shared" si="23"/>
        <v>0</v>
      </c>
      <c r="AK43" s="2463"/>
      <c r="AL43" s="1408"/>
      <c r="AM43" s="1330"/>
      <c r="AN43" s="1404"/>
      <c r="AO43" s="47" t="str">
        <f>B42</f>
        <v>Blank ZigZag - Carcaças de Ferraz</v>
      </c>
      <c r="AP43" s="47" t="str">
        <f>A42</f>
        <v xml:space="preserve">Meta Executiva </v>
      </c>
      <c r="AQ43" s="62" t="s">
        <v>313</v>
      </c>
      <c r="AR43" s="508" t="str" cm="1">
        <f t="array" aca="1" ref="AR43" ca="1">IF(OR(AO42="",AO42=0),"",IF(SUMPRODUCT(($B$34:$B$83=AO42)*(ISNUMBER(SEARCH("Real",$Q$35:$Q$84)))*($T$33:$AH$33&lt;EOMONTH(TODAY(),-1)+1)*($T$35:$AH$84))=0,"",SUMPRODUCT(($B$34:$B$83=AO42)*(ISNUMBER(SEARCH("Real",$Q$35:$Q$84)))*($T$33:$AH$33&lt;EOMONTH(TODAY(),-1)+1)*($T$35:$AH$84))))</f>
        <v/>
      </c>
    </row>
    <row r="44" spans="1:44" ht="29.1" customHeight="1" x14ac:dyDescent="0.3">
      <c r="A44" s="1380" t="s">
        <v>2662</v>
      </c>
      <c r="B44" s="2449" t="s">
        <v>508</v>
      </c>
      <c r="C44" s="1486" t="s">
        <v>509</v>
      </c>
      <c r="D44" s="2453" t="str">
        <f>_xlfn.XLOOKUP(B44,Diadema!$C$55:$C$176,Diadema!$E$55:$E$176,"Nome do Projeto Divergente")</f>
        <v>Soldar os Boomerang na célula 10 (robô), que atualmente são soldados em cabines manuais (redução de 1MOD)</v>
      </c>
      <c r="E44" s="1482" t="s">
        <v>2676</v>
      </c>
      <c r="F44" s="2451">
        <f>_xlfn.XLOOKUP(B44,Diadema!$C$55:$C$176,Diadema!$G$55:$G$176,"Nome do Projeto Divergente")</f>
        <v>46113</v>
      </c>
      <c r="G44" s="2451">
        <f>_xlfn.XLOOKUP(B44,Diadema!$C$55:$C$176,Diadema!$H$55:$H$176,"Nome do Projeto Divergente")</f>
        <v>46233</v>
      </c>
      <c r="H44" s="1405">
        <f>_xlfn.XLOOKUP(B44,Diadema!$C$55:$C$176,Diadema!$I$55:$I$176,"Nome do Projeto Divergente")</f>
        <v>96000</v>
      </c>
      <c r="I44" s="1376">
        <f>_xlfn.XLOOKUP(B44,Diadema!$C$55:$C$176,Diadema!$J$55:$J$176,"Nome do Projeto Divergente")</f>
        <v>46235</v>
      </c>
      <c r="J44" s="1389">
        <f>_xlfn.XLOOKUP(B44,Diadema!$C$55:$C$176,Diadema!$K$55:$K$176,"Nome do Projeto Divergente")</f>
        <v>5</v>
      </c>
      <c r="K44" s="1354"/>
      <c r="L44" s="2222" t="s">
        <v>873</v>
      </c>
      <c r="M44" s="2222"/>
      <c r="N44" s="1354" t="s">
        <v>85</v>
      </c>
      <c r="O44" s="1354"/>
      <c r="P44" s="1354"/>
      <c r="Q44" s="1327" t="s">
        <v>21</v>
      </c>
      <c r="R44" s="91" t="s">
        <v>116</v>
      </c>
      <c r="S44" s="91">
        <v>0</v>
      </c>
      <c r="T44" s="287">
        <f>IFERROR(IF(AND(T$33&gt;=EOMONTH($I44,-1)+1,T$33&lt;=EOMONTH(EOMONTH($I44,-1)+1,$J44-1)),IF(NOT(ISBLANK($M44)),$M44/$J44,$H44/$J44),0),0)</f>
        <v>0</v>
      </c>
      <c r="U44" s="287">
        <f>IFERROR(IF(AND(U$33&gt;=EOMONTH($I44,-1)+1,U$33&lt;=EOMONTH(EOMONTH($I44,-1)+1,$J44-1)),IF(NOT(ISBLANK($M44)),$M44/$J44,$H44/$J44),0),0)</f>
        <v>0</v>
      </c>
      <c r="V44" s="287">
        <f>IFERROR(IF(AND(V$33&gt;=EOMONTH($I44,-1)+1,V$33&lt;=EOMONTH(EOMONTH($I44,-1)+1,$J44-1)),IF(NOT(ISBLANK($M44)),$M44/$J44,$H44/$J44),0),0)</f>
        <v>0</v>
      </c>
      <c r="W44" s="440">
        <f t="shared" si="32"/>
        <v>0</v>
      </c>
      <c r="X44" s="287">
        <f>IFERROR(IF(AND(X$33&gt;=EOMONTH($I44,-1)+1,X$33&lt;=EOMONTH(EOMONTH($I44,-1)+1,$J44-1)),IF(NOT(ISBLANK($M44)),$M44/$J44,$H44/$J44),0),0)</f>
        <v>0</v>
      </c>
      <c r="Y44" s="287">
        <f>IFERROR(IF(AND(Y$33&gt;=EOMONTH($I44,-1)+1,Y$33&lt;=EOMONTH(EOMONTH($I44,-1)+1,$J44-1)),IF(NOT(ISBLANK($M44)),$M44/$J44,$H44/$J44),0),0)</f>
        <v>0</v>
      </c>
      <c r="Z44" s="287">
        <f>IFERROR(IF(AND(Z$33&gt;=EOMONTH($I44,-1)+1,Z$33&lt;=EOMONTH(EOMONTH($I44,-1)+1,$J44-1)),IF(NOT(ISBLANK($M44)),$M44/$J44,$H44/$J44),0),0)</f>
        <v>0</v>
      </c>
      <c r="AA44" s="440">
        <f t="shared" si="33"/>
        <v>0</v>
      </c>
      <c r="AB44" s="287">
        <f>IFERROR(IF(AND(AB$33&gt;=EOMONTH($I44,-1)+1,AB$33&lt;=EOMONTH(EOMONTH($I44,-1)+1,$J44-1)),IF(NOT(ISBLANK($M44)),$M44/$J44,$H44/$J44),0),0)</f>
        <v>0</v>
      </c>
      <c r="AC44" s="287">
        <f>IFERROR(IF(AND(AC$33&gt;=EOMONTH($I44,-1)+1,AC$33&lt;=EOMONTH(EOMONTH($I44,-1)+1,$J44-1)),IF(NOT(ISBLANK($M44)),$M44/$J44,$H44/$J44),0),0)</f>
        <v>19200</v>
      </c>
      <c r="AD44" s="287">
        <f>IFERROR(IF(AND(AD$33&gt;=EOMONTH($I44,-1)+1,AD$33&lt;=EOMONTH(EOMONTH($I44,-1)+1,$J44-1)),IF(NOT(ISBLANK($M44)),$M44/$J44,$H44/$J44),0),0)</f>
        <v>19200</v>
      </c>
      <c r="AE44" s="440">
        <f t="shared" si="34"/>
        <v>38400</v>
      </c>
      <c r="AF44" s="287">
        <f>IFERROR(IF(AND(AF$33&gt;=EOMONTH($I44,-1)+1,AF$33&lt;=EOMONTH(EOMONTH($I44,-1)+1,$J44-1)),IF(NOT(ISBLANK($M44)),$M44/$J44,$H44/$J44),0),0)</f>
        <v>19200</v>
      </c>
      <c r="AG44" s="287">
        <f>IFERROR(IF(AND(AG$33&gt;=EOMONTH($I44,-1)+1,AG$33&lt;=EOMONTH(EOMONTH($I44,-1)+1,$J44-1)),IF(NOT(ISBLANK($M44)),$M44/$J44,$H44/$J44),0),0)</f>
        <v>19200</v>
      </c>
      <c r="AH44" s="287">
        <f>IFERROR(IF(AND(AH$33&gt;=EOMONTH($I44,-1)+1,AH$33&lt;=EOMONTH(EOMONTH($I44,-1)+1,$J44-1)),IF(NOT(ISBLANK($M44)),$M44/$J44,$H44/$J44),0),0)</f>
        <v>19200</v>
      </c>
      <c r="AI44" s="440">
        <f t="shared" si="22"/>
        <v>57600</v>
      </c>
      <c r="AJ44" s="116">
        <f t="shared" si="23"/>
        <v>96000</v>
      </c>
      <c r="AK44" s="1354"/>
      <c r="AL44" s="1370"/>
      <c r="AM44" s="1411"/>
      <c r="AN44" s="1405" t="e">
        <f>L44*AM44</f>
        <v>#VALUE!</v>
      </c>
      <c r="AO44" s="47" t="str">
        <f>B44</f>
        <v>43 - Automação Boomerang</v>
      </c>
      <c r="AP44" s="47" t="str">
        <f>A44</f>
        <v xml:space="preserve">Meta Executiva </v>
      </c>
      <c r="AQ44" s="62" t="s">
        <v>311</v>
      </c>
      <c r="AR44" s="508" t="str" cm="1">
        <f t="array" aca="1" ref="AR44" ca="1">IF(OR(AO44="",AO44=0),"",IF(SUMPRODUCT(($B$34:$B$83=AO44)*($R$34:$R$83="Previsto")*($T$33:$AH$33&lt;EOMONTH(TODAY(),-1)+1)*($T$34:$AH$83))=0,"",SUMPRODUCT(($B$34:$B$83=AO44)*($R$34:$R$83="Previsto")*($T$33:$AH$33&lt;EOMONTH(TODAY(),-1)+1)*($T$34:$AH$83))))</f>
        <v/>
      </c>
    </row>
    <row r="45" spans="1:44" ht="29.1" customHeight="1" x14ac:dyDescent="0.3">
      <c r="A45" s="1381"/>
      <c r="B45" s="2450"/>
      <c r="C45" s="1487"/>
      <c r="D45" s="2454"/>
      <c r="E45" s="1483"/>
      <c r="F45" s="2452"/>
      <c r="G45" s="2452"/>
      <c r="H45" s="1406"/>
      <c r="I45" s="1377"/>
      <c r="J45" s="1390"/>
      <c r="K45" s="1355"/>
      <c r="L45" s="2223"/>
      <c r="M45" s="2223"/>
      <c r="N45" s="1355"/>
      <c r="O45" s="1355"/>
      <c r="P45" s="1355"/>
      <c r="Q45" s="1328"/>
      <c r="R45" s="91" t="s">
        <v>117</v>
      </c>
      <c r="S45" s="455">
        <v>0</v>
      </c>
      <c r="T45" s="287"/>
      <c r="U45" s="287"/>
      <c r="V45" s="287"/>
      <c r="W45" s="440">
        <f t="shared" si="32"/>
        <v>0</v>
      </c>
      <c r="X45" s="287"/>
      <c r="Y45" s="287"/>
      <c r="Z45" s="287"/>
      <c r="AA45" s="440">
        <f t="shared" si="33"/>
        <v>0</v>
      </c>
      <c r="AB45" s="287"/>
      <c r="AC45" s="287"/>
      <c r="AD45" s="287"/>
      <c r="AE45" s="440">
        <f t="shared" si="34"/>
        <v>0</v>
      </c>
      <c r="AF45" s="287"/>
      <c r="AG45" s="287"/>
      <c r="AH45" s="287"/>
      <c r="AI45" s="440">
        <f t="shared" si="22"/>
        <v>0</v>
      </c>
      <c r="AJ45" s="454">
        <f t="shared" si="23"/>
        <v>0</v>
      </c>
      <c r="AK45" s="1355"/>
      <c r="AL45" s="1371"/>
      <c r="AM45" s="1412"/>
      <c r="AN45" s="1406"/>
      <c r="AO45" s="47" t="str">
        <f>B44</f>
        <v>43 - Automação Boomerang</v>
      </c>
      <c r="AP45" s="47" t="str">
        <f>A44</f>
        <v xml:space="preserve">Meta Executiva </v>
      </c>
      <c r="AQ45" s="62" t="s">
        <v>313</v>
      </c>
      <c r="AR45" s="508" t="str" cm="1">
        <f t="array" aca="1" ref="AR45" ca="1">IF(OR(AO44="",AO44=0),"",IF(SUMPRODUCT(($B$34:$B$83=AO44)*(ISNUMBER(SEARCH("Real",$Q$35:$Q$84)))*($T$33:$AH$33&lt;EOMONTH(TODAY(),-1)+1)*($T$35:$AH$84))=0,"",SUMPRODUCT(($B$34:$B$83=AO44)*(ISNUMBER(SEARCH("Real",$Q$35:$Q$84)))*($T$33:$AH$33&lt;EOMONTH(TODAY(),-1)+1)*($T$35:$AH$84))))</f>
        <v/>
      </c>
    </row>
    <row r="46" spans="1:44" ht="29.1" customHeight="1" x14ac:dyDescent="0.3">
      <c r="A46" s="1407" t="s">
        <v>2662</v>
      </c>
      <c r="B46" s="1465" t="s">
        <v>2677</v>
      </c>
      <c r="C46" s="1465"/>
      <c r="D46" s="2459" t="str">
        <f>_xlfn.XLOOKUP(B46,Diadema!$C$55:$C$176,Diadema!$E$55:$E$176,"Nome do Projeto Divergente")</f>
        <v>Nome do Projeto Divergente</v>
      </c>
      <c r="E46" s="1465" t="s">
        <v>2676</v>
      </c>
      <c r="F46" s="2457" t="str">
        <f>_xlfn.XLOOKUP(B46,Diadema!$C$55:$C$176,Diadema!$G$55:$G$176,"Nome do Projeto Divergente")</f>
        <v>Nome do Projeto Divergente</v>
      </c>
      <c r="G46" s="2457" t="str">
        <f>_xlfn.XLOOKUP(B46,Diadema!$C$55:$C$176,Diadema!$H$55:$H$176,"Nome do Projeto Divergente")</f>
        <v>Nome do Projeto Divergente</v>
      </c>
      <c r="H46" s="2455" t="str">
        <f>_xlfn.XLOOKUP(B46,Diadema!$C$55:$C$176,Diadema!$I$55:$I$176,"Nome do Projeto Divergente")</f>
        <v>Nome do Projeto Divergente</v>
      </c>
      <c r="I46" s="1749" t="str">
        <f>_xlfn.XLOOKUP(B46,Diadema!$C$55:$C$176,Diadema!$J$55:$J$176,"Nome do Projeto Divergente")</f>
        <v>Nome do Projeto Divergente</v>
      </c>
      <c r="J46" s="1387" t="str">
        <f>_xlfn.XLOOKUP(B46,Diadema!$C$55:$C$176,Diadema!$K$55:$K$176,"Nome do Projeto Divergente")</f>
        <v>Nome do Projeto Divergente</v>
      </c>
      <c r="K46" s="1395"/>
      <c r="L46" s="2441" t="e">
        <f>_xlfn.XLOOKUP(B46,Diadema!$C$55:$C$176,Diadema!L177:L186,"Nome do Projeto Divergente")</f>
        <v>#VALUE!</v>
      </c>
      <c r="M46" s="2441" t="str">
        <f>_xlfn.XLOOKUP(B46,Diadema!$C$55:$C$176,Diadema!$N$55:$N$176,"Nome do Projeto Divergente")</f>
        <v>Nome do Projeto Divergente</v>
      </c>
      <c r="N46" s="1352" t="s">
        <v>85</v>
      </c>
      <c r="O46" s="1352"/>
      <c r="P46" s="1352"/>
      <c r="Q46" s="1334" t="s">
        <v>21</v>
      </c>
      <c r="R46" s="96" t="s">
        <v>116</v>
      </c>
      <c r="S46" s="96">
        <v>0</v>
      </c>
      <c r="T46" s="498">
        <f>IFERROR(IF(AND(T$33&gt;=EOMONTH($I46,-1)+1,T$33&lt;=EOMONTH(EOMONTH($I46,-1)+1,$J46-1)),IF(NOT(ISBLANK($M46)),$M46/$J46,$H46/$J46),0),0)</f>
        <v>0</v>
      </c>
      <c r="U46" s="498">
        <f>IFERROR(IF(AND(U$33&gt;=EOMONTH($I46,-1)+1,U$33&lt;=EOMONTH(EOMONTH($I46,-1)+1,$J46-1)),IF(NOT(ISBLANK($M46)),$M46/$J46,$H46/$J46),0),0)</f>
        <v>0</v>
      </c>
      <c r="V46" s="498">
        <f>IFERROR(IF(AND(V$33&gt;=EOMONTH($I46,-1)+1,V$33&lt;=EOMONTH(EOMONTH($I46,-1)+1,$J46-1)),IF(NOT(ISBLANK($M46)),$M46/$J46,$H46/$J46),0),0)</f>
        <v>0</v>
      </c>
      <c r="W46" s="440">
        <f t="shared" si="32"/>
        <v>0</v>
      </c>
      <c r="X46" s="498">
        <f>IFERROR(IF(AND(X$33&gt;=EOMONTH($I46,-1)+1,X$33&lt;=EOMONTH(EOMONTH($I46,-1)+1,$J46-1)),IF(NOT(ISBLANK($M46)),$M46/$J46,$H46/$J46),0),0)</f>
        <v>0</v>
      </c>
      <c r="Y46" s="498">
        <f>IFERROR(IF(AND(Y$33&gt;=EOMONTH($I46,-1)+1,Y$33&lt;=EOMONTH(EOMONTH($I46,-1)+1,$J46-1)),IF(NOT(ISBLANK($M46)),$M46/$J46,$H46/$J46),0),0)</f>
        <v>0</v>
      </c>
      <c r="Z46" s="498">
        <f>IFERROR(IF(AND(Z$33&gt;=EOMONTH($I46,-1)+1,Z$33&lt;=EOMONTH(EOMONTH($I46,-1)+1,$J46-1)),IF(NOT(ISBLANK($M46)),$M46/$J46,$H46/$J46),0),0)</f>
        <v>0</v>
      </c>
      <c r="AA46" s="440">
        <f t="shared" si="33"/>
        <v>0</v>
      </c>
      <c r="AB46" s="498">
        <f>IFERROR(IF(AND(AB$33&gt;=EOMONTH($I46,-1)+1,AB$33&lt;=EOMONTH(EOMONTH($I46,-1)+1,$J46-1)),IF(NOT(ISBLANK($M46)),$M46/$J46,$H46/$J46),0),0)</f>
        <v>0</v>
      </c>
      <c r="AC46" s="498">
        <f>IFERROR(IF(AND(AC$33&gt;=EOMONTH($I46,-1)+1,AC$33&lt;=EOMONTH(EOMONTH($I46,-1)+1,$J46-1)),IF(NOT(ISBLANK($M46)),$M46/$J46,$H46/$J46),0),0)</f>
        <v>0</v>
      </c>
      <c r="AD46" s="498">
        <f>IFERROR(IF(AND(AD$33&gt;=EOMONTH($I46,-1)+1,AD$33&lt;=EOMONTH(EOMONTH($I46,-1)+1,$J46-1)),IF(NOT(ISBLANK($M46)),$M46/$J46,$H46/$J46),0),0)</f>
        <v>0</v>
      </c>
      <c r="AE46" s="440">
        <f t="shared" si="34"/>
        <v>0</v>
      </c>
      <c r="AF46" s="498">
        <f>IFERROR(IF(AND(AF$33&gt;=EOMONTH($I46,-1)+1,AF$33&lt;=EOMONTH(EOMONTH($I46,-1)+1,$J46-1)),IF(NOT(ISBLANK($M46)),$M46/$J46,$H46/$J46),0),0)</f>
        <v>0</v>
      </c>
      <c r="AG46" s="498">
        <f>IFERROR(IF(AND(AG$33&gt;=EOMONTH($I46,-1)+1,AG$33&lt;=EOMONTH(EOMONTH($I46,-1)+1,$J46-1)),IF(NOT(ISBLANK($M46)),$M46/$J46,$H46/$J46),0),0)</f>
        <v>0</v>
      </c>
      <c r="AH46" s="498">
        <f>IFERROR(IF(AND(AH$33&gt;=EOMONTH($I46,-1)+1,AH$33&lt;=EOMONTH(EOMONTH($I46,-1)+1,$J46-1)),IF(NOT(ISBLANK($M46)),$M46/$J46,$H46/$J46),0),0)</f>
        <v>0</v>
      </c>
      <c r="AI46" s="440">
        <f t="shared" si="22"/>
        <v>0</v>
      </c>
      <c r="AJ46" s="94">
        <f t="shared" si="23"/>
        <v>0</v>
      </c>
      <c r="AK46" s="2462"/>
      <c r="AL46" s="1407"/>
      <c r="AM46" s="1334"/>
      <c r="AN46" s="1403" t="e">
        <f>L46*AM46</f>
        <v>#VALUE!</v>
      </c>
      <c r="AO46" s="47" t="str">
        <f>B46</f>
        <v>proj2 - Boca de fogão Volvo</v>
      </c>
      <c r="AP46" s="47" t="str">
        <f>A46</f>
        <v xml:space="preserve">Meta Executiva </v>
      </c>
      <c r="AQ46" s="62" t="s">
        <v>311</v>
      </c>
      <c r="AR46" s="508" t="str" cm="1">
        <f t="array" aca="1" ref="AR46" ca="1">IF(OR(AO46="",AO46=0),"",IF(SUMPRODUCT(($B$34:$B$83=AO46)*($R$34:$R$83="Previsto")*($T$33:$AH$33&lt;EOMONTH(TODAY(),-1)+1)*($T$34:$AH$83))=0,"",SUMPRODUCT(($B$34:$B$83=AO46)*($R$34:$R$83="Previsto")*($T$33:$AH$33&lt;EOMONTH(TODAY(),-1)+1)*($T$34:$AH$83))))</f>
        <v/>
      </c>
    </row>
    <row r="47" spans="1:44" ht="29.1" customHeight="1" x14ac:dyDescent="0.3">
      <c r="A47" s="1408"/>
      <c r="B47" s="1466"/>
      <c r="C47" s="1466"/>
      <c r="D47" s="2460"/>
      <c r="E47" s="1466"/>
      <c r="F47" s="2458"/>
      <c r="G47" s="2458"/>
      <c r="H47" s="2456"/>
      <c r="I47" s="1750"/>
      <c r="J47" s="1388"/>
      <c r="K47" s="1396"/>
      <c r="L47" s="2442"/>
      <c r="M47" s="2442"/>
      <c r="N47" s="1353"/>
      <c r="O47" s="1353"/>
      <c r="P47" s="1353"/>
      <c r="Q47" s="1330"/>
      <c r="R47" s="96" t="s">
        <v>117</v>
      </c>
      <c r="S47" s="456">
        <v>0</v>
      </c>
      <c r="T47" s="457"/>
      <c r="U47" s="457"/>
      <c r="V47" s="290"/>
      <c r="W47" s="440">
        <f t="shared" si="32"/>
        <v>0</v>
      </c>
      <c r="X47" s="457"/>
      <c r="Y47" s="457"/>
      <c r="Z47" s="290"/>
      <c r="AA47" s="440">
        <f t="shared" si="33"/>
        <v>0</v>
      </c>
      <c r="AB47" s="457"/>
      <c r="AC47" s="457"/>
      <c r="AD47" s="290"/>
      <c r="AE47" s="440">
        <f t="shared" si="34"/>
        <v>0</v>
      </c>
      <c r="AF47" s="457"/>
      <c r="AG47" s="457"/>
      <c r="AH47" s="290"/>
      <c r="AI47" s="440">
        <f t="shared" si="22"/>
        <v>0</v>
      </c>
      <c r="AJ47" s="94">
        <f t="shared" si="23"/>
        <v>0</v>
      </c>
      <c r="AK47" s="2463"/>
      <c r="AL47" s="1408"/>
      <c r="AM47" s="1330"/>
      <c r="AN47" s="1404"/>
      <c r="AO47" s="47" t="str">
        <f>B46</f>
        <v>proj2 - Boca de fogão Volvo</v>
      </c>
      <c r="AP47" s="47" t="str">
        <f>A46</f>
        <v xml:space="preserve">Meta Executiva </v>
      </c>
      <c r="AQ47" s="62" t="s">
        <v>313</v>
      </c>
      <c r="AR47" s="508" t="str" cm="1">
        <f t="array" aca="1" ref="AR47" ca="1">IF(OR(AO46="",AO46=0),"",IF(SUMPRODUCT(($B$34:$B$83=AO46)*(ISNUMBER(SEARCH("Real",$Q$35:$Q$84)))*($T$33:$AH$33&lt;EOMONTH(TODAY(),-1)+1)*($T$35:$AH$84))=0,"",SUMPRODUCT(($B$34:$B$83=AO46)*(ISNUMBER(SEARCH("Real",$Q$35:$Q$84)))*($T$33:$AH$33&lt;EOMONTH(TODAY(),-1)+1)*($T$35:$AH$84))))</f>
        <v/>
      </c>
    </row>
    <row r="48" spans="1:44" ht="29.1" customHeight="1" x14ac:dyDescent="0.3">
      <c r="A48" s="1380" t="s">
        <v>2662</v>
      </c>
      <c r="B48" s="2447" t="s">
        <v>2678</v>
      </c>
      <c r="C48" s="1482"/>
      <c r="D48" s="1368"/>
      <c r="E48" s="1370"/>
      <c r="F48" s="1372"/>
      <c r="G48" s="1372"/>
      <c r="H48" s="1405"/>
      <c r="I48" s="1376"/>
      <c r="J48" s="1389" t="str">
        <f>IF(I48="", "", 12 - MONTH(I48) + 1)</f>
        <v/>
      </c>
      <c r="K48" s="1354"/>
      <c r="L48" s="1861"/>
      <c r="M48" s="1861"/>
      <c r="N48" s="1354"/>
      <c r="O48" s="1354"/>
      <c r="P48" s="1354"/>
      <c r="Q48" s="1327" t="s">
        <v>25</v>
      </c>
      <c r="R48" s="91" t="s">
        <v>116</v>
      </c>
      <c r="S48" s="91">
        <v>0</v>
      </c>
      <c r="T48" s="287">
        <f>IFERROR(IF(AND(T$33&gt;=EOMONTH($I48,-1)+1,T$33&lt;=EOMONTH(EOMONTH($I48,-1)+1,$J48-1)),IF(NOT(ISBLANK($M48)),$M48/$J48,$H48/$J48),0),0)</f>
        <v>0</v>
      </c>
      <c r="U48" s="287">
        <f>IFERROR(IF(AND(U$33&gt;=EOMONTH($I48,-1)+1,U$33&lt;=EOMONTH(EOMONTH($I48,-1)+1,$J48-1)),IF(NOT(ISBLANK($M48)),$M48/$J48,$H48/$J48),0),0)</f>
        <v>0</v>
      </c>
      <c r="V48" s="287">
        <f>IFERROR(IF(AND(V$33&gt;=EOMONTH($I48,-1)+1,V$33&lt;=EOMONTH(EOMONTH($I48,-1)+1,$J48-1)),IF(NOT(ISBLANK($M48)),$M48/$J48,$H48/$J48),0),0)</f>
        <v>0</v>
      </c>
      <c r="W48" s="440">
        <f t="shared" si="32"/>
        <v>0</v>
      </c>
      <c r="X48" s="287">
        <f>IFERROR(IF(AND(X$33&gt;=EOMONTH($I48,-1)+1,X$33&lt;=EOMONTH(EOMONTH($I48,-1)+1,$J48-1)),IF(NOT(ISBLANK($M48)),$M48/$J48,$H48/$J48),0),0)</f>
        <v>0</v>
      </c>
      <c r="Y48" s="287">
        <f>IFERROR(IF(AND(Y$33&gt;=EOMONTH($I48,-1)+1,Y$33&lt;=EOMONTH(EOMONTH($I48,-1)+1,$J48-1)),IF(NOT(ISBLANK($M48)),$M48/$J48,$H48/$J48),0),0)</f>
        <v>0</v>
      </c>
      <c r="Z48" s="287">
        <f>IFERROR(IF(AND(Z$33&gt;=EOMONTH($I48,-1)+1,Z$33&lt;=EOMONTH(EOMONTH($I48,-1)+1,$J48-1)),IF(NOT(ISBLANK($M48)),$M48/$J48,$H48/$J48),0),0)</f>
        <v>0</v>
      </c>
      <c r="AA48" s="440">
        <f t="shared" si="33"/>
        <v>0</v>
      </c>
      <c r="AB48" s="287">
        <f>IFERROR(IF(AND(AB$33&gt;=EOMONTH($I48,-1)+1,AB$33&lt;=EOMONTH(EOMONTH($I48,-1)+1,$J48-1)),IF(NOT(ISBLANK($M48)),$M48/$J48,$H48/$J48),0),0)</f>
        <v>0</v>
      </c>
      <c r="AC48" s="287">
        <f>IFERROR(IF(AND(AC$33&gt;=EOMONTH($I48,-1)+1,AC$33&lt;=EOMONTH(EOMONTH($I48,-1)+1,$J48-1)),IF(NOT(ISBLANK($M48)),$M48/$J48,$H48/$J48),0),0)</f>
        <v>0</v>
      </c>
      <c r="AD48" s="287">
        <f>IFERROR(IF(AND(AD$33&gt;=EOMONTH($I48,-1)+1,AD$33&lt;=EOMONTH(EOMONTH($I48,-1)+1,$J48-1)),IF(NOT(ISBLANK($M48)),$M48/$J48,$H48/$J48),0),0)</f>
        <v>0</v>
      </c>
      <c r="AE48" s="440">
        <f t="shared" si="34"/>
        <v>0</v>
      </c>
      <c r="AF48" s="287">
        <f>IFERROR(IF(AND(AF$33&gt;=EOMONTH($I48,-1)+1,AF$33&lt;=EOMONTH(EOMONTH($I48,-1)+1,$J48-1)),IF(NOT(ISBLANK($M48)),$M48/$J48,$H48/$J48),0),0)</f>
        <v>0</v>
      </c>
      <c r="AG48" s="287">
        <f>IFERROR(IF(AND(AG$33&gt;=EOMONTH($I48,-1)+1,AG$33&lt;=EOMONTH(EOMONTH($I48,-1)+1,$J48-1)),IF(NOT(ISBLANK($M48)),$M48/$J48,$H48/$J48),0),0)</f>
        <v>0</v>
      </c>
      <c r="AH48" s="287">
        <f>IFERROR(IF(AND(AH$33&gt;=EOMONTH($I48,-1)+1,AH$33&lt;=EOMONTH(EOMONTH($I48,-1)+1,$J48-1)),IF(NOT(ISBLANK($M48)),$M48/$J48,$H48/$J48),0),0)</f>
        <v>0</v>
      </c>
      <c r="AI48" s="440">
        <f t="shared" si="22"/>
        <v>0</v>
      </c>
      <c r="AJ48" s="116">
        <f t="shared" si="23"/>
        <v>0</v>
      </c>
      <c r="AK48" s="1354"/>
      <c r="AL48" s="1370"/>
      <c r="AM48" s="1411"/>
      <c r="AN48" s="1405">
        <f>L48*AM48</f>
        <v>0</v>
      </c>
      <c r="AO48" s="47" t="str">
        <f>B48</f>
        <v>Desmagnetizador</v>
      </c>
      <c r="AP48" s="47" t="str">
        <f>A48</f>
        <v xml:space="preserve">Meta Executiva </v>
      </c>
      <c r="AQ48" s="62" t="s">
        <v>311</v>
      </c>
      <c r="AR48" s="508" t="str" cm="1">
        <f t="array" aca="1" ref="AR48" ca="1">IF(OR(AO48="",AO48=0),"",IF(SUMPRODUCT(($B$34:$B$83=AO48)*($R$34:$R$83="Previsto")*($T$33:$AH$33&lt;EOMONTH(TODAY(),-1)+1)*($T$34:$AH$83))=0,"",SUMPRODUCT(($B$34:$B$83=AO48)*($R$34:$R$83="Previsto")*($T$33:$AH$33&lt;EOMONTH(TODAY(),-1)+1)*($T$34:$AH$83))))</f>
        <v/>
      </c>
    </row>
    <row r="49" spans="1:44" ht="29.1" customHeight="1" x14ac:dyDescent="0.3">
      <c r="A49" s="1381"/>
      <c r="B49" s="2448"/>
      <c r="C49" s="1483"/>
      <c r="D49" s="1369"/>
      <c r="E49" s="1371"/>
      <c r="F49" s="1373"/>
      <c r="G49" s="1373"/>
      <c r="H49" s="1406"/>
      <c r="I49" s="1377"/>
      <c r="J49" s="1390"/>
      <c r="K49" s="1355"/>
      <c r="L49" s="1392"/>
      <c r="M49" s="1392"/>
      <c r="N49" s="1355"/>
      <c r="O49" s="1355"/>
      <c r="P49" s="1355"/>
      <c r="Q49" s="1328"/>
      <c r="R49" s="91" t="s">
        <v>117</v>
      </c>
      <c r="S49" s="455">
        <v>0</v>
      </c>
      <c r="T49" s="287"/>
      <c r="U49" s="287"/>
      <c r="V49" s="287"/>
      <c r="W49" s="440">
        <f t="shared" si="32"/>
        <v>0</v>
      </c>
      <c r="X49" s="287"/>
      <c r="Y49" s="287"/>
      <c r="Z49" s="287"/>
      <c r="AA49" s="440">
        <f t="shared" si="33"/>
        <v>0</v>
      </c>
      <c r="AB49" s="287"/>
      <c r="AC49" s="287"/>
      <c r="AD49" s="287"/>
      <c r="AE49" s="440">
        <f t="shared" si="34"/>
        <v>0</v>
      </c>
      <c r="AF49" s="287"/>
      <c r="AG49" s="287"/>
      <c r="AH49" s="287"/>
      <c r="AI49" s="440">
        <f t="shared" si="22"/>
        <v>0</v>
      </c>
      <c r="AJ49" s="454">
        <f t="shared" si="23"/>
        <v>0</v>
      </c>
      <c r="AK49" s="1355"/>
      <c r="AL49" s="1371"/>
      <c r="AM49" s="1412"/>
      <c r="AN49" s="1406"/>
      <c r="AO49" s="47" t="str">
        <f>B48</f>
        <v>Desmagnetizador</v>
      </c>
      <c r="AP49" s="47" t="str">
        <f>A48</f>
        <v xml:space="preserve">Meta Executiva </v>
      </c>
      <c r="AQ49" s="62" t="s">
        <v>313</v>
      </c>
      <c r="AR49" s="508" t="str" cm="1">
        <f t="array" aca="1" ref="AR49" ca="1">IF(OR(AO48="",AO48=0),"",IF(SUMPRODUCT(($B$34:$B$83=AO48)*(ISNUMBER(SEARCH("Real",$Q$35:$Q$84)))*($T$33:$AH$33&lt;EOMONTH(TODAY(),-1)+1)*($T$35:$AH$84))=0,"",SUMPRODUCT(($B$34:$B$83=AO48)*(ISNUMBER(SEARCH("Real",$Q$35:$Q$84)))*($T$33:$AH$33&lt;EOMONTH(TODAY(),-1)+1)*($T$35:$AH$84))))</f>
        <v/>
      </c>
    </row>
    <row r="50" spans="1:44" ht="29.1" customHeight="1" x14ac:dyDescent="0.3">
      <c r="A50" s="1407"/>
      <c r="B50" s="1465"/>
      <c r="C50" s="1465"/>
      <c r="D50" s="1449"/>
      <c r="E50" s="1451"/>
      <c r="F50" s="1366"/>
      <c r="G50" s="1366"/>
      <c r="H50" s="1488"/>
      <c r="I50" s="1749"/>
      <c r="J50" s="1387" t="str">
        <f t="shared" ref="J50" si="35">IF(I50="", "", 12 - MONTH(I50) + 1)</f>
        <v/>
      </c>
      <c r="K50" s="1395"/>
      <c r="L50" s="1393"/>
      <c r="M50" s="2155"/>
      <c r="N50" s="1352"/>
      <c r="O50" s="1352"/>
      <c r="P50" s="1352"/>
      <c r="Q50" s="1334"/>
      <c r="R50" s="96" t="s">
        <v>116</v>
      </c>
      <c r="S50" s="96">
        <v>0</v>
      </c>
      <c r="T50" s="498">
        <f>IFERROR(IF(AND(T$33&gt;=EOMONTH($I50,-1)+1,T$33&lt;=EOMONTH(EOMONTH($I50,-1)+1,$J50-1)),IF(NOT(ISBLANK($M50)),$M50/$J50,$H50/$J50),0),0)</f>
        <v>0</v>
      </c>
      <c r="U50" s="498">
        <f>IFERROR(IF(AND(U$33&gt;=EOMONTH($I50,-1)+1,U$33&lt;=EOMONTH(EOMONTH($I50,-1)+1,$J50-1)),IF(NOT(ISBLANK($M50)),$M50/$J50,$H50/$J50),0),0)</f>
        <v>0</v>
      </c>
      <c r="V50" s="498">
        <f>IFERROR(IF(AND(V$33&gt;=EOMONTH($I50,-1)+1,V$33&lt;=EOMONTH(EOMONTH($I50,-1)+1,$J50-1)),IF(NOT(ISBLANK($M50)),$M50/$J50,$H50/$J50),0),0)</f>
        <v>0</v>
      </c>
      <c r="W50" s="440">
        <f t="shared" si="32"/>
        <v>0</v>
      </c>
      <c r="X50" s="498">
        <f>IFERROR(IF(AND(X$33&gt;=EOMONTH($I50,-1)+1,X$33&lt;=EOMONTH(EOMONTH($I50,-1)+1,$J50-1)),IF(NOT(ISBLANK($M50)),$M50/$J50,$H50/$J50),0),0)</f>
        <v>0</v>
      </c>
      <c r="Y50" s="498">
        <f>IFERROR(IF(AND(Y$33&gt;=EOMONTH($I50,-1)+1,Y$33&lt;=EOMONTH(EOMONTH($I50,-1)+1,$J50-1)),IF(NOT(ISBLANK($M50)),$M50/$J50,$H50/$J50),0),0)</f>
        <v>0</v>
      </c>
      <c r="Z50" s="498">
        <f>IFERROR(IF(AND(Z$33&gt;=EOMONTH($I50,-1)+1,Z$33&lt;=EOMONTH(EOMONTH($I50,-1)+1,$J50-1)),IF(NOT(ISBLANK($M50)),$M50/$J50,$H50/$J50),0),0)</f>
        <v>0</v>
      </c>
      <c r="AA50" s="440">
        <f t="shared" si="33"/>
        <v>0</v>
      </c>
      <c r="AB50" s="498">
        <f>IFERROR(IF(AND(AB$33&gt;=EOMONTH($I50,-1)+1,AB$33&lt;=EOMONTH(EOMONTH($I50,-1)+1,$J50-1)),IF(NOT(ISBLANK($M50)),$M50/$J50,$H50/$J50),0),0)</f>
        <v>0</v>
      </c>
      <c r="AC50" s="498">
        <f>IFERROR(IF(AND(AC$33&gt;=EOMONTH($I50,-1)+1,AC$33&lt;=EOMONTH(EOMONTH($I50,-1)+1,$J50-1)),IF(NOT(ISBLANK($M50)),$M50/$J50,$H50/$J50),0),0)</f>
        <v>0</v>
      </c>
      <c r="AD50" s="498">
        <f>IFERROR(IF(AND(AD$33&gt;=EOMONTH($I50,-1)+1,AD$33&lt;=EOMONTH(EOMONTH($I50,-1)+1,$J50-1)),IF(NOT(ISBLANK($M50)),$M50/$J50,$H50/$J50),0),0)</f>
        <v>0</v>
      </c>
      <c r="AE50" s="440">
        <f t="shared" si="34"/>
        <v>0</v>
      </c>
      <c r="AF50" s="498">
        <f>IFERROR(IF(AND(AF$33&gt;=EOMONTH($I50,-1)+1,AF$33&lt;=EOMONTH(EOMONTH($I50,-1)+1,$J50-1)),IF(NOT(ISBLANK($M50)),$M50/$J50,$H50/$J50),0),0)</f>
        <v>0</v>
      </c>
      <c r="AG50" s="498">
        <f>IFERROR(IF(AND(AG$33&gt;=EOMONTH($I50,-1)+1,AG$33&lt;=EOMONTH(EOMONTH($I50,-1)+1,$J50-1)),IF(NOT(ISBLANK($M50)),$M50/$J50,$H50/$J50),0),0)</f>
        <v>0</v>
      </c>
      <c r="AH50" s="498">
        <f>IFERROR(IF(AND(AH$33&gt;=EOMONTH($I50,-1)+1,AH$33&lt;=EOMONTH(EOMONTH($I50,-1)+1,$J50-1)),IF(NOT(ISBLANK($M50)),$M50/$J50,$H50/$J50),0),0)</f>
        <v>0</v>
      </c>
      <c r="AI50" s="440">
        <f t="shared" si="22"/>
        <v>0</v>
      </c>
      <c r="AJ50" s="94">
        <f t="shared" si="23"/>
        <v>0</v>
      </c>
      <c r="AK50" s="2462"/>
      <c r="AL50" s="1407"/>
      <c r="AM50" s="1334"/>
      <c r="AN50" s="1403">
        <f>L50*AM50</f>
        <v>0</v>
      </c>
      <c r="AO50" s="47">
        <f>B50</f>
        <v>0</v>
      </c>
      <c r="AP50" s="47">
        <f>A50</f>
        <v>0</v>
      </c>
      <c r="AQ50" s="62" t="s">
        <v>311</v>
      </c>
      <c r="AR50" s="508" t="str" cm="1">
        <f t="array" aca="1" ref="AR50" ca="1">IF(OR(AO50="",AO50=0),"",IF(SUMPRODUCT(($B$34:$B$83=AO50)*($R$34:$R$83="Previsto")*($T$33:$AH$33&lt;EOMONTH(TODAY(),-1)+1)*($T$34:$AH$83))=0,"",SUMPRODUCT(($B$34:$B$83=AO50)*($R$34:$R$83="Previsto")*($T$33:$AH$33&lt;EOMONTH(TODAY(),-1)+1)*($T$34:$AH$83))))</f>
        <v/>
      </c>
    </row>
    <row r="51" spans="1:44" ht="29.1" customHeight="1" x14ac:dyDescent="0.3">
      <c r="A51" s="1408"/>
      <c r="B51" s="1466"/>
      <c r="C51" s="1466"/>
      <c r="D51" s="1450"/>
      <c r="E51" s="1452"/>
      <c r="F51" s="1513"/>
      <c r="G51" s="1513"/>
      <c r="H51" s="1367"/>
      <c r="I51" s="1750"/>
      <c r="J51" s="1388"/>
      <c r="K51" s="1396"/>
      <c r="L51" s="1394"/>
      <c r="M51" s="2156"/>
      <c r="N51" s="1353"/>
      <c r="O51" s="1353"/>
      <c r="P51" s="1353"/>
      <c r="Q51" s="1330"/>
      <c r="R51" s="96" t="s">
        <v>117</v>
      </c>
      <c r="S51" s="456">
        <v>0</v>
      </c>
      <c r="T51" s="457"/>
      <c r="U51" s="457"/>
      <c r="V51" s="290"/>
      <c r="W51" s="440">
        <f t="shared" si="32"/>
        <v>0</v>
      </c>
      <c r="X51" s="457"/>
      <c r="Y51" s="457"/>
      <c r="Z51" s="290"/>
      <c r="AA51" s="440">
        <f t="shared" si="33"/>
        <v>0</v>
      </c>
      <c r="AB51" s="457"/>
      <c r="AC51" s="457"/>
      <c r="AD51" s="290"/>
      <c r="AE51" s="440">
        <f t="shared" si="34"/>
        <v>0</v>
      </c>
      <c r="AF51" s="457"/>
      <c r="AG51" s="457"/>
      <c r="AH51" s="290"/>
      <c r="AI51" s="440">
        <f t="shared" si="22"/>
        <v>0</v>
      </c>
      <c r="AJ51" s="94">
        <f t="shared" si="23"/>
        <v>0</v>
      </c>
      <c r="AK51" s="2463"/>
      <c r="AL51" s="1408"/>
      <c r="AM51" s="1330"/>
      <c r="AN51" s="1404"/>
      <c r="AO51" s="47">
        <f>B50</f>
        <v>0</v>
      </c>
      <c r="AP51" s="47">
        <f>A50</f>
        <v>0</v>
      </c>
      <c r="AQ51" s="62" t="s">
        <v>313</v>
      </c>
      <c r="AR51" s="508" t="str" cm="1">
        <f t="array" aca="1" ref="AR51" ca="1">IF(OR(AO50="",AO50=0),"",IF(SUMPRODUCT(($B$34:$B$83=AO50)*(ISNUMBER(SEARCH("Real",$Q$35:$Q$84)))*($T$33:$AH$33&lt;EOMONTH(TODAY(),-1)+1)*($T$35:$AH$84))=0,"",SUMPRODUCT(($B$34:$B$83=AO50)*(ISNUMBER(SEARCH("Real",$Q$35:$Q$84)))*($T$33:$AH$33&lt;EOMONTH(TODAY(),-1)+1)*($T$35:$AH$84))))</f>
        <v/>
      </c>
    </row>
    <row r="52" spans="1:44" ht="29.1" customHeight="1" x14ac:dyDescent="0.3">
      <c r="A52" s="1380"/>
      <c r="B52" s="1482"/>
      <c r="C52" s="1482"/>
      <c r="D52" s="1368"/>
      <c r="E52" s="1370"/>
      <c r="F52" s="1372"/>
      <c r="G52" s="1372"/>
      <c r="H52" s="1405"/>
      <c r="I52" s="1376"/>
      <c r="J52" s="1389" t="str">
        <f t="shared" ref="J52" si="36">IF(I52="", "", 12 - MONTH(I52) + 1)</f>
        <v/>
      </c>
      <c r="K52" s="1354"/>
      <c r="L52" s="1861"/>
      <c r="M52" s="1861"/>
      <c r="N52" s="1350"/>
      <c r="O52" s="1354"/>
      <c r="P52" s="1354"/>
      <c r="Q52" s="1327"/>
      <c r="R52" s="91" t="s">
        <v>116</v>
      </c>
      <c r="S52" s="91">
        <v>0</v>
      </c>
      <c r="T52" s="287">
        <f>IFERROR(IF(AND(T$33&gt;=EOMONTH($I52,-1)+1,T$33&lt;=EOMONTH(EOMONTH($I52,-1)+1,$J52-1)),IF(NOT(ISBLANK($M52)),$M52/$J52,$H52/$J52),0),0)</f>
        <v>0</v>
      </c>
      <c r="U52" s="287">
        <f>IFERROR(IF(AND(U$33&gt;=EOMONTH($I52,-1)+1,U$33&lt;=EOMONTH(EOMONTH($I52,-1)+1,$J52-1)),IF(NOT(ISBLANK($M52)),$M52/$J52,$H52/$J52),0),0)</f>
        <v>0</v>
      </c>
      <c r="V52" s="287">
        <f>IFERROR(IF(AND(V$33&gt;=EOMONTH($I52,-1)+1,V$33&lt;=EOMONTH(EOMONTH($I52,-1)+1,$J52-1)),IF(NOT(ISBLANK($M52)),$M52/$J52,$H52/$J52),0),0)</f>
        <v>0</v>
      </c>
      <c r="W52" s="440">
        <f t="shared" si="32"/>
        <v>0</v>
      </c>
      <c r="X52" s="287">
        <f>IFERROR(IF(AND(X$33&gt;=EOMONTH($I52,-1)+1,X$33&lt;=EOMONTH(EOMONTH($I52,-1)+1,$J52-1)),IF(NOT(ISBLANK($M52)),$M52/$J52,$H52/$J52),0),0)</f>
        <v>0</v>
      </c>
      <c r="Y52" s="287">
        <f>IFERROR(IF(AND(Y$33&gt;=EOMONTH($I52,-1)+1,Y$33&lt;=EOMONTH(EOMONTH($I52,-1)+1,$J52-1)),IF(NOT(ISBLANK($M52)),$M52/$J52,$H52/$J52),0),0)</f>
        <v>0</v>
      </c>
      <c r="Z52" s="287">
        <f>IFERROR(IF(AND(Z$33&gt;=EOMONTH($I52,-1)+1,Z$33&lt;=EOMONTH(EOMONTH($I52,-1)+1,$J52-1)),IF(NOT(ISBLANK($M52)),$M52/$J52,$H52/$J52),0),0)</f>
        <v>0</v>
      </c>
      <c r="AA52" s="440">
        <f t="shared" si="33"/>
        <v>0</v>
      </c>
      <c r="AB52" s="287">
        <f>IFERROR(IF(AND(AB$33&gt;=EOMONTH($I52,-1)+1,AB$33&lt;=EOMONTH(EOMONTH($I52,-1)+1,$J52-1)),IF(NOT(ISBLANK($M52)),$M52/$J52,$H52/$J52),0),0)</f>
        <v>0</v>
      </c>
      <c r="AC52" s="287">
        <f>IFERROR(IF(AND(AC$33&gt;=EOMONTH($I52,-1)+1,AC$33&lt;=EOMONTH(EOMONTH($I52,-1)+1,$J52-1)),IF(NOT(ISBLANK($M52)),$M52/$J52,$H52/$J52),0),0)</f>
        <v>0</v>
      </c>
      <c r="AD52" s="287">
        <f>IFERROR(IF(AND(AD$33&gt;=EOMONTH($I52,-1)+1,AD$33&lt;=EOMONTH(EOMONTH($I52,-1)+1,$J52-1)),IF(NOT(ISBLANK($M52)),$M52/$J52,$H52/$J52),0),0)</f>
        <v>0</v>
      </c>
      <c r="AE52" s="440">
        <f t="shared" si="34"/>
        <v>0</v>
      </c>
      <c r="AF52" s="287">
        <f>IFERROR(IF(AND(AF$33&gt;=EOMONTH($I52,-1)+1,AF$33&lt;=EOMONTH(EOMONTH($I52,-1)+1,$J52-1)),IF(NOT(ISBLANK($M52)),$M52/$J52,$H52/$J52),0),0)</f>
        <v>0</v>
      </c>
      <c r="AG52" s="287">
        <f>IFERROR(IF(AND(AG$33&gt;=EOMONTH($I52,-1)+1,AG$33&lt;=EOMONTH(EOMONTH($I52,-1)+1,$J52-1)),IF(NOT(ISBLANK($M52)),$M52/$J52,$H52/$J52),0),0)</f>
        <v>0</v>
      </c>
      <c r="AH52" s="287">
        <f>IFERROR(IF(AND(AH$33&gt;=EOMONTH($I52,-1)+1,AH$33&lt;=EOMONTH(EOMONTH($I52,-1)+1,$J52-1)),IF(NOT(ISBLANK($M52)),$M52/$J52,$H52/$J52),0),0)</f>
        <v>0</v>
      </c>
      <c r="AI52" s="440">
        <f t="shared" si="22"/>
        <v>0</v>
      </c>
      <c r="AJ52" s="116">
        <f t="shared" si="23"/>
        <v>0</v>
      </c>
      <c r="AK52" s="1354"/>
      <c r="AL52" s="1370"/>
      <c r="AM52" s="1411"/>
      <c r="AN52" s="1405">
        <f>L52*AM52</f>
        <v>0</v>
      </c>
      <c r="AO52" s="47">
        <f>B52</f>
        <v>0</v>
      </c>
      <c r="AP52" s="47">
        <f>A52</f>
        <v>0</v>
      </c>
      <c r="AQ52" s="62" t="s">
        <v>311</v>
      </c>
      <c r="AR52" s="508" t="str" cm="1">
        <f t="array" aca="1" ref="AR52" ca="1">IF(OR(AO52="",AO52=0),"",IF(SUMPRODUCT(($B$34:$B$83=AO52)*($R$34:$R$83="Previsto")*($T$33:$AH$33&lt;EOMONTH(TODAY(),-1)+1)*($T$34:$AH$83))=0,"",SUMPRODUCT(($B$34:$B$83=AO52)*($R$34:$R$83="Previsto")*($T$33:$AH$33&lt;EOMONTH(TODAY(),-1)+1)*($T$34:$AH$83))))</f>
        <v/>
      </c>
    </row>
    <row r="53" spans="1:44" ht="29.1" customHeight="1" x14ac:dyDescent="0.3">
      <c r="A53" s="1381"/>
      <c r="B53" s="1483"/>
      <c r="C53" s="1483"/>
      <c r="D53" s="1369"/>
      <c r="E53" s="1371"/>
      <c r="F53" s="1373"/>
      <c r="G53" s="1373"/>
      <c r="H53" s="1406"/>
      <c r="I53" s="1377"/>
      <c r="J53" s="1390"/>
      <c r="K53" s="1355"/>
      <c r="L53" s="1392"/>
      <c r="M53" s="1392"/>
      <c r="N53" s="1460"/>
      <c r="O53" s="1355"/>
      <c r="P53" s="1355"/>
      <c r="Q53" s="1328"/>
      <c r="R53" s="91" t="s">
        <v>117</v>
      </c>
      <c r="S53" s="455">
        <v>0</v>
      </c>
      <c r="T53" s="287"/>
      <c r="U53" s="287"/>
      <c r="V53" s="287"/>
      <c r="W53" s="440">
        <f t="shared" si="32"/>
        <v>0</v>
      </c>
      <c r="X53" s="287"/>
      <c r="Y53" s="287"/>
      <c r="Z53" s="287"/>
      <c r="AA53" s="440">
        <f t="shared" si="33"/>
        <v>0</v>
      </c>
      <c r="AB53" s="287"/>
      <c r="AC53" s="287"/>
      <c r="AD53" s="287"/>
      <c r="AE53" s="440">
        <f t="shared" si="34"/>
        <v>0</v>
      </c>
      <c r="AF53" s="287"/>
      <c r="AG53" s="287"/>
      <c r="AH53" s="287"/>
      <c r="AI53" s="440">
        <f t="shared" si="22"/>
        <v>0</v>
      </c>
      <c r="AJ53" s="454">
        <f t="shared" si="23"/>
        <v>0</v>
      </c>
      <c r="AK53" s="1355"/>
      <c r="AL53" s="1371"/>
      <c r="AM53" s="1412"/>
      <c r="AN53" s="1406"/>
      <c r="AO53" s="47">
        <f>B52</f>
        <v>0</v>
      </c>
      <c r="AP53" s="47">
        <f>A52</f>
        <v>0</v>
      </c>
      <c r="AQ53" s="62" t="s">
        <v>313</v>
      </c>
      <c r="AR53" s="508" t="str" cm="1">
        <f t="array" aca="1" ref="AR53" ca="1">IF(OR(AO52="",AO52=0),"",IF(SUMPRODUCT(($B$34:$B$83=AO52)*(ISNUMBER(SEARCH("Real",$Q$35:$Q$84)))*($T$33:$AH$33&lt;EOMONTH(TODAY(),-1)+1)*($T$35:$AH$84))=0,"",SUMPRODUCT(($B$34:$B$83=AO52)*(ISNUMBER(SEARCH("Real",$Q$35:$Q$84)))*($T$33:$AH$33&lt;EOMONTH(TODAY(),-1)+1)*($T$35:$AH$84))))</f>
        <v/>
      </c>
    </row>
    <row r="54" spans="1:44" ht="29.1" customHeight="1" x14ac:dyDescent="0.3">
      <c r="A54" s="1407"/>
      <c r="B54" s="1465"/>
      <c r="C54" s="1465"/>
      <c r="D54" s="1449"/>
      <c r="E54" s="1449"/>
      <c r="F54" s="1366"/>
      <c r="G54" s="1366"/>
      <c r="H54" s="1488"/>
      <c r="I54" s="1749"/>
      <c r="J54" s="1387" t="str">
        <f t="shared" ref="J54" si="37">IF(I54="", "", 12 - MONTH(I54) + 1)</f>
        <v/>
      </c>
      <c r="K54" s="1395"/>
      <c r="L54" s="1393"/>
      <c r="M54" s="2155"/>
      <c r="N54" s="1352"/>
      <c r="O54" s="1352"/>
      <c r="P54" s="1352"/>
      <c r="Q54" s="1334"/>
      <c r="R54" s="96" t="s">
        <v>116</v>
      </c>
      <c r="S54" s="96">
        <v>0</v>
      </c>
      <c r="T54" s="498">
        <f>IFERROR(IF(AND(T$33&gt;=EOMONTH($I54,-1)+1,T$33&lt;=EOMONTH(EOMONTH($I54,-1)+1,$J54-1)),IF(NOT(ISBLANK($M54)),$M54/$J54,$H54/$J54),0),0)</f>
        <v>0</v>
      </c>
      <c r="U54" s="498">
        <f>IFERROR(IF(AND(U$33&gt;=EOMONTH($I54,-1)+1,U$33&lt;=EOMONTH(EOMONTH($I54,-1)+1,$J54-1)),IF(NOT(ISBLANK($M54)),$M54/$J54,$H54/$J54),0),0)</f>
        <v>0</v>
      </c>
      <c r="V54" s="498">
        <f>IFERROR(IF(AND(V$33&gt;=EOMONTH($I54,-1)+1,V$33&lt;=EOMONTH(EOMONTH($I54,-1)+1,$J54-1)),IF(NOT(ISBLANK($M54)),$M54/$J54,$H54/$J54),0),0)</f>
        <v>0</v>
      </c>
      <c r="W54" s="440">
        <f t="shared" si="32"/>
        <v>0</v>
      </c>
      <c r="X54" s="498">
        <f>IFERROR(IF(AND(X$33&gt;=EOMONTH($I54,-1)+1,X$33&lt;=EOMONTH(EOMONTH($I54,-1)+1,$J54-1)),IF(NOT(ISBLANK($M54)),$M54/$J54,$H54/$J54),0),0)</f>
        <v>0</v>
      </c>
      <c r="Y54" s="498">
        <f>IFERROR(IF(AND(Y$33&gt;=EOMONTH($I54,-1)+1,Y$33&lt;=EOMONTH(EOMONTH($I54,-1)+1,$J54-1)),IF(NOT(ISBLANK($M54)),$M54/$J54,$H54/$J54),0),0)</f>
        <v>0</v>
      </c>
      <c r="Z54" s="498">
        <f>IFERROR(IF(AND(Z$33&gt;=EOMONTH($I54,-1)+1,Z$33&lt;=EOMONTH(EOMONTH($I54,-1)+1,$J54-1)),IF(NOT(ISBLANK($M54)),$M54/$J54,$H54/$J54),0),0)</f>
        <v>0</v>
      </c>
      <c r="AA54" s="440">
        <f t="shared" si="33"/>
        <v>0</v>
      </c>
      <c r="AB54" s="498">
        <f>IFERROR(IF(AND(AB$33&gt;=EOMONTH($I54,-1)+1,AB$33&lt;=EOMONTH(EOMONTH($I54,-1)+1,$J54-1)),IF(NOT(ISBLANK($M54)),$M54/$J54,$H54/$J54),0),0)</f>
        <v>0</v>
      </c>
      <c r="AC54" s="498">
        <f>IFERROR(IF(AND(AC$33&gt;=EOMONTH($I54,-1)+1,AC$33&lt;=EOMONTH(EOMONTH($I54,-1)+1,$J54-1)),IF(NOT(ISBLANK($M54)),$M54/$J54,$H54/$J54),0),0)</f>
        <v>0</v>
      </c>
      <c r="AD54" s="498">
        <f>IFERROR(IF(AND(AD$33&gt;=EOMONTH($I54,-1)+1,AD$33&lt;=EOMONTH(EOMONTH($I54,-1)+1,$J54-1)),IF(NOT(ISBLANK($M54)),$M54/$J54,$H54/$J54),0),0)</f>
        <v>0</v>
      </c>
      <c r="AE54" s="440">
        <f t="shared" si="34"/>
        <v>0</v>
      </c>
      <c r="AF54" s="498">
        <f>IFERROR(IF(AND(AF$33&gt;=EOMONTH($I54,-1)+1,AF$33&lt;=EOMONTH(EOMONTH($I54,-1)+1,$J54-1)),IF(NOT(ISBLANK($M54)),$M54/$J54,$H54/$J54),0),0)</f>
        <v>0</v>
      </c>
      <c r="AG54" s="498">
        <f>IFERROR(IF(AND(AG$33&gt;=EOMONTH($I54,-1)+1,AG$33&lt;=EOMONTH(EOMONTH($I54,-1)+1,$J54-1)),IF(NOT(ISBLANK($M54)),$M54/$J54,$H54/$J54),0),0)</f>
        <v>0</v>
      </c>
      <c r="AH54" s="498">
        <f>IFERROR(IF(AND(AH$33&gt;=EOMONTH($I54,-1)+1,AH$33&lt;=EOMONTH(EOMONTH($I54,-1)+1,$J54-1)),IF(NOT(ISBLANK($M54)),$M54/$J54,$H54/$J54),0),0)</f>
        <v>0</v>
      </c>
      <c r="AI54" s="440">
        <f t="shared" si="22"/>
        <v>0</v>
      </c>
      <c r="AJ54" s="94">
        <f t="shared" si="23"/>
        <v>0</v>
      </c>
      <c r="AK54" s="2462"/>
      <c r="AL54" s="1407"/>
      <c r="AM54" s="1334"/>
      <c r="AN54" s="1403">
        <f>L54*AM54</f>
        <v>0</v>
      </c>
      <c r="AO54" s="47">
        <f>B54</f>
        <v>0</v>
      </c>
      <c r="AP54" s="47">
        <f>A54</f>
        <v>0</v>
      </c>
      <c r="AQ54" s="62" t="s">
        <v>311</v>
      </c>
      <c r="AR54" s="508" t="str" cm="1">
        <f t="array" aca="1" ref="AR54" ca="1">IF(OR(AO54="",AO54=0),"",IF(SUMPRODUCT(($B$34:$B$83=AO54)*($R$34:$R$83="Previsto")*($T$33:$AH$33&lt;EOMONTH(TODAY(),-1)+1)*($T$34:$AH$83))=0,"",SUMPRODUCT(($B$34:$B$83=AO54)*($R$34:$R$83="Previsto")*($T$33:$AH$33&lt;EOMONTH(TODAY(),-1)+1)*($T$34:$AH$83))))</f>
        <v/>
      </c>
    </row>
    <row r="55" spans="1:44" ht="29.1" customHeight="1" x14ac:dyDescent="0.3">
      <c r="A55" s="1408"/>
      <c r="B55" s="1466"/>
      <c r="C55" s="1466"/>
      <c r="D55" s="1450"/>
      <c r="E55" s="1450"/>
      <c r="F55" s="1513"/>
      <c r="G55" s="1513"/>
      <c r="H55" s="1367"/>
      <c r="I55" s="1750"/>
      <c r="J55" s="1388"/>
      <c r="K55" s="1396"/>
      <c r="L55" s="1394"/>
      <c r="M55" s="2156"/>
      <c r="N55" s="1353"/>
      <c r="O55" s="1353"/>
      <c r="P55" s="1353"/>
      <c r="Q55" s="1330"/>
      <c r="R55" s="96" t="s">
        <v>117</v>
      </c>
      <c r="S55" s="456">
        <v>0</v>
      </c>
      <c r="T55" s="457"/>
      <c r="U55" s="457"/>
      <c r="V55" s="290"/>
      <c r="W55" s="440">
        <f t="shared" si="32"/>
        <v>0</v>
      </c>
      <c r="X55" s="457"/>
      <c r="Y55" s="457"/>
      <c r="Z55" s="290"/>
      <c r="AA55" s="440">
        <f t="shared" si="33"/>
        <v>0</v>
      </c>
      <c r="AB55" s="457"/>
      <c r="AC55" s="457"/>
      <c r="AD55" s="290"/>
      <c r="AE55" s="440">
        <f t="shared" si="34"/>
        <v>0</v>
      </c>
      <c r="AF55" s="457"/>
      <c r="AG55" s="457"/>
      <c r="AH55" s="290"/>
      <c r="AI55" s="440">
        <f t="shared" si="22"/>
        <v>0</v>
      </c>
      <c r="AJ55" s="94">
        <f t="shared" si="23"/>
        <v>0</v>
      </c>
      <c r="AK55" s="2463"/>
      <c r="AL55" s="1408"/>
      <c r="AM55" s="1330"/>
      <c r="AN55" s="1404"/>
      <c r="AO55" s="47">
        <f>B54</f>
        <v>0</v>
      </c>
      <c r="AP55" s="47">
        <f>A54</f>
        <v>0</v>
      </c>
      <c r="AQ55" s="62" t="s">
        <v>313</v>
      </c>
      <c r="AR55" s="508" t="str" cm="1">
        <f t="array" aca="1" ref="AR55" ca="1">IF(OR(AO54="",AO54=0),"",IF(SUMPRODUCT(($B$34:$B$83=AO54)*(ISNUMBER(SEARCH("Real",$Q$35:$Q$84)))*($T$33:$AH$33&lt;EOMONTH(TODAY(),-1)+1)*($T$35:$AH$84))=0,"",SUMPRODUCT(($B$34:$B$83=AO54)*(ISNUMBER(SEARCH("Real",$Q$35:$Q$84)))*($T$33:$AH$33&lt;EOMONTH(TODAY(),-1)+1)*($T$35:$AH$84))))</f>
        <v/>
      </c>
    </row>
    <row r="56" spans="1:44" ht="29.1" customHeight="1" x14ac:dyDescent="0.3">
      <c r="A56" s="1380"/>
      <c r="B56" s="1482"/>
      <c r="C56" s="1482"/>
      <c r="D56" s="1368"/>
      <c r="E56" s="1370"/>
      <c r="F56" s="1372"/>
      <c r="G56" s="1372"/>
      <c r="H56" s="1405"/>
      <c r="I56" s="1376"/>
      <c r="J56" s="1389" t="str">
        <f t="shared" ref="J56" si="38">IF(I56="", "", 12 - MONTH(I56) + 1)</f>
        <v/>
      </c>
      <c r="K56" s="1354"/>
      <c r="L56" s="1861"/>
      <c r="M56" s="1861"/>
      <c r="N56" s="1350"/>
      <c r="O56" s="1354"/>
      <c r="P56" s="1354"/>
      <c r="Q56" s="1327"/>
      <c r="R56" s="91" t="s">
        <v>116</v>
      </c>
      <c r="S56" s="91">
        <v>0</v>
      </c>
      <c r="T56" s="287">
        <f>IFERROR(IF(AND(T$33&gt;=EOMONTH($I56,-1)+1,T$33&lt;=EOMONTH(EOMONTH($I56,-1)+1,$J56-1)),IF(NOT(ISBLANK($M56)),$M56/$J56,$H56/$J56),0),0)</f>
        <v>0</v>
      </c>
      <c r="U56" s="287">
        <f>IFERROR(IF(AND(U$33&gt;=EOMONTH($I56,-1)+1,U$33&lt;=EOMONTH(EOMONTH($I56,-1)+1,$J56-1)),IF(NOT(ISBLANK($M56)),$M56/$J56,$H56/$J56),0),0)</f>
        <v>0</v>
      </c>
      <c r="V56" s="287">
        <f>IFERROR(IF(AND(V$33&gt;=EOMONTH($I56,-1)+1,V$33&lt;=EOMONTH(EOMONTH($I56,-1)+1,$J56-1)),IF(NOT(ISBLANK($M56)),$M56/$J56,$H56/$J56),0),0)</f>
        <v>0</v>
      </c>
      <c r="W56" s="440">
        <f t="shared" si="32"/>
        <v>0</v>
      </c>
      <c r="X56" s="287">
        <f>IFERROR(IF(AND(X$33&gt;=EOMONTH($I56,-1)+1,X$33&lt;=EOMONTH(EOMONTH($I56,-1)+1,$J56-1)),IF(NOT(ISBLANK($M56)),$M56/$J56,$H56/$J56),0),0)</f>
        <v>0</v>
      </c>
      <c r="Y56" s="287">
        <f>IFERROR(IF(AND(Y$33&gt;=EOMONTH($I56,-1)+1,Y$33&lt;=EOMONTH(EOMONTH($I56,-1)+1,$J56-1)),IF(NOT(ISBLANK($M56)),$M56/$J56,$H56/$J56),0),0)</f>
        <v>0</v>
      </c>
      <c r="Z56" s="287">
        <f>IFERROR(IF(AND(Z$33&gt;=EOMONTH($I56,-1)+1,Z$33&lt;=EOMONTH(EOMONTH($I56,-1)+1,$J56-1)),IF(NOT(ISBLANK($M56)),$M56/$J56,$H56/$J56),0),0)</f>
        <v>0</v>
      </c>
      <c r="AA56" s="440">
        <f t="shared" si="33"/>
        <v>0</v>
      </c>
      <c r="AB56" s="287">
        <f>IFERROR(IF(AND(AB$33&gt;=EOMONTH($I56,-1)+1,AB$33&lt;=EOMONTH(EOMONTH($I56,-1)+1,$J56-1)),IF(NOT(ISBLANK($M56)),$M56/$J56,$H56/$J56),0),0)</f>
        <v>0</v>
      </c>
      <c r="AC56" s="287">
        <f>IFERROR(IF(AND(AC$33&gt;=EOMONTH($I56,-1)+1,AC$33&lt;=EOMONTH(EOMONTH($I56,-1)+1,$J56-1)),IF(NOT(ISBLANK($M56)),$M56/$J56,$H56/$J56),0),0)</f>
        <v>0</v>
      </c>
      <c r="AD56" s="287">
        <f>IFERROR(IF(AND(AD$33&gt;=EOMONTH($I56,-1)+1,AD$33&lt;=EOMONTH(EOMONTH($I56,-1)+1,$J56-1)),IF(NOT(ISBLANK($M56)),$M56/$J56,$H56/$J56),0),0)</f>
        <v>0</v>
      </c>
      <c r="AE56" s="440">
        <f t="shared" si="34"/>
        <v>0</v>
      </c>
      <c r="AF56" s="287">
        <f>IFERROR(IF(AND(AF$33&gt;=EOMONTH($I56,-1)+1,AF$33&lt;=EOMONTH(EOMONTH($I56,-1)+1,$J56-1)),IF(NOT(ISBLANK($M56)),$M56/$J56,$H56/$J56),0),0)</f>
        <v>0</v>
      </c>
      <c r="AG56" s="287">
        <f>IFERROR(IF(AND(AG$33&gt;=EOMONTH($I56,-1)+1,AG$33&lt;=EOMONTH(EOMONTH($I56,-1)+1,$J56-1)),IF(NOT(ISBLANK($M56)),$M56/$J56,$H56/$J56),0),0)</f>
        <v>0</v>
      </c>
      <c r="AH56" s="287">
        <f>IFERROR(IF(AND(AH$33&gt;=EOMONTH($I56,-1)+1,AH$33&lt;=EOMONTH(EOMONTH($I56,-1)+1,$J56-1)),IF(NOT(ISBLANK($M56)),$M56/$J56,$H56/$J56),0),0)</f>
        <v>0</v>
      </c>
      <c r="AI56" s="440">
        <f t="shared" si="22"/>
        <v>0</v>
      </c>
      <c r="AJ56" s="116">
        <f t="shared" si="23"/>
        <v>0</v>
      </c>
      <c r="AK56" s="1354"/>
      <c r="AL56" s="1370"/>
      <c r="AM56" s="1411"/>
      <c r="AN56" s="1405">
        <f>L56*AM56</f>
        <v>0</v>
      </c>
      <c r="AO56" s="47">
        <f>B56</f>
        <v>0</v>
      </c>
      <c r="AP56" s="47">
        <f>A56</f>
        <v>0</v>
      </c>
      <c r="AQ56" s="62" t="s">
        <v>311</v>
      </c>
      <c r="AR56" s="508" t="str" cm="1">
        <f t="array" aca="1" ref="AR56" ca="1">IF(OR(AO56="",AO56=0),"",IF(SUMPRODUCT(($B$34:$B$83=AO56)*($R$34:$R$83="Previsto")*($T$33:$AH$33&lt;EOMONTH(TODAY(),-1)+1)*($T$34:$AH$83))=0,"",SUMPRODUCT(($B$34:$B$83=AO56)*($R$34:$R$83="Previsto")*($T$33:$AH$33&lt;EOMONTH(TODAY(),-1)+1)*($T$34:$AH$83))))</f>
        <v/>
      </c>
    </row>
    <row r="57" spans="1:44" ht="29.1" customHeight="1" x14ac:dyDescent="0.3">
      <c r="A57" s="1381"/>
      <c r="B57" s="1483"/>
      <c r="C57" s="1483"/>
      <c r="D57" s="1369"/>
      <c r="E57" s="1371"/>
      <c r="F57" s="1373"/>
      <c r="G57" s="1373"/>
      <c r="H57" s="1406"/>
      <c r="I57" s="1377"/>
      <c r="J57" s="1390"/>
      <c r="K57" s="1355"/>
      <c r="L57" s="1392"/>
      <c r="M57" s="1392"/>
      <c r="N57" s="1460"/>
      <c r="O57" s="1355"/>
      <c r="P57" s="1355"/>
      <c r="Q57" s="1328"/>
      <c r="R57" s="91" t="s">
        <v>117</v>
      </c>
      <c r="S57" s="455">
        <v>0</v>
      </c>
      <c r="T57" s="287"/>
      <c r="U57" s="287"/>
      <c r="V57" s="287"/>
      <c r="W57" s="440">
        <f t="shared" si="32"/>
        <v>0</v>
      </c>
      <c r="X57" s="287"/>
      <c r="Y57" s="287"/>
      <c r="Z57" s="287"/>
      <c r="AA57" s="440">
        <f t="shared" si="33"/>
        <v>0</v>
      </c>
      <c r="AB57" s="287"/>
      <c r="AC57" s="287"/>
      <c r="AD57" s="287"/>
      <c r="AE57" s="440">
        <f t="shared" si="34"/>
        <v>0</v>
      </c>
      <c r="AF57" s="287"/>
      <c r="AG57" s="287"/>
      <c r="AH57" s="287"/>
      <c r="AI57" s="440">
        <f t="shared" si="22"/>
        <v>0</v>
      </c>
      <c r="AJ57" s="454">
        <f t="shared" si="23"/>
        <v>0</v>
      </c>
      <c r="AK57" s="1355"/>
      <c r="AL57" s="1371"/>
      <c r="AM57" s="1412"/>
      <c r="AN57" s="1406"/>
      <c r="AO57" s="47">
        <f>B56</f>
        <v>0</v>
      </c>
      <c r="AP57" s="47">
        <f>A56</f>
        <v>0</v>
      </c>
      <c r="AQ57" s="62" t="s">
        <v>313</v>
      </c>
      <c r="AR57" s="508" t="str" cm="1">
        <f t="array" aca="1" ref="AR57" ca="1">IF(OR(AO56="",AO56=0),"",IF(SUMPRODUCT(($B$34:$B$83=AO56)*(ISNUMBER(SEARCH("Real",$Q$35:$Q$84)))*($T$33:$AH$33&lt;EOMONTH(TODAY(),-1)+1)*($T$35:$AH$84))=0,"",SUMPRODUCT(($B$34:$B$83=AO56)*(ISNUMBER(SEARCH("Real",$Q$35:$Q$84)))*($T$33:$AH$33&lt;EOMONTH(TODAY(),-1)+1)*($T$35:$AH$84))))</f>
        <v/>
      </c>
    </row>
    <row r="58" spans="1:44" ht="29.1" customHeight="1" x14ac:dyDescent="0.3">
      <c r="A58" s="1407"/>
      <c r="B58" s="1465"/>
      <c r="C58" s="1465"/>
      <c r="D58" s="1449"/>
      <c r="E58" s="1449"/>
      <c r="F58" s="1366"/>
      <c r="G58" s="1366"/>
      <c r="H58" s="1488"/>
      <c r="I58" s="1749"/>
      <c r="J58" s="1387" t="str">
        <f t="shared" ref="J58" si="39">IF(I58="", "", 12 - MONTH(I58) + 1)</f>
        <v/>
      </c>
      <c r="K58" s="1395"/>
      <c r="L58" s="1393"/>
      <c r="M58" s="2155"/>
      <c r="N58" s="1352"/>
      <c r="O58" s="1352"/>
      <c r="P58" s="1352"/>
      <c r="Q58" s="1334"/>
      <c r="R58" s="96" t="s">
        <v>116</v>
      </c>
      <c r="S58" s="96">
        <v>0</v>
      </c>
      <c r="T58" s="498">
        <f>IFERROR(IF(AND(T$33&gt;=EOMONTH($I58,-1)+1,T$33&lt;=EOMONTH(EOMONTH($I58,-1)+1,$J58-1)),IF(NOT(ISBLANK($M58)),$M58/$J58,$H58/$J58),0),0)</f>
        <v>0</v>
      </c>
      <c r="U58" s="498">
        <f>IFERROR(IF(AND(U$33&gt;=EOMONTH($I58,-1)+1,U$33&lt;=EOMONTH(EOMONTH($I58,-1)+1,$J58-1)),IF(NOT(ISBLANK($M58)),$M58/$J58,$H58/$J58),0),0)</f>
        <v>0</v>
      </c>
      <c r="V58" s="498">
        <f>IFERROR(IF(AND(V$33&gt;=EOMONTH($I58,-1)+1,V$33&lt;=EOMONTH(EOMONTH($I58,-1)+1,$J58-1)),IF(NOT(ISBLANK($M58)),$M58/$J58,$H58/$J58),0),0)</f>
        <v>0</v>
      </c>
      <c r="W58" s="440">
        <f t="shared" si="32"/>
        <v>0</v>
      </c>
      <c r="X58" s="498">
        <f>IFERROR(IF(AND(X$33&gt;=EOMONTH($I58,-1)+1,X$33&lt;=EOMONTH(EOMONTH($I58,-1)+1,$J58-1)),IF(NOT(ISBLANK($M58)),$M58/$J58,$H58/$J58),0),0)</f>
        <v>0</v>
      </c>
      <c r="Y58" s="498">
        <f>IFERROR(IF(AND(Y$33&gt;=EOMONTH($I58,-1)+1,Y$33&lt;=EOMONTH(EOMONTH($I58,-1)+1,$J58-1)),IF(NOT(ISBLANK($M58)),$M58/$J58,$H58/$J58),0),0)</f>
        <v>0</v>
      </c>
      <c r="Z58" s="498">
        <f>IFERROR(IF(AND(Z$33&gt;=EOMONTH($I58,-1)+1,Z$33&lt;=EOMONTH(EOMONTH($I58,-1)+1,$J58-1)),IF(NOT(ISBLANK($M58)),$M58/$J58,$H58/$J58),0),0)</f>
        <v>0</v>
      </c>
      <c r="AA58" s="440">
        <f t="shared" si="33"/>
        <v>0</v>
      </c>
      <c r="AB58" s="498">
        <f>IFERROR(IF(AND(AB$33&gt;=EOMONTH($I58,-1)+1,AB$33&lt;=EOMONTH(EOMONTH($I58,-1)+1,$J58-1)),IF(NOT(ISBLANK($M58)),$M58/$J58,$H58/$J58),0),0)</f>
        <v>0</v>
      </c>
      <c r="AC58" s="498">
        <f>IFERROR(IF(AND(AC$33&gt;=EOMONTH($I58,-1)+1,AC$33&lt;=EOMONTH(EOMONTH($I58,-1)+1,$J58-1)),IF(NOT(ISBLANK($M58)),$M58/$J58,$H58/$J58),0),0)</f>
        <v>0</v>
      </c>
      <c r="AD58" s="498">
        <f>IFERROR(IF(AND(AD$33&gt;=EOMONTH($I58,-1)+1,AD$33&lt;=EOMONTH(EOMONTH($I58,-1)+1,$J58-1)),IF(NOT(ISBLANK($M58)),$M58/$J58,$H58/$J58),0),0)</f>
        <v>0</v>
      </c>
      <c r="AE58" s="440">
        <f t="shared" si="34"/>
        <v>0</v>
      </c>
      <c r="AF58" s="498">
        <f>IFERROR(IF(AND(AF$33&gt;=EOMONTH($I58,-1)+1,AF$33&lt;=EOMONTH(EOMONTH($I58,-1)+1,$J58-1)),IF(NOT(ISBLANK($M58)),$M58/$J58,$H58/$J58),0),0)</f>
        <v>0</v>
      </c>
      <c r="AG58" s="498">
        <f>IFERROR(IF(AND(AG$33&gt;=EOMONTH($I58,-1)+1,AG$33&lt;=EOMONTH(EOMONTH($I58,-1)+1,$J58-1)),IF(NOT(ISBLANK($M58)),$M58/$J58,$H58/$J58),0),0)</f>
        <v>0</v>
      </c>
      <c r="AH58" s="498">
        <f>IFERROR(IF(AND(AH$33&gt;=EOMONTH($I58,-1)+1,AH$33&lt;=EOMONTH(EOMONTH($I58,-1)+1,$J58-1)),IF(NOT(ISBLANK($M58)),$M58/$J58,$H58/$J58),0),0)</f>
        <v>0</v>
      </c>
      <c r="AI58" s="440">
        <f t="shared" si="22"/>
        <v>0</v>
      </c>
      <c r="AJ58" s="94">
        <f t="shared" si="23"/>
        <v>0</v>
      </c>
      <c r="AK58" s="1488"/>
      <c r="AL58" s="1407"/>
      <c r="AM58" s="1334"/>
      <c r="AN58" s="1403">
        <f>L58*AM58</f>
        <v>0</v>
      </c>
      <c r="AO58" s="47">
        <f>B58</f>
        <v>0</v>
      </c>
      <c r="AP58" s="47">
        <f>A58</f>
        <v>0</v>
      </c>
      <c r="AQ58" s="62" t="s">
        <v>311</v>
      </c>
      <c r="AR58" s="508" t="str" cm="1">
        <f t="array" aca="1" ref="AR58" ca="1">IF(OR(AO58="",AO58=0),"",IF(SUMPRODUCT(($B$34:$B$83=AO58)*($R$34:$R$83="Previsto")*($T$33:$AH$33&lt;EOMONTH(TODAY(),-1)+1)*($T$34:$AH$83))=0,"",SUMPRODUCT(($B$34:$B$83=AO58)*($R$34:$R$83="Previsto")*($T$33:$AH$33&lt;EOMONTH(TODAY(),-1)+1)*($T$34:$AH$83))))</f>
        <v/>
      </c>
    </row>
    <row r="59" spans="1:44" ht="29.1" customHeight="1" x14ac:dyDescent="0.3">
      <c r="A59" s="1408"/>
      <c r="B59" s="1466"/>
      <c r="C59" s="1466"/>
      <c r="D59" s="1450"/>
      <c r="E59" s="1450"/>
      <c r="F59" s="1513"/>
      <c r="G59" s="1513"/>
      <c r="H59" s="1367"/>
      <c r="I59" s="1750"/>
      <c r="J59" s="1388"/>
      <c r="K59" s="1396"/>
      <c r="L59" s="1394"/>
      <c r="M59" s="2156"/>
      <c r="N59" s="1353"/>
      <c r="O59" s="1353"/>
      <c r="P59" s="1353"/>
      <c r="Q59" s="1330"/>
      <c r="R59" s="96" t="s">
        <v>117</v>
      </c>
      <c r="S59" s="456">
        <v>0</v>
      </c>
      <c r="T59" s="457"/>
      <c r="U59" s="457"/>
      <c r="V59" s="290"/>
      <c r="W59" s="440">
        <f t="shared" si="32"/>
        <v>0</v>
      </c>
      <c r="X59" s="457"/>
      <c r="Y59" s="457"/>
      <c r="Z59" s="290"/>
      <c r="AA59" s="440">
        <f t="shared" si="33"/>
        <v>0</v>
      </c>
      <c r="AB59" s="457"/>
      <c r="AC59" s="457"/>
      <c r="AD59" s="290"/>
      <c r="AE59" s="440">
        <f t="shared" si="34"/>
        <v>0</v>
      </c>
      <c r="AF59" s="457"/>
      <c r="AG59" s="457"/>
      <c r="AH59" s="290"/>
      <c r="AI59" s="440">
        <f t="shared" si="22"/>
        <v>0</v>
      </c>
      <c r="AJ59" s="94">
        <f t="shared" si="23"/>
        <v>0</v>
      </c>
      <c r="AK59" s="1367"/>
      <c r="AL59" s="1408"/>
      <c r="AM59" s="1330"/>
      <c r="AN59" s="1404"/>
      <c r="AO59" s="47">
        <f>B58</f>
        <v>0</v>
      </c>
      <c r="AP59" s="47">
        <f>A58</f>
        <v>0</v>
      </c>
      <c r="AQ59" s="62" t="s">
        <v>313</v>
      </c>
      <c r="AR59" s="508" t="str" cm="1">
        <f t="array" aca="1" ref="AR59" ca="1">IF(OR(AO58="",AO58=0),"",IF(SUMPRODUCT(($B$34:$B$83=AO58)*(ISNUMBER(SEARCH("Real",$Q$35:$Q$84)))*($T$33:$AH$33&lt;EOMONTH(TODAY(),-1)+1)*($T$35:$AH$84))=0,"",SUMPRODUCT(($B$34:$B$83=AO58)*(ISNUMBER(SEARCH("Real",$Q$35:$Q$84)))*($T$33:$AH$33&lt;EOMONTH(TODAY(),-1)+1)*($T$35:$AH$84))))</f>
        <v/>
      </c>
    </row>
    <row r="60" spans="1:44" ht="29.1" customHeight="1" x14ac:dyDescent="0.3">
      <c r="A60" s="1380"/>
      <c r="B60" s="1482"/>
      <c r="C60" s="1486"/>
      <c r="D60" s="1368"/>
      <c r="E60" s="1368"/>
      <c r="F60" s="1372"/>
      <c r="G60" s="1372"/>
      <c r="H60" s="1405"/>
      <c r="I60" s="1376"/>
      <c r="J60" s="1389" t="str">
        <f t="shared" ref="J60" si="40">IF(I60="", "", 12 - MONTH(I60) + 1)</f>
        <v/>
      </c>
      <c r="K60" s="1354"/>
      <c r="L60" s="1861"/>
      <c r="M60" s="1861"/>
      <c r="N60" s="1350"/>
      <c r="O60" s="1354"/>
      <c r="P60" s="1354"/>
      <c r="Q60" s="1327"/>
      <c r="R60" s="91" t="s">
        <v>116</v>
      </c>
      <c r="S60" s="91">
        <v>0</v>
      </c>
      <c r="T60" s="287">
        <f>IFERROR(IF(AND(T$33&gt;=EOMONTH($I60,-1)+1,T$33&lt;=EOMONTH(EOMONTH($I60,-1)+1,$J60-1)),IF(NOT(ISBLANK($M60)),$M60/$J60,$H60/$J60),0),0)</f>
        <v>0</v>
      </c>
      <c r="U60" s="287">
        <f>IFERROR(IF(AND(U$33&gt;=EOMONTH($I60,-1)+1,U$33&lt;=EOMONTH(EOMONTH($I60,-1)+1,$J60-1)),IF(NOT(ISBLANK($M60)),$M60/$J60,$H60/$J60),0),0)</f>
        <v>0</v>
      </c>
      <c r="V60" s="287">
        <f>IFERROR(IF(AND(V$33&gt;=EOMONTH($I60,-1)+1,V$33&lt;=EOMONTH(EOMONTH($I60,-1)+1,$J60-1)),IF(NOT(ISBLANK($M60)),$M60/$J60,$H60/$J60),0),0)</f>
        <v>0</v>
      </c>
      <c r="W60" s="440">
        <f t="shared" si="32"/>
        <v>0</v>
      </c>
      <c r="X60" s="287">
        <f>IFERROR(IF(AND(X$33&gt;=EOMONTH($I60,-1)+1,X$33&lt;=EOMONTH(EOMONTH($I60,-1)+1,$J60-1)),IF(NOT(ISBLANK($M60)),$M60/$J60,$H60/$J60),0),0)</f>
        <v>0</v>
      </c>
      <c r="Y60" s="287">
        <f>IFERROR(IF(AND(Y$33&gt;=EOMONTH($I60,-1)+1,Y$33&lt;=EOMONTH(EOMONTH($I60,-1)+1,$J60-1)),IF(NOT(ISBLANK($M60)),$M60/$J60,$H60/$J60),0),0)</f>
        <v>0</v>
      </c>
      <c r="Z60" s="287">
        <f>IFERROR(IF(AND(Z$33&gt;=EOMONTH($I60,-1)+1,Z$33&lt;=EOMONTH(EOMONTH($I60,-1)+1,$J60-1)),IF(NOT(ISBLANK($M60)),$M60/$J60,$H60/$J60),0),0)</f>
        <v>0</v>
      </c>
      <c r="AA60" s="440">
        <f t="shared" si="33"/>
        <v>0</v>
      </c>
      <c r="AB60" s="287">
        <f>IFERROR(IF(AND(AB$33&gt;=EOMONTH($I60,-1)+1,AB$33&lt;=EOMONTH(EOMONTH($I60,-1)+1,$J60-1)),IF(NOT(ISBLANK($M60)),$M60/$J60,$H60/$J60),0),0)</f>
        <v>0</v>
      </c>
      <c r="AC60" s="287">
        <f>IFERROR(IF(AND(AC$33&gt;=EOMONTH($I60,-1)+1,AC$33&lt;=EOMONTH(EOMONTH($I60,-1)+1,$J60-1)),IF(NOT(ISBLANK($M60)),$M60/$J60,$H60/$J60),0),0)</f>
        <v>0</v>
      </c>
      <c r="AD60" s="287">
        <f>IFERROR(IF(AND(AD$33&gt;=EOMONTH($I60,-1)+1,AD$33&lt;=EOMONTH(EOMONTH($I60,-1)+1,$J60-1)),IF(NOT(ISBLANK($M60)),$M60/$J60,$H60/$J60),0),0)</f>
        <v>0</v>
      </c>
      <c r="AE60" s="440">
        <f t="shared" si="34"/>
        <v>0</v>
      </c>
      <c r="AF60" s="287">
        <f>IFERROR(IF(AND(AF$33&gt;=EOMONTH($I60,-1)+1,AF$33&lt;=EOMONTH(EOMONTH($I60,-1)+1,$J60-1)),IF(NOT(ISBLANK($M60)),$M60/$J60,$H60/$J60),0),0)</f>
        <v>0</v>
      </c>
      <c r="AG60" s="287">
        <f>IFERROR(IF(AND(AG$33&gt;=EOMONTH($I60,-1)+1,AG$33&lt;=EOMONTH(EOMONTH($I60,-1)+1,$J60-1)),IF(NOT(ISBLANK($M60)),$M60/$J60,$H60/$J60),0),0)</f>
        <v>0</v>
      </c>
      <c r="AH60" s="287">
        <f>IFERROR(IF(AND(AH$33&gt;=EOMONTH($I60,-1)+1,AH$33&lt;=EOMONTH(EOMONTH($I60,-1)+1,$J60-1)),IF(NOT(ISBLANK($M60)),$M60/$J60,$H60/$J60),0),0)</f>
        <v>0</v>
      </c>
      <c r="AI60" s="440">
        <f t="shared" si="22"/>
        <v>0</v>
      </c>
      <c r="AJ60" s="116">
        <f t="shared" si="23"/>
        <v>0</v>
      </c>
      <c r="AK60" s="1354"/>
      <c r="AL60" s="1370"/>
      <c r="AM60" s="1411"/>
      <c r="AN60" s="1405">
        <f>L60*AM60</f>
        <v>0</v>
      </c>
      <c r="AO60" s="47">
        <f>B60</f>
        <v>0</v>
      </c>
      <c r="AP60" s="47">
        <f>A60</f>
        <v>0</v>
      </c>
      <c r="AQ60" s="62" t="s">
        <v>311</v>
      </c>
      <c r="AR60" s="508" t="str" cm="1">
        <f t="array" aca="1" ref="AR60" ca="1">IF(OR(AO60="",AO60=0),"",IF(SUMPRODUCT(($B$34:$B$83=AO60)*($R$34:$R$83="Previsto")*($T$33:$AH$33&lt;EOMONTH(TODAY(),-1)+1)*($T$34:$AH$83))=0,"",SUMPRODUCT(($B$34:$B$83=AO60)*($R$34:$R$83="Previsto")*($T$33:$AH$33&lt;EOMONTH(TODAY(),-1)+1)*($T$34:$AH$83))))</f>
        <v/>
      </c>
    </row>
    <row r="61" spans="1:44" ht="29.1" customHeight="1" x14ac:dyDescent="0.3">
      <c r="A61" s="1381"/>
      <c r="B61" s="1483"/>
      <c r="C61" s="1487"/>
      <c r="D61" s="1369"/>
      <c r="E61" s="1369"/>
      <c r="F61" s="1373"/>
      <c r="G61" s="1373"/>
      <c r="H61" s="1406"/>
      <c r="I61" s="1377"/>
      <c r="J61" s="1390"/>
      <c r="K61" s="1355"/>
      <c r="L61" s="1392"/>
      <c r="M61" s="1392"/>
      <c r="N61" s="1460"/>
      <c r="O61" s="1355"/>
      <c r="P61" s="1355"/>
      <c r="Q61" s="1328"/>
      <c r="R61" s="91" t="s">
        <v>117</v>
      </c>
      <c r="S61" s="455">
        <v>0</v>
      </c>
      <c r="T61" s="287"/>
      <c r="U61" s="287"/>
      <c r="V61" s="287"/>
      <c r="W61" s="440">
        <f t="shared" si="32"/>
        <v>0</v>
      </c>
      <c r="X61" s="287"/>
      <c r="Y61" s="287"/>
      <c r="Z61" s="287"/>
      <c r="AA61" s="440">
        <f t="shared" si="33"/>
        <v>0</v>
      </c>
      <c r="AB61" s="287"/>
      <c r="AC61" s="287"/>
      <c r="AD61" s="287"/>
      <c r="AE61" s="440">
        <f t="shared" si="34"/>
        <v>0</v>
      </c>
      <c r="AF61" s="287"/>
      <c r="AG61" s="287"/>
      <c r="AH61" s="287"/>
      <c r="AI61" s="440">
        <f t="shared" si="22"/>
        <v>0</v>
      </c>
      <c r="AJ61" s="454">
        <f t="shared" si="23"/>
        <v>0</v>
      </c>
      <c r="AK61" s="1355"/>
      <c r="AL61" s="1371"/>
      <c r="AM61" s="1412"/>
      <c r="AN61" s="1406"/>
      <c r="AO61" s="47">
        <f>B60</f>
        <v>0</v>
      </c>
      <c r="AP61" s="47">
        <f>A60</f>
        <v>0</v>
      </c>
      <c r="AQ61" s="62" t="s">
        <v>313</v>
      </c>
      <c r="AR61" s="508" t="str" cm="1">
        <f t="array" aca="1" ref="AR61" ca="1">IF(OR(AO60="",AO60=0),"",IF(SUMPRODUCT(($B$34:$B$83=AO60)*(ISNUMBER(SEARCH("Real",$Q$35:$Q$84)))*($T$33:$AH$33&lt;EOMONTH(TODAY(),-1)+1)*($T$35:$AH$84))=0,"",SUMPRODUCT(($B$34:$B$83=AO60)*(ISNUMBER(SEARCH("Real",$Q$35:$Q$84)))*($T$33:$AH$33&lt;EOMONTH(TODAY(),-1)+1)*($T$35:$AH$84))))</f>
        <v/>
      </c>
    </row>
    <row r="62" spans="1:44" ht="29.1" customHeight="1" x14ac:dyDescent="0.3">
      <c r="A62" s="1407"/>
      <c r="B62" s="1465"/>
      <c r="C62" s="1356"/>
      <c r="D62" s="1449"/>
      <c r="E62" s="1449"/>
      <c r="F62" s="1366"/>
      <c r="G62" s="1366"/>
      <c r="H62" s="1488"/>
      <c r="I62" s="1749"/>
      <c r="J62" s="1387" t="str">
        <f t="shared" ref="J62" si="41">IF(I62="", "", 12 - MONTH(I62) + 1)</f>
        <v/>
      </c>
      <c r="K62" s="1395"/>
      <c r="L62" s="1393"/>
      <c r="M62" s="2155"/>
      <c r="N62" s="1352"/>
      <c r="O62" s="1352"/>
      <c r="P62" s="1352"/>
      <c r="Q62" s="1334"/>
      <c r="R62" s="96" t="s">
        <v>116</v>
      </c>
      <c r="S62" s="96">
        <v>0</v>
      </c>
      <c r="T62" s="498">
        <f>IFERROR(IF(AND(T$33&gt;=EOMONTH($I62,-1)+1,T$33&lt;=EOMONTH(EOMONTH($I62,-1)+1,$J62-1)),IF(NOT(ISBLANK($M62)),$M62/$J62,$H62/$J62),0),0)</f>
        <v>0</v>
      </c>
      <c r="U62" s="498">
        <f>IFERROR(IF(AND(U$33&gt;=EOMONTH($I62,-1)+1,U$33&lt;=EOMONTH(EOMONTH($I62,-1)+1,$J62-1)),IF(NOT(ISBLANK($M62)),$M62/$J62,$H62/$J62),0),0)</f>
        <v>0</v>
      </c>
      <c r="V62" s="498">
        <f>IFERROR(IF(AND(V$33&gt;=EOMONTH($I62,-1)+1,V$33&lt;=EOMONTH(EOMONTH($I62,-1)+1,$J62-1)),IF(NOT(ISBLANK($M62)),$M62/$J62,$H62/$J62),0),0)</f>
        <v>0</v>
      </c>
      <c r="W62" s="440">
        <f t="shared" si="32"/>
        <v>0</v>
      </c>
      <c r="X62" s="498">
        <f>IFERROR(IF(AND(X$33&gt;=EOMONTH($I62,-1)+1,X$33&lt;=EOMONTH(EOMONTH($I62,-1)+1,$J62-1)),IF(NOT(ISBLANK($M62)),$M62/$J62,$H62/$J62),0),0)</f>
        <v>0</v>
      </c>
      <c r="Y62" s="498">
        <f>IFERROR(IF(AND(Y$33&gt;=EOMONTH($I62,-1)+1,Y$33&lt;=EOMONTH(EOMONTH($I62,-1)+1,$J62-1)),IF(NOT(ISBLANK($M62)),$M62/$J62,$H62/$J62),0),0)</f>
        <v>0</v>
      </c>
      <c r="Z62" s="498">
        <f>IFERROR(IF(AND(Z$33&gt;=EOMONTH($I62,-1)+1,Z$33&lt;=EOMONTH(EOMONTH($I62,-1)+1,$J62-1)),IF(NOT(ISBLANK($M62)),$M62/$J62,$H62/$J62),0),0)</f>
        <v>0</v>
      </c>
      <c r="AA62" s="440">
        <f t="shared" si="33"/>
        <v>0</v>
      </c>
      <c r="AB62" s="498">
        <f>IFERROR(IF(AND(AB$33&gt;=EOMONTH($I62,-1)+1,AB$33&lt;=EOMONTH(EOMONTH($I62,-1)+1,$J62-1)),IF(NOT(ISBLANK($M62)),$M62/$J62,$H62/$J62),0),0)</f>
        <v>0</v>
      </c>
      <c r="AC62" s="498">
        <f>IFERROR(IF(AND(AC$33&gt;=EOMONTH($I62,-1)+1,AC$33&lt;=EOMONTH(EOMONTH($I62,-1)+1,$J62-1)),IF(NOT(ISBLANK($M62)),$M62/$J62,$H62/$J62),0),0)</f>
        <v>0</v>
      </c>
      <c r="AD62" s="498">
        <f>IFERROR(IF(AND(AD$33&gt;=EOMONTH($I62,-1)+1,AD$33&lt;=EOMONTH(EOMONTH($I62,-1)+1,$J62-1)),IF(NOT(ISBLANK($M62)),$M62/$J62,$H62/$J62),0),0)</f>
        <v>0</v>
      </c>
      <c r="AE62" s="440">
        <f t="shared" si="34"/>
        <v>0</v>
      </c>
      <c r="AF62" s="498">
        <f>IFERROR(IF(AND(AF$33&gt;=EOMONTH($I62,-1)+1,AF$33&lt;=EOMONTH(EOMONTH($I62,-1)+1,$J62-1)),IF(NOT(ISBLANK($M62)),$M62/$J62,$H62/$J62),0),0)</f>
        <v>0</v>
      </c>
      <c r="AG62" s="498">
        <f>IFERROR(IF(AND(AG$33&gt;=EOMONTH($I62,-1)+1,AG$33&lt;=EOMONTH(EOMONTH($I62,-1)+1,$J62-1)),IF(NOT(ISBLANK($M62)),$M62/$J62,$H62/$J62),0),0)</f>
        <v>0</v>
      </c>
      <c r="AH62" s="498">
        <f>IFERROR(IF(AND(AH$33&gt;=EOMONTH($I62,-1)+1,AH$33&lt;=EOMONTH(EOMONTH($I62,-1)+1,$J62-1)),IF(NOT(ISBLANK($M62)),$M62/$J62,$H62/$J62),0),0)</f>
        <v>0</v>
      </c>
      <c r="AI62" s="440">
        <f t="shared" si="22"/>
        <v>0</v>
      </c>
      <c r="AJ62" s="94">
        <f t="shared" si="23"/>
        <v>0</v>
      </c>
      <c r="AK62" s="1488"/>
      <c r="AL62" s="1407"/>
      <c r="AM62" s="1334"/>
      <c r="AN62" s="1403">
        <f>L62*AM62</f>
        <v>0</v>
      </c>
      <c r="AO62" s="47">
        <f>B62</f>
        <v>0</v>
      </c>
      <c r="AP62" s="47">
        <f>A62</f>
        <v>0</v>
      </c>
      <c r="AQ62" s="62" t="s">
        <v>311</v>
      </c>
      <c r="AR62" s="508" t="str" cm="1">
        <f t="array" aca="1" ref="AR62" ca="1">IF(OR(AO62="",AO62=0),"",IF(SUMPRODUCT(($B$34:$B$83=AO62)*($R$34:$R$83="Previsto")*($T$33:$AH$33&lt;EOMONTH(TODAY(),-1)+1)*($T$34:$AH$83))=0,"",SUMPRODUCT(($B$34:$B$83=AO62)*($R$34:$R$83="Previsto")*($T$33:$AH$33&lt;EOMONTH(TODAY(),-1)+1)*($T$34:$AH$83))))</f>
        <v/>
      </c>
    </row>
    <row r="63" spans="1:44" ht="29.1" customHeight="1" x14ac:dyDescent="0.3">
      <c r="A63" s="1408"/>
      <c r="B63" s="1466"/>
      <c r="C63" s="1455"/>
      <c r="D63" s="1450"/>
      <c r="E63" s="1450"/>
      <c r="F63" s="1513"/>
      <c r="G63" s="1513"/>
      <c r="H63" s="1367"/>
      <c r="I63" s="1750"/>
      <c r="J63" s="1388"/>
      <c r="K63" s="1396"/>
      <c r="L63" s="1394"/>
      <c r="M63" s="2156"/>
      <c r="N63" s="1353"/>
      <c r="O63" s="1353"/>
      <c r="P63" s="1353"/>
      <c r="Q63" s="1330"/>
      <c r="R63" s="96" t="s">
        <v>117</v>
      </c>
      <c r="S63" s="456">
        <v>0</v>
      </c>
      <c r="T63" s="457"/>
      <c r="U63" s="457"/>
      <c r="V63" s="290"/>
      <c r="W63" s="440">
        <f t="shared" si="32"/>
        <v>0</v>
      </c>
      <c r="X63" s="457"/>
      <c r="Y63" s="457"/>
      <c r="Z63" s="290"/>
      <c r="AA63" s="440">
        <f t="shared" si="33"/>
        <v>0</v>
      </c>
      <c r="AB63" s="457"/>
      <c r="AC63" s="457"/>
      <c r="AD63" s="290"/>
      <c r="AE63" s="440">
        <f t="shared" si="34"/>
        <v>0</v>
      </c>
      <c r="AF63" s="457"/>
      <c r="AG63" s="457"/>
      <c r="AH63" s="290"/>
      <c r="AI63" s="440">
        <f t="shared" si="22"/>
        <v>0</v>
      </c>
      <c r="AJ63" s="94">
        <f t="shared" si="23"/>
        <v>0</v>
      </c>
      <c r="AK63" s="1367"/>
      <c r="AL63" s="1408"/>
      <c r="AM63" s="1330"/>
      <c r="AN63" s="1404"/>
      <c r="AO63" s="47">
        <f>B62</f>
        <v>0</v>
      </c>
      <c r="AP63" s="47">
        <f>A62</f>
        <v>0</v>
      </c>
      <c r="AQ63" s="62" t="s">
        <v>313</v>
      </c>
      <c r="AR63" s="508" t="str" cm="1">
        <f t="array" aca="1" ref="AR63" ca="1">IF(OR(AO62="",AO62=0),"",IF(SUMPRODUCT(($B$34:$B$83=AO62)*(ISNUMBER(SEARCH("Real",$Q$35:$Q$84)))*($T$33:$AH$33&lt;EOMONTH(TODAY(),-1)+1)*($T$35:$AH$84))=0,"",SUMPRODUCT(($B$34:$B$83=AO62)*(ISNUMBER(SEARCH("Real",$Q$35:$Q$84)))*($T$33:$AH$33&lt;EOMONTH(TODAY(),-1)+1)*($T$35:$AH$84))))</f>
        <v/>
      </c>
    </row>
    <row r="64" spans="1:44" ht="29.1" customHeight="1" x14ac:dyDescent="0.3">
      <c r="A64" s="1380"/>
      <c r="B64" s="1482"/>
      <c r="C64" s="1486"/>
      <c r="D64" s="1368"/>
      <c r="E64" s="1368"/>
      <c r="F64" s="1372"/>
      <c r="G64" s="1372"/>
      <c r="H64" s="1405"/>
      <c r="I64" s="1376"/>
      <c r="J64" s="1389" t="str">
        <f t="shared" ref="J64" si="42">IF(I64="", "", 12 - MONTH(I64) + 1)</f>
        <v/>
      </c>
      <c r="K64" s="1354"/>
      <c r="L64" s="1861"/>
      <c r="M64" s="1861"/>
      <c r="N64" s="1350"/>
      <c r="O64" s="1354"/>
      <c r="P64" s="1354"/>
      <c r="Q64" s="1327"/>
      <c r="R64" s="91" t="s">
        <v>116</v>
      </c>
      <c r="S64" s="91">
        <v>0</v>
      </c>
      <c r="T64" s="287">
        <f>IFERROR(IF(AND(T$33&gt;=EOMONTH($I64,-1)+1,T$33&lt;=EOMONTH(EOMONTH($I64,-1)+1,$J64-1)),IF(NOT(ISBLANK($M64)),$M64/$J64,$H64/$J64),0),0)</f>
        <v>0</v>
      </c>
      <c r="U64" s="287">
        <f>IFERROR(IF(AND(U$33&gt;=EOMONTH($I64,-1)+1,U$33&lt;=EOMONTH(EOMONTH($I64,-1)+1,$J64-1)),IF(NOT(ISBLANK($M64)),$M64/$J64,$H64/$J64),0),0)</f>
        <v>0</v>
      </c>
      <c r="V64" s="287">
        <f>IFERROR(IF(AND(V$33&gt;=EOMONTH($I64,-1)+1,V$33&lt;=EOMONTH(EOMONTH($I64,-1)+1,$J64-1)),IF(NOT(ISBLANK($M64)),$M64/$J64,$H64/$J64),0),0)</f>
        <v>0</v>
      </c>
      <c r="W64" s="440">
        <f t="shared" si="32"/>
        <v>0</v>
      </c>
      <c r="X64" s="287">
        <f>IFERROR(IF(AND(X$33&gt;=EOMONTH($I64,-1)+1,X$33&lt;=EOMONTH(EOMONTH($I64,-1)+1,$J64-1)),IF(NOT(ISBLANK($M64)),$M64/$J64,$H64/$J64),0),0)</f>
        <v>0</v>
      </c>
      <c r="Y64" s="287">
        <f>IFERROR(IF(AND(Y$33&gt;=EOMONTH($I64,-1)+1,Y$33&lt;=EOMONTH(EOMONTH($I64,-1)+1,$J64-1)),IF(NOT(ISBLANK($M64)),$M64/$J64,$H64/$J64),0),0)</f>
        <v>0</v>
      </c>
      <c r="Z64" s="287">
        <f>IFERROR(IF(AND(Z$33&gt;=EOMONTH($I64,-1)+1,Z$33&lt;=EOMONTH(EOMONTH($I64,-1)+1,$J64-1)),IF(NOT(ISBLANK($M64)),$M64/$J64,$H64/$J64),0),0)</f>
        <v>0</v>
      </c>
      <c r="AA64" s="440">
        <f t="shared" si="33"/>
        <v>0</v>
      </c>
      <c r="AB64" s="287">
        <f>IFERROR(IF(AND(AB$33&gt;=EOMONTH($I64,-1)+1,AB$33&lt;=EOMONTH(EOMONTH($I64,-1)+1,$J64-1)),IF(NOT(ISBLANK($M64)),$M64/$J64,$H64/$J64),0),0)</f>
        <v>0</v>
      </c>
      <c r="AC64" s="287">
        <f>IFERROR(IF(AND(AC$33&gt;=EOMONTH($I64,-1)+1,AC$33&lt;=EOMONTH(EOMONTH($I64,-1)+1,$J64-1)),IF(NOT(ISBLANK($M64)),$M64/$J64,$H64/$J64),0),0)</f>
        <v>0</v>
      </c>
      <c r="AD64" s="287">
        <f>IFERROR(IF(AND(AD$33&gt;=EOMONTH($I64,-1)+1,AD$33&lt;=EOMONTH(EOMONTH($I64,-1)+1,$J64-1)),IF(NOT(ISBLANK($M64)),$M64/$J64,$H64/$J64),0),0)</f>
        <v>0</v>
      </c>
      <c r="AE64" s="440">
        <f t="shared" si="34"/>
        <v>0</v>
      </c>
      <c r="AF64" s="287">
        <f>IFERROR(IF(AND(AF$33&gt;=EOMONTH($I64,-1)+1,AF$33&lt;=EOMONTH(EOMONTH($I64,-1)+1,$J64-1)),IF(NOT(ISBLANK($M64)),$M64/$J64,$H64/$J64),0),0)</f>
        <v>0</v>
      </c>
      <c r="AG64" s="287">
        <f>IFERROR(IF(AND(AG$33&gt;=EOMONTH($I64,-1)+1,AG$33&lt;=EOMONTH(EOMONTH($I64,-1)+1,$J64-1)),IF(NOT(ISBLANK($M64)),$M64/$J64,$H64/$J64),0),0)</f>
        <v>0</v>
      </c>
      <c r="AH64" s="287">
        <f>IFERROR(IF(AND(AH$33&gt;=EOMONTH($I64,-1)+1,AH$33&lt;=EOMONTH(EOMONTH($I64,-1)+1,$J64-1)),IF(NOT(ISBLANK($M64)),$M64/$J64,$H64/$J64),0),0)</f>
        <v>0</v>
      </c>
      <c r="AI64" s="440">
        <f t="shared" ref="AI64:AI83" si="43">SUM(AF64:AH64)</f>
        <v>0</v>
      </c>
      <c r="AJ64" s="116">
        <f t="shared" ref="AJ64:AJ83" si="44">SUM(T64:V64,X64:Z64,AB64:AD64,AF64:AH64)</f>
        <v>0</v>
      </c>
      <c r="AK64" s="1354"/>
      <c r="AL64" s="1370"/>
      <c r="AM64" s="1411"/>
      <c r="AN64" s="1405">
        <f>L64*AM64</f>
        <v>0</v>
      </c>
      <c r="AO64" s="47">
        <f>B64</f>
        <v>0</v>
      </c>
      <c r="AP64" s="47">
        <f>A64</f>
        <v>0</v>
      </c>
      <c r="AQ64" s="62" t="s">
        <v>311</v>
      </c>
      <c r="AR64" s="508" t="str" cm="1">
        <f t="array" aca="1" ref="AR64" ca="1">IF(OR(AO64="",AO64=0),"",IF(SUMPRODUCT(($B$34:$B$83=AO64)*($R$34:$R$83="Previsto")*($T$33:$AH$33&lt;EOMONTH(TODAY(),-1)+1)*($T$34:$AH$83))=0,"",SUMPRODUCT(($B$34:$B$83=AO64)*($R$34:$R$83="Previsto")*($T$33:$AH$33&lt;EOMONTH(TODAY(),-1)+1)*($T$34:$AH$83))))</f>
        <v/>
      </c>
    </row>
    <row r="65" spans="1:44" ht="29.1" customHeight="1" x14ac:dyDescent="0.3">
      <c r="A65" s="1381"/>
      <c r="B65" s="1483"/>
      <c r="C65" s="1487"/>
      <c r="D65" s="1369"/>
      <c r="E65" s="1369"/>
      <c r="F65" s="1373"/>
      <c r="G65" s="1373"/>
      <c r="H65" s="1406"/>
      <c r="I65" s="1377"/>
      <c r="J65" s="1390"/>
      <c r="K65" s="1355"/>
      <c r="L65" s="1392"/>
      <c r="M65" s="1392"/>
      <c r="N65" s="1460"/>
      <c r="O65" s="1355"/>
      <c r="P65" s="1355"/>
      <c r="Q65" s="1328"/>
      <c r="R65" s="91" t="s">
        <v>117</v>
      </c>
      <c r="S65" s="455">
        <v>0</v>
      </c>
      <c r="T65" s="287"/>
      <c r="U65" s="287"/>
      <c r="V65" s="287"/>
      <c r="W65" s="440">
        <f t="shared" si="32"/>
        <v>0</v>
      </c>
      <c r="X65" s="287"/>
      <c r="Y65" s="287"/>
      <c r="Z65" s="287"/>
      <c r="AA65" s="440">
        <f t="shared" si="33"/>
        <v>0</v>
      </c>
      <c r="AB65" s="287"/>
      <c r="AC65" s="287"/>
      <c r="AD65" s="287"/>
      <c r="AE65" s="440">
        <f t="shared" si="34"/>
        <v>0</v>
      </c>
      <c r="AF65" s="287"/>
      <c r="AG65" s="287"/>
      <c r="AH65" s="287"/>
      <c r="AI65" s="440">
        <f t="shared" si="43"/>
        <v>0</v>
      </c>
      <c r="AJ65" s="454">
        <f t="shared" si="44"/>
        <v>0</v>
      </c>
      <c r="AK65" s="1355"/>
      <c r="AL65" s="1371"/>
      <c r="AM65" s="1412"/>
      <c r="AN65" s="1406"/>
      <c r="AO65" s="47">
        <f>B64</f>
        <v>0</v>
      </c>
      <c r="AP65" s="47">
        <f>A64</f>
        <v>0</v>
      </c>
      <c r="AQ65" s="62" t="s">
        <v>313</v>
      </c>
      <c r="AR65" s="508" t="str" cm="1">
        <f t="array" aca="1" ref="AR65" ca="1">IF(OR(AO64="",AO64=0),"",IF(SUMPRODUCT(($B$34:$B$83=AO64)*(ISNUMBER(SEARCH("Real",$Q$35:$Q$84)))*($T$33:$AH$33&lt;EOMONTH(TODAY(),-1)+1)*($T$35:$AH$84))=0,"",SUMPRODUCT(($B$34:$B$83=AO64)*(ISNUMBER(SEARCH("Real",$Q$35:$Q$84)))*($T$33:$AH$33&lt;EOMONTH(TODAY(),-1)+1)*($T$35:$AH$84))))</f>
        <v/>
      </c>
    </row>
    <row r="66" spans="1:44" ht="29.1" customHeight="1" x14ac:dyDescent="0.3">
      <c r="A66" s="1407"/>
      <c r="B66" s="1465"/>
      <c r="C66" s="1356"/>
      <c r="D66" s="1449"/>
      <c r="E66" s="1449"/>
      <c r="F66" s="1366"/>
      <c r="G66" s="1366"/>
      <c r="H66" s="1488"/>
      <c r="I66" s="1749"/>
      <c r="J66" s="1387" t="str">
        <f t="shared" ref="J66" si="45">IF(I66="", "", 12 - MONTH(I66) + 1)</f>
        <v/>
      </c>
      <c r="K66" s="1395"/>
      <c r="L66" s="1393"/>
      <c r="M66" s="2155"/>
      <c r="N66" s="1352"/>
      <c r="O66" s="1352"/>
      <c r="P66" s="1352"/>
      <c r="Q66" s="1334"/>
      <c r="R66" s="96" t="s">
        <v>116</v>
      </c>
      <c r="S66" s="96">
        <v>0</v>
      </c>
      <c r="T66" s="498">
        <f>IFERROR(IF(AND(T$33&gt;=EOMONTH($I66,-1)+1,T$33&lt;=EOMONTH(EOMONTH($I66,-1)+1,$J66-1)),IF(NOT(ISBLANK($M66)),$M66/$J66,$H66/$J66),0),0)</f>
        <v>0</v>
      </c>
      <c r="U66" s="498">
        <f>IFERROR(IF(AND(U$33&gt;=EOMONTH($I66,-1)+1,U$33&lt;=EOMONTH(EOMONTH($I66,-1)+1,$J66-1)),IF(NOT(ISBLANK($M66)),$M66/$J66,$H66/$J66),0),0)</f>
        <v>0</v>
      </c>
      <c r="V66" s="498">
        <f>IFERROR(IF(AND(V$33&gt;=EOMONTH($I66,-1)+1,V$33&lt;=EOMONTH(EOMONTH($I66,-1)+1,$J66-1)),IF(NOT(ISBLANK($M66)),$M66/$J66,$H66/$J66),0),0)</f>
        <v>0</v>
      </c>
      <c r="W66" s="440">
        <f t="shared" si="32"/>
        <v>0</v>
      </c>
      <c r="X66" s="498">
        <f>IFERROR(IF(AND(X$33&gt;=EOMONTH($I66,-1)+1,X$33&lt;=EOMONTH(EOMONTH($I66,-1)+1,$J66-1)),IF(NOT(ISBLANK($M66)),$M66/$J66,$H66/$J66),0),0)</f>
        <v>0</v>
      </c>
      <c r="Y66" s="498">
        <f>IFERROR(IF(AND(Y$33&gt;=EOMONTH($I66,-1)+1,Y$33&lt;=EOMONTH(EOMONTH($I66,-1)+1,$J66-1)),IF(NOT(ISBLANK($M66)),$M66/$J66,$H66/$J66),0),0)</f>
        <v>0</v>
      </c>
      <c r="Z66" s="498">
        <f>IFERROR(IF(AND(Z$33&gt;=EOMONTH($I66,-1)+1,Z$33&lt;=EOMONTH(EOMONTH($I66,-1)+1,$J66-1)),IF(NOT(ISBLANK($M66)),$M66/$J66,$H66/$J66),0),0)</f>
        <v>0</v>
      </c>
      <c r="AA66" s="440">
        <f t="shared" si="33"/>
        <v>0</v>
      </c>
      <c r="AB66" s="498">
        <f>IFERROR(IF(AND(AB$33&gt;=EOMONTH($I66,-1)+1,AB$33&lt;=EOMONTH(EOMONTH($I66,-1)+1,$J66-1)),IF(NOT(ISBLANK($M66)),$M66/$J66,$H66/$J66),0),0)</f>
        <v>0</v>
      </c>
      <c r="AC66" s="498">
        <f>IFERROR(IF(AND(AC$33&gt;=EOMONTH($I66,-1)+1,AC$33&lt;=EOMONTH(EOMONTH($I66,-1)+1,$J66-1)),IF(NOT(ISBLANK($M66)),$M66/$J66,$H66/$J66),0),0)</f>
        <v>0</v>
      </c>
      <c r="AD66" s="498">
        <f>IFERROR(IF(AND(AD$33&gt;=EOMONTH($I66,-1)+1,AD$33&lt;=EOMONTH(EOMONTH($I66,-1)+1,$J66-1)),IF(NOT(ISBLANK($M66)),$M66/$J66,$H66/$J66),0),0)</f>
        <v>0</v>
      </c>
      <c r="AE66" s="440">
        <f t="shared" si="34"/>
        <v>0</v>
      </c>
      <c r="AF66" s="498">
        <f>IFERROR(IF(AND(AF$33&gt;=EOMONTH($I66,-1)+1,AF$33&lt;=EOMONTH(EOMONTH($I66,-1)+1,$J66-1)),IF(NOT(ISBLANK($M66)),$M66/$J66,$H66/$J66),0),0)</f>
        <v>0</v>
      </c>
      <c r="AG66" s="498">
        <f>IFERROR(IF(AND(AG$33&gt;=EOMONTH($I66,-1)+1,AG$33&lt;=EOMONTH(EOMONTH($I66,-1)+1,$J66-1)),IF(NOT(ISBLANK($M66)),$M66/$J66,$H66/$J66),0),0)</f>
        <v>0</v>
      </c>
      <c r="AH66" s="498">
        <f>IFERROR(IF(AND(AH$33&gt;=EOMONTH($I66,-1)+1,AH$33&lt;=EOMONTH(EOMONTH($I66,-1)+1,$J66-1)),IF(NOT(ISBLANK($M66)),$M66/$J66,$H66/$J66),0),0)</f>
        <v>0</v>
      </c>
      <c r="AI66" s="440">
        <f t="shared" si="43"/>
        <v>0</v>
      </c>
      <c r="AJ66" s="94">
        <f t="shared" si="44"/>
        <v>0</v>
      </c>
      <c r="AK66" s="1488"/>
      <c r="AL66" s="1407"/>
      <c r="AM66" s="1334"/>
      <c r="AN66" s="1403">
        <f>L66*AM66</f>
        <v>0</v>
      </c>
      <c r="AO66" s="47">
        <f>B66</f>
        <v>0</v>
      </c>
      <c r="AP66" s="47">
        <f>A66</f>
        <v>0</v>
      </c>
      <c r="AQ66" s="62" t="s">
        <v>311</v>
      </c>
      <c r="AR66" s="508" t="str" cm="1">
        <f t="array" aca="1" ref="AR66" ca="1">IF(OR(AO66="",AO66=0),"",IF(SUMPRODUCT(($B$34:$B$83=AO66)*($R$34:$R$83="Previsto")*($T$33:$AH$33&lt;EOMONTH(TODAY(),-1)+1)*($T$34:$AH$83))=0,"",SUMPRODUCT(($B$34:$B$83=AO66)*($R$34:$R$83="Previsto")*($T$33:$AH$33&lt;EOMONTH(TODAY(),-1)+1)*($T$34:$AH$83))))</f>
        <v/>
      </c>
    </row>
    <row r="67" spans="1:44" ht="29.1" customHeight="1" x14ac:dyDescent="0.3">
      <c r="A67" s="1408"/>
      <c r="B67" s="1466"/>
      <c r="C67" s="1455"/>
      <c r="D67" s="1450"/>
      <c r="E67" s="1450"/>
      <c r="F67" s="1513"/>
      <c r="G67" s="1513"/>
      <c r="H67" s="1367"/>
      <c r="I67" s="1750"/>
      <c r="J67" s="1388"/>
      <c r="K67" s="1396"/>
      <c r="L67" s="1394"/>
      <c r="M67" s="2156"/>
      <c r="N67" s="1353"/>
      <c r="O67" s="1353"/>
      <c r="P67" s="1353"/>
      <c r="Q67" s="1330"/>
      <c r="R67" s="96" t="s">
        <v>117</v>
      </c>
      <c r="S67" s="456">
        <v>0</v>
      </c>
      <c r="T67" s="457"/>
      <c r="U67" s="457"/>
      <c r="V67" s="290"/>
      <c r="W67" s="440">
        <f t="shared" si="32"/>
        <v>0</v>
      </c>
      <c r="X67" s="457"/>
      <c r="Y67" s="457"/>
      <c r="Z67" s="290"/>
      <c r="AA67" s="440">
        <f t="shared" si="33"/>
        <v>0</v>
      </c>
      <c r="AB67" s="457"/>
      <c r="AC67" s="457"/>
      <c r="AD67" s="290"/>
      <c r="AE67" s="440">
        <f t="shared" si="34"/>
        <v>0</v>
      </c>
      <c r="AF67" s="457"/>
      <c r="AG67" s="457"/>
      <c r="AH67" s="290"/>
      <c r="AI67" s="440">
        <f t="shared" si="43"/>
        <v>0</v>
      </c>
      <c r="AJ67" s="94">
        <f t="shared" si="44"/>
        <v>0</v>
      </c>
      <c r="AK67" s="1367"/>
      <c r="AL67" s="1408"/>
      <c r="AM67" s="1330"/>
      <c r="AN67" s="1404"/>
      <c r="AO67" s="47">
        <f>B66</f>
        <v>0</v>
      </c>
      <c r="AP67" s="47">
        <f>A66</f>
        <v>0</v>
      </c>
      <c r="AQ67" s="62" t="s">
        <v>313</v>
      </c>
      <c r="AR67" s="508" t="str" cm="1">
        <f t="array" aca="1" ref="AR67" ca="1">IF(OR(AO66="",AO66=0),"",IF(SUMPRODUCT(($B$34:$B$83=AO66)*(ISNUMBER(SEARCH("Real",$Q$35:$Q$84)))*($T$33:$AH$33&lt;EOMONTH(TODAY(),-1)+1)*($T$35:$AH$84))=0,"",SUMPRODUCT(($B$34:$B$83=AO66)*(ISNUMBER(SEARCH("Real",$Q$35:$Q$84)))*($T$33:$AH$33&lt;EOMONTH(TODAY(),-1)+1)*($T$35:$AH$84))))</f>
        <v/>
      </c>
    </row>
    <row r="68" spans="1:44" ht="29.1" customHeight="1" x14ac:dyDescent="0.3">
      <c r="A68" s="1380"/>
      <c r="B68" s="1482"/>
      <c r="C68" s="1486"/>
      <c r="D68" s="1368"/>
      <c r="E68" s="1368"/>
      <c r="F68" s="1372"/>
      <c r="G68" s="1372"/>
      <c r="H68" s="1405"/>
      <c r="I68" s="1376"/>
      <c r="J68" s="1389" t="str">
        <f t="shared" ref="J68" si="46">IF(I68="", "", 12 - MONTH(I68) + 1)</f>
        <v/>
      </c>
      <c r="K68" s="1354"/>
      <c r="L68" s="1861"/>
      <c r="M68" s="1861"/>
      <c r="N68" s="1350"/>
      <c r="O68" s="1354"/>
      <c r="P68" s="1354"/>
      <c r="Q68" s="1327"/>
      <c r="R68" s="91" t="s">
        <v>116</v>
      </c>
      <c r="S68" s="91">
        <v>0</v>
      </c>
      <c r="T68" s="287">
        <f>IFERROR(IF(AND(T$33&gt;=EOMONTH($I68,-1)+1,T$33&lt;=EOMONTH(EOMONTH($I68,-1)+1,$J68-1)),IF(NOT(ISBLANK($M68)),$M68/$J68,$H68/$J68),0),0)</f>
        <v>0</v>
      </c>
      <c r="U68" s="287">
        <f>IFERROR(IF(AND(U$33&gt;=EOMONTH($I68,-1)+1,U$33&lt;=EOMONTH(EOMONTH($I68,-1)+1,$J68-1)),IF(NOT(ISBLANK($M68)),$M68/$J68,$H68/$J68),0),0)</f>
        <v>0</v>
      </c>
      <c r="V68" s="287">
        <f>IFERROR(IF(AND(V$33&gt;=EOMONTH($I68,-1)+1,V$33&lt;=EOMONTH(EOMONTH($I68,-1)+1,$J68-1)),IF(NOT(ISBLANK($M68)),$M68/$J68,$H68/$J68),0),0)</f>
        <v>0</v>
      </c>
      <c r="W68" s="440">
        <f t="shared" si="32"/>
        <v>0</v>
      </c>
      <c r="X68" s="287">
        <f>IFERROR(IF(AND(X$33&gt;=EOMONTH($I68,-1)+1,X$33&lt;=EOMONTH(EOMONTH($I68,-1)+1,$J68-1)),IF(NOT(ISBLANK($M68)),$M68/$J68,$H68/$J68),0),0)</f>
        <v>0</v>
      </c>
      <c r="Y68" s="287">
        <f>IFERROR(IF(AND(Y$33&gt;=EOMONTH($I68,-1)+1,Y$33&lt;=EOMONTH(EOMONTH($I68,-1)+1,$J68-1)),IF(NOT(ISBLANK($M68)),$M68/$J68,$H68/$J68),0),0)</f>
        <v>0</v>
      </c>
      <c r="Z68" s="287">
        <f>IFERROR(IF(AND(Z$33&gt;=EOMONTH($I68,-1)+1,Z$33&lt;=EOMONTH(EOMONTH($I68,-1)+1,$J68-1)),IF(NOT(ISBLANK($M68)),$M68/$J68,$H68/$J68),0),0)</f>
        <v>0</v>
      </c>
      <c r="AA68" s="440">
        <f t="shared" si="33"/>
        <v>0</v>
      </c>
      <c r="AB68" s="287">
        <f>IFERROR(IF(AND(AB$33&gt;=EOMONTH($I68,-1)+1,AB$33&lt;=EOMONTH(EOMONTH($I68,-1)+1,$J68-1)),IF(NOT(ISBLANK($M68)),$M68/$J68,$H68/$J68),0),0)</f>
        <v>0</v>
      </c>
      <c r="AC68" s="287">
        <f>IFERROR(IF(AND(AC$33&gt;=EOMONTH($I68,-1)+1,AC$33&lt;=EOMONTH(EOMONTH($I68,-1)+1,$J68-1)),IF(NOT(ISBLANK($M68)),$M68/$J68,$H68/$J68),0),0)</f>
        <v>0</v>
      </c>
      <c r="AD68" s="287">
        <f>IFERROR(IF(AND(AD$33&gt;=EOMONTH($I68,-1)+1,AD$33&lt;=EOMONTH(EOMONTH($I68,-1)+1,$J68-1)),IF(NOT(ISBLANK($M68)),$M68/$J68,$H68/$J68),0),0)</f>
        <v>0</v>
      </c>
      <c r="AE68" s="440">
        <f t="shared" si="34"/>
        <v>0</v>
      </c>
      <c r="AF68" s="287">
        <f>IFERROR(IF(AND(AF$33&gt;=EOMONTH($I68,-1)+1,AF$33&lt;=EOMONTH(EOMONTH($I68,-1)+1,$J68-1)),IF(NOT(ISBLANK($M68)),$M68/$J68,$H68/$J68),0),0)</f>
        <v>0</v>
      </c>
      <c r="AG68" s="287">
        <f>IFERROR(IF(AND(AG$33&gt;=EOMONTH($I68,-1)+1,AG$33&lt;=EOMONTH(EOMONTH($I68,-1)+1,$J68-1)),IF(NOT(ISBLANK($M68)),$M68/$J68,$H68/$J68),0),0)</f>
        <v>0</v>
      </c>
      <c r="AH68" s="287">
        <f>IFERROR(IF(AND(AH$33&gt;=EOMONTH($I68,-1)+1,AH$33&lt;=EOMONTH(EOMONTH($I68,-1)+1,$J68-1)),IF(NOT(ISBLANK($M68)),$M68/$J68,$H68/$J68),0),0)</f>
        <v>0</v>
      </c>
      <c r="AI68" s="440">
        <f t="shared" si="43"/>
        <v>0</v>
      </c>
      <c r="AJ68" s="116">
        <f t="shared" si="44"/>
        <v>0</v>
      </c>
      <c r="AK68" s="1354"/>
      <c r="AL68" s="1370"/>
      <c r="AM68" s="1411"/>
      <c r="AN68" s="1405">
        <f>L68*AM68</f>
        <v>0</v>
      </c>
      <c r="AO68" s="47">
        <f>B68</f>
        <v>0</v>
      </c>
      <c r="AP68" s="47">
        <f>A68</f>
        <v>0</v>
      </c>
      <c r="AQ68" s="62" t="s">
        <v>311</v>
      </c>
      <c r="AR68" s="508" t="str" cm="1">
        <f t="array" aca="1" ref="AR68" ca="1">IF(OR(AO68="",AO68=0),"",IF(SUMPRODUCT(($B$34:$B$83=AO68)*($R$34:$R$83="Previsto")*($T$33:$AH$33&lt;EOMONTH(TODAY(),-1)+1)*($T$34:$AH$83))=0,"",SUMPRODUCT(($B$34:$B$83=AO68)*($R$34:$R$83="Previsto")*($T$33:$AH$33&lt;EOMONTH(TODAY(),-1)+1)*($T$34:$AH$83))))</f>
        <v/>
      </c>
    </row>
    <row r="69" spans="1:44" ht="29.1" customHeight="1" x14ac:dyDescent="0.3">
      <c r="A69" s="1381"/>
      <c r="B69" s="1483"/>
      <c r="C69" s="1487"/>
      <c r="D69" s="1369"/>
      <c r="E69" s="1369"/>
      <c r="F69" s="1373"/>
      <c r="G69" s="1373"/>
      <c r="H69" s="1406"/>
      <c r="I69" s="1377"/>
      <c r="J69" s="1390"/>
      <c r="K69" s="1355"/>
      <c r="L69" s="1392"/>
      <c r="M69" s="1392"/>
      <c r="N69" s="1460"/>
      <c r="O69" s="1355"/>
      <c r="P69" s="1355"/>
      <c r="Q69" s="1328"/>
      <c r="R69" s="91" t="s">
        <v>117</v>
      </c>
      <c r="S69" s="455">
        <v>0</v>
      </c>
      <c r="T69" s="287"/>
      <c r="U69" s="287"/>
      <c r="V69" s="287"/>
      <c r="W69" s="440">
        <f t="shared" si="32"/>
        <v>0</v>
      </c>
      <c r="X69" s="287"/>
      <c r="Y69" s="287"/>
      <c r="Z69" s="287"/>
      <c r="AA69" s="440">
        <f t="shared" si="33"/>
        <v>0</v>
      </c>
      <c r="AB69" s="287"/>
      <c r="AC69" s="287"/>
      <c r="AD69" s="287"/>
      <c r="AE69" s="440">
        <f t="shared" si="34"/>
        <v>0</v>
      </c>
      <c r="AF69" s="287"/>
      <c r="AG69" s="287"/>
      <c r="AH69" s="287"/>
      <c r="AI69" s="440">
        <f t="shared" si="43"/>
        <v>0</v>
      </c>
      <c r="AJ69" s="454">
        <f t="shared" si="44"/>
        <v>0</v>
      </c>
      <c r="AK69" s="1355"/>
      <c r="AL69" s="1371"/>
      <c r="AM69" s="1412"/>
      <c r="AN69" s="1406"/>
      <c r="AO69" s="47">
        <f>B68</f>
        <v>0</v>
      </c>
      <c r="AP69" s="47">
        <f>A68</f>
        <v>0</v>
      </c>
      <c r="AQ69" s="62" t="s">
        <v>313</v>
      </c>
      <c r="AR69" s="508" t="str" cm="1">
        <f t="array" aca="1" ref="AR69" ca="1">IF(OR(AO68="",AO68=0),"",IF(SUMPRODUCT(($B$34:$B$83=AO68)*(ISNUMBER(SEARCH("Real",$Q$35:$Q$84)))*($T$33:$AH$33&lt;EOMONTH(TODAY(),-1)+1)*($T$35:$AH$84))=0,"",SUMPRODUCT(($B$34:$B$83=AO68)*(ISNUMBER(SEARCH("Real",$Q$35:$Q$84)))*($T$33:$AH$33&lt;EOMONTH(TODAY(),-1)+1)*($T$35:$AH$84))))</f>
        <v/>
      </c>
    </row>
    <row r="70" spans="1:44" ht="29.1" customHeight="1" x14ac:dyDescent="0.3">
      <c r="A70" s="1407"/>
      <c r="B70" s="1465"/>
      <c r="C70" s="1356"/>
      <c r="D70" s="1449"/>
      <c r="E70" s="1449"/>
      <c r="F70" s="1366"/>
      <c r="G70" s="1366"/>
      <c r="H70" s="1488"/>
      <c r="I70" s="1749"/>
      <c r="J70" s="1387" t="str">
        <f t="shared" ref="J70" si="47">IF(I70="", "", 12 - MONTH(I70) + 1)</f>
        <v/>
      </c>
      <c r="K70" s="1395"/>
      <c r="L70" s="1393"/>
      <c r="M70" s="2155"/>
      <c r="N70" s="1352"/>
      <c r="O70" s="1352"/>
      <c r="P70" s="1352"/>
      <c r="Q70" s="1334"/>
      <c r="R70" s="96" t="s">
        <v>116</v>
      </c>
      <c r="S70" s="96">
        <v>0</v>
      </c>
      <c r="T70" s="498">
        <f>IFERROR(IF(AND(T$33&gt;=EOMONTH($I70,-1)+1,T$33&lt;=EOMONTH(EOMONTH($I70,-1)+1,$J70-1)),IF(NOT(ISBLANK($M70)),$M70/$J70,$H70/$J70),0),0)</f>
        <v>0</v>
      </c>
      <c r="U70" s="498">
        <f>IFERROR(IF(AND(U$33&gt;=EOMONTH($I70,-1)+1,U$33&lt;=EOMONTH(EOMONTH($I70,-1)+1,$J70-1)),IF(NOT(ISBLANK($M70)),$M70/$J70,$H70/$J70),0),0)</f>
        <v>0</v>
      </c>
      <c r="V70" s="498">
        <f>IFERROR(IF(AND(V$33&gt;=EOMONTH($I70,-1)+1,V$33&lt;=EOMONTH(EOMONTH($I70,-1)+1,$J70-1)),IF(NOT(ISBLANK($M70)),$M70/$J70,$H70/$J70),0),0)</f>
        <v>0</v>
      </c>
      <c r="W70" s="440">
        <f t="shared" si="32"/>
        <v>0</v>
      </c>
      <c r="X70" s="498">
        <f>IFERROR(IF(AND(X$33&gt;=EOMONTH($I70,-1)+1,X$33&lt;=EOMONTH(EOMONTH($I70,-1)+1,$J70-1)),IF(NOT(ISBLANK($M70)),$M70/$J70,$H70/$J70),0),0)</f>
        <v>0</v>
      </c>
      <c r="Y70" s="498">
        <f>IFERROR(IF(AND(Y$33&gt;=EOMONTH($I70,-1)+1,Y$33&lt;=EOMONTH(EOMONTH($I70,-1)+1,$J70-1)),IF(NOT(ISBLANK($M70)),$M70/$J70,$H70/$J70),0),0)</f>
        <v>0</v>
      </c>
      <c r="Z70" s="498">
        <f>IFERROR(IF(AND(Z$33&gt;=EOMONTH($I70,-1)+1,Z$33&lt;=EOMONTH(EOMONTH($I70,-1)+1,$J70-1)),IF(NOT(ISBLANK($M70)),$M70/$J70,$H70/$J70),0),0)</f>
        <v>0</v>
      </c>
      <c r="AA70" s="440">
        <f t="shared" si="33"/>
        <v>0</v>
      </c>
      <c r="AB70" s="498">
        <f>IFERROR(IF(AND(AB$33&gt;=EOMONTH($I70,-1)+1,AB$33&lt;=EOMONTH(EOMONTH($I70,-1)+1,$J70-1)),IF(NOT(ISBLANK($M70)),$M70/$J70,$H70/$J70),0),0)</f>
        <v>0</v>
      </c>
      <c r="AC70" s="498">
        <f>IFERROR(IF(AND(AC$33&gt;=EOMONTH($I70,-1)+1,AC$33&lt;=EOMONTH(EOMONTH($I70,-1)+1,$J70-1)),IF(NOT(ISBLANK($M70)),$M70/$J70,$H70/$J70),0),0)</f>
        <v>0</v>
      </c>
      <c r="AD70" s="498">
        <f>IFERROR(IF(AND(AD$33&gt;=EOMONTH($I70,-1)+1,AD$33&lt;=EOMONTH(EOMONTH($I70,-1)+1,$J70-1)),IF(NOT(ISBLANK($M70)),$M70/$J70,$H70/$J70),0),0)</f>
        <v>0</v>
      </c>
      <c r="AE70" s="440">
        <f t="shared" si="34"/>
        <v>0</v>
      </c>
      <c r="AF70" s="498">
        <f>IFERROR(IF(AND(AF$33&gt;=EOMONTH($I70,-1)+1,AF$33&lt;=EOMONTH(EOMONTH($I70,-1)+1,$J70-1)),IF(NOT(ISBLANK($M70)),$M70/$J70,$H70/$J70),0),0)</f>
        <v>0</v>
      </c>
      <c r="AG70" s="498">
        <f>IFERROR(IF(AND(AG$33&gt;=EOMONTH($I70,-1)+1,AG$33&lt;=EOMONTH(EOMONTH($I70,-1)+1,$J70-1)),IF(NOT(ISBLANK($M70)),$M70/$J70,$H70/$J70),0),0)</f>
        <v>0</v>
      </c>
      <c r="AH70" s="498">
        <f>IFERROR(IF(AND(AH$33&gt;=EOMONTH($I70,-1)+1,AH$33&lt;=EOMONTH(EOMONTH($I70,-1)+1,$J70-1)),IF(NOT(ISBLANK($M70)),$M70/$J70,$H70/$J70),0),0)</f>
        <v>0</v>
      </c>
      <c r="AI70" s="440">
        <f t="shared" si="43"/>
        <v>0</v>
      </c>
      <c r="AJ70" s="94">
        <f t="shared" si="44"/>
        <v>0</v>
      </c>
      <c r="AK70" s="1488"/>
      <c r="AL70" s="1407"/>
      <c r="AM70" s="1334"/>
      <c r="AN70" s="1403">
        <f>L70*AM70</f>
        <v>0</v>
      </c>
      <c r="AO70" s="47">
        <f>B70</f>
        <v>0</v>
      </c>
      <c r="AP70" s="47">
        <f>A70</f>
        <v>0</v>
      </c>
      <c r="AQ70" s="62" t="s">
        <v>311</v>
      </c>
      <c r="AR70" s="508" t="str" cm="1">
        <f t="array" aca="1" ref="AR70" ca="1">IF(OR(AO70="",AO70=0),"",IF(SUMPRODUCT(($B$34:$B$83=AO70)*($R$34:$R$83="Previsto")*($T$33:$AH$33&lt;EOMONTH(TODAY(),-1)+1)*($T$34:$AH$83))=0,"",SUMPRODUCT(($B$34:$B$83=AO70)*($R$34:$R$83="Previsto")*($T$33:$AH$33&lt;EOMONTH(TODAY(),-1)+1)*($T$34:$AH$83))))</f>
        <v/>
      </c>
    </row>
    <row r="71" spans="1:44" ht="29.1" customHeight="1" x14ac:dyDescent="0.3">
      <c r="A71" s="1408"/>
      <c r="B71" s="1466"/>
      <c r="C71" s="1455"/>
      <c r="D71" s="1450"/>
      <c r="E71" s="1450"/>
      <c r="F71" s="1513"/>
      <c r="G71" s="1513"/>
      <c r="H71" s="1367"/>
      <c r="I71" s="1750"/>
      <c r="J71" s="1388"/>
      <c r="K71" s="1396"/>
      <c r="L71" s="1394"/>
      <c r="M71" s="2156"/>
      <c r="N71" s="1353"/>
      <c r="O71" s="1353"/>
      <c r="P71" s="1353"/>
      <c r="Q71" s="1330"/>
      <c r="R71" s="96" t="s">
        <v>117</v>
      </c>
      <c r="S71" s="456">
        <v>0</v>
      </c>
      <c r="T71" s="457"/>
      <c r="U71" s="457"/>
      <c r="V71" s="290"/>
      <c r="W71" s="440">
        <f t="shared" si="32"/>
        <v>0</v>
      </c>
      <c r="X71" s="457"/>
      <c r="Y71" s="457"/>
      <c r="Z71" s="290"/>
      <c r="AA71" s="440">
        <f t="shared" si="33"/>
        <v>0</v>
      </c>
      <c r="AB71" s="457"/>
      <c r="AC71" s="457"/>
      <c r="AD71" s="290"/>
      <c r="AE71" s="440">
        <f t="shared" si="34"/>
        <v>0</v>
      </c>
      <c r="AF71" s="457"/>
      <c r="AG71" s="457"/>
      <c r="AH71" s="290"/>
      <c r="AI71" s="440">
        <f t="shared" si="43"/>
        <v>0</v>
      </c>
      <c r="AJ71" s="94">
        <f t="shared" si="44"/>
        <v>0</v>
      </c>
      <c r="AK71" s="1367"/>
      <c r="AL71" s="1408"/>
      <c r="AM71" s="1330"/>
      <c r="AN71" s="1404"/>
      <c r="AO71" s="47">
        <f>B70</f>
        <v>0</v>
      </c>
      <c r="AP71" s="47">
        <f>A70</f>
        <v>0</v>
      </c>
      <c r="AQ71" s="62" t="s">
        <v>313</v>
      </c>
      <c r="AR71" s="508" t="str" cm="1">
        <f t="array" aca="1" ref="AR71" ca="1">IF(OR(AO70="",AO70=0),"",IF(SUMPRODUCT(($B$34:$B$83=AO70)*(ISNUMBER(SEARCH("Real",$Q$35:$Q$84)))*($T$33:$AH$33&lt;EOMONTH(TODAY(),-1)+1)*($T$35:$AH$84))=0,"",SUMPRODUCT(($B$34:$B$83=AO70)*(ISNUMBER(SEARCH("Real",$Q$35:$Q$84)))*($T$33:$AH$33&lt;EOMONTH(TODAY(),-1)+1)*($T$35:$AH$84))))</f>
        <v/>
      </c>
    </row>
    <row r="72" spans="1:44" ht="29.1" customHeight="1" x14ac:dyDescent="0.3">
      <c r="A72" s="1380"/>
      <c r="B72" s="1482"/>
      <c r="C72" s="1486"/>
      <c r="D72" s="1368"/>
      <c r="E72" s="1368"/>
      <c r="F72" s="1372"/>
      <c r="G72" s="1372"/>
      <c r="H72" s="1405"/>
      <c r="I72" s="1376"/>
      <c r="J72" s="1389" t="str">
        <f t="shared" ref="J72" si="48">IF(I72="", "", 12 - MONTH(I72) + 1)</f>
        <v/>
      </c>
      <c r="K72" s="1354"/>
      <c r="L72" s="1861"/>
      <c r="M72" s="1861"/>
      <c r="N72" s="1350"/>
      <c r="O72" s="1354"/>
      <c r="P72" s="1354"/>
      <c r="Q72" s="1327"/>
      <c r="R72" s="91" t="s">
        <v>116</v>
      </c>
      <c r="S72" s="91">
        <v>0</v>
      </c>
      <c r="T72" s="287">
        <f>IFERROR(IF(AND(T$33&gt;=EOMONTH($I72,-1)+1,T$33&lt;=EOMONTH(EOMONTH($I72,-1)+1,$J72-1)),IF(NOT(ISBLANK($M72)),$M72/$J72,$H72/$J72),0),0)</f>
        <v>0</v>
      </c>
      <c r="U72" s="287">
        <f>IFERROR(IF(AND(U$33&gt;=EOMONTH($I72,-1)+1,U$33&lt;=EOMONTH(EOMONTH($I72,-1)+1,$J72-1)),IF(NOT(ISBLANK($M72)),$M72/$J72,$H72/$J72),0),0)</f>
        <v>0</v>
      </c>
      <c r="V72" s="287">
        <f>IFERROR(IF(AND(V$33&gt;=EOMONTH($I72,-1)+1,V$33&lt;=EOMONTH(EOMONTH($I72,-1)+1,$J72-1)),IF(NOT(ISBLANK($M72)),$M72/$J72,$H72/$J72),0),0)</f>
        <v>0</v>
      </c>
      <c r="W72" s="440">
        <f t="shared" si="32"/>
        <v>0</v>
      </c>
      <c r="X72" s="287">
        <f>IFERROR(IF(AND(X$33&gt;=EOMONTH($I72,-1)+1,X$33&lt;=EOMONTH(EOMONTH($I72,-1)+1,$J72-1)),IF(NOT(ISBLANK($M72)),$M72/$J72,$H72/$J72),0),0)</f>
        <v>0</v>
      </c>
      <c r="Y72" s="287">
        <f>IFERROR(IF(AND(Y$33&gt;=EOMONTH($I72,-1)+1,Y$33&lt;=EOMONTH(EOMONTH($I72,-1)+1,$J72-1)),IF(NOT(ISBLANK($M72)),$M72/$J72,$H72/$J72),0),0)</f>
        <v>0</v>
      </c>
      <c r="Z72" s="287">
        <f>IFERROR(IF(AND(Z$33&gt;=EOMONTH($I72,-1)+1,Z$33&lt;=EOMONTH(EOMONTH($I72,-1)+1,$J72-1)),IF(NOT(ISBLANK($M72)),$M72/$J72,$H72/$J72),0),0)</f>
        <v>0</v>
      </c>
      <c r="AA72" s="440">
        <f t="shared" si="33"/>
        <v>0</v>
      </c>
      <c r="AB72" s="287">
        <f>IFERROR(IF(AND(AB$33&gt;=EOMONTH($I72,-1)+1,AB$33&lt;=EOMONTH(EOMONTH($I72,-1)+1,$J72-1)),IF(NOT(ISBLANK($M72)),$M72/$J72,$H72/$J72),0),0)</f>
        <v>0</v>
      </c>
      <c r="AC72" s="287">
        <f>IFERROR(IF(AND(AC$33&gt;=EOMONTH($I72,-1)+1,AC$33&lt;=EOMONTH(EOMONTH($I72,-1)+1,$J72-1)),IF(NOT(ISBLANK($M72)),$M72/$J72,$H72/$J72),0),0)</f>
        <v>0</v>
      </c>
      <c r="AD72" s="287">
        <f>IFERROR(IF(AND(AD$33&gt;=EOMONTH($I72,-1)+1,AD$33&lt;=EOMONTH(EOMONTH($I72,-1)+1,$J72-1)),IF(NOT(ISBLANK($M72)),$M72/$J72,$H72/$J72),0),0)</f>
        <v>0</v>
      </c>
      <c r="AE72" s="440">
        <f t="shared" si="34"/>
        <v>0</v>
      </c>
      <c r="AF72" s="287">
        <f>IFERROR(IF(AND(AF$33&gt;=EOMONTH($I72,-1)+1,AF$33&lt;=EOMONTH(EOMONTH($I72,-1)+1,$J72-1)),IF(NOT(ISBLANK($M72)),$M72/$J72,$H72/$J72),0),0)</f>
        <v>0</v>
      </c>
      <c r="AG72" s="287">
        <f>IFERROR(IF(AND(AG$33&gt;=EOMONTH($I72,-1)+1,AG$33&lt;=EOMONTH(EOMONTH($I72,-1)+1,$J72-1)),IF(NOT(ISBLANK($M72)),$M72/$J72,$H72/$J72),0),0)</f>
        <v>0</v>
      </c>
      <c r="AH72" s="287">
        <f>IFERROR(IF(AND(AH$33&gt;=EOMONTH($I72,-1)+1,AH$33&lt;=EOMONTH(EOMONTH($I72,-1)+1,$J72-1)),IF(NOT(ISBLANK($M72)),$M72/$J72,$H72/$J72),0),0)</f>
        <v>0</v>
      </c>
      <c r="AI72" s="440">
        <f t="shared" si="43"/>
        <v>0</v>
      </c>
      <c r="AJ72" s="116">
        <f t="shared" si="44"/>
        <v>0</v>
      </c>
      <c r="AK72" s="1354"/>
      <c r="AL72" s="1370"/>
      <c r="AM72" s="1411"/>
      <c r="AN72" s="1405">
        <f>L72*AM72</f>
        <v>0</v>
      </c>
      <c r="AO72" s="47">
        <f>B72</f>
        <v>0</v>
      </c>
      <c r="AP72" s="47">
        <f>A72</f>
        <v>0</v>
      </c>
      <c r="AQ72" s="62" t="s">
        <v>311</v>
      </c>
      <c r="AR72" s="508" t="str" cm="1">
        <f t="array" aca="1" ref="AR72" ca="1">IF(OR(AO72="",AO72=0),"",IF(SUMPRODUCT(($B$34:$B$83=AO72)*($R$34:$R$83="Previsto")*($T$33:$AH$33&lt;EOMONTH(TODAY(),-1)+1)*($T$34:$AH$83))=0,"",SUMPRODUCT(($B$34:$B$83=AO72)*($R$34:$R$83="Previsto")*($T$33:$AH$33&lt;EOMONTH(TODAY(),-1)+1)*($T$34:$AH$83))))</f>
        <v/>
      </c>
    </row>
    <row r="73" spans="1:44" ht="29.1" customHeight="1" x14ac:dyDescent="0.3">
      <c r="A73" s="1381"/>
      <c r="B73" s="1483"/>
      <c r="C73" s="1487"/>
      <c r="D73" s="1369"/>
      <c r="E73" s="1369"/>
      <c r="F73" s="1373"/>
      <c r="G73" s="1373"/>
      <c r="H73" s="1406"/>
      <c r="I73" s="1377"/>
      <c r="J73" s="1390"/>
      <c r="K73" s="1355"/>
      <c r="L73" s="1392"/>
      <c r="M73" s="1392"/>
      <c r="N73" s="1460"/>
      <c r="O73" s="1355"/>
      <c r="P73" s="1355"/>
      <c r="Q73" s="1328"/>
      <c r="R73" s="91" t="s">
        <v>117</v>
      </c>
      <c r="S73" s="455">
        <v>0</v>
      </c>
      <c r="T73" s="287"/>
      <c r="U73" s="287"/>
      <c r="V73" s="287"/>
      <c r="W73" s="440">
        <f t="shared" si="32"/>
        <v>0</v>
      </c>
      <c r="X73" s="287"/>
      <c r="Y73" s="287"/>
      <c r="Z73" s="287"/>
      <c r="AA73" s="440">
        <f t="shared" si="33"/>
        <v>0</v>
      </c>
      <c r="AB73" s="287"/>
      <c r="AC73" s="287"/>
      <c r="AD73" s="287"/>
      <c r="AE73" s="440">
        <f t="shared" si="34"/>
        <v>0</v>
      </c>
      <c r="AF73" s="287"/>
      <c r="AG73" s="287"/>
      <c r="AH73" s="287"/>
      <c r="AI73" s="440">
        <f t="shared" si="43"/>
        <v>0</v>
      </c>
      <c r="AJ73" s="454">
        <f t="shared" si="44"/>
        <v>0</v>
      </c>
      <c r="AK73" s="1355"/>
      <c r="AL73" s="1371"/>
      <c r="AM73" s="1412"/>
      <c r="AN73" s="1406"/>
      <c r="AO73" s="47">
        <f>B72</f>
        <v>0</v>
      </c>
      <c r="AP73" s="47">
        <f>A72</f>
        <v>0</v>
      </c>
      <c r="AQ73" s="62" t="s">
        <v>313</v>
      </c>
      <c r="AR73" s="508" t="str" cm="1">
        <f t="array" aca="1" ref="AR73" ca="1">IF(OR(AO72="",AO72=0),"",IF(SUMPRODUCT(($B$34:$B$83=AO72)*(ISNUMBER(SEARCH("Real",$Q$35:$Q$84)))*($T$33:$AH$33&lt;EOMONTH(TODAY(),-1)+1)*($T$35:$AH$84))=0,"",SUMPRODUCT(($B$34:$B$83=AO72)*(ISNUMBER(SEARCH("Real",$Q$35:$Q$84)))*($T$33:$AH$33&lt;EOMONTH(TODAY(),-1)+1)*($T$35:$AH$84))))</f>
        <v/>
      </c>
    </row>
    <row r="74" spans="1:44" ht="29.1" customHeight="1" x14ac:dyDescent="0.3">
      <c r="A74" s="1407"/>
      <c r="B74" s="1465"/>
      <c r="C74" s="1356"/>
      <c r="D74" s="1449"/>
      <c r="E74" s="1449"/>
      <c r="F74" s="1366"/>
      <c r="G74" s="1366"/>
      <c r="H74" s="1488"/>
      <c r="I74" s="1749"/>
      <c r="J74" s="1387" t="str">
        <f t="shared" ref="J74" si="49">IF(I74="", "", 12 - MONTH(I74) + 1)</f>
        <v/>
      </c>
      <c r="K74" s="1395"/>
      <c r="L74" s="1393"/>
      <c r="M74" s="2155"/>
      <c r="N74" s="1352"/>
      <c r="O74" s="1352"/>
      <c r="P74" s="1352"/>
      <c r="Q74" s="1334"/>
      <c r="R74" s="96" t="s">
        <v>116</v>
      </c>
      <c r="S74" s="96">
        <v>0</v>
      </c>
      <c r="T74" s="498">
        <f>IFERROR(IF(AND(T$33&gt;=EOMONTH($I74,-1)+1,T$33&lt;=EOMONTH(EOMONTH($I74,-1)+1,$J74-1)),IF(NOT(ISBLANK($M74)),$M74/$J74,$H74/$J74),0),0)</f>
        <v>0</v>
      </c>
      <c r="U74" s="498">
        <f>IFERROR(IF(AND(U$33&gt;=EOMONTH($I74,-1)+1,U$33&lt;=EOMONTH(EOMONTH($I74,-1)+1,$J74-1)),IF(NOT(ISBLANK($M74)),$M74/$J74,$H74/$J74),0),0)</f>
        <v>0</v>
      </c>
      <c r="V74" s="498">
        <f>IFERROR(IF(AND(V$33&gt;=EOMONTH($I74,-1)+1,V$33&lt;=EOMONTH(EOMONTH($I74,-1)+1,$J74-1)),IF(NOT(ISBLANK($M74)),$M74/$J74,$H74/$J74),0),0)</f>
        <v>0</v>
      </c>
      <c r="W74" s="440">
        <f t="shared" si="32"/>
        <v>0</v>
      </c>
      <c r="X74" s="498">
        <f>IFERROR(IF(AND(X$33&gt;=EOMONTH($I74,-1)+1,X$33&lt;=EOMONTH(EOMONTH($I74,-1)+1,$J74-1)),IF(NOT(ISBLANK($M74)),$M74/$J74,$H74/$J74),0),0)</f>
        <v>0</v>
      </c>
      <c r="Y74" s="498">
        <f>IFERROR(IF(AND(Y$33&gt;=EOMONTH($I74,-1)+1,Y$33&lt;=EOMONTH(EOMONTH($I74,-1)+1,$J74-1)),IF(NOT(ISBLANK($M74)),$M74/$J74,$H74/$J74),0),0)</f>
        <v>0</v>
      </c>
      <c r="Z74" s="498">
        <f>IFERROR(IF(AND(Z$33&gt;=EOMONTH($I74,-1)+1,Z$33&lt;=EOMONTH(EOMONTH($I74,-1)+1,$J74-1)),IF(NOT(ISBLANK($M74)),$M74/$J74,$H74/$J74),0),0)</f>
        <v>0</v>
      </c>
      <c r="AA74" s="440">
        <f t="shared" si="33"/>
        <v>0</v>
      </c>
      <c r="AB74" s="498">
        <f>IFERROR(IF(AND(AB$33&gt;=EOMONTH($I74,-1)+1,AB$33&lt;=EOMONTH(EOMONTH($I74,-1)+1,$J74-1)),IF(NOT(ISBLANK($M74)),$M74/$J74,$H74/$J74),0),0)</f>
        <v>0</v>
      </c>
      <c r="AC74" s="498">
        <f>IFERROR(IF(AND(AC$33&gt;=EOMONTH($I74,-1)+1,AC$33&lt;=EOMONTH(EOMONTH($I74,-1)+1,$J74-1)),IF(NOT(ISBLANK($M74)),$M74/$J74,$H74/$J74),0),0)</f>
        <v>0</v>
      </c>
      <c r="AD74" s="498">
        <f>IFERROR(IF(AND(AD$33&gt;=EOMONTH($I74,-1)+1,AD$33&lt;=EOMONTH(EOMONTH($I74,-1)+1,$J74-1)),IF(NOT(ISBLANK($M74)),$M74/$J74,$H74/$J74),0),0)</f>
        <v>0</v>
      </c>
      <c r="AE74" s="440">
        <f t="shared" si="34"/>
        <v>0</v>
      </c>
      <c r="AF74" s="498">
        <f>IFERROR(IF(AND(AF$33&gt;=EOMONTH($I74,-1)+1,AF$33&lt;=EOMONTH(EOMONTH($I74,-1)+1,$J74-1)),IF(NOT(ISBLANK($M74)),$M74/$J74,$H74/$J74),0),0)</f>
        <v>0</v>
      </c>
      <c r="AG74" s="498">
        <f>IFERROR(IF(AND(AG$33&gt;=EOMONTH($I74,-1)+1,AG$33&lt;=EOMONTH(EOMONTH($I74,-1)+1,$J74-1)),IF(NOT(ISBLANK($M74)),$M74/$J74,$H74/$J74),0),0)</f>
        <v>0</v>
      </c>
      <c r="AH74" s="498">
        <f>IFERROR(IF(AND(AH$33&gt;=EOMONTH($I74,-1)+1,AH$33&lt;=EOMONTH(EOMONTH($I74,-1)+1,$J74-1)),IF(NOT(ISBLANK($M74)),$M74/$J74,$H74/$J74),0),0)</f>
        <v>0</v>
      </c>
      <c r="AI74" s="440">
        <f t="shared" si="43"/>
        <v>0</v>
      </c>
      <c r="AJ74" s="94">
        <f t="shared" si="44"/>
        <v>0</v>
      </c>
      <c r="AK74" s="1488"/>
      <c r="AL74" s="1407"/>
      <c r="AM74" s="1334"/>
      <c r="AN74" s="1403">
        <f>L74*AM74</f>
        <v>0</v>
      </c>
      <c r="AO74" s="47">
        <f>B74</f>
        <v>0</v>
      </c>
      <c r="AP74" s="47">
        <f>A74</f>
        <v>0</v>
      </c>
      <c r="AQ74" s="62" t="s">
        <v>311</v>
      </c>
      <c r="AR74" s="508" t="str" cm="1">
        <f t="array" aca="1" ref="AR74" ca="1">IF(OR(AO74="",AO74=0),"",IF(SUMPRODUCT(($B$34:$B$83=AO74)*($R$34:$R$83="Previsto")*($T$33:$AH$33&lt;EOMONTH(TODAY(),-1)+1)*($T$34:$AH$83))=0,"",SUMPRODUCT(($B$34:$B$83=AO74)*($R$34:$R$83="Previsto")*($T$33:$AH$33&lt;EOMONTH(TODAY(),-1)+1)*($T$34:$AH$83))))</f>
        <v/>
      </c>
    </row>
    <row r="75" spans="1:44" ht="29.1" customHeight="1" x14ac:dyDescent="0.3">
      <c r="A75" s="1408"/>
      <c r="B75" s="1466"/>
      <c r="C75" s="1455"/>
      <c r="D75" s="1450"/>
      <c r="E75" s="1450"/>
      <c r="F75" s="1513"/>
      <c r="G75" s="1513"/>
      <c r="H75" s="1367"/>
      <c r="I75" s="1750"/>
      <c r="J75" s="1388"/>
      <c r="K75" s="1396"/>
      <c r="L75" s="1394"/>
      <c r="M75" s="2156"/>
      <c r="N75" s="1353"/>
      <c r="O75" s="1353"/>
      <c r="P75" s="1353"/>
      <c r="Q75" s="1330"/>
      <c r="R75" s="96" t="s">
        <v>117</v>
      </c>
      <c r="S75" s="456">
        <v>0</v>
      </c>
      <c r="T75" s="457"/>
      <c r="U75" s="457"/>
      <c r="V75" s="290"/>
      <c r="W75" s="440">
        <f t="shared" si="32"/>
        <v>0</v>
      </c>
      <c r="X75" s="457"/>
      <c r="Y75" s="457"/>
      <c r="Z75" s="290"/>
      <c r="AA75" s="440">
        <f t="shared" si="33"/>
        <v>0</v>
      </c>
      <c r="AB75" s="457"/>
      <c r="AC75" s="457"/>
      <c r="AD75" s="290"/>
      <c r="AE75" s="440">
        <f t="shared" si="34"/>
        <v>0</v>
      </c>
      <c r="AF75" s="457"/>
      <c r="AG75" s="457"/>
      <c r="AH75" s="290"/>
      <c r="AI75" s="440">
        <f t="shared" si="43"/>
        <v>0</v>
      </c>
      <c r="AJ75" s="94">
        <f t="shared" si="44"/>
        <v>0</v>
      </c>
      <c r="AK75" s="1367"/>
      <c r="AL75" s="1408"/>
      <c r="AM75" s="1330"/>
      <c r="AN75" s="1404"/>
      <c r="AO75" s="47">
        <f>B74</f>
        <v>0</v>
      </c>
      <c r="AP75" s="47">
        <f>A74</f>
        <v>0</v>
      </c>
      <c r="AQ75" s="62" t="s">
        <v>313</v>
      </c>
      <c r="AR75" s="508" t="str" cm="1">
        <f t="array" aca="1" ref="AR75" ca="1">IF(OR(AO74="",AO74=0),"",IF(SUMPRODUCT(($B$34:$B$83=AO74)*(ISNUMBER(SEARCH("Real",$Q$35:$Q$84)))*($T$33:$AH$33&lt;EOMONTH(TODAY(),-1)+1)*($T$35:$AH$84))=0,"",SUMPRODUCT(($B$34:$B$83=AO74)*(ISNUMBER(SEARCH("Real",$Q$35:$Q$84)))*($T$33:$AH$33&lt;EOMONTH(TODAY(),-1)+1)*($T$35:$AH$84))))</f>
        <v/>
      </c>
    </row>
    <row r="76" spans="1:44" ht="29.1" customHeight="1" x14ac:dyDescent="0.3">
      <c r="A76" s="1380"/>
      <c r="B76" s="1482"/>
      <c r="C76" s="1486"/>
      <c r="D76" s="1368"/>
      <c r="E76" s="1368"/>
      <c r="F76" s="1372"/>
      <c r="G76" s="1372"/>
      <c r="H76" s="1405"/>
      <c r="I76" s="1376"/>
      <c r="J76" s="1389" t="str">
        <f t="shared" ref="J76" si="50">IF(I76="", "", 12 - MONTH(I76) + 1)</f>
        <v/>
      </c>
      <c r="K76" s="1354"/>
      <c r="L76" s="1861"/>
      <c r="M76" s="1861"/>
      <c r="N76" s="1350"/>
      <c r="O76" s="1354"/>
      <c r="P76" s="1354"/>
      <c r="Q76" s="1327"/>
      <c r="R76" s="91" t="s">
        <v>116</v>
      </c>
      <c r="S76" s="91">
        <v>0</v>
      </c>
      <c r="T76" s="287">
        <f>IFERROR(IF(AND(T$33&gt;=EOMONTH($I76,-1)+1,T$33&lt;=EOMONTH(EOMONTH($I76,-1)+1,$J76-1)),IF(NOT(ISBLANK($M76)),$M76/$J76,$H76/$J76),0),0)</f>
        <v>0</v>
      </c>
      <c r="U76" s="287">
        <f>IFERROR(IF(AND(U$33&gt;=EOMONTH($I76,-1)+1,U$33&lt;=EOMONTH(EOMONTH($I76,-1)+1,$J76-1)),IF(NOT(ISBLANK($M76)),$M76/$J76,$H76/$J76),0),0)</f>
        <v>0</v>
      </c>
      <c r="V76" s="287">
        <f>IFERROR(IF(AND(V$33&gt;=EOMONTH($I76,-1)+1,V$33&lt;=EOMONTH(EOMONTH($I76,-1)+1,$J76-1)),IF(NOT(ISBLANK($M76)),$M76/$J76,$H76/$J76),0),0)</f>
        <v>0</v>
      </c>
      <c r="W76" s="440">
        <f t="shared" si="32"/>
        <v>0</v>
      </c>
      <c r="X76" s="287">
        <f>IFERROR(IF(AND(X$33&gt;=EOMONTH($I76,-1)+1,X$33&lt;=EOMONTH(EOMONTH($I76,-1)+1,$J76-1)),IF(NOT(ISBLANK($M76)),$M76/$J76,$H76/$J76),0),0)</f>
        <v>0</v>
      </c>
      <c r="Y76" s="287">
        <f>IFERROR(IF(AND(Y$33&gt;=EOMONTH($I76,-1)+1,Y$33&lt;=EOMONTH(EOMONTH($I76,-1)+1,$J76-1)),IF(NOT(ISBLANK($M76)),$M76/$J76,$H76/$J76),0),0)</f>
        <v>0</v>
      </c>
      <c r="Z76" s="287">
        <f>IFERROR(IF(AND(Z$33&gt;=EOMONTH($I76,-1)+1,Z$33&lt;=EOMONTH(EOMONTH($I76,-1)+1,$J76-1)),IF(NOT(ISBLANK($M76)),$M76/$J76,$H76/$J76),0),0)</f>
        <v>0</v>
      </c>
      <c r="AA76" s="440">
        <f t="shared" si="33"/>
        <v>0</v>
      </c>
      <c r="AB76" s="287">
        <f>IFERROR(IF(AND(AB$33&gt;=EOMONTH($I76,-1)+1,AB$33&lt;=EOMONTH(EOMONTH($I76,-1)+1,$J76-1)),IF(NOT(ISBLANK($M76)),$M76/$J76,$H76/$J76),0),0)</f>
        <v>0</v>
      </c>
      <c r="AC76" s="287">
        <f>IFERROR(IF(AND(AC$33&gt;=EOMONTH($I76,-1)+1,AC$33&lt;=EOMONTH(EOMONTH($I76,-1)+1,$J76-1)),IF(NOT(ISBLANK($M76)),$M76/$J76,$H76/$J76),0),0)</f>
        <v>0</v>
      </c>
      <c r="AD76" s="287">
        <f>IFERROR(IF(AND(AD$33&gt;=EOMONTH($I76,-1)+1,AD$33&lt;=EOMONTH(EOMONTH($I76,-1)+1,$J76-1)),IF(NOT(ISBLANK($M76)),$M76/$J76,$H76/$J76),0),0)</f>
        <v>0</v>
      </c>
      <c r="AE76" s="440">
        <f t="shared" si="34"/>
        <v>0</v>
      </c>
      <c r="AF76" s="287">
        <f>IFERROR(IF(AND(AF$33&gt;=EOMONTH($I76,-1)+1,AF$33&lt;=EOMONTH(EOMONTH($I76,-1)+1,$J76-1)),IF(NOT(ISBLANK($M76)),$M76/$J76,$H76/$J76),0),0)</f>
        <v>0</v>
      </c>
      <c r="AG76" s="287">
        <f>IFERROR(IF(AND(AG$33&gt;=EOMONTH($I76,-1)+1,AG$33&lt;=EOMONTH(EOMONTH($I76,-1)+1,$J76-1)),IF(NOT(ISBLANK($M76)),$M76/$J76,$H76/$J76),0),0)</f>
        <v>0</v>
      </c>
      <c r="AH76" s="287">
        <f>IFERROR(IF(AND(AH$33&gt;=EOMONTH($I76,-1)+1,AH$33&lt;=EOMONTH(EOMONTH($I76,-1)+1,$J76-1)),IF(NOT(ISBLANK($M76)),$M76/$J76,$H76/$J76),0),0)</f>
        <v>0</v>
      </c>
      <c r="AI76" s="440">
        <f t="shared" si="43"/>
        <v>0</v>
      </c>
      <c r="AJ76" s="116">
        <f t="shared" si="44"/>
        <v>0</v>
      </c>
      <c r="AK76" s="1354"/>
      <c r="AL76" s="1370"/>
      <c r="AM76" s="1411"/>
      <c r="AN76" s="1405">
        <f>L76*AM76</f>
        <v>0</v>
      </c>
      <c r="AO76" s="47">
        <f>B76</f>
        <v>0</v>
      </c>
      <c r="AP76" s="47">
        <f>A76</f>
        <v>0</v>
      </c>
      <c r="AQ76" s="62" t="s">
        <v>311</v>
      </c>
      <c r="AR76" s="508" t="str" cm="1">
        <f t="array" aca="1" ref="AR76" ca="1">IF(OR(AO76="",AO76=0),"",IF(SUMPRODUCT(($B$34:$B$83=AO76)*($R$34:$R$83="Previsto")*($T$33:$AH$33&lt;EOMONTH(TODAY(),-1)+1)*($T$34:$AH$83))=0,"",SUMPRODUCT(($B$34:$B$83=AO76)*($R$34:$R$83="Previsto")*($T$33:$AH$33&lt;EOMONTH(TODAY(),-1)+1)*($T$34:$AH$83))))</f>
        <v/>
      </c>
    </row>
    <row r="77" spans="1:44" ht="29.1" customHeight="1" x14ac:dyDescent="0.3">
      <c r="A77" s="1381"/>
      <c r="B77" s="1483"/>
      <c r="C77" s="1487"/>
      <c r="D77" s="1369"/>
      <c r="E77" s="1369"/>
      <c r="F77" s="1373"/>
      <c r="G77" s="1373"/>
      <c r="H77" s="1406"/>
      <c r="I77" s="1377"/>
      <c r="J77" s="1390"/>
      <c r="K77" s="1355"/>
      <c r="L77" s="1392"/>
      <c r="M77" s="1392"/>
      <c r="N77" s="1460"/>
      <c r="O77" s="1355"/>
      <c r="P77" s="1355"/>
      <c r="Q77" s="1328"/>
      <c r="R77" s="91" t="s">
        <v>117</v>
      </c>
      <c r="S77" s="455">
        <v>0</v>
      </c>
      <c r="T77" s="287"/>
      <c r="U77" s="287"/>
      <c r="V77" s="287"/>
      <c r="W77" s="440">
        <f t="shared" si="32"/>
        <v>0</v>
      </c>
      <c r="X77" s="287"/>
      <c r="Y77" s="287"/>
      <c r="Z77" s="287"/>
      <c r="AA77" s="440">
        <f t="shared" si="33"/>
        <v>0</v>
      </c>
      <c r="AB77" s="287"/>
      <c r="AC77" s="287"/>
      <c r="AD77" s="287"/>
      <c r="AE77" s="440">
        <f t="shared" si="34"/>
        <v>0</v>
      </c>
      <c r="AF77" s="287"/>
      <c r="AG77" s="287"/>
      <c r="AH77" s="287"/>
      <c r="AI77" s="440">
        <f t="shared" si="43"/>
        <v>0</v>
      </c>
      <c r="AJ77" s="454">
        <f t="shared" si="44"/>
        <v>0</v>
      </c>
      <c r="AK77" s="1355"/>
      <c r="AL77" s="1371"/>
      <c r="AM77" s="1412"/>
      <c r="AN77" s="1406"/>
      <c r="AO77" s="47">
        <f>B76</f>
        <v>0</v>
      </c>
      <c r="AP77" s="47">
        <f>A76</f>
        <v>0</v>
      </c>
      <c r="AQ77" s="62" t="s">
        <v>313</v>
      </c>
      <c r="AR77" s="508" t="str" cm="1">
        <f t="array" aca="1" ref="AR77" ca="1">IF(OR(AO76="",AO76=0),"",IF(SUMPRODUCT(($B$34:$B$83=AO76)*(ISNUMBER(SEARCH("Real",$Q$35:$Q$84)))*($T$33:$AH$33&lt;EOMONTH(TODAY(),-1)+1)*($T$35:$AH$84))=0,"",SUMPRODUCT(($B$34:$B$83=AO76)*(ISNUMBER(SEARCH("Real",$Q$35:$Q$84)))*($T$33:$AH$33&lt;EOMONTH(TODAY(),-1)+1)*($T$35:$AH$84))))</f>
        <v/>
      </c>
    </row>
    <row r="78" spans="1:44" ht="29.1" customHeight="1" x14ac:dyDescent="0.3">
      <c r="A78" s="1407"/>
      <c r="B78" s="1465"/>
      <c r="C78" s="1356"/>
      <c r="D78" s="1449"/>
      <c r="E78" s="1449"/>
      <c r="F78" s="1366"/>
      <c r="G78" s="1366"/>
      <c r="H78" s="1488"/>
      <c r="I78" s="1749"/>
      <c r="J78" s="1387" t="str">
        <f t="shared" ref="J78" si="51">IF(I78="", "", 12 - MONTH(I78) + 1)</f>
        <v/>
      </c>
      <c r="K78" s="1395"/>
      <c r="L78" s="1393"/>
      <c r="M78" s="2155"/>
      <c r="N78" s="1352"/>
      <c r="O78" s="1352"/>
      <c r="P78" s="1352"/>
      <c r="Q78" s="1334"/>
      <c r="R78" s="96" t="s">
        <v>116</v>
      </c>
      <c r="S78" s="96">
        <v>0</v>
      </c>
      <c r="T78" s="498">
        <f>IFERROR(IF(AND(T$33&gt;=EOMONTH($I78,-1)+1,T$33&lt;=EOMONTH(EOMONTH($I78,-1)+1,$J78-1)),IF(NOT(ISBLANK($M78)),$M78/$J78,$H78/$J78),0),0)</f>
        <v>0</v>
      </c>
      <c r="U78" s="498">
        <f>IFERROR(IF(AND(U$33&gt;=EOMONTH($I78,-1)+1,U$33&lt;=EOMONTH(EOMONTH($I78,-1)+1,$J78-1)),IF(NOT(ISBLANK($M78)),$M78/$J78,$H78/$J78),0),0)</f>
        <v>0</v>
      </c>
      <c r="V78" s="498">
        <f>IFERROR(IF(AND(V$33&gt;=EOMONTH($I78,-1)+1,V$33&lt;=EOMONTH(EOMONTH($I78,-1)+1,$J78-1)),IF(NOT(ISBLANK($M78)),$M78/$J78,$H78/$J78),0),0)</f>
        <v>0</v>
      </c>
      <c r="W78" s="440">
        <f t="shared" si="32"/>
        <v>0</v>
      </c>
      <c r="X78" s="498">
        <f>IFERROR(IF(AND(X$33&gt;=EOMONTH($I78,-1)+1,X$33&lt;=EOMONTH(EOMONTH($I78,-1)+1,$J78-1)),IF(NOT(ISBLANK($M78)),$M78/$J78,$H78/$J78),0),0)</f>
        <v>0</v>
      </c>
      <c r="Y78" s="498">
        <f>IFERROR(IF(AND(Y$33&gt;=EOMONTH($I78,-1)+1,Y$33&lt;=EOMONTH(EOMONTH($I78,-1)+1,$J78-1)),IF(NOT(ISBLANK($M78)),$M78/$J78,$H78/$J78),0),0)</f>
        <v>0</v>
      </c>
      <c r="Z78" s="498">
        <f>IFERROR(IF(AND(Z$33&gt;=EOMONTH($I78,-1)+1,Z$33&lt;=EOMONTH(EOMONTH($I78,-1)+1,$J78-1)),IF(NOT(ISBLANK($M78)),$M78/$J78,$H78/$J78),0),0)</f>
        <v>0</v>
      </c>
      <c r="AA78" s="440">
        <f t="shared" si="33"/>
        <v>0</v>
      </c>
      <c r="AB78" s="498">
        <f>IFERROR(IF(AND(AB$33&gt;=EOMONTH($I78,-1)+1,AB$33&lt;=EOMONTH(EOMONTH($I78,-1)+1,$J78-1)),IF(NOT(ISBLANK($M78)),$M78/$J78,$H78/$J78),0),0)</f>
        <v>0</v>
      </c>
      <c r="AC78" s="498">
        <f>IFERROR(IF(AND(AC$33&gt;=EOMONTH($I78,-1)+1,AC$33&lt;=EOMONTH(EOMONTH($I78,-1)+1,$J78-1)),IF(NOT(ISBLANK($M78)),$M78/$J78,$H78/$J78),0),0)</f>
        <v>0</v>
      </c>
      <c r="AD78" s="498">
        <f>IFERROR(IF(AND(AD$33&gt;=EOMONTH($I78,-1)+1,AD$33&lt;=EOMONTH(EOMONTH($I78,-1)+1,$J78-1)),IF(NOT(ISBLANK($M78)),$M78/$J78,$H78/$J78),0),0)</f>
        <v>0</v>
      </c>
      <c r="AE78" s="440">
        <f t="shared" si="34"/>
        <v>0</v>
      </c>
      <c r="AF78" s="498">
        <f>IFERROR(IF(AND(AF$33&gt;=EOMONTH($I78,-1)+1,AF$33&lt;=EOMONTH(EOMONTH($I78,-1)+1,$J78-1)),IF(NOT(ISBLANK($M78)),$M78/$J78,$H78/$J78),0),0)</f>
        <v>0</v>
      </c>
      <c r="AG78" s="498">
        <f>IFERROR(IF(AND(AG$33&gt;=EOMONTH($I78,-1)+1,AG$33&lt;=EOMONTH(EOMONTH($I78,-1)+1,$J78-1)),IF(NOT(ISBLANK($M78)),$M78/$J78,$H78/$J78),0),0)</f>
        <v>0</v>
      </c>
      <c r="AH78" s="498">
        <f>IFERROR(IF(AND(AH$33&gt;=EOMONTH($I78,-1)+1,AH$33&lt;=EOMONTH(EOMONTH($I78,-1)+1,$J78-1)),IF(NOT(ISBLANK($M78)),$M78/$J78,$H78/$J78),0),0)</f>
        <v>0</v>
      </c>
      <c r="AI78" s="440">
        <f t="shared" si="43"/>
        <v>0</v>
      </c>
      <c r="AJ78" s="94">
        <f t="shared" si="44"/>
        <v>0</v>
      </c>
      <c r="AK78" s="1488"/>
      <c r="AL78" s="1407"/>
      <c r="AM78" s="1334"/>
      <c r="AN78" s="1403">
        <f>L78*AM78</f>
        <v>0</v>
      </c>
      <c r="AO78" s="47">
        <f>B78</f>
        <v>0</v>
      </c>
      <c r="AP78" s="47">
        <f>A78</f>
        <v>0</v>
      </c>
      <c r="AQ78" s="62" t="s">
        <v>311</v>
      </c>
      <c r="AR78" s="508" t="str" cm="1">
        <f t="array" aca="1" ref="AR78" ca="1">IF(OR(AO78="",AO78=0),"",IF(SUMPRODUCT(($B$34:$B$83=AO78)*($R$34:$R$83="Previsto")*($T$33:$AH$33&lt;EOMONTH(TODAY(),-1)+1)*($T$34:$AH$83))=0,"",SUMPRODUCT(($B$34:$B$83=AO78)*($R$34:$R$83="Previsto")*($T$33:$AH$33&lt;EOMONTH(TODAY(),-1)+1)*($T$34:$AH$83))))</f>
        <v/>
      </c>
    </row>
    <row r="79" spans="1:44" ht="29.1" customHeight="1" x14ac:dyDescent="0.3">
      <c r="A79" s="1408"/>
      <c r="B79" s="1466"/>
      <c r="C79" s="1455"/>
      <c r="D79" s="1450"/>
      <c r="E79" s="1450"/>
      <c r="F79" s="1513"/>
      <c r="G79" s="1513"/>
      <c r="H79" s="1367"/>
      <c r="I79" s="1750"/>
      <c r="J79" s="1388"/>
      <c r="K79" s="1396"/>
      <c r="L79" s="1394"/>
      <c r="M79" s="2156"/>
      <c r="N79" s="1353"/>
      <c r="O79" s="1353"/>
      <c r="P79" s="1353"/>
      <c r="Q79" s="1330"/>
      <c r="R79" s="96" t="s">
        <v>117</v>
      </c>
      <c r="S79" s="456">
        <v>0</v>
      </c>
      <c r="T79" s="457"/>
      <c r="U79" s="457"/>
      <c r="V79" s="290"/>
      <c r="W79" s="440">
        <f t="shared" si="32"/>
        <v>0</v>
      </c>
      <c r="X79" s="457"/>
      <c r="Y79" s="457"/>
      <c r="Z79" s="290"/>
      <c r="AA79" s="440">
        <f t="shared" si="33"/>
        <v>0</v>
      </c>
      <c r="AB79" s="457"/>
      <c r="AC79" s="457"/>
      <c r="AD79" s="290"/>
      <c r="AE79" s="440">
        <f t="shared" si="34"/>
        <v>0</v>
      </c>
      <c r="AF79" s="457"/>
      <c r="AG79" s="457"/>
      <c r="AH79" s="290"/>
      <c r="AI79" s="440">
        <f t="shared" si="43"/>
        <v>0</v>
      </c>
      <c r="AJ79" s="94">
        <f t="shared" si="44"/>
        <v>0</v>
      </c>
      <c r="AK79" s="1367"/>
      <c r="AL79" s="1408"/>
      <c r="AM79" s="1330"/>
      <c r="AN79" s="1404"/>
      <c r="AO79" s="47">
        <f>B78</f>
        <v>0</v>
      </c>
      <c r="AP79" s="47">
        <f>A78</f>
        <v>0</v>
      </c>
      <c r="AQ79" s="62" t="s">
        <v>313</v>
      </c>
      <c r="AR79" s="508" t="str" cm="1">
        <f t="array" aca="1" ref="AR79" ca="1">IF(OR(AO78="",AO78=0),"",IF(SUMPRODUCT(($B$34:$B$83=AO78)*(ISNUMBER(SEARCH("Real",$Q$35:$Q$84)))*($T$33:$AH$33&lt;EOMONTH(TODAY(),-1)+1)*($T$35:$AH$84))=0,"",SUMPRODUCT(($B$34:$B$83=AO78)*(ISNUMBER(SEARCH("Real",$Q$35:$Q$84)))*($T$33:$AH$33&lt;EOMONTH(TODAY(),-1)+1)*($T$35:$AH$84))))</f>
        <v/>
      </c>
    </row>
    <row r="80" spans="1:44" ht="29.1" customHeight="1" x14ac:dyDescent="0.3">
      <c r="A80" s="1380"/>
      <c r="B80" s="1482"/>
      <c r="C80" s="1486"/>
      <c r="D80" s="1368"/>
      <c r="E80" s="1368"/>
      <c r="F80" s="1372"/>
      <c r="G80" s="1372"/>
      <c r="H80" s="1405"/>
      <c r="I80" s="1376"/>
      <c r="J80" s="1389" t="str">
        <f t="shared" ref="J80" si="52">IF(I80="", "", 12 - MONTH(I80) + 1)</f>
        <v/>
      </c>
      <c r="K80" s="1354"/>
      <c r="L80" s="1861"/>
      <c r="M80" s="1861"/>
      <c r="N80" s="1350"/>
      <c r="O80" s="1354"/>
      <c r="P80" s="1354"/>
      <c r="Q80" s="1327"/>
      <c r="R80" s="91" t="s">
        <v>116</v>
      </c>
      <c r="S80" s="91">
        <v>0</v>
      </c>
      <c r="T80" s="287">
        <f>IFERROR(IF(AND(T$33&gt;=EOMONTH($I80,-1)+1,T$33&lt;=EOMONTH(EOMONTH($I80,-1)+1,$J80-1)),IF(NOT(ISBLANK($M80)),$M80/$J80,$H80/$J80),0),0)</f>
        <v>0</v>
      </c>
      <c r="U80" s="287">
        <f>IFERROR(IF(AND(U$33&gt;=EOMONTH($I80,-1)+1,U$33&lt;=EOMONTH(EOMONTH($I80,-1)+1,$J80-1)),IF(NOT(ISBLANK($M80)),$M80/$J80,$H80/$J80),0),0)</f>
        <v>0</v>
      </c>
      <c r="V80" s="287">
        <f>IFERROR(IF(AND(V$33&gt;=EOMONTH($I80,-1)+1,V$33&lt;=EOMONTH(EOMONTH($I80,-1)+1,$J80-1)),IF(NOT(ISBLANK($M80)),$M80/$J80,$H80/$J80),0),0)</f>
        <v>0</v>
      </c>
      <c r="W80" s="440">
        <f t="shared" si="32"/>
        <v>0</v>
      </c>
      <c r="X80" s="287">
        <f>IFERROR(IF(AND(X$33&gt;=EOMONTH($I80,-1)+1,X$33&lt;=EOMONTH(EOMONTH($I80,-1)+1,$J80-1)),IF(NOT(ISBLANK($M80)),$M80/$J80,$H80/$J80),0),0)</f>
        <v>0</v>
      </c>
      <c r="Y80" s="287">
        <f>IFERROR(IF(AND(Y$33&gt;=EOMONTH($I80,-1)+1,Y$33&lt;=EOMONTH(EOMONTH($I80,-1)+1,$J80-1)),IF(NOT(ISBLANK($M80)),$M80/$J80,$H80/$J80),0),0)</f>
        <v>0</v>
      </c>
      <c r="Z80" s="287">
        <f>IFERROR(IF(AND(Z$33&gt;=EOMONTH($I80,-1)+1,Z$33&lt;=EOMONTH(EOMONTH($I80,-1)+1,$J80-1)),IF(NOT(ISBLANK($M80)),$M80/$J80,$H80/$J80),0),0)</f>
        <v>0</v>
      </c>
      <c r="AA80" s="440">
        <f t="shared" si="33"/>
        <v>0</v>
      </c>
      <c r="AB80" s="287">
        <f>IFERROR(IF(AND(AB$33&gt;=EOMONTH($I80,-1)+1,AB$33&lt;=EOMONTH(EOMONTH($I80,-1)+1,$J80-1)),IF(NOT(ISBLANK($M80)),$M80/$J80,$H80/$J80),0),0)</f>
        <v>0</v>
      </c>
      <c r="AC80" s="287">
        <f>IFERROR(IF(AND(AC$33&gt;=EOMONTH($I80,-1)+1,AC$33&lt;=EOMONTH(EOMONTH($I80,-1)+1,$J80-1)),IF(NOT(ISBLANK($M80)),$M80/$J80,$H80/$J80),0),0)</f>
        <v>0</v>
      </c>
      <c r="AD80" s="287">
        <f>IFERROR(IF(AND(AD$33&gt;=EOMONTH($I80,-1)+1,AD$33&lt;=EOMONTH(EOMONTH($I80,-1)+1,$J80-1)),IF(NOT(ISBLANK($M80)),$M80/$J80,$H80/$J80),0),0)</f>
        <v>0</v>
      </c>
      <c r="AE80" s="440">
        <f t="shared" si="34"/>
        <v>0</v>
      </c>
      <c r="AF80" s="287">
        <f>IFERROR(IF(AND(AF$33&gt;=EOMONTH($I80,-1)+1,AF$33&lt;=EOMONTH(EOMONTH($I80,-1)+1,$J80-1)),IF(NOT(ISBLANK($M80)),$M80/$J80,$H80/$J80),0),0)</f>
        <v>0</v>
      </c>
      <c r="AG80" s="287">
        <f>IFERROR(IF(AND(AG$33&gt;=EOMONTH($I80,-1)+1,AG$33&lt;=EOMONTH(EOMONTH($I80,-1)+1,$J80-1)),IF(NOT(ISBLANK($M80)),$M80/$J80,$H80/$J80),0),0)</f>
        <v>0</v>
      </c>
      <c r="AH80" s="287">
        <f>IFERROR(IF(AND(AH$33&gt;=EOMONTH($I80,-1)+1,AH$33&lt;=EOMONTH(EOMONTH($I80,-1)+1,$J80-1)),IF(NOT(ISBLANK($M80)),$M80/$J80,$H80/$J80),0),0)</f>
        <v>0</v>
      </c>
      <c r="AI80" s="440">
        <f t="shared" si="43"/>
        <v>0</v>
      </c>
      <c r="AJ80" s="116">
        <f t="shared" si="44"/>
        <v>0</v>
      </c>
      <c r="AK80" s="1354"/>
      <c r="AL80" s="1370"/>
      <c r="AM80" s="1411"/>
      <c r="AN80" s="1405">
        <f>L80*AM80</f>
        <v>0</v>
      </c>
      <c r="AO80" s="47">
        <f>B80</f>
        <v>0</v>
      </c>
      <c r="AP80" s="47">
        <f>A80</f>
        <v>0</v>
      </c>
      <c r="AQ80" s="62" t="s">
        <v>311</v>
      </c>
      <c r="AR80" s="508" t="str" cm="1">
        <f t="array" aca="1" ref="AR80" ca="1">IF(OR(AO80="",AO80=0),"",IF(SUMPRODUCT(($B$34:$B$83=AO80)*($R$34:$R$83="Previsto")*($T$33:$AH$33&lt;EOMONTH(TODAY(),-1)+1)*($T$34:$AH$83))=0,"",SUMPRODUCT(($B$34:$B$83=AO80)*($R$34:$R$83="Previsto")*($T$33:$AH$33&lt;EOMONTH(TODAY(),-1)+1)*($T$34:$AH$83))))</f>
        <v/>
      </c>
    </row>
    <row r="81" spans="1:44" ht="29.1" customHeight="1" x14ac:dyDescent="0.3">
      <c r="A81" s="1381"/>
      <c r="B81" s="1483"/>
      <c r="C81" s="1487"/>
      <c r="D81" s="1369"/>
      <c r="E81" s="1369"/>
      <c r="F81" s="1373"/>
      <c r="G81" s="1373"/>
      <c r="H81" s="1406"/>
      <c r="I81" s="1377"/>
      <c r="J81" s="1390"/>
      <c r="K81" s="1355"/>
      <c r="L81" s="1392"/>
      <c r="M81" s="1392"/>
      <c r="N81" s="1460"/>
      <c r="O81" s="1355"/>
      <c r="P81" s="1355"/>
      <c r="Q81" s="1328"/>
      <c r="R81" s="91" t="s">
        <v>117</v>
      </c>
      <c r="S81" s="455">
        <v>0</v>
      </c>
      <c r="T81" s="287"/>
      <c r="U81" s="287"/>
      <c r="V81" s="287"/>
      <c r="W81" s="440">
        <f t="shared" si="32"/>
        <v>0</v>
      </c>
      <c r="X81" s="287"/>
      <c r="Y81" s="287"/>
      <c r="Z81" s="287"/>
      <c r="AA81" s="440">
        <f t="shared" si="33"/>
        <v>0</v>
      </c>
      <c r="AB81" s="287"/>
      <c r="AC81" s="287"/>
      <c r="AD81" s="287"/>
      <c r="AE81" s="440">
        <f t="shared" si="34"/>
        <v>0</v>
      </c>
      <c r="AF81" s="287"/>
      <c r="AG81" s="287"/>
      <c r="AH81" s="287"/>
      <c r="AI81" s="440">
        <f t="shared" si="43"/>
        <v>0</v>
      </c>
      <c r="AJ81" s="454">
        <f t="shared" si="44"/>
        <v>0</v>
      </c>
      <c r="AK81" s="1355"/>
      <c r="AL81" s="1371"/>
      <c r="AM81" s="1412"/>
      <c r="AN81" s="1406"/>
      <c r="AO81" s="47">
        <f>B80</f>
        <v>0</v>
      </c>
      <c r="AP81" s="47">
        <f>A80</f>
        <v>0</v>
      </c>
      <c r="AQ81" s="62" t="s">
        <v>313</v>
      </c>
      <c r="AR81" s="508" t="str" cm="1">
        <f t="array" aca="1" ref="AR81" ca="1">IF(OR(AO80="",AO80=0),"",IF(SUMPRODUCT(($B$34:$B$83=AO80)*(ISNUMBER(SEARCH("Real",$Q$35:$Q$84)))*($T$33:$AH$33&lt;EOMONTH(TODAY(),-1)+1)*($T$35:$AH$84))=0,"",SUMPRODUCT(($B$34:$B$83=AO80)*(ISNUMBER(SEARCH("Real",$Q$35:$Q$84)))*($T$33:$AH$33&lt;EOMONTH(TODAY(),-1)+1)*($T$35:$AH$84))))</f>
        <v/>
      </c>
    </row>
    <row r="82" spans="1:44" ht="29.1" customHeight="1" x14ac:dyDescent="0.3">
      <c r="A82" s="1407"/>
      <c r="B82" s="1465"/>
      <c r="C82" s="1356"/>
      <c r="D82" s="1449"/>
      <c r="E82" s="1449"/>
      <c r="F82" s="1366"/>
      <c r="G82" s="1366"/>
      <c r="H82" s="1488"/>
      <c r="I82" s="1749"/>
      <c r="J82" s="1387" t="str">
        <f t="shared" ref="J82" si="53">IF(I82="", "", 12 - MONTH(I82) + 1)</f>
        <v/>
      </c>
      <c r="K82" s="1395"/>
      <c r="L82" s="1393"/>
      <c r="M82" s="2155"/>
      <c r="N82" s="1352"/>
      <c r="O82" s="1352"/>
      <c r="P82" s="1352"/>
      <c r="Q82" s="1334"/>
      <c r="R82" s="96" t="s">
        <v>116</v>
      </c>
      <c r="S82" s="96">
        <v>0</v>
      </c>
      <c r="T82" s="498">
        <f>IFERROR(IF(AND(T$33&gt;=EOMONTH($I82,-1)+1,T$33&lt;=EOMONTH(EOMONTH($I82,-1)+1,$J82-1)),IF(NOT(ISBLANK($M82)),$M82/$J82,$H82/$J82),0),0)</f>
        <v>0</v>
      </c>
      <c r="U82" s="498">
        <f>IFERROR(IF(AND(U$33&gt;=EOMONTH($I82,-1)+1,U$33&lt;=EOMONTH(EOMONTH($I82,-1)+1,$J82-1)),IF(NOT(ISBLANK($M82)),$M82/$J82,$H82/$J82),0),0)</f>
        <v>0</v>
      </c>
      <c r="V82" s="498">
        <f>IFERROR(IF(AND(V$33&gt;=EOMONTH($I82,-1)+1,V$33&lt;=EOMONTH(EOMONTH($I82,-1)+1,$J82-1)),IF(NOT(ISBLANK($M82)),$M82/$J82,$H82/$J82),0),0)</f>
        <v>0</v>
      </c>
      <c r="W82" s="440">
        <f t="shared" si="32"/>
        <v>0</v>
      </c>
      <c r="X82" s="498">
        <f>IFERROR(IF(AND(X$33&gt;=EOMONTH($I82,-1)+1,X$33&lt;=EOMONTH(EOMONTH($I82,-1)+1,$J82-1)),IF(NOT(ISBLANK($M82)),$M82/$J82,$H82/$J82),0),0)</f>
        <v>0</v>
      </c>
      <c r="Y82" s="498">
        <f>IFERROR(IF(AND(Y$33&gt;=EOMONTH($I82,-1)+1,Y$33&lt;=EOMONTH(EOMONTH($I82,-1)+1,$J82-1)),IF(NOT(ISBLANK($M82)),$M82/$J82,$H82/$J82),0),0)</f>
        <v>0</v>
      </c>
      <c r="Z82" s="498">
        <f>IFERROR(IF(AND(Z$33&gt;=EOMONTH($I82,-1)+1,Z$33&lt;=EOMONTH(EOMONTH($I82,-1)+1,$J82-1)),IF(NOT(ISBLANK($M82)),$M82/$J82,$H82/$J82),0),0)</f>
        <v>0</v>
      </c>
      <c r="AA82" s="440">
        <f t="shared" si="33"/>
        <v>0</v>
      </c>
      <c r="AB82" s="498">
        <f>IFERROR(IF(AND(AB$33&gt;=EOMONTH($I82,-1)+1,AB$33&lt;=EOMONTH(EOMONTH($I82,-1)+1,$J82-1)),IF(NOT(ISBLANK($M82)),$M82/$J82,$H82/$J82),0),0)</f>
        <v>0</v>
      </c>
      <c r="AC82" s="498">
        <f>IFERROR(IF(AND(AC$33&gt;=EOMONTH($I82,-1)+1,AC$33&lt;=EOMONTH(EOMONTH($I82,-1)+1,$J82-1)),IF(NOT(ISBLANK($M82)),$M82/$J82,$H82/$J82),0),0)</f>
        <v>0</v>
      </c>
      <c r="AD82" s="498">
        <f>IFERROR(IF(AND(AD$33&gt;=EOMONTH($I82,-1)+1,AD$33&lt;=EOMONTH(EOMONTH($I82,-1)+1,$J82-1)),IF(NOT(ISBLANK($M82)),$M82/$J82,$H82/$J82),0),0)</f>
        <v>0</v>
      </c>
      <c r="AE82" s="440">
        <f t="shared" si="34"/>
        <v>0</v>
      </c>
      <c r="AF82" s="498">
        <f>IFERROR(IF(AND(AF$33&gt;=EOMONTH($I82,-1)+1,AF$33&lt;=EOMONTH(EOMONTH($I82,-1)+1,$J82-1)),IF(NOT(ISBLANK($M82)),$M82/$J82,$H82/$J82),0),0)</f>
        <v>0</v>
      </c>
      <c r="AG82" s="498">
        <f>IFERROR(IF(AND(AG$33&gt;=EOMONTH($I82,-1)+1,AG$33&lt;=EOMONTH(EOMONTH($I82,-1)+1,$J82-1)),IF(NOT(ISBLANK($M82)),$M82/$J82,$H82/$J82),0),0)</f>
        <v>0</v>
      </c>
      <c r="AH82" s="498">
        <f>IFERROR(IF(AND(AH$33&gt;=EOMONTH($I82,-1)+1,AH$33&lt;=EOMONTH(EOMONTH($I82,-1)+1,$J82-1)),IF(NOT(ISBLANK($M82)),$M82/$J82,$H82/$J82),0),0)</f>
        <v>0</v>
      </c>
      <c r="AI82" s="440">
        <f t="shared" si="43"/>
        <v>0</v>
      </c>
      <c r="AJ82" s="94">
        <f t="shared" si="44"/>
        <v>0</v>
      </c>
      <c r="AK82" s="1488"/>
      <c r="AL82" s="1407"/>
      <c r="AM82" s="1334"/>
      <c r="AN82" s="1403">
        <f>L82*AM82</f>
        <v>0</v>
      </c>
      <c r="AO82" s="47">
        <f>B82</f>
        <v>0</v>
      </c>
      <c r="AP82" s="47">
        <f>A82</f>
        <v>0</v>
      </c>
      <c r="AQ82" s="62" t="s">
        <v>311</v>
      </c>
      <c r="AR82" s="508" t="str" cm="1">
        <f t="array" aca="1" ref="AR82" ca="1">IF(OR(AO82="",AO82=0),"",IF(SUMPRODUCT(($B$34:$B$83=AO82)*($R$34:$R$83="Previsto")*($T$33:$AH$33&lt;EOMONTH(TODAY(),-1)+1)*($T$34:$AH$83))=0,"",SUMPRODUCT(($B$34:$B$83=AO82)*($R$34:$R$83="Previsto")*($T$33:$AH$33&lt;EOMONTH(TODAY(),-1)+1)*($T$34:$AH$83))))</f>
        <v/>
      </c>
    </row>
    <row r="83" spans="1:44" ht="29.1" customHeight="1" x14ac:dyDescent="0.3">
      <c r="A83" s="1408"/>
      <c r="B83" s="1466"/>
      <c r="C83" s="1455"/>
      <c r="D83" s="1450"/>
      <c r="E83" s="1450"/>
      <c r="F83" s="1513"/>
      <c r="G83" s="1513"/>
      <c r="H83" s="1367"/>
      <c r="I83" s="1750"/>
      <c r="J83" s="1388"/>
      <c r="K83" s="1396"/>
      <c r="L83" s="1394"/>
      <c r="M83" s="2156"/>
      <c r="N83" s="1353"/>
      <c r="O83" s="1353"/>
      <c r="P83" s="1353"/>
      <c r="Q83" s="1330"/>
      <c r="R83" s="96" t="s">
        <v>117</v>
      </c>
      <c r="S83" s="456">
        <v>0</v>
      </c>
      <c r="T83" s="457"/>
      <c r="U83" s="457"/>
      <c r="V83" s="290"/>
      <c r="W83" s="440">
        <f t="shared" si="32"/>
        <v>0</v>
      </c>
      <c r="X83" s="457"/>
      <c r="Y83" s="457"/>
      <c r="Z83" s="290"/>
      <c r="AA83" s="440">
        <f t="shared" si="33"/>
        <v>0</v>
      </c>
      <c r="AB83" s="457"/>
      <c r="AC83" s="457"/>
      <c r="AD83" s="290"/>
      <c r="AE83" s="440">
        <f t="shared" si="34"/>
        <v>0</v>
      </c>
      <c r="AF83" s="457"/>
      <c r="AG83" s="457"/>
      <c r="AH83" s="290"/>
      <c r="AI83" s="440">
        <f t="shared" si="43"/>
        <v>0</v>
      </c>
      <c r="AJ83" s="94">
        <f t="shared" si="44"/>
        <v>0</v>
      </c>
      <c r="AK83" s="1367"/>
      <c r="AL83" s="1408"/>
      <c r="AM83" s="1330"/>
      <c r="AN83" s="1404"/>
      <c r="AO83" s="47">
        <f>B82</f>
        <v>0</v>
      </c>
      <c r="AP83" s="47">
        <f>A82</f>
        <v>0</v>
      </c>
      <c r="AQ83" s="62" t="s">
        <v>313</v>
      </c>
      <c r="AR83" s="508" t="str" cm="1">
        <f t="array" aca="1" ref="AR83" ca="1">IF(OR(AO82="",AO82=0),"",IF(SUMPRODUCT(($B$34:$B$83=AO82)*(ISNUMBER(SEARCH("Real",$Q$35:$Q$84)))*($T$33:$AH$33&lt;EOMONTH(TODAY(),-1)+1)*($T$35:$AH$84))=0,"",SUMPRODUCT(($B$34:$B$83=AO82)*(ISNUMBER(SEARCH("Real",$Q$35:$Q$84)))*($T$33:$AH$33&lt;EOMONTH(TODAY(),-1)+1)*($T$35:$AH$84))))</f>
        <v/>
      </c>
    </row>
    <row r="84" spans="1:44" s="120" customFormat="1" ht="20.85" customHeight="1" x14ac:dyDescent="0.3"/>
    <row r="85" spans="1:44" x14ac:dyDescent="0.3">
      <c r="K85" s="151"/>
      <c r="L85" s="151">
        <v>46023</v>
      </c>
      <c r="M85" s="151">
        <v>46054</v>
      </c>
      <c r="N85" s="151">
        <v>46082</v>
      </c>
      <c r="O85" s="151">
        <v>46113</v>
      </c>
      <c r="P85" s="151">
        <v>46143</v>
      </c>
      <c r="Q85" s="151">
        <v>46174</v>
      </c>
      <c r="R85" s="151">
        <v>46204</v>
      </c>
      <c r="S85" s="151">
        <v>46235</v>
      </c>
      <c r="T85" s="151">
        <v>46266</v>
      </c>
      <c r="U85" s="151">
        <v>46296</v>
      </c>
      <c r="V85" s="151">
        <v>46327</v>
      </c>
      <c r="W85" s="151">
        <v>46357</v>
      </c>
      <c r="X85" s="151" t="s">
        <v>115</v>
      </c>
    </row>
    <row r="86" spans="1:44" x14ac:dyDescent="0.3">
      <c r="K86" s="471" t="s">
        <v>116</v>
      </c>
      <c r="L86" s="152">
        <f>SUMIF($R$34:$R$83,$K$86,T34:T83)</f>
        <v>833000</v>
      </c>
      <c r="M86" s="152">
        <f>SUMIF($R$34:$R$83,$K$86,U34:U83)</f>
        <v>833000</v>
      </c>
      <c r="N86" s="152">
        <f>SUMIF($R$34:$R$83,$K$86,V34:V83)</f>
        <v>887556.3</v>
      </c>
      <c r="O86" s="152">
        <f>SUMIF($R$34:$R$83,$K$86,X34:X83)</f>
        <v>887556.3</v>
      </c>
      <c r="P86" s="152">
        <f>SUMIF($R$34:$R$83,$K$86,Y34:Y83)</f>
        <v>887556.3</v>
      </c>
      <c r="Q86" s="152">
        <f>SUMIF($R$34:$R$83,$K$86,Z34:Z83)</f>
        <v>893503.81857142865</v>
      </c>
      <c r="R86" s="152">
        <f>SUMIF($R$34:$R$83,$K$86,AB34:AB83)</f>
        <v>893503.81857142865</v>
      </c>
      <c r="S86" s="152">
        <f>SUMIF($R$34:$R$83,$K$86,AC34:AC83)</f>
        <v>912703.81857142865</v>
      </c>
      <c r="T86" s="152">
        <f>SUMIF($R$34:$R$83,$K$86,AD34:AD83)</f>
        <v>912703.81857142865</v>
      </c>
      <c r="U86" s="152">
        <f>SUMIF($R$34:$R$83,$K$86,AF34:AF83)</f>
        <v>912703.81857142865</v>
      </c>
      <c r="V86" s="152">
        <f>SUMIF($R$34:$R$83,$K$86,AG34:AG83)</f>
        <v>912703.81857142865</v>
      </c>
      <c r="W86" s="152">
        <f>SUMIF($R$34:$R$83,$K$86,AH34:AH83)</f>
        <v>912703.81857142865</v>
      </c>
      <c r="X86" s="152"/>
    </row>
    <row r="87" spans="1:44" x14ac:dyDescent="0.3">
      <c r="K87" s="472" t="s">
        <v>117</v>
      </c>
      <c r="L87" s="502">
        <f>SUMIF($R$34:$R$83,$K$87,T34:T83)</f>
        <v>0</v>
      </c>
      <c r="M87" s="502">
        <f>SUMIF($R$34:$R$83,$K$87,U34:U83)</f>
        <v>0</v>
      </c>
      <c r="N87" s="502">
        <f>SUMIF($R$34:$R$83,$K$87,V34:V83)</f>
        <v>0</v>
      </c>
      <c r="O87" s="502">
        <f>SUMIF($R$34:$R$83,$K$87,X34:X83)</f>
        <v>0</v>
      </c>
      <c r="P87" s="502">
        <f>SUMIF($R$34:$R$83,$K$87,Y34:Y83)</f>
        <v>0</v>
      </c>
      <c r="Q87" s="502">
        <f>SUMIF($R$34:$R$83,$K$87,Z34:Z83)</f>
        <v>5074.34</v>
      </c>
      <c r="R87" s="502">
        <f>SUMIF($R$34:$R$83,$K$87,AB34:AB83)</f>
        <v>6145.3979999999883</v>
      </c>
      <c r="S87" s="502">
        <f>SUMIF($R$34:$R$83,$K$87,AC34:AC83)</f>
        <v>0</v>
      </c>
      <c r="T87" s="502">
        <f>SUMIF($R$34:$R$83,$K$87,AD34:AD83)</f>
        <v>0</v>
      </c>
      <c r="U87" s="502">
        <f>SUMIF($R$34:$R$83,$K$87,AF34:AF83)</f>
        <v>0</v>
      </c>
      <c r="V87" s="502">
        <f>SUMIF($R$34:$R$83,$K$87,AG34:AG83)</f>
        <v>0</v>
      </c>
      <c r="W87" s="502">
        <f>SUMIF($R$34:$R$83,$K$87,AH34:AH83)</f>
        <v>0</v>
      </c>
      <c r="X87" s="154"/>
    </row>
    <row r="88" spans="1:44" x14ac:dyDescent="0.3">
      <c r="K88" s="473" t="s">
        <v>118</v>
      </c>
      <c r="L88" s="160" cm="1">
        <f t="array" ref="L88">SUMPRODUCT(($F$34:$F$83&lt;&gt;"")*($F$34:$F$83&lt;=L$85)*(($G$34:$G$83="")+($G$34:$G$83&gt;=L$85)))</f>
        <v>1</v>
      </c>
      <c r="M88" s="160" cm="1">
        <f t="array" ref="M88">SUMPRODUCT(($F$34:$F$83&lt;&gt;"")*($F$34:$F$83&lt;=M$85)*(($G$34:$G$83="")+($G$34:$G$83&gt;=M$85)))</f>
        <v>2</v>
      </c>
      <c r="N88" s="160" cm="1">
        <f t="array" ref="N88">SUMPRODUCT(($F$34:$F$83&lt;&gt;"")*($F$34:$F$83&lt;=N$85)*(($G$34:$G$83="")+($G$34:$G$83&gt;=N$85)))</f>
        <v>1</v>
      </c>
      <c r="O88" s="160" cm="1">
        <f t="array" ref="O88">SUMPRODUCT(($F$34:$F$83&lt;&gt;"")*($F$34:$F$83&lt;=O$85)*(($G$34:$G$83="")+($G$34:$G$83&gt;=O$85)))</f>
        <v>3</v>
      </c>
      <c r="P88" s="160" cm="1">
        <f t="array" ref="P88">SUMPRODUCT(($F$34:$F$83&lt;&gt;"")*($F$34:$F$83&lt;=P$85)*(($G$34:$G$83="")+($G$34:$G$83&gt;=P$85)))</f>
        <v>2</v>
      </c>
      <c r="Q88" s="160" cm="1">
        <f t="array" ref="Q88">SUMPRODUCT(($F$34:$F$83&lt;&gt;"")*($F$34:$F$83&lt;=Q$85)*(($G$34:$G$83="")+($G$34:$G$83&gt;=Q$85)))</f>
        <v>1</v>
      </c>
      <c r="R88" s="160" cm="1">
        <f t="array" ref="R88">SUMPRODUCT(($F$34:$F$83&lt;&gt;"")*($F$34:$F$83&lt;=R$85)*(($G$34:$G$83="")+($G$34:$G$83&gt;=R$85)))</f>
        <v>1</v>
      </c>
      <c r="S88" s="160" cm="1">
        <f t="array" ref="S88">SUMPRODUCT(($F$34:$F$83&lt;&gt;"")*($F$34:$F$83&lt;=S$85)*(($G$34:$G$83="")+($G$34:$G$83&gt;=S$85)))</f>
        <v>0</v>
      </c>
      <c r="T88" s="160" cm="1">
        <f t="array" ref="T88">SUMPRODUCT(($F$34:$F$83&lt;&gt;"")*($F$34:$F$83&lt;=T$85)*(($G$34:$G$83="")+($G$34:$G$83&gt;=T$85)))</f>
        <v>0</v>
      </c>
      <c r="U88" s="160" cm="1">
        <f t="array" ref="U88">SUMPRODUCT(($F$34:$F$83&lt;&gt;"")*($F$34:$F$83&lt;=U$85)*(($G$34:$G$83="")+($G$34:$G$83&gt;=U$85)))</f>
        <v>0</v>
      </c>
      <c r="V88" s="160" cm="1">
        <f t="array" ref="V88">SUMPRODUCT(($F$34:$F$83&lt;&gt;"")*($F$34:$F$83&lt;=V$85)*(($G$34:$G$83="")+($G$34:$G$83&gt;=V$85)))</f>
        <v>0</v>
      </c>
      <c r="W88" s="160" cm="1">
        <f t="array" ref="W88">SUMPRODUCT(($F$34:$F$83&lt;&gt;"")*($F$34:$F$83&lt;=W$85)*(($G$34:$G$83="")+($G$34:$G$83&gt;=W$85)))</f>
        <v>0</v>
      </c>
      <c r="X88" s="160"/>
    </row>
    <row r="89" spans="1:44" x14ac:dyDescent="0.3">
      <c r="K89" s="472" t="s">
        <v>119</v>
      </c>
      <c r="L89" s="154">
        <f>L86</f>
        <v>833000</v>
      </c>
      <c r="M89" s="154">
        <f>L89+M86</f>
        <v>1666000</v>
      </c>
      <c r="N89" s="154">
        <f t="shared" ref="N89:W90" si="54">M89+N86</f>
        <v>2553556.2999999998</v>
      </c>
      <c r="O89" s="154">
        <f t="shared" si="54"/>
        <v>3441112.5999999996</v>
      </c>
      <c r="P89" s="154">
        <f t="shared" si="54"/>
        <v>4328668.8999999994</v>
      </c>
      <c r="Q89" s="154">
        <f>P89+Q86</f>
        <v>5222172.7185714282</v>
      </c>
      <c r="R89" s="154">
        <f t="shared" si="54"/>
        <v>6115676.537142857</v>
      </c>
      <c r="S89" s="154">
        <f t="shared" si="54"/>
        <v>7028380.3557142857</v>
      </c>
      <c r="T89" s="154">
        <f t="shared" si="54"/>
        <v>7941084.1742857145</v>
      </c>
      <c r="U89" s="154">
        <f t="shared" si="54"/>
        <v>8853787.9928571433</v>
      </c>
      <c r="V89" s="154">
        <f t="shared" si="54"/>
        <v>9766491.8114285711</v>
      </c>
      <c r="W89" s="154">
        <f t="shared" si="54"/>
        <v>10679195.629999999</v>
      </c>
      <c r="X89" s="154"/>
    </row>
    <row r="90" spans="1:44" x14ac:dyDescent="0.3">
      <c r="K90" s="473" t="s">
        <v>120</v>
      </c>
      <c r="L90" s="474">
        <f>L87</f>
        <v>0</v>
      </c>
      <c r="M90" s="474">
        <f>L90+M87</f>
        <v>0</v>
      </c>
      <c r="N90" s="474">
        <f t="shared" si="54"/>
        <v>0</v>
      </c>
      <c r="O90" s="474">
        <f t="shared" si="54"/>
        <v>0</v>
      </c>
      <c r="P90" s="474">
        <f t="shared" si="54"/>
        <v>0</v>
      </c>
      <c r="Q90" s="474">
        <f>P90+Q87</f>
        <v>5074.34</v>
      </c>
      <c r="R90" s="474">
        <f t="shared" si="54"/>
        <v>11219.737999999988</v>
      </c>
      <c r="S90" s="474">
        <f t="shared" si="54"/>
        <v>11219.737999999988</v>
      </c>
      <c r="T90" s="474">
        <f t="shared" si="54"/>
        <v>11219.737999999988</v>
      </c>
      <c r="U90" s="474">
        <f t="shared" si="54"/>
        <v>11219.737999999988</v>
      </c>
      <c r="V90" s="474">
        <f t="shared" si="54"/>
        <v>11219.737999999988</v>
      </c>
      <c r="W90" s="474">
        <f t="shared" si="54"/>
        <v>11219.737999999988</v>
      </c>
      <c r="X90" s="474"/>
    </row>
    <row r="91" spans="1:44" x14ac:dyDescent="0.3">
      <c r="K91" s="472" t="s">
        <v>121</v>
      </c>
      <c r="L91" s="502"/>
      <c r="M91" s="502"/>
      <c r="N91" s="502"/>
      <c r="O91" s="502"/>
      <c r="P91" s="502"/>
      <c r="Q91" s="502"/>
      <c r="R91" s="502"/>
      <c r="S91" s="502"/>
      <c r="T91" s="502"/>
      <c r="U91" s="502"/>
      <c r="V91" s="502"/>
      <c r="W91" s="502"/>
      <c r="X91" s="154"/>
    </row>
    <row r="92" spans="1:44" x14ac:dyDescent="0.3">
      <c r="K92" s="62" t="s">
        <v>122</v>
      </c>
      <c r="L92" s="1003">
        <f>SUMIFS(T34:T83,$R$34:$R$83,$R$34,$L$34:$L$83,"ok")</f>
        <v>0</v>
      </c>
      <c r="M92" s="1003">
        <f t="shared" ref="M92:N92" si="55">SUMIFS(U34:U83,$R$34:$R$83,$R$34,$L$34:$L$83,"ok")</f>
        <v>0</v>
      </c>
      <c r="N92" s="1003">
        <f t="shared" si="55"/>
        <v>0</v>
      </c>
      <c r="O92" s="1003">
        <f>SUMIFS(X34:X83,$R$34:$R$83,$R$34,$L$34:$L$83,"ok")</f>
        <v>0</v>
      </c>
      <c r="P92" s="1003">
        <f t="shared" ref="P92" si="56">SUMIFS(Y34:Y83,$R$34:$R$83,$R$34,$L$34:$L$83,"ok")</f>
        <v>0</v>
      </c>
      <c r="Q92" s="1003">
        <f>SUMIFS(Z34:Z83,$R$34:$R$83,$R$34,$L$34:$L$83,"ok")</f>
        <v>0</v>
      </c>
      <c r="R92" s="1003">
        <f>SUMIFS(AB34:AB83,$R$34:$R$83,$R$34,$L$34:$L$83,"ok")</f>
        <v>0</v>
      </c>
      <c r="S92" s="1003">
        <f t="shared" ref="S92:T92" si="57">SUMIFS(AC34:AC83,$R$34:$R$83,$R$34,$L$34:$L$83,"ok")</f>
        <v>0</v>
      </c>
      <c r="T92" s="1003">
        <f t="shared" si="57"/>
        <v>0</v>
      </c>
      <c r="U92" s="1003">
        <f>SUMIFS(AF34:AF83,$R$34:$R$83,$R$34,$L$34:$L$83,"ok")</f>
        <v>0</v>
      </c>
      <c r="V92" s="1003">
        <f t="shared" ref="V92:W92" si="58">SUMIFS(AG34:AG83,$R$34:$R$83,$R$34,$L$34:$L$83,"ok")</f>
        <v>0</v>
      </c>
      <c r="W92" s="1003">
        <f t="shared" si="58"/>
        <v>0</v>
      </c>
    </row>
  </sheetData>
  <sheetProtection formatCells="0" formatColumns="0" formatRows="0" insertHyperlinks="0"/>
  <mergeCells count="569">
    <mergeCell ref="C6:D6"/>
    <mergeCell ref="E6:F6"/>
    <mergeCell ref="G6:H6"/>
    <mergeCell ref="I6:K6"/>
    <mergeCell ref="L6:N6"/>
    <mergeCell ref="O6:P6"/>
    <mergeCell ref="A7:B7"/>
    <mergeCell ref="C7:D7"/>
    <mergeCell ref="E7:F7"/>
    <mergeCell ref="G7:H7"/>
    <mergeCell ref="I7:K7"/>
    <mergeCell ref="L7:N7"/>
    <mergeCell ref="O7:P7"/>
    <mergeCell ref="AN76:AN77"/>
    <mergeCell ref="AM78:AM79"/>
    <mergeCell ref="AN78:AN79"/>
    <mergeCell ref="AM80:AM81"/>
    <mergeCell ref="AN80:AN81"/>
    <mergeCell ref="AM82:AM83"/>
    <mergeCell ref="AN82:AN83"/>
    <mergeCell ref="AH1:AK1"/>
    <mergeCell ref="AL1:AP1"/>
    <mergeCell ref="AH2:AK2"/>
    <mergeCell ref="AL2:AP2"/>
    <mergeCell ref="AL70:AL71"/>
    <mergeCell ref="AM70:AM71"/>
    <mergeCell ref="AN70:AN71"/>
    <mergeCell ref="AL72:AL73"/>
    <mergeCell ref="AM72:AM73"/>
    <mergeCell ref="AN72:AN73"/>
    <mergeCell ref="AL74:AL75"/>
    <mergeCell ref="AM74:AM75"/>
    <mergeCell ref="AN74:AN75"/>
    <mergeCell ref="AN60:AN61"/>
    <mergeCell ref="AM62:AM63"/>
    <mergeCell ref="AN62:AN63"/>
    <mergeCell ref="AM64:AM65"/>
    <mergeCell ref="AN64:AN65"/>
    <mergeCell ref="AM66:AM67"/>
    <mergeCell ref="AN66:AN67"/>
    <mergeCell ref="AM68:AM69"/>
    <mergeCell ref="AN68:AN69"/>
    <mergeCell ref="AN50:AN51"/>
    <mergeCell ref="AM52:AM53"/>
    <mergeCell ref="AN52:AN53"/>
    <mergeCell ref="AM54:AM55"/>
    <mergeCell ref="AN54:AN55"/>
    <mergeCell ref="AM56:AM57"/>
    <mergeCell ref="AN56:AN57"/>
    <mergeCell ref="AM58:AM59"/>
    <mergeCell ref="AN58:AN59"/>
    <mergeCell ref="AK62:AK63"/>
    <mergeCell ref="AL62:AL63"/>
    <mergeCell ref="AL38:AL39"/>
    <mergeCell ref="AM38:AM39"/>
    <mergeCell ref="AN38:AN39"/>
    <mergeCell ref="AL40:AL41"/>
    <mergeCell ref="AM40:AM41"/>
    <mergeCell ref="AN40:AN41"/>
    <mergeCell ref="AL42:AL43"/>
    <mergeCell ref="AM42:AM43"/>
    <mergeCell ref="AN42:AN43"/>
    <mergeCell ref="AL44:AL45"/>
    <mergeCell ref="AM44:AM45"/>
    <mergeCell ref="AN44:AN45"/>
    <mergeCell ref="AL46:AL47"/>
    <mergeCell ref="AM46:AM47"/>
    <mergeCell ref="AN46:AN47"/>
    <mergeCell ref="AL48:AL49"/>
    <mergeCell ref="AM48:AM49"/>
    <mergeCell ref="AN48:AN49"/>
    <mergeCell ref="AK38:AK39"/>
    <mergeCell ref="AK40:AK41"/>
    <mergeCell ref="AK42:AK43"/>
    <mergeCell ref="AK44:AK45"/>
    <mergeCell ref="AK46:AK47"/>
    <mergeCell ref="AK48:AK49"/>
    <mergeCell ref="AL32:AN32"/>
    <mergeCell ref="AL34:AL35"/>
    <mergeCell ref="AM34:AM35"/>
    <mergeCell ref="AN34:AN35"/>
    <mergeCell ref="AL36:AL37"/>
    <mergeCell ref="AM36:AM37"/>
    <mergeCell ref="AN36:AN37"/>
    <mergeCell ref="AK34:AK35"/>
    <mergeCell ref="AK36:AK37"/>
    <mergeCell ref="AL82:AL83"/>
    <mergeCell ref="AL76:AL77"/>
    <mergeCell ref="AL78:AL79"/>
    <mergeCell ref="AL80:AL81"/>
    <mergeCell ref="AK80:AK81"/>
    <mergeCell ref="AK82:AK83"/>
    <mergeCell ref="AM76:AM77"/>
    <mergeCell ref="Q82:Q83"/>
    <mergeCell ref="Q80:Q81"/>
    <mergeCell ref="AK74:AK75"/>
    <mergeCell ref="AK76:AK77"/>
    <mergeCell ref="AK78:AK79"/>
    <mergeCell ref="AL64:AL65"/>
    <mergeCell ref="AL66:AL67"/>
    <mergeCell ref="AL68:AL69"/>
    <mergeCell ref="H78:H79"/>
    <mergeCell ref="L78:L79"/>
    <mergeCell ref="M78:M79"/>
    <mergeCell ref="Q78:Q79"/>
    <mergeCell ref="Q76:Q77"/>
    <mergeCell ref="K78:K79"/>
    <mergeCell ref="AK64:AK65"/>
    <mergeCell ref="AK66:AK67"/>
    <mergeCell ref="AK68:AK69"/>
    <mergeCell ref="AK70:AK71"/>
    <mergeCell ref="AK72:AK73"/>
    <mergeCell ref="Q64:Q65"/>
    <mergeCell ref="N64:N65"/>
    <mergeCell ref="O76:O77"/>
    <mergeCell ref="P76:P77"/>
    <mergeCell ref="O78:O79"/>
    <mergeCell ref="P78:P79"/>
    <mergeCell ref="G74:G75"/>
    <mergeCell ref="H74:H75"/>
    <mergeCell ref="L74:L75"/>
    <mergeCell ref="M74:M75"/>
    <mergeCell ref="Q74:Q75"/>
    <mergeCell ref="Q70:Q71"/>
    <mergeCell ref="N72:N73"/>
    <mergeCell ref="Q68:Q69"/>
    <mergeCell ref="G66:G67"/>
    <mergeCell ref="H66:H67"/>
    <mergeCell ref="Q66:Q67"/>
    <mergeCell ref="G68:G69"/>
    <mergeCell ref="H68:H69"/>
    <mergeCell ref="L68:L69"/>
    <mergeCell ref="M68:M69"/>
    <mergeCell ref="K68:K69"/>
    <mergeCell ref="I66:I67"/>
    <mergeCell ref="J66:J67"/>
    <mergeCell ref="I68:I69"/>
    <mergeCell ref="J68:J69"/>
    <mergeCell ref="P74:P75"/>
    <mergeCell ref="Q60:Q61"/>
    <mergeCell ref="N60:N61"/>
    <mergeCell ref="N74:N75"/>
    <mergeCell ref="N76:N77"/>
    <mergeCell ref="Q72:Q73"/>
    <mergeCell ref="N70:N71"/>
    <mergeCell ref="N66:N67"/>
    <mergeCell ref="N68:N69"/>
    <mergeCell ref="Q62:Q63"/>
    <mergeCell ref="O60:O61"/>
    <mergeCell ref="P60:P61"/>
    <mergeCell ref="O62:O63"/>
    <mergeCell ref="P62:P63"/>
    <mergeCell ref="O64:O65"/>
    <mergeCell ref="P64:P65"/>
    <mergeCell ref="O66:O67"/>
    <mergeCell ref="P66:P67"/>
    <mergeCell ref="O68:O69"/>
    <mergeCell ref="P68:P69"/>
    <mergeCell ref="O70:O71"/>
    <mergeCell ref="P70:P71"/>
    <mergeCell ref="O72:O73"/>
    <mergeCell ref="P72:P73"/>
    <mergeCell ref="O74:O75"/>
    <mergeCell ref="AL56:AL57"/>
    <mergeCell ref="AL58:AL59"/>
    <mergeCell ref="AL60:AL61"/>
    <mergeCell ref="AK56:AK57"/>
    <mergeCell ref="AK58:AK59"/>
    <mergeCell ref="AK60:AK61"/>
    <mergeCell ref="AM60:AM61"/>
    <mergeCell ref="AL50:AL51"/>
    <mergeCell ref="AL52:AL53"/>
    <mergeCell ref="AL54:AL55"/>
    <mergeCell ref="AK50:AK51"/>
    <mergeCell ref="AK52:AK53"/>
    <mergeCell ref="AK54:AK55"/>
    <mergeCell ref="AM50:AM51"/>
    <mergeCell ref="A38:A39"/>
    <mergeCell ref="B38:B39"/>
    <mergeCell ref="E38:E39"/>
    <mergeCell ref="F38:F39"/>
    <mergeCell ref="G38:G39"/>
    <mergeCell ref="H38:H39"/>
    <mergeCell ref="A42:A43"/>
    <mergeCell ref="B42:B43"/>
    <mergeCell ref="A40:A41"/>
    <mergeCell ref="B40:B41"/>
    <mergeCell ref="D38:D39"/>
    <mergeCell ref="D40:D41"/>
    <mergeCell ref="D42:D43"/>
    <mergeCell ref="C38:C39"/>
    <mergeCell ref="C42:C43"/>
    <mergeCell ref="C40:C41"/>
    <mergeCell ref="E40:E41"/>
    <mergeCell ref="F40:F41"/>
    <mergeCell ref="G40:G41"/>
    <mergeCell ref="H40:H41"/>
    <mergeCell ref="G42:G43"/>
    <mergeCell ref="H42:H43"/>
    <mergeCell ref="E42:E43"/>
    <mergeCell ref="F42:F43"/>
    <mergeCell ref="L46:L47"/>
    <mergeCell ref="M46:M47"/>
    <mergeCell ref="Q46:Q47"/>
    <mergeCell ref="N46:N47"/>
    <mergeCell ref="L42:L43"/>
    <mergeCell ref="M42:M43"/>
    <mergeCell ref="L40:L41"/>
    <mergeCell ref="M40:M41"/>
    <mergeCell ref="M48:M49"/>
    <mergeCell ref="N48:N49"/>
    <mergeCell ref="L48:L49"/>
    <mergeCell ref="O40:O41"/>
    <mergeCell ref="P40:P41"/>
    <mergeCell ref="O42:O43"/>
    <mergeCell ref="P42:P43"/>
    <mergeCell ref="O44:O45"/>
    <mergeCell ref="P44:P45"/>
    <mergeCell ref="O46:O47"/>
    <mergeCell ref="P46:P47"/>
    <mergeCell ref="O48:O49"/>
    <mergeCell ref="P48:P49"/>
    <mergeCell ref="D78:D79"/>
    <mergeCell ref="F76:F77"/>
    <mergeCell ref="G76:G77"/>
    <mergeCell ref="H76:H77"/>
    <mergeCell ref="L76:L77"/>
    <mergeCell ref="A78:A79"/>
    <mergeCell ref="B78:B79"/>
    <mergeCell ref="C78:C79"/>
    <mergeCell ref="E78:E79"/>
    <mergeCell ref="F78:F79"/>
    <mergeCell ref="G78:G79"/>
    <mergeCell ref="A76:A77"/>
    <mergeCell ref="B76:B77"/>
    <mergeCell ref="C76:C77"/>
    <mergeCell ref="D48:D49"/>
    <mergeCell ref="F36:F37"/>
    <mergeCell ref="G36:G37"/>
    <mergeCell ref="H36:H37"/>
    <mergeCell ref="E36:E37"/>
    <mergeCell ref="D70:D71"/>
    <mergeCell ref="D50:D51"/>
    <mergeCell ref="D52:D53"/>
    <mergeCell ref="D54:D55"/>
    <mergeCell ref="D56:D57"/>
    <mergeCell ref="D58:D59"/>
    <mergeCell ref="D60:D61"/>
    <mergeCell ref="D62:D63"/>
    <mergeCell ref="D64:D65"/>
    <mergeCell ref="D66:D67"/>
    <mergeCell ref="D68:D69"/>
    <mergeCell ref="D36:D37"/>
    <mergeCell ref="E46:E47"/>
    <mergeCell ref="F46:F47"/>
    <mergeCell ref="G58:G59"/>
    <mergeCell ref="H58:H59"/>
    <mergeCell ref="G54:G55"/>
    <mergeCell ref="H54:H55"/>
    <mergeCell ref="B72:B73"/>
    <mergeCell ref="A74:A75"/>
    <mergeCell ref="B74:B75"/>
    <mergeCell ref="C74:C75"/>
    <mergeCell ref="E74:E75"/>
    <mergeCell ref="F74:F75"/>
    <mergeCell ref="E48:E49"/>
    <mergeCell ref="F48:F49"/>
    <mergeCell ref="K38:K39"/>
    <mergeCell ref="K40:K41"/>
    <mergeCell ref="K42:K43"/>
    <mergeCell ref="G48:G49"/>
    <mergeCell ref="H48:H49"/>
    <mergeCell ref="J40:J41"/>
    <mergeCell ref="I42:I43"/>
    <mergeCell ref="J42:J43"/>
    <mergeCell ref="I46:I47"/>
    <mergeCell ref="J46:J47"/>
    <mergeCell ref="J48:J49"/>
    <mergeCell ref="H46:H47"/>
    <mergeCell ref="G46:G47"/>
    <mergeCell ref="K46:K47"/>
    <mergeCell ref="K48:K49"/>
    <mergeCell ref="D46:D47"/>
    <mergeCell ref="N82:N83"/>
    <mergeCell ref="N80:N81"/>
    <mergeCell ref="L50:L51"/>
    <mergeCell ref="M50:M51"/>
    <mergeCell ref="L62:L63"/>
    <mergeCell ref="N78:N79"/>
    <mergeCell ref="A82:A83"/>
    <mergeCell ref="B82:B83"/>
    <mergeCell ref="C82:C83"/>
    <mergeCell ref="E82:E83"/>
    <mergeCell ref="F82:F83"/>
    <mergeCell ref="M76:M77"/>
    <mergeCell ref="D74:D75"/>
    <mergeCell ref="D76:D77"/>
    <mergeCell ref="K64:K65"/>
    <mergeCell ref="K66:K67"/>
    <mergeCell ref="E76:E77"/>
    <mergeCell ref="K70:K71"/>
    <mergeCell ref="K72:K73"/>
    <mergeCell ref="K74:K75"/>
    <mergeCell ref="K76:K77"/>
    <mergeCell ref="G70:G71"/>
    <mergeCell ref="H70:H71"/>
    <mergeCell ref="A72:A73"/>
    <mergeCell ref="A80:A81"/>
    <mergeCell ref="B80:B81"/>
    <mergeCell ref="C80:C81"/>
    <mergeCell ref="E80:E81"/>
    <mergeCell ref="F80:F81"/>
    <mergeCell ref="G80:G81"/>
    <mergeCell ref="H80:H81"/>
    <mergeCell ref="L80:L81"/>
    <mergeCell ref="M80:M81"/>
    <mergeCell ref="G82:G83"/>
    <mergeCell ref="K80:K81"/>
    <mergeCell ref="D80:D81"/>
    <mergeCell ref="D82:D83"/>
    <mergeCell ref="H82:H83"/>
    <mergeCell ref="L82:L83"/>
    <mergeCell ref="M82:M83"/>
    <mergeCell ref="K82:K83"/>
    <mergeCell ref="I80:I81"/>
    <mergeCell ref="J80:J81"/>
    <mergeCell ref="I82:I83"/>
    <mergeCell ref="J82:J83"/>
    <mergeCell ref="C72:C73"/>
    <mergeCell ref="E72:E73"/>
    <mergeCell ref="F72:F73"/>
    <mergeCell ref="G72:G73"/>
    <mergeCell ref="H72:H73"/>
    <mergeCell ref="L72:L73"/>
    <mergeCell ref="M72:M73"/>
    <mergeCell ref="D72:D73"/>
    <mergeCell ref="L70:L71"/>
    <mergeCell ref="M70:M71"/>
    <mergeCell ref="I70:I71"/>
    <mergeCell ref="J70:J71"/>
    <mergeCell ref="I72:I73"/>
    <mergeCell ref="J72:J73"/>
    <mergeCell ref="A70:A71"/>
    <mergeCell ref="B70:B71"/>
    <mergeCell ref="C70:C71"/>
    <mergeCell ref="E70:E71"/>
    <mergeCell ref="F70:F71"/>
    <mergeCell ref="A66:A67"/>
    <mergeCell ref="B66:B67"/>
    <mergeCell ref="C66:C67"/>
    <mergeCell ref="E66:E67"/>
    <mergeCell ref="F66:F67"/>
    <mergeCell ref="A68:A69"/>
    <mergeCell ref="B68:B69"/>
    <mergeCell ref="C68:C69"/>
    <mergeCell ref="E68:E69"/>
    <mergeCell ref="F68:F69"/>
    <mergeCell ref="A62:A63"/>
    <mergeCell ref="B62:B63"/>
    <mergeCell ref="C62:C63"/>
    <mergeCell ref="E62:E63"/>
    <mergeCell ref="F62:F63"/>
    <mergeCell ref="N62:N63"/>
    <mergeCell ref="I62:I63"/>
    <mergeCell ref="J62:J63"/>
    <mergeCell ref="K62:K63"/>
    <mergeCell ref="G62:G63"/>
    <mergeCell ref="H62:H63"/>
    <mergeCell ref="M62:M63"/>
    <mergeCell ref="A64:A65"/>
    <mergeCell ref="B64:B65"/>
    <mergeCell ref="C64:C65"/>
    <mergeCell ref="E64:E65"/>
    <mergeCell ref="F64:F65"/>
    <mergeCell ref="G64:G65"/>
    <mergeCell ref="H64:H65"/>
    <mergeCell ref="L64:L65"/>
    <mergeCell ref="M64:M65"/>
    <mergeCell ref="I64:I65"/>
    <mergeCell ref="J64:J65"/>
    <mergeCell ref="A58:A59"/>
    <mergeCell ref="B58:B59"/>
    <mergeCell ref="C58:C59"/>
    <mergeCell ref="E58:E59"/>
    <mergeCell ref="F58:F59"/>
    <mergeCell ref="N58:N59"/>
    <mergeCell ref="I58:I59"/>
    <mergeCell ref="J58:J59"/>
    <mergeCell ref="K58:K59"/>
    <mergeCell ref="L58:L59"/>
    <mergeCell ref="M58:M59"/>
    <mergeCell ref="A60:A61"/>
    <mergeCell ref="B60:B61"/>
    <mergeCell ref="C60:C61"/>
    <mergeCell ref="E60:E61"/>
    <mergeCell ref="F60:F61"/>
    <mergeCell ref="G60:G61"/>
    <mergeCell ref="H60:H61"/>
    <mergeCell ref="L60:L61"/>
    <mergeCell ref="M60:M61"/>
    <mergeCell ref="I60:I61"/>
    <mergeCell ref="J60:J61"/>
    <mergeCell ref="K60:K61"/>
    <mergeCell ref="A54:A55"/>
    <mergeCell ref="B54:B55"/>
    <mergeCell ref="C54:C55"/>
    <mergeCell ref="E54:E55"/>
    <mergeCell ref="F54:F55"/>
    <mergeCell ref="N54:N55"/>
    <mergeCell ref="I54:I55"/>
    <mergeCell ref="J54:J55"/>
    <mergeCell ref="K54:K55"/>
    <mergeCell ref="L54:L55"/>
    <mergeCell ref="M54:M55"/>
    <mergeCell ref="A56:A57"/>
    <mergeCell ref="B56:B57"/>
    <mergeCell ref="C56:C57"/>
    <mergeCell ref="E56:E57"/>
    <mergeCell ref="F56:F57"/>
    <mergeCell ref="G56:G57"/>
    <mergeCell ref="H56:H57"/>
    <mergeCell ref="L56:L57"/>
    <mergeCell ref="M56:M57"/>
    <mergeCell ref="I56:I57"/>
    <mergeCell ref="J56:J57"/>
    <mergeCell ref="K56:K57"/>
    <mergeCell ref="A50:A51"/>
    <mergeCell ref="B50:B51"/>
    <mergeCell ref="C50:C51"/>
    <mergeCell ref="E50:E51"/>
    <mergeCell ref="F50:F51"/>
    <mergeCell ref="N50:N51"/>
    <mergeCell ref="I50:I51"/>
    <mergeCell ref="J50:J51"/>
    <mergeCell ref="K50:K51"/>
    <mergeCell ref="G50:G51"/>
    <mergeCell ref="H50:H51"/>
    <mergeCell ref="A52:A53"/>
    <mergeCell ref="B52:B53"/>
    <mergeCell ref="C52:C53"/>
    <mergeCell ref="E52:E53"/>
    <mergeCell ref="F52:F53"/>
    <mergeCell ref="G52:G53"/>
    <mergeCell ref="H52:H53"/>
    <mergeCell ref="L52:L53"/>
    <mergeCell ref="M52:M53"/>
    <mergeCell ref="I52:I53"/>
    <mergeCell ref="J52:J53"/>
    <mergeCell ref="K52:K53"/>
    <mergeCell ref="A44:A45"/>
    <mergeCell ref="B44:B45"/>
    <mergeCell ref="C44:C45"/>
    <mergeCell ref="E44:E45"/>
    <mergeCell ref="F44:F45"/>
    <mergeCell ref="G44:G45"/>
    <mergeCell ref="H44:H45"/>
    <mergeCell ref="L44:L45"/>
    <mergeCell ref="M44:M45"/>
    <mergeCell ref="K44:K45"/>
    <mergeCell ref="D44:D45"/>
    <mergeCell ref="I44:I45"/>
    <mergeCell ref="J44:J45"/>
    <mergeCell ref="A46:A47"/>
    <mergeCell ref="B46:B47"/>
    <mergeCell ref="C46:C47"/>
    <mergeCell ref="A48:A49"/>
    <mergeCell ref="B48:B49"/>
    <mergeCell ref="C48:C49"/>
    <mergeCell ref="I48:I49"/>
    <mergeCell ref="M36:M37"/>
    <mergeCell ref="K34:K35"/>
    <mergeCell ref="A34:A35"/>
    <mergeCell ref="B34:B35"/>
    <mergeCell ref="C34:C35"/>
    <mergeCell ref="E34:E35"/>
    <mergeCell ref="F34:F35"/>
    <mergeCell ref="A36:A37"/>
    <mergeCell ref="B36:B37"/>
    <mergeCell ref="M34:M35"/>
    <mergeCell ref="D34:D35"/>
    <mergeCell ref="C36:C37"/>
    <mergeCell ref="I34:I35"/>
    <mergeCell ref="J34:J35"/>
    <mergeCell ref="I36:I37"/>
    <mergeCell ref="J36:J37"/>
    <mergeCell ref="I40:I41"/>
    <mergeCell ref="AC1:AG1"/>
    <mergeCell ref="O2:AB2"/>
    <mergeCell ref="AC2:AG2"/>
    <mergeCell ref="A1:N1"/>
    <mergeCell ref="A2:N2"/>
    <mergeCell ref="A4:B4"/>
    <mergeCell ref="E4:F4"/>
    <mergeCell ref="G34:G35"/>
    <mergeCell ref="H34:H35"/>
    <mergeCell ref="L34:L35"/>
    <mergeCell ref="N34:N35"/>
    <mergeCell ref="Q34:Q35"/>
    <mergeCell ref="L9:N9"/>
    <mergeCell ref="A5:B5"/>
    <mergeCell ref="E5:F5"/>
    <mergeCell ref="H9:J9"/>
    <mergeCell ref="O1:AB1"/>
    <mergeCell ref="C4:D4"/>
    <mergeCell ref="G4:H4"/>
    <mergeCell ref="I4:K4"/>
    <mergeCell ref="L4:N4"/>
    <mergeCell ref="O4:P4"/>
    <mergeCell ref="C5:D5"/>
    <mergeCell ref="A6:B6"/>
    <mergeCell ref="G5:H5"/>
    <mergeCell ref="I5:K5"/>
    <mergeCell ref="L5:N5"/>
    <mergeCell ref="O5:P5"/>
    <mergeCell ref="I38:I39"/>
    <mergeCell ref="J38:J39"/>
    <mergeCell ref="K36:K37"/>
    <mergeCell ref="Q36:Q37"/>
    <mergeCell ref="Q38:Q39"/>
    <mergeCell ref="O9:Q9"/>
    <mergeCell ref="L38:L39"/>
    <mergeCell ref="M38:M39"/>
    <mergeCell ref="L36:L37"/>
    <mergeCell ref="N36:N37"/>
    <mergeCell ref="N38:N39"/>
    <mergeCell ref="O34:O35"/>
    <mergeCell ref="P34:P35"/>
    <mergeCell ref="O36:O37"/>
    <mergeCell ref="P36:P37"/>
    <mergeCell ref="O38:O39"/>
    <mergeCell ref="P38:P39"/>
    <mergeCell ref="AK24:AL24"/>
    <mergeCell ref="I74:I75"/>
    <mergeCell ref="J74:J75"/>
    <mergeCell ref="I76:I77"/>
    <mergeCell ref="J76:J77"/>
    <mergeCell ref="I78:I79"/>
    <mergeCell ref="J78:J79"/>
    <mergeCell ref="R8:AI8"/>
    <mergeCell ref="Q42:Q43"/>
    <mergeCell ref="N42:N43"/>
    <mergeCell ref="N44:N45"/>
    <mergeCell ref="Q56:Q57"/>
    <mergeCell ref="N56:N57"/>
    <mergeCell ref="Q52:Q53"/>
    <mergeCell ref="N52:N53"/>
    <mergeCell ref="Q54:Q55"/>
    <mergeCell ref="Q58:Q59"/>
    <mergeCell ref="L66:L67"/>
    <mergeCell ref="M66:M67"/>
    <mergeCell ref="Q44:Q45"/>
    <mergeCell ref="Q40:Q41"/>
    <mergeCell ref="Q50:Q51"/>
    <mergeCell ref="Q48:Q49"/>
    <mergeCell ref="N40:N41"/>
    <mergeCell ref="O80:O81"/>
    <mergeCell ref="P80:P81"/>
    <mergeCell ref="O82:O83"/>
    <mergeCell ref="P82:P83"/>
    <mergeCell ref="O50:O51"/>
    <mergeCell ref="P50:P51"/>
    <mergeCell ref="O52:O53"/>
    <mergeCell ref="P52:P53"/>
    <mergeCell ref="O54:O55"/>
    <mergeCell ref="P54:P55"/>
    <mergeCell ref="O56:O57"/>
    <mergeCell ref="P56:P57"/>
    <mergeCell ref="O58:O59"/>
    <mergeCell ref="P58:P59"/>
  </mergeCells>
  <conditionalFormatting sqref="U10:U30">
    <cfRule type="cellIs" dxfId="24" priority="56" operator="between">
      <formula>$S$10</formula>
      <formula>0.01</formula>
    </cfRule>
    <cfRule type="cellIs" dxfId="23" priority="57" operator="greaterThanOrEqual">
      <formula>$S$10</formula>
    </cfRule>
    <cfRule type="cellIs" dxfId="22" priority="58" operator="equal">
      <formula>0</formula>
    </cfRule>
  </conditionalFormatting>
  <conditionalFormatting sqref="W10:W30">
    <cfRule type="cellIs" dxfId="21" priority="4" operator="lessThan">
      <formula>0</formula>
    </cfRule>
  </conditionalFormatting>
  <conditionalFormatting sqref="AD10:AD30">
    <cfRule type="cellIs" dxfId="20" priority="3" operator="lessThanOrEqual">
      <formula>0.81</formula>
    </cfRule>
  </conditionalFormatting>
  <conditionalFormatting sqref="AG10:AG30">
    <cfRule type="containsText" dxfId="19" priority="5" operator="containsText" text="ADIANTADO">
      <formula>NOT(ISERROR(SEARCH("ADIANTADO",AG10)))</formula>
    </cfRule>
    <cfRule type="containsText" dxfId="18" priority="6" operator="containsText" text="FALTA DE ACOMPANHAMENTO">
      <formula>NOT(ISERROR(SEARCH("FALTA DE ACOMPANHAMENTO",AG10)))</formula>
    </cfRule>
    <cfRule type="containsText" dxfId="17" priority="7" operator="containsText" text="Concluído">
      <formula>NOT(ISERROR(SEARCH("Concluído",AG10)))</formula>
    </cfRule>
    <cfRule type="containsText" dxfId="16" priority="8" operator="containsText" text="Conforme Planejado">
      <formula>NOT(ISERROR(SEARCH("Conforme Planejado",AG10)))</formula>
    </cfRule>
    <cfRule type="containsText" dxfId="15" priority="9" operator="containsText" text="PROJETO NÃO INICIADO">
      <formula>NOT(ISERROR(SEARCH("PROJETO NÃO INICIADO",AG10)))</formula>
    </cfRule>
    <cfRule type="containsText" dxfId="14" priority="10" operator="containsText" text="Atraso">
      <formula>NOT(ISERROR(SEARCH("Atraso",AG10)))</formula>
    </cfRule>
  </conditionalFormatting>
  <conditionalFormatting sqref="AI10:AI30">
    <cfRule type="containsText" dxfId="13" priority="14" operator="containsText" text="Concluído">
      <formula>NOT(ISERROR(SEARCH("Concluído",AI10)))</formula>
    </cfRule>
    <cfRule type="containsText" dxfId="12" priority="15" operator="containsText" text="Conforme Planejado">
      <formula>NOT(ISERROR(SEARCH("Conforme Planejado",AI10)))</formula>
    </cfRule>
    <cfRule type="containsText" dxfId="11" priority="16" operator="containsText" text="FALTA PLANEJAMENTO">
      <formula>NOT(ISERROR(SEARCH("FALTA PLANEJAMENTO",AI10)))</formula>
    </cfRule>
    <cfRule type="containsText" dxfId="10" priority="17" operator="containsText" text="Atraso">
      <formula>NOT(ISERROR(SEARCH("Atraso",AI10)))</formula>
    </cfRule>
  </conditionalFormatting>
  <conditionalFormatting sqref="AR34:AR83">
    <cfRule type="cellIs" dxfId="9" priority="1" operator="lessThan">
      <formula>0</formula>
    </cfRule>
  </conditionalFormatting>
  <dataValidations disablePrompts="1" count="3">
    <dataValidation type="list" allowBlank="1" showInputMessage="1" showErrorMessage="1" sqref="Q34:Q83" xr:uid="{E9C8E1BD-98DC-4045-8857-D92BF3941777}">
      <formula1>"Diadema,Jarinu,Ferraz,Anchieta,São Leopoldo, Multi Unidades"</formula1>
    </dataValidation>
    <dataValidation type="list" allowBlank="1" showInputMessage="1" showErrorMessage="1" sqref="AL34:AL83" xr:uid="{4FBA4538-8FE1-4C6A-BA5D-DFFE17E1CA0A}">
      <formula1>"Compras,Vendas,Orçamento,Eng. Corporativa,Eng. Ferraz,Eng. Diadema,Eng. SL,Eng. Anchieta,Eng. Jarinu"</formula1>
    </dataValidation>
    <dataValidation type="list" allowBlank="1" showInputMessage="1" showErrorMessage="1" sqref="A34:A83" xr:uid="{2B248A77-0F17-4B40-BFB3-F2F96C0EBAB1}">
      <formula1>"Kaizen,Redução de Custo, BSW, Estratégia Comercial,Meta Executiva "</formula1>
    </dataValidation>
  </dataValidations>
  <hyperlinks>
    <hyperlink ref="C44" r:id="rId1" xr:uid="{B8C2CF27-E3E2-4932-99F9-FD149EE42AFB}"/>
  </hyperlinks>
  <pageMargins left="0.75" right="0.75" top="1" bottom="1" header="0.5" footer="0.5"/>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2297" r:id="rId5" name="Check Box 9">
              <controlPr defaultSize="0" autoFill="0" autoLine="0" autoPict="0">
                <anchor moveWithCells="1">
                  <from>
                    <xdr:col>10</xdr:col>
                    <xdr:colOff>30480</xdr:colOff>
                    <xdr:row>35</xdr:row>
                    <xdr:rowOff>152400</xdr:rowOff>
                  </from>
                  <to>
                    <xdr:col>10</xdr:col>
                    <xdr:colOff>1706880</xdr:colOff>
                    <xdr:row>36</xdr:row>
                    <xdr:rowOff>30480</xdr:rowOff>
                  </to>
                </anchor>
              </controlPr>
            </control>
          </mc:Choice>
        </mc:AlternateContent>
        <mc:AlternateContent xmlns:mc="http://schemas.openxmlformats.org/markup-compatibility/2006">
          <mc:Choice Requires="x14">
            <control shapeId="12298" r:id="rId6" name="Check Box 10">
              <controlPr defaultSize="0" autoFill="0" autoLine="0" autoPict="0">
                <anchor moveWithCells="1">
                  <from>
                    <xdr:col>10</xdr:col>
                    <xdr:colOff>30480</xdr:colOff>
                    <xdr:row>36</xdr:row>
                    <xdr:rowOff>30480</xdr:rowOff>
                  </from>
                  <to>
                    <xdr:col>10</xdr:col>
                    <xdr:colOff>1706880</xdr:colOff>
                    <xdr:row>36</xdr:row>
                    <xdr:rowOff>228600</xdr:rowOff>
                  </to>
                </anchor>
              </controlPr>
            </control>
          </mc:Choice>
        </mc:AlternateContent>
        <mc:AlternateContent xmlns:mc="http://schemas.openxmlformats.org/markup-compatibility/2006">
          <mc:Choice Requires="x14">
            <control shapeId="12300" r:id="rId7" name="Check Box 12">
              <controlPr defaultSize="0" autoFill="0" autoLine="0" autoPict="0">
                <anchor moveWithCells="1">
                  <from>
                    <xdr:col>10</xdr:col>
                    <xdr:colOff>0</xdr:colOff>
                    <xdr:row>37</xdr:row>
                    <xdr:rowOff>266700</xdr:rowOff>
                  </from>
                  <to>
                    <xdr:col>10</xdr:col>
                    <xdr:colOff>1706880</xdr:colOff>
                    <xdr:row>38</xdr:row>
                    <xdr:rowOff>106680</xdr:rowOff>
                  </to>
                </anchor>
              </controlPr>
            </control>
          </mc:Choice>
        </mc:AlternateContent>
        <mc:AlternateContent xmlns:mc="http://schemas.openxmlformats.org/markup-compatibility/2006">
          <mc:Choice Requires="x14">
            <control shapeId="12301" r:id="rId8" name="Check Box 13">
              <controlPr defaultSize="0" autoFill="0" autoLine="0" autoPict="0">
                <anchor moveWithCells="1">
                  <from>
                    <xdr:col>10</xdr:col>
                    <xdr:colOff>0</xdr:colOff>
                    <xdr:row>38</xdr:row>
                    <xdr:rowOff>144780</xdr:rowOff>
                  </from>
                  <to>
                    <xdr:col>10</xdr:col>
                    <xdr:colOff>1706880</xdr:colOff>
                    <xdr:row>39</xdr:row>
                    <xdr:rowOff>0</xdr:rowOff>
                  </to>
                </anchor>
              </controlPr>
            </control>
          </mc:Choice>
        </mc:AlternateContent>
        <mc:AlternateContent xmlns:mc="http://schemas.openxmlformats.org/markup-compatibility/2006">
          <mc:Choice Requires="x14">
            <control shapeId="12302" r:id="rId9" name="Check Box 14">
              <controlPr defaultSize="0" autoFill="0" autoLine="0" autoPict="0">
                <anchor moveWithCells="1">
                  <from>
                    <xdr:col>10</xdr:col>
                    <xdr:colOff>0</xdr:colOff>
                    <xdr:row>37</xdr:row>
                    <xdr:rowOff>30480</xdr:rowOff>
                  </from>
                  <to>
                    <xdr:col>10</xdr:col>
                    <xdr:colOff>1706880</xdr:colOff>
                    <xdr:row>37</xdr:row>
                    <xdr:rowOff>228600</xdr:rowOff>
                  </to>
                </anchor>
              </controlPr>
            </control>
          </mc:Choice>
        </mc:AlternateContent>
        <mc:AlternateContent xmlns:mc="http://schemas.openxmlformats.org/markup-compatibility/2006">
          <mc:Choice Requires="x14">
            <control shapeId="12303" r:id="rId10" name="Check Box 15">
              <controlPr defaultSize="0" autoFill="0" autoLine="0" autoPict="0">
                <anchor moveWithCells="1">
                  <from>
                    <xdr:col>10</xdr:col>
                    <xdr:colOff>0</xdr:colOff>
                    <xdr:row>39</xdr:row>
                    <xdr:rowOff>266700</xdr:rowOff>
                  </from>
                  <to>
                    <xdr:col>10</xdr:col>
                    <xdr:colOff>1706880</xdr:colOff>
                    <xdr:row>40</xdr:row>
                    <xdr:rowOff>106680</xdr:rowOff>
                  </to>
                </anchor>
              </controlPr>
            </control>
          </mc:Choice>
        </mc:AlternateContent>
        <mc:AlternateContent xmlns:mc="http://schemas.openxmlformats.org/markup-compatibility/2006">
          <mc:Choice Requires="x14">
            <control shapeId="12304" r:id="rId11" name="Check Box 16">
              <controlPr defaultSize="0" autoFill="0" autoLine="0" autoPict="0">
                <anchor moveWithCells="1">
                  <from>
                    <xdr:col>10</xdr:col>
                    <xdr:colOff>0</xdr:colOff>
                    <xdr:row>40</xdr:row>
                    <xdr:rowOff>144780</xdr:rowOff>
                  </from>
                  <to>
                    <xdr:col>10</xdr:col>
                    <xdr:colOff>1706880</xdr:colOff>
                    <xdr:row>40</xdr:row>
                    <xdr:rowOff>342900</xdr:rowOff>
                  </to>
                </anchor>
              </controlPr>
            </control>
          </mc:Choice>
        </mc:AlternateContent>
        <mc:AlternateContent xmlns:mc="http://schemas.openxmlformats.org/markup-compatibility/2006">
          <mc:Choice Requires="x14">
            <control shapeId="12305" r:id="rId12" name="Check Box 17">
              <controlPr defaultSize="0" autoFill="0" autoLine="0" autoPict="0">
                <anchor moveWithCells="1">
                  <from>
                    <xdr:col>10</xdr:col>
                    <xdr:colOff>0</xdr:colOff>
                    <xdr:row>39</xdr:row>
                    <xdr:rowOff>30480</xdr:rowOff>
                  </from>
                  <to>
                    <xdr:col>10</xdr:col>
                    <xdr:colOff>1706880</xdr:colOff>
                    <xdr:row>39</xdr:row>
                    <xdr:rowOff>259080</xdr:rowOff>
                  </to>
                </anchor>
              </controlPr>
            </control>
          </mc:Choice>
        </mc:AlternateContent>
        <mc:AlternateContent xmlns:mc="http://schemas.openxmlformats.org/markup-compatibility/2006">
          <mc:Choice Requires="x14">
            <control shapeId="12306" r:id="rId13" name="Check Box 18">
              <controlPr defaultSize="0" autoFill="0" autoLine="0" autoPict="0">
                <anchor moveWithCells="1">
                  <from>
                    <xdr:col>10</xdr:col>
                    <xdr:colOff>0</xdr:colOff>
                    <xdr:row>41</xdr:row>
                    <xdr:rowOff>266700</xdr:rowOff>
                  </from>
                  <to>
                    <xdr:col>10</xdr:col>
                    <xdr:colOff>1706880</xdr:colOff>
                    <xdr:row>42</xdr:row>
                    <xdr:rowOff>106680</xdr:rowOff>
                  </to>
                </anchor>
              </controlPr>
            </control>
          </mc:Choice>
        </mc:AlternateContent>
        <mc:AlternateContent xmlns:mc="http://schemas.openxmlformats.org/markup-compatibility/2006">
          <mc:Choice Requires="x14">
            <control shapeId="12307" r:id="rId14" name="Check Box 19">
              <controlPr defaultSize="0" autoFill="0" autoLine="0" autoPict="0">
                <anchor moveWithCells="1">
                  <from>
                    <xdr:col>10</xdr:col>
                    <xdr:colOff>0</xdr:colOff>
                    <xdr:row>42</xdr:row>
                    <xdr:rowOff>144780</xdr:rowOff>
                  </from>
                  <to>
                    <xdr:col>10</xdr:col>
                    <xdr:colOff>1706880</xdr:colOff>
                    <xdr:row>43</xdr:row>
                    <xdr:rowOff>0</xdr:rowOff>
                  </to>
                </anchor>
              </controlPr>
            </control>
          </mc:Choice>
        </mc:AlternateContent>
        <mc:AlternateContent xmlns:mc="http://schemas.openxmlformats.org/markup-compatibility/2006">
          <mc:Choice Requires="x14">
            <control shapeId="12308" r:id="rId15" name="Check Box 20">
              <controlPr defaultSize="0" autoFill="0" autoLine="0" autoPict="0">
                <anchor moveWithCells="1">
                  <from>
                    <xdr:col>10</xdr:col>
                    <xdr:colOff>0</xdr:colOff>
                    <xdr:row>41</xdr:row>
                    <xdr:rowOff>30480</xdr:rowOff>
                  </from>
                  <to>
                    <xdr:col>10</xdr:col>
                    <xdr:colOff>1706880</xdr:colOff>
                    <xdr:row>41</xdr:row>
                    <xdr:rowOff>228600</xdr:rowOff>
                  </to>
                </anchor>
              </controlPr>
            </control>
          </mc:Choice>
        </mc:AlternateContent>
        <mc:AlternateContent xmlns:mc="http://schemas.openxmlformats.org/markup-compatibility/2006">
          <mc:Choice Requires="x14">
            <control shapeId="12309" r:id="rId16" name="Check Box 21">
              <controlPr defaultSize="0" autoFill="0" autoLine="0" autoPict="0">
                <anchor moveWithCells="1">
                  <from>
                    <xdr:col>10</xdr:col>
                    <xdr:colOff>0</xdr:colOff>
                    <xdr:row>43</xdr:row>
                    <xdr:rowOff>266700</xdr:rowOff>
                  </from>
                  <to>
                    <xdr:col>10</xdr:col>
                    <xdr:colOff>1706880</xdr:colOff>
                    <xdr:row>44</xdr:row>
                    <xdr:rowOff>106680</xdr:rowOff>
                  </to>
                </anchor>
              </controlPr>
            </control>
          </mc:Choice>
        </mc:AlternateContent>
        <mc:AlternateContent xmlns:mc="http://schemas.openxmlformats.org/markup-compatibility/2006">
          <mc:Choice Requires="x14">
            <control shapeId="12310" r:id="rId17" name="Check Box 22">
              <controlPr defaultSize="0" autoFill="0" autoLine="0" autoPict="0">
                <anchor moveWithCells="1">
                  <from>
                    <xdr:col>10</xdr:col>
                    <xdr:colOff>0</xdr:colOff>
                    <xdr:row>44</xdr:row>
                    <xdr:rowOff>144780</xdr:rowOff>
                  </from>
                  <to>
                    <xdr:col>10</xdr:col>
                    <xdr:colOff>1706880</xdr:colOff>
                    <xdr:row>44</xdr:row>
                    <xdr:rowOff>342900</xdr:rowOff>
                  </to>
                </anchor>
              </controlPr>
            </control>
          </mc:Choice>
        </mc:AlternateContent>
        <mc:AlternateContent xmlns:mc="http://schemas.openxmlformats.org/markup-compatibility/2006">
          <mc:Choice Requires="x14">
            <control shapeId="12311" r:id="rId18" name="Check Box 23">
              <controlPr defaultSize="0" autoFill="0" autoLine="0" autoPict="0">
                <anchor moveWithCells="1">
                  <from>
                    <xdr:col>10</xdr:col>
                    <xdr:colOff>0</xdr:colOff>
                    <xdr:row>43</xdr:row>
                    <xdr:rowOff>30480</xdr:rowOff>
                  </from>
                  <to>
                    <xdr:col>10</xdr:col>
                    <xdr:colOff>1706880</xdr:colOff>
                    <xdr:row>43</xdr:row>
                    <xdr:rowOff>259080</xdr:rowOff>
                  </to>
                </anchor>
              </controlPr>
            </control>
          </mc:Choice>
        </mc:AlternateContent>
        <mc:AlternateContent xmlns:mc="http://schemas.openxmlformats.org/markup-compatibility/2006">
          <mc:Choice Requires="x14">
            <control shapeId="12312" r:id="rId19" name="Check Box 24">
              <controlPr defaultSize="0" autoFill="0" autoLine="0" autoPict="0">
                <anchor moveWithCells="1">
                  <from>
                    <xdr:col>10</xdr:col>
                    <xdr:colOff>0</xdr:colOff>
                    <xdr:row>45</xdr:row>
                    <xdr:rowOff>266700</xdr:rowOff>
                  </from>
                  <to>
                    <xdr:col>10</xdr:col>
                    <xdr:colOff>1706880</xdr:colOff>
                    <xdr:row>46</xdr:row>
                    <xdr:rowOff>106680</xdr:rowOff>
                  </to>
                </anchor>
              </controlPr>
            </control>
          </mc:Choice>
        </mc:AlternateContent>
        <mc:AlternateContent xmlns:mc="http://schemas.openxmlformats.org/markup-compatibility/2006">
          <mc:Choice Requires="x14">
            <control shapeId="12313" r:id="rId20" name="Check Box 25">
              <controlPr defaultSize="0" autoFill="0" autoLine="0" autoPict="0">
                <anchor moveWithCells="1">
                  <from>
                    <xdr:col>10</xdr:col>
                    <xdr:colOff>0</xdr:colOff>
                    <xdr:row>46</xdr:row>
                    <xdr:rowOff>144780</xdr:rowOff>
                  </from>
                  <to>
                    <xdr:col>10</xdr:col>
                    <xdr:colOff>1706880</xdr:colOff>
                    <xdr:row>47</xdr:row>
                    <xdr:rowOff>0</xdr:rowOff>
                  </to>
                </anchor>
              </controlPr>
            </control>
          </mc:Choice>
        </mc:AlternateContent>
        <mc:AlternateContent xmlns:mc="http://schemas.openxmlformats.org/markup-compatibility/2006">
          <mc:Choice Requires="x14">
            <control shapeId="12314" r:id="rId21" name="Check Box 26">
              <controlPr defaultSize="0" autoFill="0" autoLine="0" autoPict="0">
                <anchor moveWithCells="1">
                  <from>
                    <xdr:col>10</xdr:col>
                    <xdr:colOff>0</xdr:colOff>
                    <xdr:row>45</xdr:row>
                    <xdr:rowOff>30480</xdr:rowOff>
                  </from>
                  <to>
                    <xdr:col>10</xdr:col>
                    <xdr:colOff>1706880</xdr:colOff>
                    <xdr:row>45</xdr:row>
                    <xdr:rowOff>228600</xdr:rowOff>
                  </to>
                </anchor>
              </controlPr>
            </control>
          </mc:Choice>
        </mc:AlternateContent>
        <mc:AlternateContent xmlns:mc="http://schemas.openxmlformats.org/markup-compatibility/2006">
          <mc:Choice Requires="x14">
            <control shapeId="12315" r:id="rId22" name="Check Box 27">
              <controlPr defaultSize="0" autoFill="0" autoLine="0" autoPict="0">
                <anchor moveWithCells="1">
                  <from>
                    <xdr:col>10</xdr:col>
                    <xdr:colOff>0</xdr:colOff>
                    <xdr:row>47</xdr:row>
                    <xdr:rowOff>266700</xdr:rowOff>
                  </from>
                  <to>
                    <xdr:col>10</xdr:col>
                    <xdr:colOff>1706880</xdr:colOff>
                    <xdr:row>48</xdr:row>
                    <xdr:rowOff>106680</xdr:rowOff>
                  </to>
                </anchor>
              </controlPr>
            </control>
          </mc:Choice>
        </mc:AlternateContent>
        <mc:AlternateContent xmlns:mc="http://schemas.openxmlformats.org/markup-compatibility/2006">
          <mc:Choice Requires="x14">
            <control shapeId="12316" r:id="rId23" name="Check Box 28">
              <controlPr defaultSize="0" autoFill="0" autoLine="0" autoPict="0">
                <anchor moveWithCells="1">
                  <from>
                    <xdr:col>10</xdr:col>
                    <xdr:colOff>0</xdr:colOff>
                    <xdr:row>48</xdr:row>
                    <xdr:rowOff>144780</xdr:rowOff>
                  </from>
                  <to>
                    <xdr:col>10</xdr:col>
                    <xdr:colOff>1706880</xdr:colOff>
                    <xdr:row>48</xdr:row>
                    <xdr:rowOff>342900</xdr:rowOff>
                  </to>
                </anchor>
              </controlPr>
            </control>
          </mc:Choice>
        </mc:AlternateContent>
        <mc:AlternateContent xmlns:mc="http://schemas.openxmlformats.org/markup-compatibility/2006">
          <mc:Choice Requires="x14">
            <control shapeId="12317" r:id="rId24" name="Check Box 29">
              <controlPr defaultSize="0" autoFill="0" autoLine="0" autoPict="0">
                <anchor moveWithCells="1">
                  <from>
                    <xdr:col>10</xdr:col>
                    <xdr:colOff>0</xdr:colOff>
                    <xdr:row>47</xdr:row>
                    <xdr:rowOff>30480</xdr:rowOff>
                  </from>
                  <to>
                    <xdr:col>10</xdr:col>
                    <xdr:colOff>1706880</xdr:colOff>
                    <xdr:row>47</xdr:row>
                    <xdr:rowOff>259080</xdr:rowOff>
                  </to>
                </anchor>
              </controlPr>
            </control>
          </mc:Choice>
        </mc:AlternateContent>
        <mc:AlternateContent xmlns:mc="http://schemas.openxmlformats.org/markup-compatibility/2006">
          <mc:Choice Requires="x14">
            <control shapeId="12318" r:id="rId25" name="Check Box 30">
              <controlPr defaultSize="0" autoFill="0" autoLine="0" autoPict="0">
                <anchor moveWithCells="1">
                  <from>
                    <xdr:col>10</xdr:col>
                    <xdr:colOff>0</xdr:colOff>
                    <xdr:row>49</xdr:row>
                    <xdr:rowOff>266700</xdr:rowOff>
                  </from>
                  <to>
                    <xdr:col>10</xdr:col>
                    <xdr:colOff>1706880</xdr:colOff>
                    <xdr:row>50</xdr:row>
                    <xdr:rowOff>106680</xdr:rowOff>
                  </to>
                </anchor>
              </controlPr>
            </control>
          </mc:Choice>
        </mc:AlternateContent>
        <mc:AlternateContent xmlns:mc="http://schemas.openxmlformats.org/markup-compatibility/2006">
          <mc:Choice Requires="x14">
            <control shapeId="12319" r:id="rId26" name="Check Box 31">
              <controlPr defaultSize="0" autoFill="0" autoLine="0" autoPict="0">
                <anchor moveWithCells="1">
                  <from>
                    <xdr:col>10</xdr:col>
                    <xdr:colOff>0</xdr:colOff>
                    <xdr:row>50</xdr:row>
                    <xdr:rowOff>144780</xdr:rowOff>
                  </from>
                  <to>
                    <xdr:col>10</xdr:col>
                    <xdr:colOff>1706880</xdr:colOff>
                    <xdr:row>51</xdr:row>
                    <xdr:rowOff>0</xdr:rowOff>
                  </to>
                </anchor>
              </controlPr>
            </control>
          </mc:Choice>
        </mc:AlternateContent>
        <mc:AlternateContent xmlns:mc="http://schemas.openxmlformats.org/markup-compatibility/2006">
          <mc:Choice Requires="x14">
            <control shapeId="12320" r:id="rId27" name="Check Box 32">
              <controlPr defaultSize="0" autoFill="0" autoLine="0" autoPict="0">
                <anchor moveWithCells="1">
                  <from>
                    <xdr:col>10</xdr:col>
                    <xdr:colOff>0</xdr:colOff>
                    <xdr:row>49</xdr:row>
                    <xdr:rowOff>30480</xdr:rowOff>
                  </from>
                  <to>
                    <xdr:col>10</xdr:col>
                    <xdr:colOff>1706880</xdr:colOff>
                    <xdr:row>49</xdr:row>
                    <xdr:rowOff>228600</xdr:rowOff>
                  </to>
                </anchor>
              </controlPr>
            </control>
          </mc:Choice>
        </mc:AlternateContent>
        <mc:AlternateContent xmlns:mc="http://schemas.openxmlformats.org/markup-compatibility/2006">
          <mc:Choice Requires="x14">
            <control shapeId="12321" r:id="rId28" name="Check Box 33">
              <controlPr defaultSize="0" autoFill="0" autoLine="0" autoPict="0">
                <anchor moveWithCells="1">
                  <from>
                    <xdr:col>10</xdr:col>
                    <xdr:colOff>0</xdr:colOff>
                    <xdr:row>51</xdr:row>
                    <xdr:rowOff>266700</xdr:rowOff>
                  </from>
                  <to>
                    <xdr:col>10</xdr:col>
                    <xdr:colOff>1706880</xdr:colOff>
                    <xdr:row>52</xdr:row>
                    <xdr:rowOff>106680</xdr:rowOff>
                  </to>
                </anchor>
              </controlPr>
            </control>
          </mc:Choice>
        </mc:AlternateContent>
        <mc:AlternateContent xmlns:mc="http://schemas.openxmlformats.org/markup-compatibility/2006">
          <mc:Choice Requires="x14">
            <control shapeId="12322" r:id="rId29" name="Check Box 34">
              <controlPr defaultSize="0" autoFill="0" autoLine="0" autoPict="0">
                <anchor moveWithCells="1">
                  <from>
                    <xdr:col>10</xdr:col>
                    <xdr:colOff>0</xdr:colOff>
                    <xdr:row>52</xdr:row>
                    <xdr:rowOff>144780</xdr:rowOff>
                  </from>
                  <to>
                    <xdr:col>10</xdr:col>
                    <xdr:colOff>1706880</xdr:colOff>
                    <xdr:row>52</xdr:row>
                    <xdr:rowOff>342900</xdr:rowOff>
                  </to>
                </anchor>
              </controlPr>
            </control>
          </mc:Choice>
        </mc:AlternateContent>
        <mc:AlternateContent xmlns:mc="http://schemas.openxmlformats.org/markup-compatibility/2006">
          <mc:Choice Requires="x14">
            <control shapeId="12323" r:id="rId30" name="Check Box 35">
              <controlPr defaultSize="0" autoFill="0" autoLine="0" autoPict="0">
                <anchor moveWithCells="1">
                  <from>
                    <xdr:col>10</xdr:col>
                    <xdr:colOff>0</xdr:colOff>
                    <xdr:row>51</xdr:row>
                    <xdr:rowOff>30480</xdr:rowOff>
                  </from>
                  <to>
                    <xdr:col>10</xdr:col>
                    <xdr:colOff>1706880</xdr:colOff>
                    <xdr:row>51</xdr:row>
                    <xdr:rowOff>259080</xdr:rowOff>
                  </to>
                </anchor>
              </controlPr>
            </control>
          </mc:Choice>
        </mc:AlternateContent>
        <mc:AlternateContent xmlns:mc="http://schemas.openxmlformats.org/markup-compatibility/2006">
          <mc:Choice Requires="x14">
            <control shapeId="12324" r:id="rId31" name="Check Box 36">
              <controlPr defaultSize="0" autoFill="0" autoLine="0" autoPict="0">
                <anchor moveWithCells="1">
                  <from>
                    <xdr:col>10</xdr:col>
                    <xdr:colOff>0</xdr:colOff>
                    <xdr:row>53</xdr:row>
                    <xdr:rowOff>266700</xdr:rowOff>
                  </from>
                  <to>
                    <xdr:col>10</xdr:col>
                    <xdr:colOff>1706880</xdr:colOff>
                    <xdr:row>54</xdr:row>
                    <xdr:rowOff>106680</xdr:rowOff>
                  </to>
                </anchor>
              </controlPr>
            </control>
          </mc:Choice>
        </mc:AlternateContent>
        <mc:AlternateContent xmlns:mc="http://schemas.openxmlformats.org/markup-compatibility/2006">
          <mc:Choice Requires="x14">
            <control shapeId="12325" r:id="rId32" name="Check Box 37">
              <controlPr defaultSize="0" autoFill="0" autoLine="0" autoPict="0">
                <anchor moveWithCells="1">
                  <from>
                    <xdr:col>10</xdr:col>
                    <xdr:colOff>0</xdr:colOff>
                    <xdr:row>54</xdr:row>
                    <xdr:rowOff>144780</xdr:rowOff>
                  </from>
                  <to>
                    <xdr:col>10</xdr:col>
                    <xdr:colOff>1706880</xdr:colOff>
                    <xdr:row>55</xdr:row>
                    <xdr:rowOff>0</xdr:rowOff>
                  </to>
                </anchor>
              </controlPr>
            </control>
          </mc:Choice>
        </mc:AlternateContent>
        <mc:AlternateContent xmlns:mc="http://schemas.openxmlformats.org/markup-compatibility/2006">
          <mc:Choice Requires="x14">
            <control shapeId="12326" r:id="rId33" name="Check Box 38">
              <controlPr defaultSize="0" autoFill="0" autoLine="0" autoPict="0">
                <anchor moveWithCells="1">
                  <from>
                    <xdr:col>10</xdr:col>
                    <xdr:colOff>0</xdr:colOff>
                    <xdr:row>53</xdr:row>
                    <xdr:rowOff>30480</xdr:rowOff>
                  </from>
                  <to>
                    <xdr:col>10</xdr:col>
                    <xdr:colOff>1706880</xdr:colOff>
                    <xdr:row>53</xdr:row>
                    <xdr:rowOff>228600</xdr:rowOff>
                  </to>
                </anchor>
              </controlPr>
            </control>
          </mc:Choice>
        </mc:AlternateContent>
        <mc:AlternateContent xmlns:mc="http://schemas.openxmlformats.org/markup-compatibility/2006">
          <mc:Choice Requires="x14">
            <control shapeId="12327" r:id="rId34" name="Check Box 39">
              <controlPr defaultSize="0" autoFill="0" autoLine="0" autoPict="0">
                <anchor moveWithCells="1">
                  <from>
                    <xdr:col>10</xdr:col>
                    <xdr:colOff>0</xdr:colOff>
                    <xdr:row>55</xdr:row>
                    <xdr:rowOff>266700</xdr:rowOff>
                  </from>
                  <to>
                    <xdr:col>10</xdr:col>
                    <xdr:colOff>1706880</xdr:colOff>
                    <xdr:row>56</xdr:row>
                    <xdr:rowOff>106680</xdr:rowOff>
                  </to>
                </anchor>
              </controlPr>
            </control>
          </mc:Choice>
        </mc:AlternateContent>
        <mc:AlternateContent xmlns:mc="http://schemas.openxmlformats.org/markup-compatibility/2006">
          <mc:Choice Requires="x14">
            <control shapeId="12328" r:id="rId35" name="Check Box 40">
              <controlPr defaultSize="0" autoFill="0" autoLine="0" autoPict="0">
                <anchor moveWithCells="1">
                  <from>
                    <xdr:col>10</xdr:col>
                    <xdr:colOff>0</xdr:colOff>
                    <xdr:row>56</xdr:row>
                    <xdr:rowOff>144780</xdr:rowOff>
                  </from>
                  <to>
                    <xdr:col>10</xdr:col>
                    <xdr:colOff>1706880</xdr:colOff>
                    <xdr:row>56</xdr:row>
                    <xdr:rowOff>342900</xdr:rowOff>
                  </to>
                </anchor>
              </controlPr>
            </control>
          </mc:Choice>
        </mc:AlternateContent>
        <mc:AlternateContent xmlns:mc="http://schemas.openxmlformats.org/markup-compatibility/2006">
          <mc:Choice Requires="x14">
            <control shapeId="12329" r:id="rId36" name="Check Box 41">
              <controlPr defaultSize="0" autoFill="0" autoLine="0" autoPict="0">
                <anchor moveWithCells="1">
                  <from>
                    <xdr:col>10</xdr:col>
                    <xdr:colOff>0</xdr:colOff>
                    <xdr:row>55</xdr:row>
                    <xdr:rowOff>30480</xdr:rowOff>
                  </from>
                  <to>
                    <xdr:col>10</xdr:col>
                    <xdr:colOff>1706880</xdr:colOff>
                    <xdr:row>55</xdr:row>
                    <xdr:rowOff>259080</xdr:rowOff>
                  </to>
                </anchor>
              </controlPr>
            </control>
          </mc:Choice>
        </mc:AlternateContent>
        <mc:AlternateContent xmlns:mc="http://schemas.openxmlformats.org/markup-compatibility/2006">
          <mc:Choice Requires="x14">
            <control shapeId="12330" r:id="rId37" name="Check Box 42">
              <controlPr defaultSize="0" autoFill="0" autoLine="0" autoPict="0">
                <anchor moveWithCells="1">
                  <from>
                    <xdr:col>10</xdr:col>
                    <xdr:colOff>0</xdr:colOff>
                    <xdr:row>57</xdr:row>
                    <xdr:rowOff>266700</xdr:rowOff>
                  </from>
                  <to>
                    <xdr:col>10</xdr:col>
                    <xdr:colOff>1706880</xdr:colOff>
                    <xdr:row>58</xdr:row>
                    <xdr:rowOff>106680</xdr:rowOff>
                  </to>
                </anchor>
              </controlPr>
            </control>
          </mc:Choice>
        </mc:AlternateContent>
        <mc:AlternateContent xmlns:mc="http://schemas.openxmlformats.org/markup-compatibility/2006">
          <mc:Choice Requires="x14">
            <control shapeId="12331" r:id="rId38" name="Check Box 43">
              <controlPr defaultSize="0" autoFill="0" autoLine="0" autoPict="0">
                <anchor moveWithCells="1">
                  <from>
                    <xdr:col>10</xdr:col>
                    <xdr:colOff>0</xdr:colOff>
                    <xdr:row>58</xdr:row>
                    <xdr:rowOff>144780</xdr:rowOff>
                  </from>
                  <to>
                    <xdr:col>10</xdr:col>
                    <xdr:colOff>1706880</xdr:colOff>
                    <xdr:row>59</xdr:row>
                    <xdr:rowOff>0</xdr:rowOff>
                  </to>
                </anchor>
              </controlPr>
            </control>
          </mc:Choice>
        </mc:AlternateContent>
        <mc:AlternateContent xmlns:mc="http://schemas.openxmlformats.org/markup-compatibility/2006">
          <mc:Choice Requires="x14">
            <control shapeId="12332" r:id="rId39" name="Check Box 44">
              <controlPr defaultSize="0" autoFill="0" autoLine="0" autoPict="0">
                <anchor moveWithCells="1">
                  <from>
                    <xdr:col>10</xdr:col>
                    <xdr:colOff>0</xdr:colOff>
                    <xdr:row>57</xdr:row>
                    <xdr:rowOff>30480</xdr:rowOff>
                  </from>
                  <to>
                    <xdr:col>10</xdr:col>
                    <xdr:colOff>1706880</xdr:colOff>
                    <xdr:row>57</xdr:row>
                    <xdr:rowOff>228600</xdr:rowOff>
                  </to>
                </anchor>
              </controlPr>
            </control>
          </mc:Choice>
        </mc:AlternateContent>
        <mc:AlternateContent xmlns:mc="http://schemas.openxmlformats.org/markup-compatibility/2006">
          <mc:Choice Requires="x14">
            <control shapeId="12333" r:id="rId40" name="Check Box 45">
              <controlPr defaultSize="0" autoFill="0" autoLine="0" autoPict="0">
                <anchor moveWithCells="1">
                  <from>
                    <xdr:col>10</xdr:col>
                    <xdr:colOff>0</xdr:colOff>
                    <xdr:row>59</xdr:row>
                    <xdr:rowOff>266700</xdr:rowOff>
                  </from>
                  <to>
                    <xdr:col>10</xdr:col>
                    <xdr:colOff>1706880</xdr:colOff>
                    <xdr:row>60</xdr:row>
                    <xdr:rowOff>106680</xdr:rowOff>
                  </to>
                </anchor>
              </controlPr>
            </control>
          </mc:Choice>
        </mc:AlternateContent>
        <mc:AlternateContent xmlns:mc="http://schemas.openxmlformats.org/markup-compatibility/2006">
          <mc:Choice Requires="x14">
            <control shapeId="12334" r:id="rId41" name="Check Box 46">
              <controlPr defaultSize="0" autoFill="0" autoLine="0" autoPict="0">
                <anchor moveWithCells="1">
                  <from>
                    <xdr:col>10</xdr:col>
                    <xdr:colOff>0</xdr:colOff>
                    <xdr:row>60</xdr:row>
                    <xdr:rowOff>144780</xdr:rowOff>
                  </from>
                  <to>
                    <xdr:col>10</xdr:col>
                    <xdr:colOff>1706880</xdr:colOff>
                    <xdr:row>60</xdr:row>
                    <xdr:rowOff>342900</xdr:rowOff>
                  </to>
                </anchor>
              </controlPr>
            </control>
          </mc:Choice>
        </mc:AlternateContent>
        <mc:AlternateContent xmlns:mc="http://schemas.openxmlformats.org/markup-compatibility/2006">
          <mc:Choice Requires="x14">
            <control shapeId="12335" r:id="rId42" name="Check Box 47">
              <controlPr defaultSize="0" autoFill="0" autoLine="0" autoPict="0">
                <anchor moveWithCells="1">
                  <from>
                    <xdr:col>10</xdr:col>
                    <xdr:colOff>0</xdr:colOff>
                    <xdr:row>59</xdr:row>
                    <xdr:rowOff>30480</xdr:rowOff>
                  </from>
                  <to>
                    <xdr:col>10</xdr:col>
                    <xdr:colOff>1706880</xdr:colOff>
                    <xdr:row>59</xdr:row>
                    <xdr:rowOff>259080</xdr:rowOff>
                  </to>
                </anchor>
              </controlPr>
            </control>
          </mc:Choice>
        </mc:AlternateContent>
        <mc:AlternateContent xmlns:mc="http://schemas.openxmlformats.org/markup-compatibility/2006">
          <mc:Choice Requires="x14">
            <control shapeId="12336" r:id="rId43" name="Check Box 48">
              <controlPr defaultSize="0" autoFill="0" autoLine="0" autoPict="0">
                <anchor moveWithCells="1">
                  <from>
                    <xdr:col>10</xdr:col>
                    <xdr:colOff>0</xdr:colOff>
                    <xdr:row>61</xdr:row>
                    <xdr:rowOff>266700</xdr:rowOff>
                  </from>
                  <to>
                    <xdr:col>10</xdr:col>
                    <xdr:colOff>1706880</xdr:colOff>
                    <xdr:row>62</xdr:row>
                    <xdr:rowOff>106680</xdr:rowOff>
                  </to>
                </anchor>
              </controlPr>
            </control>
          </mc:Choice>
        </mc:AlternateContent>
        <mc:AlternateContent xmlns:mc="http://schemas.openxmlformats.org/markup-compatibility/2006">
          <mc:Choice Requires="x14">
            <control shapeId="12337" r:id="rId44" name="Check Box 49">
              <controlPr defaultSize="0" autoFill="0" autoLine="0" autoPict="0">
                <anchor moveWithCells="1">
                  <from>
                    <xdr:col>10</xdr:col>
                    <xdr:colOff>0</xdr:colOff>
                    <xdr:row>62</xdr:row>
                    <xdr:rowOff>144780</xdr:rowOff>
                  </from>
                  <to>
                    <xdr:col>10</xdr:col>
                    <xdr:colOff>1706880</xdr:colOff>
                    <xdr:row>63</xdr:row>
                    <xdr:rowOff>0</xdr:rowOff>
                  </to>
                </anchor>
              </controlPr>
            </control>
          </mc:Choice>
        </mc:AlternateContent>
        <mc:AlternateContent xmlns:mc="http://schemas.openxmlformats.org/markup-compatibility/2006">
          <mc:Choice Requires="x14">
            <control shapeId="12338" r:id="rId45" name="Check Box 50">
              <controlPr defaultSize="0" autoFill="0" autoLine="0" autoPict="0">
                <anchor moveWithCells="1">
                  <from>
                    <xdr:col>10</xdr:col>
                    <xdr:colOff>0</xdr:colOff>
                    <xdr:row>61</xdr:row>
                    <xdr:rowOff>30480</xdr:rowOff>
                  </from>
                  <to>
                    <xdr:col>10</xdr:col>
                    <xdr:colOff>1706880</xdr:colOff>
                    <xdr:row>61</xdr:row>
                    <xdr:rowOff>228600</xdr:rowOff>
                  </to>
                </anchor>
              </controlPr>
            </control>
          </mc:Choice>
        </mc:AlternateContent>
        <mc:AlternateContent xmlns:mc="http://schemas.openxmlformats.org/markup-compatibility/2006">
          <mc:Choice Requires="x14">
            <control shapeId="12339" r:id="rId46" name="Check Box 51">
              <controlPr defaultSize="0" autoFill="0" autoLine="0" autoPict="0">
                <anchor moveWithCells="1">
                  <from>
                    <xdr:col>10</xdr:col>
                    <xdr:colOff>0</xdr:colOff>
                    <xdr:row>63</xdr:row>
                    <xdr:rowOff>266700</xdr:rowOff>
                  </from>
                  <to>
                    <xdr:col>10</xdr:col>
                    <xdr:colOff>1706880</xdr:colOff>
                    <xdr:row>64</xdr:row>
                    <xdr:rowOff>106680</xdr:rowOff>
                  </to>
                </anchor>
              </controlPr>
            </control>
          </mc:Choice>
        </mc:AlternateContent>
        <mc:AlternateContent xmlns:mc="http://schemas.openxmlformats.org/markup-compatibility/2006">
          <mc:Choice Requires="x14">
            <control shapeId="12340" r:id="rId47" name="Check Box 52">
              <controlPr defaultSize="0" autoFill="0" autoLine="0" autoPict="0">
                <anchor moveWithCells="1">
                  <from>
                    <xdr:col>10</xdr:col>
                    <xdr:colOff>0</xdr:colOff>
                    <xdr:row>64</xdr:row>
                    <xdr:rowOff>144780</xdr:rowOff>
                  </from>
                  <to>
                    <xdr:col>10</xdr:col>
                    <xdr:colOff>1706880</xdr:colOff>
                    <xdr:row>64</xdr:row>
                    <xdr:rowOff>342900</xdr:rowOff>
                  </to>
                </anchor>
              </controlPr>
            </control>
          </mc:Choice>
        </mc:AlternateContent>
        <mc:AlternateContent xmlns:mc="http://schemas.openxmlformats.org/markup-compatibility/2006">
          <mc:Choice Requires="x14">
            <control shapeId="12341" r:id="rId48" name="Check Box 53">
              <controlPr defaultSize="0" autoFill="0" autoLine="0" autoPict="0">
                <anchor moveWithCells="1">
                  <from>
                    <xdr:col>10</xdr:col>
                    <xdr:colOff>0</xdr:colOff>
                    <xdr:row>63</xdr:row>
                    <xdr:rowOff>30480</xdr:rowOff>
                  </from>
                  <to>
                    <xdr:col>10</xdr:col>
                    <xdr:colOff>1706880</xdr:colOff>
                    <xdr:row>63</xdr:row>
                    <xdr:rowOff>259080</xdr:rowOff>
                  </to>
                </anchor>
              </controlPr>
            </control>
          </mc:Choice>
        </mc:AlternateContent>
        <mc:AlternateContent xmlns:mc="http://schemas.openxmlformats.org/markup-compatibility/2006">
          <mc:Choice Requires="x14">
            <control shapeId="12342" r:id="rId49" name="Check Box 54">
              <controlPr defaultSize="0" autoFill="0" autoLine="0" autoPict="0">
                <anchor moveWithCells="1">
                  <from>
                    <xdr:col>10</xdr:col>
                    <xdr:colOff>0</xdr:colOff>
                    <xdr:row>65</xdr:row>
                    <xdr:rowOff>266700</xdr:rowOff>
                  </from>
                  <to>
                    <xdr:col>10</xdr:col>
                    <xdr:colOff>1706880</xdr:colOff>
                    <xdr:row>66</xdr:row>
                    <xdr:rowOff>106680</xdr:rowOff>
                  </to>
                </anchor>
              </controlPr>
            </control>
          </mc:Choice>
        </mc:AlternateContent>
        <mc:AlternateContent xmlns:mc="http://schemas.openxmlformats.org/markup-compatibility/2006">
          <mc:Choice Requires="x14">
            <control shapeId="12343" r:id="rId50" name="Check Box 55">
              <controlPr defaultSize="0" autoFill="0" autoLine="0" autoPict="0">
                <anchor moveWithCells="1">
                  <from>
                    <xdr:col>10</xdr:col>
                    <xdr:colOff>0</xdr:colOff>
                    <xdr:row>66</xdr:row>
                    <xdr:rowOff>144780</xdr:rowOff>
                  </from>
                  <to>
                    <xdr:col>10</xdr:col>
                    <xdr:colOff>1706880</xdr:colOff>
                    <xdr:row>67</xdr:row>
                    <xdr:rowOff>0</xdr:rowOff>
                  </to>
                </anchor>
              </controlPr>
            </control>
          </mc:Choice>
        </mc:AlternateContent>
        <mc:AlternateContent xmlns:mc="http://schemas.openxmlformats.org/markup-compatibility/2006">
          <mc:Choice Requires="x14">
            <control shapeId="12344" r:id="rId51" name="Check Box 56">
              <controlPr defaultSize="0" autoFill="0" autoLine="0" autoPict="0">
                <anchor moveWithCells="1">
                  <from>
                    <xdr:col>10</xdr:col>
                    <xdr:colOff>0</xdr:colOff>
                    <xdr:row>65</xdr:row>
                    <xdr:rowOff>30480</xdr:rowOff>
                  </from>
                  <to>
                    <xdr:col>10</xdr:col>
                    <xdr:colOff>1706880</xdr:colOff>
                    <xdr:row>65</xdr:row>
                    <xdr:rowOff>228600</xdr:rowOff>
                  </to>
                </anchor>
              </controlPr>
            </control>
          </mc:Choice>
        </mc:AlternateContent>
        <mc:AlternateContent xmlns:mc="http://schemas.openxmlformats.org/markup-compatibility/2006">
          <mc:Choice Requires="x14">
            <control shapeId="12345" r:id="rId52" name="Check Box 57">
              <controlPr defaultSize="0" autoFill="0" autoLine="0" autoPict="0">
                <anchor moveWithCells="1">
                  <from>
                    <xdr:col>10</xdr:col>
                    <xdr:colOff>0</xdr:colOff>
                    <xdr:row>67</xdr:row>
                    <xdr:rowOff>266700</xdr:rowOff>
                  </from>
                  <to>
                    <xdr:col>10</xdr:col>
                    <xdr:colOff>1706880</xdr:colOff>
                    <xdr:row>68</xdr:row>
                    <xdr:rowOff>106680</xdr:rowOff>
                  </to>
                </anchor>
              </controlPr>
            </control>
          </mc:Choice>
        </mc:AlternateContent>
        <mc:AlternateContent xmlns:mc="http://schemas.openxmlformats.org/markup-compatibility/2006">
          <mc:Choice Requires="x14">
            <control shapeId="12346" r:id="rId53" name="Check Box 58">
              <controlPr defaultSize="0" autoFill="0" autoLine="0" autoPict="0">
                <anchor moveWithCells="1">
                  <from>
                    <xdr:col>10</xdr:col>
                    <xdr:colOff>0</xdr:colOff>
                    <xdr:row>68</xdr:row>
                    <xdr:rowOff>144780</xdr:rowOff>
                  </from>
                  <to>
                    <xdr:col>10</xdr:col>
                    <xdr:colOff>1706880</xdr:colOff>
                    <xdr:row>68</xdr:row>
                    <xdr:rowOff>342900</xdr:rowOff>
                  </to>
                </anchor>
              </controlPr>
            </control>
          </mc:Choice>
        </mc:AlternateContent>
        <mc:AlternateContent xmlns:mc="http://schemas.openxmlformats.org/markup-compatibility/2006">
          <mc:Choice Requires="x14">
            <control shapeId="12347" r:id="rId54" name="Check Box 59">
              <controlPr defaultSize="0" autoFill="0" autoLine="0" autoPict="0">
                <anchor moveWithCells="1">
                  <from>
                    <xdr:col>10</xdr:col>
                    <xdr:colOff>0</xdr:colOff>
                    <xdr:row>67</xdr:row>
                    <xdr:rowOff>30480</xdr:rowOff>
                  </from>
                  <to>
                    <xdr:col>10</xdr:col>
                    <xdr:colOff>1706880</xdr:colOff>
                    <xdr:row>67</xdr:row>
                    <xdr:rowOff>259080</xdr:rowOff>
                  </to>
                </anchor>
              </controlPr>
            </control>
          </mc:Choice>
        </mc:AlternateContent>
        <mc:AlternateContent xmlns:mc="http://schemas.openxmlformats.org/markup-compatibility/2006">
          <mc:Choice Requires="x14">
            <control shapeId="12348" r:id="rId55" name="Check Box 60">
              <controlPr defaultSize="0" autoFill="0" autoLine="0" autoPict="0">
                <anchor moveWithCells="1">
                  <from>
                    <xdr:col>10</xdr:col>
                    <xdr:colOff>0</xdr:colOff>
                    <xdr:row>69</xdr:row>
                    <xdr:rowOff>266700</xdr:rowOff>
                  </from>
                  <to>
                    <xdr:col>10</xdr:col>
                    <xdr:colOff>1706880</xdr:colOff>
                    <xdr:row>70</xdr:row>
                    <xdr:rowOff>106680</xdr:rowOff>
                  </to>
                </anchor>
              </controlPr>
            </control>
          </mc:Choice>
        </mc:AlternateContent>
        <mc:AlternateContent xmlns:mc="http://schemas.openxmlformats.org/markup-compatibility/2006">
          <mc:Choice Requires="x14">
            <control shapeId="12349" r:id="rId56" name="Check Box 61">
              <controlPr defaultSize="0" autoFill="0" autoLine="0" autoPict="0">
                <anchor moveWithCells="1">
                  <from>
                    <xdr:col>10</xdr:col>
                    <xdr:colOff>0</xdr:colOff>
                    <xdr:row>70</xdr:row>
                    <xdr:rowOff>144780</xdr:rowOff>
                  </from>
                  <to>
                    <xdr:col>10</xdr:col>
                    <xdr:colOff>1706880</xdr:colOff>
                    <xdr:row>71</xdr:row>
                    <xdr:rowOff>0</xdr:rowOff>
                  </to>
                </anchor>
              </controlPr>
            </control>
          </mc:Choice>
        </mc:AlternateContent>
        <mc:AlternateContent xmlns:mc="http://schemas.openxmlformats.org/markup-compatibility/2006">
          <mc:Choice Requires="x14">
            <control shapeId="12350" r:id="rId57" name="Check Box 62">
              <controlPr defaultSize="0" autoFill="0" autoLine="0" autoPict="0">
                <anchor moveWithCells="1">
                  <from>
                    <xdr:col>10</xdr:col>
                    <xdr:colOff>0</xdr:colOff>
                    <xdr:row>69</xdr:row>
                    <xdr:rowOff>30480</xdr:rowOff>
                  </from>
                  <to>
                    <xdr:col>10</xdr:col>
                    <xdr:colOff>1706880</xdr:colOff>
                    <xdr:row>69</xdr:row>
                    <xdr:rowOff>228600</xdr:rowOff>
                  </to>
                </anchor>
              </controlPr>
            </control>
          </mc:Choice>
        </mc:AlternateContent>
        <mc:AlternateContent xmlns:mc="http://schemas.openxmlformats.org/markup-compatibility/2006">
          <mc:Choice Requires="x14">
            <control shapeId="12351" r:id="rId58" name="Check Box 63">
              <controlPr defaultSize="0" autoFill="0" autoLine="0" autoPict="0">
                <anchor moveWithCells="1">
                  <from>
                    <xdr:col>10</xdr:col>
                    <xdr:colOff>0</xdr:colOff>
                    <xdr:row>71</xdr:row>
                    <xdr:rowOff>266700</xdr:rowOff>
                  </from>
                  <to>
                    <xdr:col>10</xdr:col>
                    <xdr:colOff>1706880</xdr:colOff>
                    <xdr:row>72</xdr:row>
                    <xdr:rowOff>106680</xdr:rowOff>
                  </to>
                </anchor>
              </controlPr>
            </control>
          </mc:Choice>
        </mc:AlternateContent>
        <mc:AlternateContent xmlns:mc="http://schemas.openxmlformats.org/markup-compatibility/2006">
          <mc:Choice Requires="x14">
            <control shapeId="12352" r:id="rId59" name="Check Box 64">
              <controlPr defaultSize="0" autoFill="0" autoLine="0" autoPict="0">
                <anchor moveWithCells="1">
                  <from>
                    <xdr:col>10</xdr:col>
                    <xdr:colOff>0</xdr:colOff>
                    <xdr:row>72</xdr:row>
                    <xdr:rowOff>144780</xdr:rowOff>
                  </from>
                  <to>
                    <xdr:col>10</xdr:col>
                    <xdr:colOff>1706880</xdr:colOff>
                    <xdr:row>72</xdr:row>
                    <xdr:rowOff>342900</xdr:rowOff>
                  </to>
                </anchor>
              </controlPr>
            </control>
          </mc:Choice>
        </mc:AlternateContent>
        <mc:AlternateContent xmlns:mc="http://schemas.openxmlformats.org/markup-compatibility/2006">
          <mc:Choice Requires="x14">
            <control shapeId="12353" r:id="rId60" name="Check Box 65">
              <controlPr defaultSize="0" autoFill="0" autoLine="0" autoPict="0">
                <anchor moveWithCells="1">
                  <from>
                    <xdr:col>10</xdr:col>
                    <xdr:colOff>0</xdr:colOff>
                    <xdr:row>71</xdr:row>
                    <xdr:rowOff>30480</xdr:rowOff>
                  </from>
                  <to>
                    <xdr:col>10</xdr:col>
                    <xdr:colOff>1706880</xdr:colOff>
                    <xdr:row>71</xdr:row>
                    <xdr:rowOff>259080</xdr:rowOff>
                  </to>
                </anchor>
              </controlPr>
            </control>
          </mc:Choice>
        </mc:AlternateContent>
        <mc:AlternateContent xmlns:mc="http://schemas.openxmlformats.org/markup-compatibility/2006">
          <mc:Choice Requires="x14">
            <control shapeId="12354" r:id="rId61" name="Check Box 66">
              <controlPr defaultSize="0" autoFill="0" autoLine="0" autoPict="0">
                <anchor moveWithCells="1">
                  <from>
                    <xdr:col>10</xdr:col>
                    <xdr:colOff>0</xdr:colOff>
                    <xdr:row>73</xdr:row>
                    <xdr:rowOff>266700</xdr:rowOff>
                  </from>
                  <to>
                    <xdr:col>10</xdr:col>
                    <xdr:colOff>1706880</xdr:colOff>
                    <xdr:row>74</xdr:row>
                    <xdr:rowOff>106680</xdr:rowOff>
                  </to>
                </anchor>
              </controlPr>
            </control>
          </mc:Choice>
        </mc:AlternateContent>
        <mc:AlternateContent xmlns:mc="http://schemas.openxmlformats.org/markup-compatibility/2006">
          <mc:Choice Requires="x14">
            <control shapeId="12355" r:id="rId62" name="Check Box 67">
              <controlPr defaultSize="0" autoFill="0" autoLine="0" autoPict="0">
                <anchor moveWithCells="1">
                  <from>
                    <xdr:col>10</xdr:col>
                    <xdr:colOff>0</xdr:colOff>
                    <xdr:row>74</xdr:row>
                    <xdr:rowOff>144780</xdr:rowOff>
                  </from>
                  <to>
                    <xdr:col>10</xdr:col>
                    <xdr:colOff>1706880</xdr:colOff>
                    <xdr:row>75</xdr:row>
                    <xdr:rowOff>30480</xdr:rowOff>
                  </to>
                </anchor>
              </controlPr>
            </control>
          </mc:Choice>
        </mc:AlternateContent>
        <mc:AlternateContent xmlns:mc="http://schemas.openxmlformats.org/markup-compatibility/2006">
          <mc:Choice Requires="x14">
            <control shapeId="12356" r:id="rId63" name="Check Box 68">
              <controlPr defaultSize="0" autoFill="0" autoLine="0" autoPict="0">
                <anchor moveWithCells="1">
                  <from>
                    <xdr:col>10</xdr:col>
                    <xdr:colOff>0</xdr:colOff>
                    <xdr:row>73</xdr:row>
                    <xdr:rowOff>30480</xdr:rowOff>
                  </from>
                  <to>
                    <xdr:col>10</xdr:col>
                    <xdr:colOff>1706880</xdr:colOff>
                    <xdr:row>73</xdr:row>
                    <xdr:rowOff>228600</xdr:rowOff>
                  </to>
                </anchor>
              </controlPr>
            </control>
          </mc:Choice>
        </mc:AlternateContent>
        <mc:AlternateContent xmlns:mc="http://schemas.openxmlformats.org/markup-compatibility/2006">
          <mc:Choice Requires="x14">
            <control shapeId="12357" r:id="rId64" name="Check Box 69">
              <controlPr defaultSize="0" autoFill="0" autoLine="0" autoPict="0">
                <anchor moveWithCells="1">
                  <from>
                    <xdr:col>10</xdr:col>
                    <xdr:colOff>0</xdr:colOff>
                    <xdr:row>75</xdr:row>
                    <xdr:rowOff>266700</xdr:rowOff>
                  </from>
                  <to>
                    <xdr:col>10</xdr:col>
                    <xdr:colOff>1706880</xdr:colOff>
                    <xdr:row>76</xdr:row>
                    <xdr:rowOff>106680</xdr:rowOff>
                  </to>
                </anchor>
              </controlPr>
            </control>
          </mc:Choice>
        </mc:AlternateContent>
        <mc:AlternateContent xmlns:mc="http://schemas.openxmlformats.org/markup-compatibility/2006">
          <mc:Choice Requires="x14">
            <control shapeId="12358" r:id="rId65" name="Check Box 70">
              <controlPr defaultSize="0" autoFill="0" autoLine="0" autoPict="0">
                <anchor moveWithCells="1">
                  <from>
                    <xdr:col>10</xdr:col>
                    <xdr:colOff>0</xdr:colOff>
                    <xdr:row>76</xdr:row>
                    <xdr:rowOff>144780</xdr:rowOff>
                  </from>
                  <to>
                    <xdr:col>10</xdr:col>
                    <xdr:colOff>1706880</xdr:colOff>
                    <xdr:row>76</xdr:row>
                    <xdr:rowOff>342900</xdr:rowOff>
                  </to>
                </anchor>
              </controlPr>
            </control>
          </mc:Choice>
        </mc:AlternateContent>
        <mc:AlternateContent xmlns:mc="http://schemas.openxmlformats.org/markup-compatibility/2006">
          <mc:Choice Requires="x14">
            <control shapeId="12359" r:id="rId66" name="Check Box 71">
              <controlPr defaultSize="0" autoFill="0" autoLine="0" autoPict="0">
                <anchor moveWithCells="1">
                  <from>
                    <xdr:col>10</xdr:col>
                    <xdr:colOff>0</xdr:colOff>
                    <xdr:row>75</xdr:row>
                    <xdr:rowOff>30480</xdr:rowOff>
                  </from>
                  <to>
                    <xdr:col>10</xdr:col>
                    <xdr:colOff>1706880</xdr:colOff>
                    <xdr:row>75</xdr:row>
                    <xdr:rowOff>259080</xdr:rowOff>
                  </to>
                </anchor>
              </controlPr>
            </control>
          </mc:Choice>
        </mc:AlternateContent>
        <mc:AlternateContent xmlns:mc="http://schemas.openxmlformats.org/markup-compatibility/2006">
          <mc:Choice Requires="x14">
            <control shapeId="12360" r:id="rId67" name="Check Box 72">
              <controlPr defaultSize="0" autoFill="0" autoLine="0" autoPict="0">
                <anchor moveWithCells="1">
                  <from>
                    <xdr:col>10</xdr:col>
                    <xdr:colOff>0</xdr:colOff>
                    <xdr:row>77</xdr:row>
                    <xdr:rowOff>266700</xdr:rowOff>
                  </from>
                  <to>
                    <xdr:col>10</xdr:col>
                    <xdr:colOff>1706880</xdr:colOff>
                    <xdr:row>78</xdr:row>
                    <xdr:rowOff>106680</xdr:rowOff>
                  </to>
                </anchor>
              </controlPr>
            </control>
          </mc:Choice>
        </mc:AlternateContent>
        <mc:AlternateContent xmlns:mc="http://schemas.openxmlformats.org/markup-compatibility/2006">
          <mc:Choice Requires="x14">
            <control shapeId="12361" r:id="rId68" name="Check Box 73">
              <controlPr defaultSize="0" autoFill="0" autoLine="0" autoPict="0">
                <anchor moveWithCells="1">
                  <from>
                    <xdr:col>10</xdr:col>
                    <xdr:colOff>0</xdr:colOff>
                    <xdr:row>78</xdr:row>
                    <xdr:rowOff>144780</xdr:rowOff>
                  </from>
                  <to>
                    <xdr:col>10</xdr:col>
                    <xdr:colOff>1706880</xdr:colOff>
                    <xdr:row>79</xdr:row>
                    <xdr:rowOff>30480</xdr:rowOff>
                  </to>
                </anchor>
              </controlPr>
            </control>
          </mc:Choice>
        </mc:AlternateContent>
        <mc:AlternateContent xmlns:mc="http://schemas.openxmlformats.org/markup-compatibility/2006">
          <mc:Choice Requires="x14">
            <control shapeId="12362" r:id="rId69" name="Check Box 74">
              <controlPr defaultSize="0" autoFill="0" autoLine="0" autoPict="0">
                <anchor moveWithCells="1">
                  <from>
                    <xdr:col>10</xdr:col>
                    <xdr:colOff>0</xdr:colOff>
                    <xdr:row>77</xdr:row>
                    <xdr:rowOff>30480</xdr:rowOff>
                  </from>
                  <to>
                    <xdr:col>10</xdr:col>
                    <xdr:colOff>1706880</xdr:colOff>
                    <xdr:row>77</xdr:row>
                    <xdr:rowOff>228600</xdr:rowOff>
                  </to>
                </anchor>
              </controlPr>
            </control>
          </mc:Choice>
        </mc:AlternateContent>
        <mc:AlternateContent xmlns:mc="http://schemas.openxmlformats.org/markup-compatibility/2006">
          <mc:Choice Requires="x14">
            <control shapeId="12363" r:id="rId70" name="Check Box 75">
              <controlPr defaultSize="0" autoFill="0" autoLine="0" autoPict="0">
                <anchor moveWithCells="1">
                  <from>
                    <xdr:col>10</xdr:col>
                    <xdr:colOff>0</xdr:colOff>
                    <xdr:row>79</xdr:row>
                    <xdr:rowOff>266700</xdr:rowOff>
                  </from>
                  <to>
                    <xdr:col>10</xdr:col>
                    <xdr:colOff>1706880</xdr:colOff>
                    <xdr:row>80</xdr:row>
                    <xdr:rowOff>106680</xdr:rowOff>
                  </to>
                </anchor>
              </controlPr>
            </control>
          </mc:Choice>
        </mc:AlternateContent>
        <mc:AlternateContent xmlns:mc="http://schemas.openxmlformats.org/markup-compatibility/2006">
          <mc:Choice Requires="x14">
            <control shapeId="12364" r:id="rId71" name="Check Box 76">
              <controlPr defaultSize="0" autoFill="0" autoLine="0" autoPict="0">
                <anchor moveWithCells="1">
                  <from>
                    <xdr:col>10</xdr:col>
                    <xdr:colOff>0</xdr:colOff>
                    <xdr:row>80</xdr:row>
                    <xdr:rowOff>144780</xdr:rowOff>
                  </from>
                  <to>
                    <xdr:col>10</xdr:col>
                    <xdr:colOff>1706880</xdr:colOff>
                    <xdr:row>80</xdr:row>
                    <xdr:rowOff>342900</xdr:rowOff>
                  </to>
                </anchor>
              </controlPr>
            </control>
          </mc:Choice>
        </mc:AlternateContent>
        <mc:AlternateContent xmlns:mc="http://schemas.openxmlformats.org/markup-compatibility/2006">
          <mc:Choice Requires="x14">
            <control shapeId="12365" r:id="rId72" name="Check Box 77">
              <controlPr defaultSize="0" autoFill="0" autoLine="0" autoPict="0">
                <anchor moveWithCells="1">
                  <from>
                    <xdr:col>10</xdr:col>
                    <xdr:colOff>0</xdr:colOff>
                    <xdr:row>79</xdr:row>
                    <xdr:rowOff>30480</xdr:rowOff>
                  </from>
                  <to>
                    <xdr:col>10</xdr:col>
                    <xdr:colOff>1706880</xdr:colOff>
                    <xdr:row>79</xdr:row>
                    <xdr:rowOff>259080</xdr:rowOff>
                  </to>
                </anchor>
              </controlPr>
            </control>
          </mc:Choice>
        </mc:AlternateContent>
        <mc:AlternateContent xmlns:mc="http://schemas.openxmlformats.org/markup-compatibility/2006">
          <mc:Choice Requires="x14">
            <control shapeId="12366" r:id="rId73" name="Check Box 78">
              <controlPr defaultSize="0" autoFill="0" autoLine="0" autoPict="0">
                <anchor moveWithCells="1">
                  <from>
                    <xdr:col>10</xdr:col>
                    <xdr:colOff>0</xdr:colOff>
                    <xdr:row>81</xdr:row>
                    <xdr:rowOff>266700</xdr:rowOff>
                  </from>
                  <to>
                    <xdr:col>10</xdr:col>
                    <xdr:colOff>1706880</xdr:colOff>
                    <xdr:row>82</xdr:row>
                    <xdr:rowOff>106680</xdr:rowOff>
                  </to>
                </anchor>
              </controlPr>
            </control>
          </mc:Choice>
        </mc:AlternateContent>
        <mc:AlternateContent xmlns:mc="http://schemas.openxmlformats.org/markup-compatibility/2006">
          <mc:Choice Requires="x14">
            <control shapeId="12367" r:id="rId74" name="Check Box 79">
              <controlPr defaultSize="0" autoFill="0" autoLine="0" autoPict="0">
                <anchor moveWithCells="1">
                  <from>
                    <xdr:col>10</xdr:col>
                    <xdr:colOff>0</xdr:colOff>
                    <xdr:row>82</xdr:row>
                    <xdr:rowOff>144780</xdr:rowOff>
                  </from>
                  <to>
                    <xdr:col>10</xdr:col>
                    <xdr:colOff>1706880</xdr:colOff>
                    <xdr:row>83</xdr:row>
                    <xdr:rowOff>0</xdr:rowOff>
                  </to>
                </anchor>
              </controlPr>
            </control>
          </mc:Choice>
        </mc:AlternateContent>
        <mc:AlternateContent xmlns:mc="http://schemas.openxmlformats.org/markup-compatibility/2006">
          <mc:Choice Requires="x14">
            <control shapeId="12368" r:id="rId75" name="Check Box 80">
              <controlPr defaultSize="0" autoFill="0" autoLine="0" autoPict="0">
                <anchor moveWithCells="1">
                  <from>
                    <xdr:col>10</xdr:col>
                    <xdr:colOff>0</xdr:colOff>
                    <xdr:row>81</xdr:row>
                    <xdr:rowOff>30480</xdr:rowOff>
                  </from>
                  <to>
                    <xdr:col>10</xdr:col>
                    <xdr:colOff>1706880</xdr:colOff>
                    <xdr:row>81</xdr:row>
                    <xdr:rowOff>228600</xdr:rowOff>
                  </to>
                </anchor>
              </controlPr>
            </control>
          </mc:Choice>
        </mc:AlternateContent>
        <mc:AlternateContent xmlns:mc="http://schemas.openxmlformats.org/markup-compatibility/2006">
          <mc:Choice Requires="x14">
            <control shapeId="12369" r:id="rId76" name="Check Box 81">
              <controlPr defaultSize="0" autoFill="0" autoLine="0" autoPict="0">
                <anchor moveWithCells="1">
                  <from>
                    <xdr:col>10</xdr:col>
                    <xdr:colOff>0</xdr:colOff>
                    <xdr:row>33</xdr:row>
                    <xdr:rowOff>266700</xdr:rowOff>
                  </from>
                  <to>
                    <xdr:col>10</xdr:col>
                    <xdr:colOff>1706880</xdr:colOff>
                    <xdr:row>34</xdr:row>
                    <xdr:rowOff>106680</xdr:rowOff>
                  </to>
                </anchor>
              </controlPr>
            </control>
          </mc:Choice>
        </mc:AlternateContent>
        <mc:AlternateContent xmlns:mc="http://schemas.openxmlformats.org/markup-compatibility/2006">
          <mc:Choice Requires="x14">
            <control shapeId="12370" r:id="rId77" name="Check Box 82">
              <controlPr defaultSize="0" autoFill="0" autoLine="0" autoPict="0">
                <anchor moveWithCells="1">
                  <from>
                    <xdr:col>10</xdr:col>
                    <xdr:colOff>0</xdr:colOff>
                    <xdr:row>34</xdr:row>
                    <xdr:rowOff>144780</xdr:rowOff>
                  </from>
                  <to>
                    <xdr:col>10</xdr:col>
                    <xdr:colOff>1706880</xdr:colOff>
                    <xdr:row>35</xdr:row>
                    <xdr:rowOff>0</xdr:rowOff>
                  </to>
                </anchor>
              </controlPr>
            </control>
          </mc:Choice>
        </mc:AlternateContent>
        <mc:AlternateContent xmlns:mc="http://schemas.openxmlformats.org/markup-compatibility/2006">
          <mc:Choice Requires="x14">
            <control shapeId="12371" r:id="rId78" name="Check Box 83">
              <controlPr defaultSize="0" autoFill="0" autoLine="0" autoPict="0">
                <anchor moveWithCells="1">
                  <from>
                    <xdr:col>10</xdr:col>
                    <xdr:colOff>0</xdr:colOff>
                    <xdr:row>33</xdr:row>
                    <xdr:rowOff>30480</xdr:rowOff>
                  </from>
                  <to>
                    <xdr:col>10</xdr:col>
                    <xdr:colOff>1706880</xdr:colOff>
                    <xdr:row>33</xdr:row>
                    <xdr:rowOff>228600</xdr:rowOff>
                  </to>
                </anchor>
              </controlPr>
            </control>
          </mc:Choice>
        </mc:AlternateContent>
        <mc:AlternateContent xmlns:mc="http://schemas.openxmlformats.org/markup-compatibility/2006">
          <mc:Choice Requires="x14">
            <control shapeId="12379" r:id="rId79" name="Check Box 91">
              <controlPr defaultSize="0" autoFill="0" autoLine="0" autoPict="0">
                <anchor moveWithCells="1">
                  <from>
                    <xdr:col>10</xdr:col>
                    <xdr:colOff>0</xdr:colOff>
                    <xdr:row>46</xdr:row>
                    <xdr:rowOff>144780</xdr:rowOff>
                  </from>
                  <to>
                    <xdr:col>10</xdr:col>
                    <xdr:colOff>1706880</xdr:colOff>
                    <xdr:row>47</xdr:row>
                    <xdr:rowOff>0</xdr:rowOff>
                  </to>
                </anchor>
              </controlPr>
            </control>
          </mc:Choice>
        </mc:AlternateContent>
        <mc:AlternateContent xmlns:mc="http://schemas.openxmlformats.org/markup-compatibility/2006">
          <mc:Choice Requires="x14">
            <control shapeId="12380" r:id="rId80" name="Check Box 92">
              <controlPr defaultSize="0" autoFill="0" autoLine="0" autoPict="0">
                <anchor moveWithCells="1">
                  <from>
                    <xdr:col>10</xdr:col>
                    <xdr:colOff>0</xdr:colOff>
                    <xdr:row>45</xdr:row>
                    <xdr:rowOff>30480</xdr:rowOff>
                  </from>
                  <to>
                    <xdr:col>10</xdr:col>
                    <xdr:colOff>1706880</xdr:colOff>
                    <xdr:row>45</xdr:row>
                    <xdr:rowOff>228600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18" id="{5271D1A4-765C-4941-A52D-2DDFA39087A2}">
            <x14:iconSet iconSet="3Stars">
              <x14:cfvo type="percent">
                <xm:f>0</xm:f>
              </x14:cfvo>
              <x14:cfvo type="percent">
                <xm:f>33</xm:f>
              </x14:cfvo>
              <x14:cfvo type="percent">
                <xm:f>67</xm:f>
              </x14:cfvo>
            </x14:iconSet>
          </x14:cfRule>
          <xm:sqref>R10</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6C53E119-1D02-4926-91F9-802755B4E584}">
          <x14:formula1>
            <xm:f>Parâmetros!$A$31:$A$33</xm:f>
          </x14:formula1>
          <xm:sqref>N38 N40 N50 N34 N42 N48 N52:N83 N36 N44 N46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29C5-D9E2-4F6F-AE1F-02D7288BE740}">
  <dimension ref="A1:AR78"/>
  <sheetViews>
    <sheetView zoomScale="70" zoomScaleNormal="70" workbookViewId="0">
      <selection activeCell="C27" sqref="C27:C28"/>
    </sheetView>
  </sheetViews>
  <sheetFormatPr defaultColWidth="8.5546875" defaultRowHeight="14.4" x14ac:dyDescent="0.3"/>
  <cols>
    <col min="1" max="1" width="20.44140625" style="62" customWidth="1"/>
    <col min="2" max="2" width="17.5546875" style="62" customWidth="1"/>
    <col min="3" max="3" width="21.44140625" style="62" customWidth="1"/>
    <col min="4" max="4" width="17.44140625" style="62" customWidth="1"/>
    <col min="5" max="5" width="18.44140625" style="62" bestFit="1" customWidth="1"/>
    <col min="6" max="6" width="12.5546875" style="62" customWidth="1"/>
    <col min="7" max="7" width="15.44140625" style="62" bestFit="1" customWidth="1"/>
    <col min="8" max="8" width="20.44140625" style="62" customWidth="1"/>
    <col min="9" max="9" width="38.44140625" style="62" customWidth="1"/>
    <col min="10" max="10" width="26" style="62" customWidth="1"/>
    <col min="11" max="11" width="35.5546875" style="62" customWidth="1"/>
    <col min="12" max="12" width="16.44140625" style="62" bestFit="1" customWidth="1"/>
    <col min="13" max="13" width="17.44140625" style="62" bestFit="1" customWidth="1"/>
    <col min="14" max="14" width="16.5546875" style="62" customWidth="1"/>
    <col min="15" max="15" width="17.44140625" style="62" bestFit="1" customWidth="1"/>
    <col min="16" max="19" width="18.44140625" style="62" bestFit="1" customWidth="1"/>
    <col min="20" max="20" width="19.44140625" style="62" bestFit="1" customWidth="1"/>
    <col min="21" max="21" width="18.44140625" style="62" bestFit="1" customWidth="1"/>
    <col min="22" max="22" width="18.5546875" style="62" bestFit="1" customWidth="1"/>
    <col min="23" max="23" width="18.44140625" style="62" bestFit="1" customWidth="1"/>
    <col min="24" max="25" width="17.44140625" style="62" bestFit="1" customWidth="1"/>
    <col min="26" max="26" width="16.44140625" style="62" bestFit="1" customWidth="1"/>
    <col min="27" max="27" width="17.44140625" style="62" bestFit="1" customWidth="1"/>
    <col min="28" max="30" width="16.44140625" style="62" bestFit="1" customWidth="1"/>
    <col min="31" max="31" width="17.44140625" style="62" bestFit="1" customWidth="1"/>
    <col min="32" max="33" width="16.44140625" style="62" bestFit="1" customWidth="1"/>
    <col min="34" max="34" width="20.44140625" style="62" bestFit="1" customWidth="1"/>
    <col min="35" max="35" width="22.44140625" style="62" bestFit="1" customWidth="1"/>
    <col min="36" max="36" width="21.44140625" style="62" bestFit="1" customWidth="1"/>
    <col min="37" max="16384" width="8.5546875" style="62"/>
  </cols>
  <sheetData>
    <row r="1" spans="1:38" ht="50.1" customHeight="1" x14ac:dyDescent="0.3">
      <c r="A1" s="1434" t="s">
        <v>2679</v>
      </c>
      <c r="B1" s="2214"/>
      <c r="C1" s="2214"/>
      <c r="D1" s="2214"/>
      <c r="E1" s="2214"/>
      <c r="F1" s="2214"/>
      <c r="G1" s="2214"/>
      <c r="H1" s="2214"/>
      <c r="I1" s="2214"/>
      <c r="J1" s="2214"/>
      <c r="K1" s="2214"/>
      <c r="L1" s="2214"/>
      <c r="M1" s="2214"/>
      <c r="N1" s="2214"/>
      <c r="O1" s="1434"/>
      <c r="P1" s="2214"/>
      <c r="Q1" s="2214"/>
      <c r="R1" s="2214"/>
      <c r="S1" s="2214"/>
      <c r="T1" s="2214"/>
      <c r="U1" s="2214"/>
      <c r="V1" s="2214"/>
      <c r="W1" s="2214"/>
      <c r="X1" s="2214"/>
      <c r="Y1" s="2214"/>
      <c r="Z1" s="2214"/>
      <c r="AA1" s="2214"/>
      <c r="AB1" s="2214"/>
      <c r="AC1" s="1434"/>
      <c r="AD1" s="2214"/>
      <c r="AE1" s="2214"/>
      <c r="AF1" s="2214"/>
      <c r="AG1" s="2214"/>
      <c r="AH1" s="1434"/>
      <c r="AI1" s="2214"/>
      <c r="AJ1" s="2214"/>
      <c r="AK1" s="2214"/>
      <c r="AL1" s="2214"/>
    </row>
    <row r="2" spans="1:38" ht="25.35" customHeight="1" x14ac:dyDescent="0.3">
      <c r="A2" s="1443" t="s">
        <v>46</v>
      </c>
      <c r="B2" s="2215"/>
      <c r="C2" s="2215"/>
      <c r="D2" s="2215"/>
      <c r="E2" s="2215"/>
      <c r="F2" s="2215"/>
      <c r="G2" s="2215"/>
      <c r="H2" s="2215"/>
      <c r="I2" s="2215"/>
      <c r="J2" s="2215"/>
      <c r="K2" s="2215"/>
      <c r="L2" s="2215"/>
      <c r="M2" s="2215"/>
      <c r="N2" s="2215"/>
      <c r="O2" s="1443"/>
      <c r="P2" s="2215"/>
      <c r="Q2" s="2215"/>
      <c r="R2" s="2215"/>
      <c r="S2" s="2215"/>
      <c r="T2" s="2215"/>
      <c r="U2" s="2215"/>
      <c r="V2" s="2215"/>
      <c r="W2" s="2215"/>
      <c r="X2" s="2215"/>
      <c r="Y2" s="2215"/>
      <c r="Z2" s="2215"/>
      <c r="AA2" s="2215"/>
      <c r="AB2" s="2215"/>
      <c r="AC2" s="1443"/>
      <c r="AD2" s="2215"/>
      <c r="AE2" s="2215"/>
      <c r="AF2" s="2215"/>
      <c r="AG2" s="2215"/>
      <c r="AH2" s="1443"/>
      <c r="AI2" s="2215"/>
      <c r="AJ2" s="2215"/>
      <c r="AK2" s="2215"/>
      <c r="AL2" s="2215"/>
    </row>
    <row r="3" spans="1:38" ht="8.1" customHeight="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row>
    <row r="4" spans="1:38" ht="22.35" customHeight="1" x14ac:dyDescent="0.3">
      <c r="A4" s="2211" t="s">
        <v>1675</v>
      </c>
      <c r="B4" s="2211"/>
      <c r="C4" s="2212" t="s">
        <v>96</v>
      </c>
      <c r="D4" s="2212"/>
      <c r="E4" s="1415" t="s">
        <v>100</v>
      </c>
      <c r="F4" s="1415"/>
      <c r="G4" s="2213" t="s">
        <v>102</v>
      </c>
      <c r="H4" s="2213"/>
      <c r="I4" s="2213"/>
      <c r="J4" s="2211" t="s">
        <v>54</v>
      </c>
      <c r="K4" s="2210"/>
      <c r="L4" s="2210"/>
      <c r="M4" s="2211" t="s">
        <v>55</v>
      </c>
      <c r="N4" s="2210"/>
      <c r="O4" s="47"/>
      <c r="P4" s="47"/>
      <c r="Q4" s="47"/>
      <c r="R4" s="47"/>
      <c r="S4" s="47"/>
      <c r="T4" s="47"/>
      <c r="U4" s="47"/>
      <c r="V4" s="47"/>
      <c r="W4" s="47"/>
      <c r="X4" s="47"/>
      <c r="Y4" s="47"/>
      <c r="Z4" s="47"/>
      <c r="AA4" s="47"/>
      <c r="AB4" s="47"/>
      <c r="AC4" s="47"/>
      <c r="AD4" s="47"/>
      <c r="AE4" s="47"/>
      <c r="AF4" s="47"/>
      <c r="AG4" s="47"/>
      <c r="AH4" s="47"/>
      <c r="AI4" s="47"/>
      <c r="AJ4" s="47"/>
      <c r="AK4" s="47"/>
      <c r="AL4" s="47"/>
    </row>
    <row r="5" spans="1:38" ht="45" customHeight="1" x14ac:dyDescent="0.3">
      <c r="A5" s="2204">
        <f>Parâmetros!E10</f>
        <v>1709000</v>
      </c>
      <c r="B5" s="2204"/>
      <c r="C5" s="2205"/>
      <c r="D5" s="2205"/>
      <c r="E5" s="1416"/>
      <c r="F5" s="1416"/>
      <c r="G5" s="2206">
        <f>SUMIF(N21:N72,"Real",AG21:AG72)</f>
        <v>0</v>
      </c>
      <c r="H5" s="2206"/>
      <c r="I5" s="2206"/>
      <c r="J5" s="2218">
        <f>G5/A5</f>
        <v>0</v>
      </c>
      <c r="K5" s="2219"/>
      <c r="L5" s="2219"/>
      <c r="M5" s="1439">
        <f>SUM(H9:H11)</f>
        <v>0</v>
      </c>
      <c r="N5" s="1440"/>
      <c r="O5" s="47"/>
      <c r="P5" s="47"/>
      <c r="Q5" s="47"/>
      <c r="R5" s="47"/>
      <c r="S5" s="47"/>
      <c r="T5" s="47"/>
      <c r="U5" s="47"/>
      <c r="V5" s="47"/>
      <c r="W5" s="47"/>
      <c r="X5" s="47"/>
      <c r="Y5" s="47"/>
      <c r="Z5" s="47"/>
      <c r="AA5" s="47"/>
      <c r="AB5" s="47"/>
      <c r="AC5" s="47"/>
      <c r="AD5" s="47"/>
      <c r="AE5" s="47"/>
      <c r="AF5" s="47"/>
      <c r="AG5" s="47"/>
      <c r="AH5" s="47"/>
      <c r="AI5" s="47"/>
      <c r="AJ5" s="47"/>
      <c r="AK5" s="47"/>
      <c r="AL5" s="47"/>
    </row>
    <row r="6" spans="1:38" ht="8.1" customHeight="1" x14ac:dyDescent="0.3">
      <c r="A6" s="20"/>
      <c r="B6" s="20"/>
      <c r="C6" s="20"/>
      <c r="D6" s="20"/>
      <c r="E6" s="20"/>
      <c r="F6" s="20"/>
      <c r="G6" s="20"/>
      <c r="H6" s="20"/>
      <c r="I6" s="20"/>
      <c r="J6" s="20"/>
      <c r="K6" s="20"/>
      <c r="L6" s="20"/>
      <c r="M6" s="20"/>
      <c r="N6" s="20"/>
      <c r="O6" s="47"/>
      <c r="P6" s="47"/>
      <c r="Q6" s="47"/>
      <c r="R6" s="47"/>
      <c r="S6" s="47"/>
      <c r="T6" s="47"/>
      <c r="U6" s="47"/>
      <c r="V6" s="47"/>
      <c r="W6" s="47"/>
      <c r="X6" s="47"/>
      <c r="Y6" s="47"/>
      <c r="Z6" s="47"/>
      <c r="AA6" s="47"/>
      <c r="AB6" s="47"/>
      <c r="AC6" s="47"/>
      <c r="AD6" s="47"/>
      <c r="AE6" s="47"/>
      <c r="AF6" s="47"/>
      <c r="AG6" s="47"/>
      <c r="AH6" s="47"/>
      <c r="AI6" s="47"/>
      <c r="AJ6" s="47"/>
      <c r="AK6" s="47"/>
      <c r="AL6" s="47"/>
    </row>
    <row r="7" spans="1:38" ht="22.35" customHeight="1" x14ac:dyDescent="0.3">
      <c r="A7" s="2202" t="s">
        <v>145</v>
      </c>
      <c r="B7" s="2202"/>
      <c r="C7" s="2202"/>
      <c r="D7" s="2202"/>
      <c r="E7" s="2202"/>
      <c r="F7" s="29"/>
      <c r="G7" s="2202" t="s">
        <v>64</v>
      </c>
      <c r="H7" s="2202"/>
      <c r="I7" s="2202"/>
      <c r="J7" s="20"/>
      <c r="K7" s="2202" t="s">
        <v>2498</v>
      </c>
      <c r="L7" s="2202"/>
      <c r="M7" s="2202"/>
      <c r="N7" s="20"/>
      <c r="O7" s="47"/>
      <c r="P7" s="47"/>
      <c r="Q7" s="47"/>
      <c r="R7" s="47"/>
      <c r="S7" s="47"/>
      <c r="T7" s="47"/>
      <c r="U7" s="47"/>
      <c r="V7" s="47"/>
      <c r="W7" s="47"/>
      <c r="X7" s="47"/>
      <c r="Y7" s="47"/>
      <c r="Z7" s="47"/>
      <c r="AA7" s="47"/>
      <c r="AB7" s="47"/>
      <c r="AC7" s="47"/>
      <c r="AD7" s="47"/>
      <c r="AE7" s="47"/>
      <c r="AF7" s="47"/>
      <c r="AG7" s="47"/>
      <c r="AH7" s="1409" t="s">
        <v>244</v>
      </c>
      <c r="AI7" s="1409"/>
      <c r="AJ7" s="47"/>
      <c r="AK7" s="47"/>
      <c r="AL7" s="47"/>
    </row>
    <row r="8" spans="1:38" ht="18" customHeight="1" x14ac:dyDescent="0.3">
      <c r="A8" s="15" t="s">
        <v>67</v>
      </c>
      <c r="B8" s="15" t="s">
        <v>68</v>
      </c>
      <c r="C8" s="15" t="s">
        <v>69</v>
      </c>
      <c r="D8" s="753" t="s">
        <v>70</v>
      </c>
      <c r="E8" s="49" t="s">
        <v>71</v>
      </c>
      <c r="F8" s="29"/>
      <c r="G8" s="15" t="s">
        <v>72</v>
      </c>
      <c r="H8" s="15" t="s">
        <v>68</v>
      </c>
      <c r="I8" s="15" t="s">
        <v>73</v>
      </c>
      <c r="J8" s="20"/>
      <c r="K8" s="425" t="s">
        <v>2499</v>
      </c>
      <c r="L8" s="413">
        <f t="shared" ref="L8:L13" si="0">COUNTIF($M$21:$M$72,K8)</f>
        <v>0</v>
      </c>
      <c r="M8" s="419">
        <f t="shared" ref="M8:M13" si="1">SUMIF($L$35:$L$118,K8,$H$35:$H$118)</f>
        <v>0</v>
      </c>
      <c r="N8" s="20"/>
      <c r="O8" s="47"/>
      <c r="P8" s="47"/>
      <c r="Q8" s="47"/>
      <c r="R8" s="47"/>
      <c r="S8" s="47"/>
      <c r="T8" s="47"/>
      <c r="U8" s="47"/>
      <c r="V8" s="47"/>
      <c r="W8" s="47"/>
      <c r="X8" s="47"/>
      <c r="Y8" s="47"/>
      <c r="Z8" s="47"/>
      <c r="AA8" s="47"/>
      <c r="AB8" s="47"/>
      <c r="AC8" s="47"/>
      <c r="AD8" s="47"/>
      <c r="AE8" s="47"/>
      <c r="AF8" s="47"/>
      <c r="AG8" s="47"/>
      <c r="AH8" s="447" t="s">
        <v>249</v>
      </c>
      <c r="AI8" s="447" t="s">
        <v>250</v>
      </c>
      <c r="AJ8" s="47"/>
      <c r="AK8" s="47"/>
      <c r="AL8" s="47"/>
    </row>
    <row r="9" spans="1:38" ht="18" customHeight="1" x14ac:dyDescent="0.3">
      <c r="A9" s="16" t="s">
        <v>925</v>
      </c>
      <c r="B9" s="17">
        <f t="shared" ref="B9:B14" si="2">COUNTIF($A$21:$A$104,A9)</f>
        <v>0</v>
      </c>
      <c r="C9" s="18">
        <f t="shared" ref="C9:C14" si="3">SUMIF($A$21:$A$104,A9,$H$21:$H$104)</f>
        <v>0</v>
      </c>
      <c r="D9" s="18">
        <f t="shared" ref="D9:D14" si="4">SUMIF($A$21:$A$104,A9,$M$21:$M$104)</f>
        <v>0</v>
      </c>
      <c r="E9" s="915">
        <f t="shared" ref="E9:E14" si="5">SUMIFS($AJ$21:$AJ$136,$R$21:$R$136,"Real",$AP$21:$AP$136,A9)</f>
        <v>0</v>
      </c>
      <c r="F9" s="29"/>
      <c r="G9" s="21" t="s">
        <v>81</v>
      </c>
      <c r="H9" s="24">
        <f>COUNTIF($J$21:$J$72,G9)</f>
        <v>0</v>
      </c>
      <c r="I9" s="193">
        <f>SUMIF($J$21:$J$72,G9,$G$21:$G$72)</f>
        <v>0</v>
      </c>
      <c r="J9" s="20"/>
      <c r="K9" s="426" t="s">
        <v>24</v>
      </c>
      <c r="L9" s="414">
        <f t="shared" si="0"/>
        <v>0</v>
      </c>
      <c r="M9" s="420">
        <f t="shared" si="1"/>
        <v>0</v>
      </c>
      <c r="N9" s="20"/>
      <c r="O9" s="47"/>
      <c r="P9" s="47"/>
      <c r="Q9" s="47"/>
      <c r="R9" s="47"/>
      <c r="S9" s="47"/>
      <c r="T9" s="47"/>
      <c r="U9" s="47"/>
      <c r="V9" s="47"/>
      <c r="W9" s="47"/>
      <c r="X9" s="47"/>
      <c r="Y9" s="47"/>
      <c r="Z9" s="47"/>
      <c r="AA9" s="47"/>
      <c r="AB9" s="47"/>
      <c r="AC9" s="47"/>
      <c r="AD9" s="47"/>
      <c r="AE9" s="47"/>
      <c r="AF9" s="47"/>
      <c r="AG9" s="47"/>
      <c r="AH9" s="228" t="s">
        <v>26</v>
      </c>
      <c r="AI9" s="448">
        <f>SUMIF($AH$59:$AH$110,AH9,$AJ$59:$AJ$110)</f>
        <v>0</v>
      </c>
      <c r="AJ9" s="47"/>
      <c r="AK9" s="47"/>
      <c r="AL9" s="47"/>
    </row>
    <row r="10" spans="1:38" ht="15.6" customHeight="1" x14ac:dyDescent="0.3">
      <c r="A10" s="16" t="s">
        <v>89</v>
      </c>
      <c r="B10" s="17">
        <f t="shared" si="2"/>
        <v>4</v>
      </c>
      <c r="C10" s="18">
        <f t="shared" si="3"/>
        <v>32568</v>
      </c>
      <c r="D10" s="18">
        <f t="shared" si="4"/>
        <v>0</v>
      </c>
      <c r="E10" s="915">
        <f t="shared" si="5"/>
        <v>0</v>
      </c>
      <c r="F10" s="29"/>
      <c r="G10" s="22" t="s">
        <v>83</v>
      </c>
      <c r="H10" s="25">
        <f>COUNTIF($J$21:$J$72,G10)</f>
        <v>0</v>
      </c>
      <c r="I10" s="194">
        <f>SUMIF($J$21:$J$72,G10,$G$21:$G$72)</f>
        <v>0</v>
      </c>
      <c r="J10" s="20"/>
      <c r="K10" s="427" t="s">
        <v>25</v>
      </c>
      <c r="L10" s="415">
        <f t="shared" si="0"/>
        <v>0</v>
      </c>
      <c r="M10" s="421">
        <f t="shared" si="1"/>
        <v>0</v>
      </c>
      <c r="N10" s="20"/>
      <c r="O10" s="47"/>
      <c r="P10" s="47"/>
      <c r="Q10" s="47"/>
      <c r="R10" s="47"/>
      <c r="S10" s="47"/>
      <c r="T10" s="47"/>
      <c r="U10" s="47"/>
      <c r="V10" s="47"/>
      <c r="W10" s="47"/>
      <c r="X10" s="47"/>
      <c r="Y10" s="47"/>
      <c r="Z10" s="47"/>
      <c r="AA10" s="47"/>
      <c r="AB10" s="47"/>
      <c r="AC10" s="47"/>
      <c r="AD10" s="47"/>
      <c r="AE10" s="47"/>
      <c r="AF10" s="47"/>
      <c r="AG10" s="47"/>
      <c r="AH10" s="251" t="s">
        <v>27</v>
      </c>
      <c r="AI10" s="449">
        <f>SUMIF($AH$59:$AH$110,AH10,$AJ$59:$AJ$110)</f>
        <v>0</v>
      </c>
      <c r="AJ10" s="47"/>
      <c r="AK10" s="47"/>
      <c r="AL10" s="47"/>
    </row>
    <row r="11" spans="1:38" ht="15.6" customHeight="1" x14ac:dyDescent="0.3">
      <c r="A11" s="16" t="s">
        <v>90</v>
      </c>
      <c r="B11" s="17">
        <f t="shared" si="2"/>
        <v>0</v>
      </c>
      <c r="C11" s="18">
        <f t="shared" si="3"/>
        <v>0</v>
      </c>
      <c r="D11" s="18">
        <f t="shared" si="4"/>
        <v>0</v>
      </c>
      <c r="E11" s="915">
        <f t="shared" si="5"/>
        <v>0</v>
      </c>
      <c r="F11" s="29"/>
      <c r="G11" s="23" t="s">
        <v>85</v>
      </c>
      <c r="H11" s="26">
        <f>COUNTIF($J$21:$J$72,G11)</f>
        <v>0</v>
      </c>
      <c r="I11" s="195">
        <f>SUMIF($J$21:$J$72,G11,$G$21:$G$72)</f>
        <v>0</v>
      </c>
      <c r="J11" s="20"/>
      <c r="K11" s="428" t="s">
        <v>22</v>
      </c>
      <c r="L11" s="416">
        <f t="shared" si="0"/>
        <v>0</v>
      </c>
      <c r="M11" s="422">
        <f t="shared" si="1"/>
        <v>0</v>
      </c>
      <c r="N11" s="20"/>
      <c r="O11" s="47"/>
      <c r="P11" s="47"/>
      <c r="Q11" s="47"/>
      <c r="R11" s="47"/>
      <c r="S11" s="47"/>
      <c r="T11" s="47"/>
      <c r="U11" s="47"/>
      <c r="V11" s="47"/>
      <c r="W11" s="47"/>
      <c r="X11" s="47"/>
      <c r="Y11" s="47"/>
      <c r="Z11" s="47"/>
      <c r="AA11" s="47"/>
      <c r="AB11" s="47"/>
      <c r="AC11" s="47"/>
      <c r="AD11" s="47"/>
      <c r="AE11" s="47"/>
      <c r="AF11" s="47"/>
      <c r="AG11" s="47"/>
      <c r="AH11" s="228" t="s">
        <v>266</v>
      </c>
      <c r="AI11" s="448">
        <f>SUMIF($AH$59:$AH$110,AH11,$AJ$59:$AJ$110)</f>
        <v>0</v>
      </c>
      <c r="AJ11" s="47"/>
      <c r="AK11" s="47"/>
      <c r="AL11" s="47"/>
    </row>
    <row r="12" spans="1:38" ht="15.6" customHeight="1" x14ac:dyDescent="0.3">
      <c r="A12" s="16" t="s">
        <v>91</v>
      </c>
      <c r="B12" s="17">
        <f t="shared" si="2"/>
        <v>0</v>
      </c>
      <c r="C12" s="18">
        <f t="shared" si="3"/>
        <v>0</v>
      </c>
      <c r="D12" s="18">
        <f t="shared" si="4"/>
        <v>0</v>
      </c>
      <c r="E12" s="915">
        <f t="shared" si="5"/>
        <v>0</v>
      </c>
      <c r="F12" s="29"/>
      <c r="G12" s="20"/>
      <c r="H12" s="20"/>
      <c r="I12" s="20"/>
      <c r="J12" s="20"/>
      <c r="K12" s="429" t="s">
        <v>2680</v>
      </c>
      <c r="L12" s="417">
        <f t="shared" si="0"/>
        <v>0</v>
      </c>
      <c r="M12" s="423">
        <f t="shared" si="1"/>
        <v>0</v>
      </c>
      <c r="N12" s="20"/>
      <c r="O12" s="47"/>
      <c r="P12" s="47"/>
      <c r="Q12" s="47"/>
      <c r="R12" s="47"/>
      <c r="S12" s="47"/>
      <c r="T12" s="47"/>
      <c r="U12" s="47"/>
      <c r="V12" s="47"/>
      <c r="W12" s="47"/>
      <c r="X12" s="47"/>
      <c r="Y12" s="47"/>
      <c r="Z12" s="47"/>
      <c r="AA12" s="47"/>
      <c r="AB12" s="47"/>
      <c r="AC12" s="47"/>
      <c r="AD12" s="47"/>
      <c r="AE12" s="47"/>
      <c r="AF12" s="47"/>
      <c r="AG12" s="47"/>
      <c r="AH12" s="251" t="s">
        <v>267</v>
      </c>
      <c r="AI12" s="449">
        <f>SUMIF($AH$59:$AH$110,AH12,$AJ$59:$AJ$110)</f>
        <v>0</v>
      </c>
      <c r="AJ12" s="47"/>
      <c r="AK12" s="47"/>
      <c r="AL12" s="47"/>
    </row>
    <row r="13" spans="1:38" ht="18" customHeight="1" x14ac:dyDescent="0.3">
      <c r="A13" s="481" t="s">
        <v>92</v>
      </c>
      <c r="B13" s="17">
        <f t="shared" si="2"/>
        <v>0</v>
      </c>
      <c r="C13" s="18">
        <f t="shared" si="3"/>
        <v>0</v>
      </c>
      <c r="D13" s="18">
        <f t="shared" si="4"/>
        <v>0</v>
      </c>
      <c r="E13" s="915">
        <f t="shared" si="5"/>
        <v>0</v>
      </c>
      <c r="F13" s="29"/>
      <c r="G13" s="20"/>
      <c r="H13" s="20"/>
      <c r="I13" s="20"/>
      <c r="J13" s="20"/>
      <c r="K13" s="430" t="s">
        <v>2500</v>
      </c>
      <c r="L13" s="418">
        <f t="shared" si="0"/>
        <v>0</v>
      </c>
      <c r="M13" s="424">
        <f t="shared" si="1"/>
        <v>0</v>
      </c>
      <c r="N13" s="20"/>
      <c r="O13" s="47"/>
      <c r="P13" s="47"/>
      <c r="Q13" s="47"/>
      <c r="R13" s="47"/>
      <c r="S13" s="47"/>
      <c r="T13" s="47"/>
      <c r="U13" s="47"/>
      <c r="V13" s="47"/>
      <c r="W13" s="47"/>
      <c r="X13" s="47"/>
      <c r="Y13" s="47"/>
      <c r="Z13" s="47"/>
      <c r="AA13" s="47"/>
      <c r="AB13" s="47"/>
      <c r="AC13" s="47"/>
      <c r="AD13" s="47"/>
      <c r="AE13" s="47"/>
      <c r="AF13" s="47"/>
      <c r="AG13" s="47"/>
      <c r="AH13" s="228" t="s">
        <v>268</v>
      </c>
      <c r="AI13" s="448">
        <f>SUMIF($AH$59:$AH$110,AH13,$AJ$59:$AJ$110)</f>
        <v>0</v>
      </c>
      <c r="AJ13" s="47"/>
      <c r="AK13" s="47"/>
      <c r="AL13" s="47"/>
    </row>
    <row r="14" spans="1:38" ht="18" customHeight="1" x14ac:dyDescent="0.3">
      <c r="A14" s="481" t="s">
        <v>2662</v>
      </c>
      <c r="B14" s="17">
        <f t="shared" si="2"/>
        <v>0</v>
      </c>
      <c r="C14" s="18">
        <f t="shared" si="3"/>
        <v>0</v>
      </c>
      <c r="D14" s="18">
        <f t="shared" si="4"/>
        <v>0</v>
      </c>
      <c r="E14" s="915">
        <f t="shared" si="5"/>
        <v>0</v>
      </c>
      <c r="F14" s="29"/>
      <c r="G14" s="20"/>
      <c r="H14" s="20"/>
      <c r="I14" s="20"/>
      <c r="J14" s="20"/>
      <c r="K14" s="20"/>
      <c r="L14" s="20"/>
      <c r="M14" s="20"/>
      <c r="N14" s="20"/>
      <c r="O14" s="47"/>
      <c r="P14" s="47"/>
      <c r="Q14" s="47"/>
      <c r="R14" s="47"/>
      <c r="S14" s="47"/>
      <c r="T14" s="47"/>
      <c r="U14" s="47"/>
      <c r="V14" s="47"/>
      <c r="W14" s="47"/>
      <c r="X14" s="47"/>
      <c r="Y14" s="47"/>
      <c r="Z14" s="47"/>
      <c r="AA14" s="47"/>
      <c r="AB14" s="47"/>
      <c r="AC14" s="47"/>
      <c r="AD14" s="47"/>
      <c r="AE14" s="47"/>
      <c r="AF14" s="47"/>
      <c r="AG14" s="47"/>
      <c r="AH14" s="228"/>
      <c r="AI14" s="448"/>
      <c r="AJ14" s="47"/>
      <c r="AK14" s="47"/>
      <c r="AL14" s="47"/>
    </row>
    <row r="15" spans="1:38" ht="18" customHeight="1" x14ac:dyDescent="0.3">
      <c r="A15" s="173"/>
      <c r="B15" s="174">
        <f>SUM(B10:B13)</f>
        <v>4</v>
      </c>
      <c r="C15" s="30">
        <f>SUM(C10:C14)</f>
        <v>32568</v>
      </c>
      <c r="D15" s="30">
        <f>SUM(D10:D14)</f>
        <v>0</v>
      </c>
      <c r="E15" s="61">
        <f>SUM(E6:E14)</f>
        <v>0</v>
      </c>
      <c r="F15" s="29"/>
      <c r="G15" s="20"/>
      <c r="H15" s="20"/>
      <c r="I15" s="20"/>
      <c r="J15" s="20"/>
      <c r="K15" s="20"/>
      <c r="L15" s="20"/>
      <c r="M15" s="20"/>
      <c r="N15" s="20"/>
      <c r="O15" s="47"/>
      <c r="P15" s="47"/>
      <c r="Q15" s="47"/>
      <c r="R15" s="47"/>
      <c r="S15" s="47"/>
      <c r="T15" s="47"/>
      <c r="U15" s="47"/>
      <c r="V15" s="47"/>
      <c r="W15" s="47"/>
      <c r="X15" s="47"/>
      <c r="Y15" s="47"/>
      <c r="Z15" s="47"/>
      <c r="AA15" s="47"/>
      <c r="AB15" s="47"/>
      <c r="AC15" s="47"/>
      <c r="AD15" s="47"/>
      <c r="AE15" s="47"/>
      <c r="AF15" s="47"/>
      <c r="AG15" s="47"/>
      <c r="AH15" s="228"/>
      <c r="AI15" s="448"/>
      <c r="AJ15" s="47"/>
      <c r="AK15" s="47"/>
      <c r="AL15" s="47"/>
    </row>
    <row r="16" spans="1:38" ht="18" customHeight="1" x14ac:dyDescent="0.3">
      <c r="A16" s="325"/>
      <c r="B16" s="326"/>
      <c r="C16" s="327"/>
      <c r="D16" s="928"/>
      <c r="E16" s="20"/>
      <c r="F16" s="29"/>
      <c r="G16" s="20"/>
      <c r="H16" s="20"/>
      <c r="I16" s="20"/>
      <c r="J16" s="20"/>
      <c r="K16" s="20"/>
      <c r="L16" s="20"/>
      <c r="M16" s="20"/>
      <c r="N16" s="20"/>
      <c r="O16" s="47"/>
      <c r="P16" s="47"/>
      <c r="Q16" s="47"/>
      <c r="R16" s="47"/>
      <c r="S16" s="47"/>
      <c r="T16" s="47"/>
      <c r="U16" s="47"/>
      <c r="V16" s="47"/>
      <c r="W16" s="47"/>
      <c r="X16" s="47"/>
      <c r="Y16" s="47"/>
      <c r="Z16" s="47"/>
      <c r="AA16" s="47"/>
      <c r="AB16" s="47"/>
      <c r="AC16" s="47"/>
      <c r="AD16" s="47"/>
      <c r="AE16" s="47"/>
      <c r="AF16" s="47"/>
      <c r="AG16" s="47"/>
      <c r="AH16" s="228"/>
      <c r="AI16" s="448"/>
      <c r="AJ16" s="47"/>
      <c r="AK16" s="47"/>
      <c r="AL16" s="47"/>
    </row>
    <row r="17" spans="1:44" ht="18" customHeight="1" x14ac:dyDescent="0.3">
      <c r="A17" s="325"/>
      <c r="B17" s="326"/>
      <c r="C17" s="327"/>
      <c r="D17" s="928"/>
      <c r="E17" s="20"/>
      <c r="F17" s="29"/>
      <c r="G17" s="20"/>
      <c r="H17" s="20"/>
      <c r="I17" s="20"/>
      <c r="J17" s="20"/>
      <c r="K17" s="20"/>
      <c r="L17" s="20"/>
      <c r="M17" s="20"/>
      <c r="N17" s="20"/>
      <c r="O17" s="47"/>
      <c r="P17" s="47"/>
      <c r="Q17" s="47"/>
      <c r="R17" s="47"/>
      <c r="S17" s="47"/>
      <c r="T17" s="47"/>
      <c r="U17" s="47"/>
      <c r="V17" s="47"/>
      <c r="W17" s="47"/>
      <c r="X17" s="47"/>
      <c r="Y17" s="47"/>
      <c r="Z17" s="47"/>
      <c r="AA17" s="47"/>
      <c r="AB17" s="47"/>
      <c r="AC17" s="47"/>
      <c r="AD17" s="47"/>
      <c r="AE17" s="47"/>
      <c r="AF17" s="47"/>
      <c r="AG17" s="47"/>
      <c r="AH17" s="228"/>
      <c r="AI17" s="448"/>
      <c r="AJ17" s="47"/>
      <c r="AK17" s="47"/>
      <c r="AL17" s="47"/>
    </row>
    <row r="18" spans="1:44" x14ac:dyDescent="0.3">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J18" s="47"/>
      <c r="AK18" s="47"/>
      <c r="AL18" s="47"/>
    </row>
    <row r="19" spans="1:44" ht="15.6" x14ac:dyDescent="0.3">
      <c r="A19" s="208" t="s">
        <v>269</v>
      </c>
      <c r="B19" s="208"/>
      <c r="C19" s="208"/>
      <c r="D19" s="208"/>
      <c r="E19" s="208"/>
      <c r="F19" s="208"/>
      <c r="G19" s="208"/>
      <c r="H19" s="208"/>
      <c r="I19" s="208"/>
      <c r="J19" s="208"/>
      <c r="K19" s="208"/>
      <c r="L19" s="208"/>
      <c r="M19" s="208"/>
      <c r="N19" s="82"/>
      <c r="O19" s="208"/>
      <c r="P19" s="208"/>
      <c r="Q19" s="208"/>
      <c r="R19" s="82"/>
      <c r="S19" s="82"/>
      <c r="T19" s="204" t="s">
        <v>270</v>
      </c>
      <c r="U19" s="204"/>
      <c r="V19" s="204"/>
      <c r="W19" s="204"/>
      <c r="X19" s="204" t="s">
        <v>271</v>
      </c>
      <c r="Y19" s="204"/>
      <c r="Z19" s="204"/>
      <c r="AA19" s="204"/>
      <c r="AB19" s="204" t="s">
        <v>272</v>
      </c>
      <c r="AC19" s="204"/>
      <c r="AD19" s="204"/>
      <c r="AE19" s="204"/>
      <c r="AF19" s="204" t="s">
        <v>273</v>
      </c>
      <c r="AG19" s="204"/>
      <c r="AH19" s="204"/>
      <c r="AI19" s="204"/>
      <c r="AJ19" s="83"/>
      <c r="AK19" s="82"/>
      <c r="AL19" s="1410"/>
      <c r="AM19" s="1410"/>
      <c r="AN19" s="1410"/>
      <c r="AO19" s="47"/>
      <c r="AP19" s="47"/>
      <c r="AQ19" s="47"/>
      <c r="AR19" s="47"/>
    </row>
    <row r="20" spans="1:44" ht="46.8" x14ac:dyDescent="0.3">
      <c r="A20" s="84" t="s">
        <v>950</v>
      </c>
      <c r="B20" s="84" t="s">
        <v>276</v>
      </c>
      <c r="C20" s="84" t="s">
        <v>278</v>
      </c>
      <c r="D20" s="84" t="s">
        <v>277</v>
      </c>
      <c r="E20" s="84" t="s">
        <v>279</v>
      </c>
      <c r="F20" s="84" t="s">
        <v>280</v>
      </c>
      <c r="G20" s="84" t="s">
        <v>281</v>
      </c>
      <c r="H20" s="84" t="s">
        <v>951</v>
      </c>
      <c r="I20" s="84" t="s">
        <v>283</v>
      </c>
      <c r="J20" s="250" t="s">
        <v>284</v>
      </c>
      <c r="K20" s="84" t="s">
        <v>285</v>
      </c>
      <c r="L20" s="7" t="s">
        <v>952</v>
      </c>
      <c r="M20" s="7" t="s">
        <v>287</v>
      </c>
      <c r="N20" s="84" t="s">
        <v>72</v>
      </c>
      <c r="O20" s="84" t="s">
        <v>288</v>
      </c>
      <c r="P20" s="84" t="s">
        <v>289</v>
      </c>
      <c r="Q20" s="84" t="s">
        <v>1694</v>
      </c>
      <c r="R20" s="84"/>
      <c r="S20" s="84" t="s">
        <v>291</v>
      </c>
      <c r="T20" s="85">
        <v>46023</v>
      </c>
      <c r="U20" s="85">
        <v>46054</v>
      </c>
      <c r="V20" s="85">
        <v>46082</v>
      </c>
      <c r="W20" s="86" t="s">
        <v>292</v>
      </c>
      <c r="X20" s="85">
        <v>46113</v>
      </c>
      <c r="Y20" s="85">
        <v>46143</v>
      </c>
      <c r="Z20" s="85">
        <v>46174</v>
      </c>
      <c r="AA20" s="86" t="s">
        <v>293</v>
      </c>
      <c r="AB20" s="85">
        <v>46204</v>
      </c>
      <c r="AC20" s="85">
        <v>46235</v>
      </c>
      <c r="AD20" s="85">
        <v>46266</v>
      </c>
      <c r="AE20" s="86" t="s">
        <v>294</v>
      </c>
      <c r="AF20" s="85">
        <v>46296</v>
      </c>
      <c r="AG20" s="85">
        <v>46327</v>
      </c>
      <c r="AH20" s="85">
        <v>46357</v>
      </c>
      <c r="AI20" s="84" t="s">
        <v>295</v>
      </c>
      <c r="AJ20" s="84" t="s">
        <v>296</v>
      </c>
      <c r="AK20" s="84" t="s">
        <v>297</v>
      </c>
      <c r="AL20" s="84" t="s">
        <v>244</v>
      </c>
      <c r="AM20" s="84" t="s">
        <v>298</v>
      </c>
      <c r="AN20" s="84" t="s">
        <v>299</v>
      </c>
      <c r="AO20" s="47"/>
      <c r="AP20" s="47"/>
      <c r="AR20" s="507" t="s">
        <v>301</v>
      </c>
    </row>
    <row r="21" spans="1:44" ht="29.1" customHeight="1" x14ac:dyDescent="0.3">
      <c r="A21" s="1407" t="s">
        <v>89</v>
      </c>
      <c r="B21" s="1465" t="s">
        <v>2681</v>
      </c>
      <c r="C21" s="1465" t="s">
        <v>2682</v>
      </c>
      <c r="D21" s="1356" t="s">
        <v>2683</v>
      </c>
      <c r="E21" s="1449" t="s">
        <v>2684</v>
      </c>
      <c r="F21" s="1366">
        <v>46174</v>
      </c>
      <c r="G21" s="2480"/>
      <c r="H21" s="2482"/>
      <c r="I21" s="1749"/>
      <c r="J21" s="1387"/>
      <c r="K21" s="1395"/>
      <c r="L21" s="1393"/>
      <c r="M21" s="2155"/>
      <c r="N21" s="1352"/>
      <c r="O21" s="1352"/>
      <c r="P21" s="1352"/>
      <c r="Q21" s="1334"/>
      <c r="R21" s="96" t="s">
        <v>116</v>
      </c>
      <c r="S21" s="96">
        <v>0</v>
      </c>
      <c r="T21" s="498">
        <f>IFERROR(IF(AND(T$20&gt;=EOMONTH($I21,-1)+1,T$20&lt;=EOMONTH(EOMONTH($I21,-1)+1,$J21-1)),IF(NOT(ISBLANK($M21)),$M21/$J21,$H21/$J21),0),0)</f>
        <v>0</v>
      </c>
      <c r="U21" s="498">
        <f t="shared" ref="U21:AH37" si="6">IFERROR(IF(AND(U$20&gt;=EOMONTH($I21,-1)+1,U$20&lt;=EOMONTH(EOMONTH($I21,-1)+1,$J21-1)),IF(NOT(ISBLANK($M21)),$M21/$J21,$H21/$J21),0),0)</f>
        <v>0</v>
      </c>
      <c r="V21" s="498">
        <f t="shared" si="6"/>
        <v>0</v>
      </c>
      <c r="W21" s="440">
        <f>SUM(T21:V21)</f>
        <v>0</v>
      </c>
      <c r="X21" s="498">
        <f t="shared" si="6"/>
        <v>0</v>
      </c>
      <c r="Y21" s="498">
        <f t="shared" si="6"/>
        <v>0</v>
      </c>
      <c r="Z21" s="498">
        <f t="shared" si="6"/>
        <v>0</v>
      </c>
      <c r="AA21" s="440">
        <f>SUM(X21:Z21)</f>
        <v>0</v>
      </c>
      <c r="AB21" s="498">
        <f t="shared" si="6"/>
        <v>0</v>
      </c>
      <c r="AC21" s="498">
        <f t="shared" si="6"/>
        <v>0</v>
      </c>
      <c r="AD21" s="498">
        <f t="shared" si="6"/>
        <v>0</v>
      </c>
      <c r="AE21" s="440">
        <f>SUM(AB21:AD21)</f>
        <v>0</v>
      </c>
      <c r="AF21" s="498">
        <f t="shared" si="6"/>
        <v>0</v>
      </c>
      <c r="AG21" s="498">
        <f t="shared" si="6"/>
        <v>0</v>
      </c>
      <c r="AH21" s="498">
        <f t="shared" si="6"/>
        <v>0</v>
      </c>
      <c r="AI21" s="440">
        <f>SUM(AF21:AH21)</f>
        <v>0</v>
      </c>
      <c r="AJ21" s="1020">
        <f>SUM(T21:V21,X21:Z21,AB21:AD21,AF21:AH21)</f>
        <v>0</v>
      </c>
      <c r="AK21" s="1488"/>
      <c r="AL21" s="1407"/>
      <c r="AM21" s="1334"/>
      <c r="AN21" s="1403">
        <f>L21*AM21</f>
        <v>0</v>
      </c>
      <c r="AO21" s="47" t="str">
        <f>B21</f>
        <v>Gestão de EPI's</v>
      </c>
      <c r="AP21" s="47" t="str">
        <f>A21</f>
        <v>Redução de Custo</v>
      </c>
      <c r="AQ21" s="62" t="s">
        <v>311</v>
      </c>
      <c r="AR21" s="508" t="e" cm="1">
        <f t="array" aca="1" ref="AR21" ca="1">IF(OR(AO21="",AO21=0),"",IF(SUMPRODUCT(($B$38:$B$87=AO21)*($R$38:$R$87="Previsto")*($T$37:$AH$37&lt;EOMONTH(TODAY(),-1)+1)*($T$38:$AH$87))=0,"",SUMPRODUCT(($B$38:$B$87=AO21)*($R$38:$R$87="Previsto")*($T$37:$AH$37&lt;EOMONTH(TODAY(),-1)+1)*($T$38:$AH$87))))</f>
        <v>#VALUE!</v>
      </c>
    </row>
    <row r="22" spans="1:44" ht="35.1" customHeight="1" x14ac:dyDescent="0.3">
      <c r="A22" s="1408"/>
      <c r="B22" s="1466"/>
      <c r="C22" s="1466"/>
      <c r="D22" s="1450"/>
      <c r="E22" s="1450"/>
      <c r="F22" s="1513"/>
      <c r="G22" s="2481"/>
      <c r="H22" s="1383"/>
      <c r="I22" s="1750"/>
      <c r="J22" s="1388"/>
      <c r="K22" s="1396"/>
      <c r="L22" s="1394"/>
      <c r="M22" s="2156"/>
      <c r="N22" s="1353"/>
      <c r="O22" s="1353"/>
      <c r="P22" s="1353"/>
      <c r="Q22" s="1330"/>
      <c r="R22" s="96" t="s">
        <v>117</v>
      </c>
      <c r="S22" s="456">
        <v>0</v>
      </c>
      <c r="T22" s="457"/>
      <c r="U22" s="457"/>
      <c r="V22" s="290"/>
      <c r="W22" s="440">
        <f t="shared" ref="W22:W24" si="7">SUM(T22:V22)</f>
        <v>0</v>
      </c>
      <c r="X22" s="457"/>
      <c r="Y22" s="457"/>
      <c r="Z22" s="290"/>
      <c r="AA22" s="440">
        <f t="shared" ref="AA22:AA24" si="8">SUM(X22:Z22)</f>
        <v>0</v>
      </c>
      <c r="AB22" s="457"/>
      <c r="AC22" s="457"/>
      <c r="AD22" s="290"/>
      <c r="AE22" s="440">
        <f t="shared" ref="AE22:AE24" si="9">SUM(AB22:AD22)</f>
        <v>0</v>
      </c>
      <c r="AF22" s="457"/>
      <c r="AG22" s="457"/>
      <c r="AH22" s="290"/>
      <c r="AI22" s="440">
        <f t="shared" ref="AI22:AI24" si="10">SUM(AF22:AH22)</f>
        <v>0</v>
      </c>
      <c r="AJ22" s="94">
        <f t="shared" ref="AJ22:AJ24" si="11">SUM(T22:V22,X22:Z22,AB22:AD22,AF22:AH22)</f>
        <v>0</v>
      </c>
      <c r="AK22" s="1367"/>
      <c r="AL22" s="1408"/>
      <c r="AM22" s="1330"/>
      <c r="AN22" s="1404"/>
      <c r="AO22" s="47" t="str">
        <f>B21</f>
        <v>Gestão de EPI's</v>
      </c>
      <c r="AP22" s="47" t="str">
        <f>A21</f>
        <v>Redução de Custo</v>
      </c>
      <c r="AQ22" s="62" t="s">
        <v>313</v>
      </c>
      <c r="AR22" s="508" t="e" cm="1">
        <f t="array" aca="1" ref="AR22" ca="1">IF(OR(AO21="",AO21=0),"",IF(SUMPRODUCT(($B$38:$B$87=AO21)*(ISNUMBER(SEARCH("Real",$Q$39:$Q$88)))*($T$37:$AH$37&lt;EOMONTH(TODAY(),-1)+1)*($T$39:$AH$88))=0,"",SUMPRODUCT(($B$38:$B$87=AO21)*(ISNUMBER(SEARCH("Real",$Q$39:$Q$88)))*($T$37:$AH$37&lt;EOMONTH(TODAY(),-1)+1)*($T$39:$AH$88))))</f>
        <v>#VALUE!</v>
      </c>
    </row>
    <row r="23" spans="1:44" ht="29.1" customHeight="1" x14ac:dyDescent="0.3">
      <c r="A23" s="1380" t="s">
        <v>89</v>
      </c>
      <c r="B23" s="1482" t="s">
        <v>2685</v>
      </c>
      <c r="C23" s="2485"/>
      <c r="D23" s="1368" t="s">
        <v>2685</v>
      </c>
      <c r="E23" s="1449" t="s">
        <v>2684</v>
      </c>
      <c r="F23" s="1372">
        <v>46204</v>
      </c>
      <c r="G23" s="1372">
        <v>46113</v>
      </c>
      <c r="H23" s="1405">
        <v>32568</v>
      </c>
      <c r="I23" s="1376">
        <v>46235</v>
      </c>
      <c r="J23" s="1389">
        <f t="shared" ref="J23" si="12">IF(I23="", "", 12 - MONTH(I23) + 1)</f>
        <v>5</v>
      </c>
      <c r="K23" s="1354"/>
      <c r="L23" s="2222"/>
      <c r="M23" s="2222"/>
      <c r="N23" s="1354"/>
      <c r="O23" s="1354"/>
      <c r="P23" s="1354"/>
      <c r="Q23" s="1327" t="s">
        <v>24</v>
      </c>
      <c r="R23" s="91" t="s">
        <v>116</v>
      </c>
      <c r="S23" s="91">
        <v>0</v>
      </c>
      <c r="T23" s="287">
        <f>IFERROR(IF(AND(T$20&gt;=EOMONTH($I23,-1)+1,T$20&lt;=EOMONTH(EOMONTH($I23,-1)+1,$J23-1)),IF(NOT(ISBLANK($M23)),$M23/$J23,$H23/$J23),0),0)</f>
        <v>0</v>
      </c>
      <c r="U23" s="287">
        <f t="shared" si="6"/>
        <v>0</v>
      </c>
      <c r="V23" s="287">
        <f t="shared" si="6"/>
        <v>0</v>
      </c>
      <c r="W23" s="440">
        <f>SUM(T23:V23)</f>
        <v>0</v>
      </c>
      <c r="X23" s="287">
        <f t="shared" si="6"/>
        <v>0</v>
      </c>
      <c r="Y23" s="287">
        <f t="shared" si="6"/>
        <v>0</v>
      </c>
      <c r="Z23" s="287">
        <f t="shared" si="6"/>
        <v>0</v>
      </c>
      <c r="AA23" s="440">
        <f>SUM(X23:Z23)</f>
        <v>0</v>
      </c>
      <c r="AB23" s="287">
        <f t="shared" si="6"/>
        <v>0</v>
      </c>
      <c r="AC23" s="287">
        <f t="shared" si="6"/>
        <v>6513.6</v>
      </c>
      <c r="AD23" s="287">
        <f t="shared" si="6"/>
        <v>6513.6</v>
      </c>
      <c r="AE23" s="440">
        <f>SUM(AB23:AD23)</f>
        <v>13027.2</v>
      </c>
      <c r="AF23" s="287">
        <f t="shared" si="6"/>
        <v>6513.6</v>
      </c>
      <c r="AG23" s="287">
        <f t="shared" si="6"/>
        <v>6513.6</v>
      </c>
      <c r="AH23" s="287">
        <f t="shared" si="6"/>
        <v>6513.6</v>
      </c>
      <c r="AI23" s="440">
        <f>SUM(AF23:AH23)</f>
        <v>19540.800000000003</v>
      </c>
      <c r="AJ23" s="116">
        <f>SUM(T23:V23,X23:Z23,AB23:AD23,AF23:AH23)</f>
        <v>32568</v>
      </c>
      <c r="AK23" s="1354" t="s">
        <v>2669</v>
      </c>
      <c r="AL23" s="1370"/>
      <c r="AM23" s="1411"/>
      <c r="AN23" s="1405">
        <f>L23*AM23</f>
        <v>0</v>
      </c>
      <c r="AO23" s="47" t="str">
        <f>B23</f>
        <v>Redução de custo com caçambas – SAMERON</v>
      </c>
      <c r="AP23" s="47" t="str">
        <f>A23</f>
        <v>Redução de Custo</v>
      </c>
      <c r="AQ23" s="62" t="s">
        <v>311</v>
      </c>
      <c r="AR23" s="508" t="e" cm="1">
        <f t="array" aca="1" ref="AR23" ca="1">IF(OR(AO23="",AO23=0),"",IF(SUMPRODUCT(($B$38:$B$87=AO23)*($R$38:$R$87="Previsto")*($T$37:$AH$37&lt;EOMONTH(TODAY(),-1)+1)*($T$38:$AH$87))=0,"",SUMPRODUCT(($B$38:$B$87=AO23)*($R$38:$R$87="Previsto")*($T$37:$AH$37&lt;EOMONTH(TODAY(),-1)+1)*($T$38:$AH$87))))</f>
        <v>#VALUE!</v>
      </c>
    </row>
    <row r="24" spans="1:44" ht="29.1" customHeight="1" x14ac:dyDescent="0.3">
      <c r="A24" s="1381"/>
      <c r="B24" s="1483"/>
      <c r="C24" s="2486"/>
      <c r="D24" s="1369"/>
      <c r="E24" s="1450"/>
      <c r="F24" s="1373"/>
      <c r="G24" s="1373"/>
      <c r="H24" s="1406"/>
      <c r="I24" s="1377"/>
      <c r="J24" s="1390"/>
      <c r="K24" s="1355"/>
      <c r="L24" s="2223"/>
      <c r="M24" s="2223"/>
      <c r="N24" s="1355"/>
      <c r="O24" s="1355"/>
      <c r="P24" s="1355"/>
      <c r="Q24" s="1328"/>
      <c r="R24" s="91" t="s">
        <v>117</v>
      </c>
      <c r="S24" s="455">
        <v>0</v>
      </c>
      <c r="T24" s="287"/>
      <c r="U24" s="287"/>
      <c r="V24" s="287"/>
      <c r="W24" s="440">
        <f t="shared" si="7"/>
        <v>0</v>
      </c>
      <c r="X24" s="287"/>
      <c r="Y24" s="287"/>
      <c r="Z24" s="287"/>
      <c r="AA24" s="440">
        <f t="shared" si="8"/>
        <v>0</v>
      </c>
      <c r="AB24" s="287"/>
      <c r="AC24" s="287"/>
      <c r="AD24" s="287"/>
      <c r="AE24" s="440">
        <f t="shared" si="9"/>
        <v>0</v>
      </c>
      <c r="AF24" s="287"/>
      <c r="AG24" s="287"/>
      <c r="AH24" s="287"/>
      <c r="AI24" s="440">
        <f t="shared" si="10"/>
        <v>0</v>
      </c>
      <c r="AJ24" s="454">
        <f t="shared" si="11"/>
        <v>0</v>
      </c>
      <c r="AK24" s="1355"/>
      <c r="AL24" s="1371"/>
      <c r="AM24" s="1412"/>
      <c r="AN24" s="1406"/>
      <c r="AO24" s="47" t="str">
        <f>B23</f>
        <v>Redução de custo com caçambas – SAMERON</v>
      </c>
      <c r="AP24" s="47" t="str">
        <f>A23</f>
        <v>Redução de Custo</v>
      </c>
      <c r="AQ24" s="62" t="s">
        <v>313</v>
      </c>
      <c r="AR24" s="508" t="e" cm="1">
        <f t="array" aca="1" ref="AR24" ca="1">IF(OR(AO23="",AO23=0),"",IF(SUMPRODUCT(($B$38:$B$87=AO23)*(ISNUMBER(SEARCH("Real",$Q$39:$Q$88)))*($T$37:$AH$37&lt;EOMONTH(TODAY(),-1)+1)*($T$39:$AH$88))=0,"",SUMPRODUCT(($B$38:$B$87=AO23)*(ISNUMBER(SEARCH("Real",$Q$39:$Q$88)))*($T$37:$AH$37&lt;EOMONTH(TODAY(),-1)+1)*($T$39:$AH$88))))</f>
        <v>#VALUE!</v>
      </c>
    </row>
    <row r="25" spans="1:44" ht="29.1" customHeight="1" x14ac:dyDescent="0.3">
      <c r="A25" s="1407" t="s">
        <v>89</v>
      </c>
      <c r="B25" s="1817" t="s">
        <v>2686</v>
      </c>
      <c r="C25" s="1465" t="s">
        <v>2687</v>
      </c>
      <c r="D25" s="1449"/>
      <c r="E25" s="1465" t="s">
        <v>2688</v>
      </c>
      <c r="F25" s="2483">
        <v>46023</v>
      </c>
      <c r="G25" s="2483"/>
      <c r="H25" s="2185"/>
      <c r="I25" s="1749"/>
      <c r="J25" s="1387"/>
      <c r="K25" s="1395"/>
      <c r="L25" s="2441"/>
      <c r="M25" s="2441"/>
      <c r="N25" s="1352"/>
      <c r="O25" s="1352"/>
      <c r="P25" s="1352"/>
      <c r="Q25" s="1334" t="s">
        <v>21</v>
      </c>
      <c r="R25" s="96" t="s">
        <v>116</v>
      </c>
      <c r="S25" s="96">
        <v>0</v>
      </c>
      <c r="T25" s="498">
        <f>IFERROR(IF(AND(T$20&gt;=EOMONTH($I25,-1)+1,T$20&lt;=EOMONTH(EOMONTH($I25,-1)+1,$J25-1)),IF(NOT(ISBLANK($M25)),$M25/$J25,$H25/$J25),0),0)</f>
        <v>0</v>
      </c>
      <c r="U25" s="498">
        <f t="shared" si="6"/>
        <v>0</v>
      </c>
      <c r="V25" s="498">
        <f t="shared" si="6"/>
        <v>0</v>
      </c>
      <c r="W25" s="440">
        <f>SUM(T25:V25)</f>
        <v>0</v>
      </c>
      <c r="X25" s="498">
        <f t="shared" si="6"/>
        <v>0</v>
      </c>
      <c r="Y25" s="498">
        <f t="shared" si="6"/>
        <v>0</v>
      </c>
      <c r="Z25" s="498">
        <f t="shared" si="6"/>
        <v>0</v>
      </c>
      <c r="AA25" s="440">
        <f>SUM(X25:Z25)</f>
        <v>0</v>
      </c>
      <c r="AB25" s="498">
        <f t="shared" si="6"/>
        <v>0</v>
      </c>
      <c r="AC25" s="498">
        <f t="shared" si="6"/>
        <v>0</v>
      </c>
      <c r="AD25" s="498">
        <f t="shared" si="6"/>
        <v>0</v>
      </c>
      <c r="AE25" s="440">
        <f>SUM(AB25:AD25)</f>
        <v>0</v>
      </c>
      <c r="AF25" s="498">
        <f t="shared" si="6"/>
        <v>0</v>
      </c>
      <c r="AG25" s="498">
        <f t="shared" si="6"/>
        <v>0</v>
      </c>
      <c r="AH25" s="498">
        <f t="shared" si="6"/>
        <v>0</v>
      </c>
      <c r="AI25" s="440">
        <f>SUM(AF25:AH25)</f>
        <v>0</v>
      </c>
      <c r="AJ25" s="1020">
        <f>SUM(T25:V25,X25:Z25,AB25:AD25,AF25:AH25)</f>
        <v>0</v>
      </c>
      <c r="AK25" s="1488"/>
      <c r="AL25" s="1407"/>
      <c r="AM25" s="1334"/>
      <c r="AN25" s="1403">
        <f>L25*AM25</f>
        <v>0</v>
      </c>
      <c r="AO25" s="47" t="str">
        <f>B25</f>
        <v>Delga RPA</v>
      </c>
      <c r="AP25" s="47" t="str">
        <f>A25</f>
        <v>Redução de Custo</v>
      </c>
      <c r="AQ25" s="62" t="s">
        <v>311</v>
      </c>
      <c r="AR25" s="1021" t="e" cm="1">
        <f t="array" aca="1" ref="AR25" ca="1">IF(OR(AO25="",AO25=0),"",IF(SUMPRODUCT(($B$38:$B$87=AO25)*($R$38:$R$87="Previsto")*($T$37:$AH$37&lt;EOMONTH(TODAY(),-1)+1)*($T$38:$AH$87))=0,"",SUMPRODUCT(($B$38:$B$87=AO25)*($R$38:$R$87="Previsto")*($T$37:$AH$37&lt;EOMONTH(TODAY(),-1)+1)*($T$38:$AH$87))))</f>
        <v>#VALUE!</v>
      </c>
    </row>
    <row r="26" spans="1:44" ht="29.1" customHeight="1" x14ac:dyDescent="0.3">
      <c r="A26" s="1408"/>
      <c r="B26" s="1818"/>
      <c r="C26" s="1466"/>
      <c r="D26" s="1450"/>
      <c r="E26" s="1466"/>
      <c r="F26" s="2484"/>
      <c r="G26" s="2484"/>
      <c r="H26" s="2186"/>
      <c r="I26" s="1750"/>
      <c r="J26" s="1388"/>
      <c r="K26" s="1396"/>
      <c r="L26" s="2442"/>
      <c r="M26" s="2442"/>
      <c r="N26" s="1353"/>
      <c r="O26" s="1353"/>
      <c r="P26" s="1353"/>
      <c r="Q26" s="1330"/>
      <c r="R26" s="96" t="s">
        <v>117</v>
      </c>
      <c r="S26" s="456">
        <v>0</v>
      </c>
      <c r="T26" s="457"/>
      <c r="U26" s="457"/>
      <c r="V26" s="290"/>
      <c r="W26" s="440">
        <f t="shared" ref="W26" si="13">SUM(T26:V26)</f>
        <v>0</v>
      </c>
      <c r="X26" s="457"/>
      <c r="Y26" s="457"/>
      <c r="Z26" s="290"/>
      <c r="AA26" s="440">
        <f t="shared" ref="AA26" si="14">SUM(X26:Z26)</f>
        <v>0</v>
      </c>
      <c r="AB26" s="457"/>
      <c r="AC26" s="457"/>
      <c r="AD26" s="290"/>
      <c r="AE26" s="440">
        <f t="shared" ref="AE26" si="15">SUM(AB26:AD26)</f>
        <v>0</v>
      </c>
      <c r="AF26" s="457"/>
      <c r="AG26" s="457"/>
      <c r="AH26" s="290"/>
      <c r="AI26" s="440">
        <f t="shared" ref="AI26" si="16">SUM(AF26:AH26)</f>
        <v>0</v>
      </c>
      <c r="AJ26" s="94">
        <f t="shared" ref="AJ26" si="17">SUM(T26:V26,X26:Z26,AB26:AD26,AF26:AH26)</f>
        <v>0</v>
      </c>
      <c r="AK26" s="1367"/>
      <c r="AL26" s="1408"/>
      <c r="AM26" s="1330"/>
      <c r="AN26" s="1404"/>
      <c r="AO26" s="47" t="str">
        <f>B25</f>
        <v>Delga RPA</v>
      </c>
      <c r="AP26" s="47" t="str">
        <f>A25</f>
        <v>Redução de Custo</v>
      </c>
      <c r="AQ26" s="62" t="s">
        <v>313</v>
      </c>
      <c r="AR26" s="1021" t="e" cm="1">
        <f t="array" aca="1" ref="AR26" ca="1">IF(OR(AO25="",AO25=0),"",IF(SUMPRODUCT(($B$38:$B$87=AO25)*(ISNUMBER(SEARCH("Real",$Q$39:$Q$88)))*($T$37:$AH$37&lt;EOMONTH(TODAY(),-1)+1)*($T$39:$AH$88))=0,"",SUMPRODUCT(($B$38:$B$87=AO25)*(ISNUMBER(SEARCH("Real",$Q$39:$Q$88)))*($T$37:$AH$37&lt;EOMONTH(TODAY(),-1)+1)*($T$39:$AH$88))))</f>
        <v>#VALUE!</v>
      </c>
    </row>
    <row r="27" spans="1:44" ht="29.1" customHeight="1" x14ac:dyDescent="0.3">
      <c r="A27" s="1380" t="s">
        <v>89</v>
      </c>
      <c r="B27" s="1482" t="s">
        <v>2689</v>
      </c>
      <c r="C27" s="1482" t="s">
        <v>2690</v>
      </c>
      <c r="D27" s="2453"/>
      <c r="E27" s="1482"/>
      <c r="F27" s="2451"/>
      <c r="G27" s="2451"/>
      <c r="H27" s="2451"/>
      <c r="I27" s="1376"/>
      <c r="J27" s="1389"/>
      <c r="K27" s="1354"/>
      <c r="L27" s="2222"/>
      <c r="M27" s="2222"/>
      <c r="N27" s="1354"/>
      <c r="O27" s="1354"/>
      <c r="P27" s="1354"/>
      <c r="Q27" s="1327" t="s">
        <v>21</v>
      </c>
      <c r="R27" s="91" t="s">
        <v>116</v>
      </c>
      <c r="S27" s="91">
        <v>0</v>
      </c>
      <c r="T27" s="287">
        <f>IFERROR(IF(AND(T$20&gt;=EOMONTH($I27,-1)+1,T$20&lt;=EOMONTH(EOMONTH($I27,-1)+1,$J27-1)),IF(NOT(ISBLANK($M27)),$M27/$J27,$H27/$J27),0),0)</f>
        <v>0</v>
      </c>
      <c r="U27" s="287">
        <f t="shared" si="6"/>
        <v>0</v>
      </c>
      <c r="V27" s="287">
        <f t="shared" si="6"/>
        <v>0</v>
      </c>
      <c r="W27" s="440">
        <f>SUM(T27:V27)</f>
        <v>0</v>
      </c>
      <c r="X27" s="287">
        <f t="shared" si="6"/>
        <v>0</v>
      </c>
      <c r="Y27" s="287">
        <f t="shared" si="6"/>
        <v>0</v>
      </c>
      <c r="Z27" s="287">
        <f t="shared" si="6"/>
        <v>0</v>
      </c>
      <c r="AA27" s="440">
        <f>SUM(X27:Z27)</f>
        <v>0</v>
      </c>
      <c r="AB27" s="287">
        <f t="shared" si="6"/>
        <v>0</v>
      </c>
      <c r="AC27" s="287">
        <f t="shared" si="6"/>
        <v>0</v>
      </c>
      <c r="AD27" s="287">
        <f t="shared" si="6"/>
        <v>0</v>
      </c>
      <c r="AE27" s="440">
        <f>SUM(AB27:AD27)</f>
        <v>0</v>
      </c>
      <c r="AF27" s="287">
        <f t="shared" si="6"/>
        <v>0</v>
      </c>
      <c r="AG27" s="287">
        <f t="shared" si="6"/>
        <v>0</v>
      </c>
      <c r="AH27" s="287">
        <f t="shared" si="6"/>
        <v>0</v>
      </c>
      <c r="AI27" s="440">
        <f>SUM(AF27:AH27)</f>
        <v>0</v>
      </c>
      <c r="AJ27" s="116">
        <f>SUM(T27:V27,X27:Z27,AB27:AD27,AF27:AH27)</f>
        <v>0</v>
      </c>
      <c r="AK27" s="1354"/>
      <c r="AL27" s="1370"/>
      <c r="AM27" s="1411"/>
      <c r="AN27" s="1405">
        <f>L27*AM27</f>
        <v>0</v>
      </c>
      <c r="AO27" s="47" t="str">
        <f>B27</f>
        <v>Cameras WIFi</v>
      </c>
      <c r="AP27" s="47" t="str">
        <f>A27</f>
        <v>Redução de Custo</v>
      </c>
      <c r="AQ27" s="62" t="s">
        <v>311</v>
      </c>
      <c r="AR27" s="508" t="e" cm="1">
        <f t="array" aca="1" ref="AR27" ca="1">IF(OR(AO27="",AO27=0),"",IF(SUMPRODUCT(($B$38:$B$87=AO27)*($R$38:$R$87="Previsto")*($T$37:$AH$37&lt;EOMONTH(TODAY(),-1)+1)*($T$38:$AH$87))=0,"",SUMPRODUCT(($B$38:$B$87=AO27)*($R$38:$R$87="Previsto")*($T$37:$AH$37&lt;EOMONTH(TODAY(),-1)+1)*($T$38:$AH$87))))</f>
        <v>#VALUE!</v>
      </c>
    </row>
    <row r="28" spans="1:44" ht="29.1" customHeight="1" x14ac:dyDescent="0.3">
      <c r="A28" s="1381"/>
      <c r="B28" s="1483"/>
      <c r="C28" s="1483"/>
      <c r="D28" s="2454"/>
      <c r="E28" s="1483"/>
      <c r="F28" s="2452"/>
      <c r="G28" s="2452"/>
      <c r="H28" s="2452"/>
      <c r="I28" s="1377"/>
      <c r="J28" s="1390"/>
      <c r="K28" s="1355"/>
      <c r="L28" s="2223"/>
      <c r="M28" s="2223"/>
      <c r="N28" s="1355"/>
      <c r="O28" s="1355"/>
      <c r="P28" s="1355"/>
      <c r="Q28" s="1328"/>
      <c r="R28" s="91" t="s">
        <v>117</v>
      </c>
      <c r="S28" s="455">
        <v>0</v>
      </c>
      <c r="T28" s="287"/>
      <c r="U28" s="287"/>
      <c r="V28" s="287"/>
      <c r="W28" s="440">
        <f t="shared" ref="W28" si="18">SUM(T28:V28)</f>
        <v>0</v>
      </c>
      <c r="X28" s="287"/>
      <c r="Y28" s="287"/>
      <c r="Z28" s="287"/>
      <c r="AA28" s="440">
        <f t="shared" ref="AA28" si="19">SUM(X28:Z28)</f>
        <v>0</v>
      </c>
      <c r="AB28" s="287"/>
      <c r="AC28" s="287"/>
      <c r="AD28" s="287"/>
      <c r="AE28" s="440">
        <f t="shared" ref="AE28" si="20">SUM(AB28:AD28)</f>
        <v>0</v>
      </c>
      <c r="AF28" s="287"/>
      <c r="AG28" s="287"/>
      <c r="AH28" s="287"/>
      <c r="AI28" s="440">
        <f t="shared" ref="AI28" si="21">SUM(AF28:AH28)</f>
        <v>0</v>
      </c>
      <c r="AJ28" s="454">
        <f t="shared" ref="AJ28" si="22">SUM(T28:V28,X28:Z28,AB28:AD28,AF28:AH28)</f>
        <v>0</v>
      </c>
      <c r="AK28" s="1355"/>
      <c r="AL28" s="1371"/>
      <c r="AM28" s="1412"/>
      <c r="AN28" s="1406"/>
      <c r="AO28" s="47" t="str">
        <f>B27</f>
        <v>Cameras WIFi</v>
      </c>
      <c r="AP28" s="47" t="str">
        <f>A27</f>
        <v>Redução de Custo</v>
      </c>
      <c r="AQ28" s="62" t="s">
        <v>313</v>
      </c>
      <c r="AR28" s="508" t="e" cm="1">
        <f t="array" aca="1" ref="AR28" ca="1">IF(OR(AO27="",AO27=0),"",IF(SUMPRODUCT(($B$38:$B$87=AO27)*(ISNUMBER(SEARCH("Real",$Q$39:$Q$88)))*($T$37:$AH$37&lt;EOMONTH(TODAY(),-1)+1)*($T$39:$AH$88))=0,"",SUMPRODUCT(($B$38:$B$87=AO27)*(ISNUMBER(SEARCH("Real",$Q$39:$Q$88)))*($T$37:$AH$37&lt;EOMONTH(TODAY(),-1)+1)*($T$39:$AH$88))))</f>
        <v>#VALUE!</v>
      </c>
    </row>
    <row r="29" spans="1:44" ht="29.1" customHeight="1" x14ac:dyDescent="0.3">
      <c r="A29" s="1407"/>
      <c r="B29" s="1465"/>
      <c r="C29" s="1465"/>
      <c r="D29" s="2459"/>
      <c r="E29" s="1465"/>
      <c r="F29" s="2457"/>
      <c r="G29" s="2457"/>
      <c r="H29" s="2455"/>
      <c r="I29" s="1749"/>
      <c r="J29" s="1387"/>
      <c r="K29" s="1395"/>
      <c r="L29" s="2441"/>
      <c r="M29" s="2441"/>
      <c r="N29" s="1352"/>
      <c r="O29" s="1352"/>
      <c r="P29" s="1352"/>
      <c r="Q29" s="1334" t="s">
        <v>21</v>
      </c>
      <c r="R29" s="96" t="s">
        <v>116</v>
      </c>
      <c r="S29" s="96">
        <v>0</v>
      </c>
      <c r="T29" s="498">
        <f>IFERROR(IF(AND(T$20&gt;=EOMONTH($I29,-1)+1,T$20&lt;=EOMONTH(EOMONTH($I29,-1)+1,$J29-1)),IF(NOT(ISBLANK($M29)),$M29/$J29,$H29/$J29),0),0)</f>
        <v>0</v>
      </c>
      <c r="U29" s="498">
        <f t="shared" si="6"/>
        <v>0</v>
      </c>
      <c r="V29" s="498">
        <f t="shared" si="6"/>
        <v>0</v>
      </c>
      <c r="W29" s="440">
        <f>SUM(T29:V29)</f>
        <v>0</v>
      </c>
      <c r="X29" s="498">
        <f t="shared" si="6"/>
        <v>0</v>
      </c>
      <c r="Y29" s="498">
        <f t="shared" si="6"/>
        <v>0</v>
      </c>
      <c r="Z29" s="498">
        <f t="shared" si="6"/>
        <v>0</v>
      </c>
      <c r="AA29" s="440">
        <f>SUM(X29:Z29)</f>
        <v>0</v>
      </c>
      <c r="AB29" s="498">
        <f t="shared" si="6"/>
        <v>0</v>
      </c>
      <c r="AC29" s="498">
        <f t="shared" si="6"/>
        <v>0</v>
      </c>
      <c r="AD29" s="498">
        <f t="shared" si="6"/>
        <v>0</v>
      </c>
      <c r="AE29" s="440">
        <f>SUM(AB29:AD29)</f>
        <v>0</v>
      </c>
      <c r="AF29" s="498">
        <f t="shared" si="6"/>
        <v>0</v>
      </c>
      <c r="AG29" s="498">
        <f t="shared" si="6"/>
        <v>0</v>
      </c>
      <c r="AH29" s="498">
        <f t="shared" si="6"/>
        <v>0</v>
      </c>
      <c r="AI29" s="440">
        <f>SUM(AF29:AH29)</f>
        <v>0</v>
      </c>
      <c r="AJ29" s="1020">
        <f>SUM(T29:V29,X29:Z29,AB29:AD29,AF29:AH29)</f>
        <v>0</v>
      </c>
      <c r="AK29" s="2462" t="s">
        <v>2675</v>
      </c>
      <c r="AL29" s="1407"/>
      <c r="AM29" s="1334"/>
      <c r="AN29" s="1403">
        <f>L29*AM29</f>
        <v>0</v>
      </c>
      <c r="AO29" s="47">
        <f>B29</f>
        <v>0</v>
      </c>
      <c r="AP29" s="47">
        <f>A29</f>
        <v>0</v>
      </c>
      <c r="AQ29" s="62" t="s">
        <v>311</v>
      </c>
      <c r="AR29" s="508" t="str" cm="1">
        <f t="array" aca="1" ref="AR29" ca="1">IF(OR(AO29="",AO29=0),"",IF(SUMPRODUCT(($B$38:$B$87=AO29)*($R$38:$R$87="Previsto")*($T$37:$AH$37&lt;EOMONTH(TODAY(),-1)+1)*($T$38:$AH$87))=0,"",SUMPRODUCT(($B$38:$B$87=AO29)*($R$38:$R$87="Previsto")*($T$37:$AH$37&lt;EOMONTH(TODAY(),-1)+1)*($T$38:$AH$87))))</f>
        <v/>
      </c>
    </row>
    <row r="30" spans="1:44" ht="29.1" customHeight="1" x14ac:dyDescent="0.3">
      <c r="A30" s="1408"/>
      <c r="B30" s="1466"/>
      <c r="C30" s="1466"/>
      <c r="D30" s="2460"/>
      <c r="E30" s="1466"/>
      <c r="F30" s="2458"/>
      <c r="G30" s="2458"/>
      <c r="H30" s="2456"/>
      <c r="I30" s="1750"/>
      <c r="J30" s="1388"/>
      <c r="K30" s="1396"/>
      <c r="L30" s="2442"/>
      <c r="M30" s="2442"/>
      <c r="N30" s="1353"/>
      <c r="O30" s="1353"/>
      <c r="P30" s="1353"/>
      <c r="Q30" s="1330"/>
      <c r="R30" s="96" t="s">
        <v>117</v>
      </c>
      <c r="S30" s="456">
        <v>0</v>
      </c>
      <c r="T30" s="457"/>
      <c r="U30" s="457"/>
      <c r="V30" s="290"/>
      <c r="W30" s="440">
        <f t="shared" ref="W30" si="23">SUM(T30:V30)</f>
        <v>0</v>
      </c>
      <c r="X30" s="457"/>
      <c r="Y30" s="457"/>
      <c r="Z30" s="290"/>
      <c r="AA30" s="440">
        <f t="shared" ref="AA30" si="24">SUM(X30:Z30)</f>
        <v>0</v>
      </c>
      <c r="AB30" s="457"/>
      <c r="AC30" s="457"/>
      <c r="AD30" s="290"/>
      <c r="AE30" s="440">
        <f t="shared" ref="AE30" si="25">SUM(AB30:AD30)</f>
        <v>0</v>
      </c>
      <c r="AF30" s="457"/>
      <c r="AG30" s="457"/>
      <c r="AH30" s="290"/>
      <c r="AI30" s="440">
        <f t="shared" ref="AI30" si="26">SUM(AF30:AH30)</f>
        <v>0</v>
      </c>
      <c r="AJ30" s="94">
        <f t="shared" ref="AJ30" si="27">SUM(T30:V30,X30:Z30,AB30:AD30,AF30:AH30)</f>
        <v>0</v>
      </c>
      <c r="AK30" s="2463"/>
      <c r="AL30" s="1408"/>
      <c r="AM30" s="1330"/>
      <c r="AN30" s="1404"/>
      <c r="AO30" s="47">
        <f>B29</f>
        <v>0</v>
      </c>
      <c r="AP30" s="47">
        <f>A29</f>
        <v>0</v>
      </c>
      <c r="AQ30" s="62" t="s">
        <v>313</v>
      </c>
      <c r="AR30" s="508" t="str" cm="1">
        <f t="array" aca="1" ref="AR30" ca="1">IF(OR(AO29="",AO29=0),"",IF(SUMPRODUCT(($B$38:$B$87=AO29)*(ISNUMBER(SEARCH("Real",$Q$39:$Q$88)))*($T$37:$AH$37&lt;EOMONTH(TODAY(),-1)+1)*($T$39:$AH$88))=0,"",SUMPRODUCT(($B$38:$B$87=AO29)*(ISNUMBER(SEARCH("Real",$Q$39:$Q$88)))*($T$37:$AH$37&lt;EOMONTH(TODAY(),-1)+1)*($T$39:$AH$88))))</f>
        <v/>
      </c>
    </row>
    <row r="31" spans="1:44" ht="29.1" customHeight="1" x14ac:dyDescent="0.3">
      <c r="A31" s="1380"/>
      <c r="B31" s="2449"/>
      <c r="C31" s="1486"/>
      <c r="D31" s="2453"/>
      <c r="E31" s="1482"/>
      <c r="F31" s="2451"/>
      <c r="G31" s="2451"/>
      <c r="H31" s="1405"/>
      <c r="I31" s="1376"/>
      <c r="J31" s="1389"/>
      <c r="K31" s="1354"/>
      <c r="L31" s="2222"/>
      <c r="M31" s="2222"/>
      <c r="N31" s="1354"/>
      <c r="O31" s="1354"/>
      <c r="P31" s="1354"/>
      <c r="Q31" s="1327" t="s">
        <v>21</v>
      </c>
      <c r="R31" s="91" t="s">
        <v>116</v>
      </c>
      <c r="S31" s="91">
        <v>0</v>
      </c>
      <c r="T31" s="287">
        <f>IFERROR(IF(AND(T$20&gt;=EOMONTH($I31,-1)+1,T$20&lt;=EOMONTH(EOMONTH($I31,-1)+1,$J31-1)),IF(NOT(ISBLANK($M31)),$M31/$J31,$H31/$J31),0),0)</f>
        <v>0</v>
      </c>
      <c r="U31" s="287">
        <f t="shared" si="6"/>
        <v>0</v>
      </c>
      <c r="V31" s="287">
        <f t="shared" si="6"/>
        <v>0</v>
      </c>
      <c r="W31" s="440">
        <f>SUM(T31:V31)</f>
        <v>0</v>
      </c>
      <c r="X31" s="287">
        <f t="shared" si="6"/>
        <v>0</v>
      </c>
      <c r="Y31" s="287">
        <f t="shared" si="6"/>
        <v>0</v>
      </c>
      <c r="Z31" s="287">
        <f t="shared" si="6"/>
        <v>0</v>
      </c>
      <c r="AA31" s="440">
        <f>SUM(X31:Z31)</f>
        <v>0</v>
      </c>
      <c r="AB31" s="287">
        <f t="shared" si="6"/>
        <v>0</v>
      </c>
      <c r="AC31" s="287">
        <f t="shared" si="6"/>
        <v>0</v>
      </c>
      <c r="AD31" s="287">
        <f t="shared" si="6"/>
        <v>0</v>
      </c>
      <c r="AE31" s="440">
        <f>SUM(AB31:AD31)</f>
        <v>0</v>
      </c>
      <c r="AF31" s="287">
        <f t="shared" si="6"/>
        <v>0</v>
      </c>
      <c r="AG31" s="287">
        <f t="shared" si="6"/>
        <v>0</v>
      </c>
      <c r="AH31" s="287">
        <f t="shared" si="6"/>
        <v>0</v>
      </c>
      <c r="AI31" s="440">
        <f>SUM(AF31:AH31)</f>
        <v>0</v>
      </c>
      <c r="AJ31" s="116">
        <f>SUM(T31:V31,X31:Z31,AB31:AD31,AF31:AH31)</f>
        <v>0</v>
      </c>
      <c r="AK31" s="1354"/>
      <c r="AL31" s="1370"/>
      <c r="AM31" s="1411"/>
      <c r="AN31" s="1405">
        <f>L31*AM31</f>
        <v>0</v>
      </c>
      <c r="AO31" s="47">
        <f>B31</f>
        <v>0</v>
      </c>
      <c r="AP31" s="47">
        <f>A31</f>
        <v>0</v>
      </c>
      <c r="AQ31" s="62" t="s">
        <v>311</v>
      </c>
      <c r="AR31" s="508" t="str" cm="1">
        <f t="array" aca="1" ref="AR31" ca="1">IF(OR(AO31="",AO31=0),"",IF(SUMPRODUCT(($B$38:$B$87=AO31)*($R$38:$R$87="Previsto")*($T$37:$AH$37&lt;EOMONTH(TODAY(),-1)+1)*($T$38:$AH$87))=0,"",SUMPRODUCT(($B$38:$B$87=AO31)*($R$38:$R$87="Previsto")*($T$37:$AH$37&lt;EOMONTH(TODAY(),-1)+1)*($T$38:$AH$87))))</f>
        <v/>
      </c>
    </row>
    <row r="32" spans="1:44" ht="29.1" customHeight="1" x14ac:dyDescent="0.3">
      <c r="A32" s="1381"/>
      <c r="B32" s="2450"/>
      <c r="C32" s="1487"/>
      <c r="D32" s="2454"/>
      <c r="E32" s="1483"/>
      <c r="F32" s="2452"/>
      <c r="G32" s="2452"/>
      <c r="H32" s="1406"/>
      <c r="I32" s="1377"/>
      <c r="J32" s="1390"/>
      <c r="K32" s="1355"/>
      <c r="L32" s="2223"/>
      <c r="M32" s="2223"/>
      <c r="N32" s="1355"/>
      <c r="O32" s="1355"/>
      <c r="P32" s="1355"/>
      <c r="Q32" s="1328"/>
      <c r="R32" s="91" t="s">
        <v>117</v>
      </c>
      <c r="S32" s="455">
        <v>0</v>
      </c>
      <c r="T32" s="287"/>
      <c r="U32" s="287"/>
      <c r="V32" s="287"/>
      <c r="W32" s="440">
        <f t="shared" ref="W32" si="28">SUM(T32:V32)</f>
        <v>0</v>
      </c>
      <c r="X32" s="287"/>
      <c r="Y32" s="287"/>
      <c r="Z32" s="287"/>
      <c r="AA32" s="440">
        <f t="shared" ref="AA32" si="29">SUM(X32:Z32)</f>
        <v>0</v>
      </c>
      <c r="AB32" s="287"/>
      <c r="AC32" s="287"/>
      <c r="AD32" s="287"/>
      <c r="AE32" s="440">
        <f t="shared" ref="AE32" si="30">SUM(AB32:AD32)</f>
        <v>0</v>
      </c>
      <c r="AF32" s="287"/>
      <c r="AG32" s="287"/>
      <c r="AH32" s="287"/>
      <c r="AI32" s="440">
        <f t="shared" ref="AI32" si="31">SUM(AF32:AH32)</f>
        <v>0</v>
      </c>
      <c r="AJ32" s="454">
        <f t="shared" ref="AJ32" si="32">SUM(T32:V32,X32:Z32,AB32:AD32,AF32:AH32)</f>
        <v>0</v>
      </c>
      <c r="AK32" s="1355"/>
      <c r="AL32" s="1371"/>
      <c r="AM32" s="1412"/>
      <c r="AN32" s="1406"/>
      <c r="AO32" s="47">
        <f>B31</f>
        <v>0</v>
      </c>
      <c r="AP32" s="47">
        <f>A31</f>
        <v>0</v>
      </c>
      <c r="AQ32" s="62" t="s">
        <v>313</v>
      </c>
      <c r="AR32" s="508" t="str" cm="1">
        <f t="array" aca="1" ref="AR32" ca="1">IF(OR(AO31="",AO31=0),"",IF(SUMPRODUCT(($B$38:$B$87=AO31)*(ISNUMBER(SEARCH("Real",$Q$39:$Q$88)))*($T$37:$AH$37&lt;EOMONTH(TODAY(),-1)+1)*($T$39:$AH$88))=0,"",SUMPRODUCT(($B$38:$B$87=AO31)*(ISNUMBER(SEARCH("Real",$Q$39:$Q$88)))*($T$37:$AH$37&lt;EOMONTH(TODAY(),-1)+1)*($T$39:$AH$88))))</f>
        <v/>
      </c>
    </row>
    <row r="33" spans="1:44" ht="29.1" customHeight="1" x14ac:dyDescent="0.3">
      <c r="A33" s="1407"/>
      <c r="B33" s="1465"/>
      <c r="C33" s="1465"/>
      <c r="D33" s="2459"/>
      <c r="E33" s="1465"/>
      <c r="F33" s="2457"/>
      <c r="G33" s="2457"/>
      <c r="H33" s="2455"/>
      <c r="I33" s="1749"/>
      <c r="J33" s="1387"/>
      <c r="K33" s="1395"/>
      <c r="L33" s="2441"/>
      <c r="M33" s="2441"/>
      <c r="N33" s="1352"/>
      <c r="O33" s="1352"/>
      <c r="P33" s="1352"/>
      <c r="Q33" s="1334" t="s">
        <v>21</v>
      </c>
      <c r="R33" s="96" t="s">
        <v>116</v>
      </c>
      <c r="S33" s="96">
        <v>0</v>
      </c>
      <c r="T33" s="498">
        <f>IFERROR(IF(AND(T$20&gt;=EOMONTH($I33,-1)+1,T$20&lt;=EOMONTH(EOMONTH($I33,-1)+1,$J33-1)),IF(NOT(ISBLANK($M33)),$M33/$J33,$H33/$J33),0),0)</f>
        <v>0</v>
      </c>
      <c r="U33" s="498">
        <f t="shared" si="6"/>
        <v>0</v>
      </c>
      <c r="V33" s="498">
        <f t="shared" si="6"/>
        <v>0</v>
      </c>
      <c r="W33" s="440">
        <f>SUM(T33:V33)</f>
        <v>0</v>
      </c>
      <c r="X33" s="498">
        <f t="shared" si="6"/>
        <v>0</v>
      </c>
      <c r="Y33" s="498">
        <f t="shared" si="6"/>
        <v>0</v>
      </c>
      <c r="Z33" s="498">
        <f t="shared" si="6"/>
        <v>0</v>
      </c>
      <c r="AA33" s="440">
        <f>SUM(X33:Z33)</f>
        <v>0</v>
      </c>
      <c r="AB33" s="498">
        <f t="shared" si="6"/>
        <v>0</v>
      </c>
      <c r="AC33" s="498">
        <f t="shared" si="6"/>
        <v>0</v>
      </c>
      <c r="AD33" s="498">
        <f t="shared" si="6"/>
        <v>0</v>
      </c>
      <c r="AE33" s="440">
        <f>SUM(AB33:AD33)</f>
        <v>0</v>
      </c>
      <c r="AF33" s="498">
        <f t="shared" si="6"/>
        <v>0</v>
      </c>
      <c r="AG33" s="498">
        <f t="shared" si="6"/>
        <v>0</v>
      </c>
      <c r="AH33" s="498">
        <f t="shared" si="6"/>
        <v>0</v>
      </c>
      <c r="AI33" s="440">
        <f>SUM(AF33:AH33)</f>
        <v>0</v>
      </c>
      <c r="AJ33" s="1020">
        <f>SUM(T33:V33,X33:Z33,AB33:AD33,AF33:AH33)</f>
        <v>0</v>
      </c>
      <c r="AK33" s="2462"/>
      <c r="AL33" s="1407"/>
      <c r="AM33" s="1334"/>
      <c r="AN33" s="1403">
        <f>L33*AM33</f>
        <v>0</v>
      </c>
      <c r="AO33" s="47">
        <f>B33</f>
        <v>0</v>
      </c>
      <c r="AP33" s="47">
        <f>A33</f>
        <v>0</v>
      </c>
      <c r="AQ33" s="62" t="s">
        <v>311</v>
      </c>
      <c r="AR33" s="508" t="str" cm="1">
        <f t="array" aca="1" ref="AR33" ca="1">IF(OR(AO33="",AO33=0),"",IF(SUMPRODUCT(($B$38:$B$87=AO33)*($R$38:$R$87="Previsto")*($T$37:$AH$37&lt;EOMONTH(TODAY(),-1)+1)*($T$38:$AH$87))=0,"",SUMPRODUCT(($B$38:$B$87=AO33)*($R$38:$R$87="Previsto")*($T$37:$AH$37&lt;EOMONTH(TODAY(),-1)+1)*($T$38:$AH$87))))</f>
        <v/>
      </c>
    </row>
    <row r="34" spans="1:44" ht="29.1" customHeight="1" x14ac:dyDescent="0.3">
      <c r="A34" s="1408"/>
      <c r="B34" s="1466"/>
      <c r="C34" s="1466"/>
      <c r="D34" s="2460"/>
      <c r="E34" s="1466"/>
      <c r="F34" s="2458"/>
      <c r="G34" s="2458"/>
      <c r="H34" s="2456"/>
      <c r="I34" s="1750"/>
      <c r="J34" s="1388"/>
      <c r="K34" s="1396"/>
      <c r="L34" s="2442"/>
      <c r="M34" s="2442"/>
      <c r="N34" s="1353"/>
      <c r="O34" s="1353"/>
      <c r="P34" s="1353"/>
      <c r="Q34" s="1330"/>
      <c r="R34" s="96" t="s">
        <v>117</v>
      </c>
      <c r="S34" s="456">
        <v>0</v>
      </c>
      <c r="T34" s="457"/>
      <c r="U34" s="457"/>
      <c r="V34" s="290"/>
      <c r="W34" s="440">
        <f t="shared" ref="W34" si="33">SUM(T34:V34)</f>
        <v>0</v>
      </c>
      <c r="X34" s="457"/>
      <c r="Y34" s="457"/>
      <c r="Z34" s="290"/>
      <c r="AA34" s="440">
        <f t="shared" ref="AA34" si="34">SUM(X34:Z34)</f>
        <v>0</v>
      </c>
      <c r="AB34" s="457"/>
      <c r="AC34" s="457"/>
      <c r="AD34" s="290"/>
      <c r="AE34" s="440">
        <f t="shared" ref="AE34" si="35">SUM(AB34:AD34)</f>
        <v>0</v>
      </c>
      <c r="AF34" s="457"/>
      <c r="AG34" s="457"/>
      <c r="AH34" s="290"/>
      <c r="AI34" s="440">
        <f t="shared" ref="AI34" si="36">SUM(AF34:AH34)</f>
        <v>0</v>
      </c>
      <c r="AJ34" s="94">
        <f t="shared" ref="AJ34" si="37">SUM(T34:V34,X34:Z34,AB34:AD34,AF34:AH34)</f>
        <v>0</v>
      </c>
      <c r="AK34" s="2463"/>
      <c r="AL34" s="1408"/>
      <c r="AM34" s="1330"/>
      <c r="AN34" s="1404"/>
      <c r="AO34" s="47">
        <f>B33</f>
        <v>0</v>
      </c>
      <c r="AP34" s="47">
        <f>A33</f>
        <v>0</v>
      </c>
      <c r="AQ34" s="62" t="s">
        <v>313</v>
      </c>
      <c r="AR34" s="508" t="str" cm="1">
        <f t="array" aca="1" ref="AR34" ca="1">IF(OR(AO33="",AO33=0),"",IF(SUMPRODUCT(($B$38:$B$87=AO33)*(ISNUMBER(SEARCH("Real",$Q$39:$Q$88)))*($T$37:$AH$37&lt;EOMONTH(TODAY(),-1)+1)*($T$39:$AH$88))=0,"",SUMPRODUCT(($B$38:$B$87=AO33)*(ISNUMBER(SEARCH("Real",$Q$39:$Q$88)))*($T$37:$AH$37&lt;EOMONTH(TODAY(),-1)+1)*($T$39:$AH$88))))</f>
        <v/>
      </c>
    </row>
    <row r="35" spans="1:44" ht="29.1" customHeight="1" x14ac:dyDescent="0.3">
      <c r="A35" s="1380"/>
      <c r="B35" s="2447"/>
      <c r="C35" s="1482"/>
      <c r="D35" s="1368"/>
      <c r="E35" s="1370"/>
      <c r="F35" s="1372"/>
      <c r="G35" s="1372"/>
      <c r="H35" s="1405"/>
      <c r="I35" s="1376"/>
      <c r="J35" s="1389" t="str">
        <f t="shared" ref="J35" si="38">IF(I35="", "", 12 - MONTH(I35) + 1)</f>
        <v/>
      </c>
      <c r="K35" s="1354"/>
      <c r="L35" s="1861"/>
      <c r="M35" s="1861"/>
      <c r="N35" s="1354"/>
      <c r="O35" s="1354"/>
      <c r="P35" s="1354"/>
      <c r="Q35" s="1327" t="s">
        <v>25</v>
      </c>
      <c r="R35" s="91" t="s">
        <v>116</v>
      </c>
      <c r="S35" s="91">
        <v>0</v>
      </c>
      <c r="T35" s="287">
        <f>IFERROR(IF(AND(T$20&gt;=EOMONTH($I35,-1)+1,T$20&lt;=EOMONTH(EOMONTH($I35,-1)+1,$J35-1)),IF(NOT(ISBLANK($M35)),$M35/$J35,$H35/$J35),0),0)</f>
        <v>0</v>
      </c>
      <c r="U35" s="287">
        <f t="shared" si="6"/>
        <v>0</v>
      </c>
      <c r="V35" s="287">
        <f t="shared" si="6"/>
        <v>0</v>
      </c>
      <c r="W35" s="440">
        <f>SUM(T35:V35)</f>
        <v>0</v>
      </c>
      <c r="X35" s="287">
        <f t="shared" si="6"/>
        <v>0</v>
      </c>
      <c r="Y35" s="287">
        <f t="shared" si="6"/>
        <v>0</v>
      </c>
      <c r="Z35" s="287">
        <f t="shared" si="6"/>
        <v>0</v>
      </c>
      <c r="AA35" s="440">
        <f>SUM(X35:Z35)</f>
        <v>0</v>
      </c>
      <c r="AB35" s="287">
        <f t="shared" si="6"/>
        <v>0</v>
      </c>
      <c r="AC35" s="287">
        <f t="shared" si="6"/>
        <v>0</v>
      </c>
      <c r="AD35" s="287">
        <f t="shared" si="6"/>
        <v>0</v>
      </c>
      <c r="AE35" s="440">
        <f>SUM(AB35:AD35)</f>
        <v>0</v>
      </c>
      <c r="AF35" s="287">
        <f t="shared" si="6"/>
        <v>0</v>
      </c>
      <c r="AG35" s="287">
        <f t="shared" si="6"/>
        <v>0</v>
      </c>
      <c r="AH35" s="287">
        <f t="shared" si="6"/>
        <v>0</v>
      </c>
      <c r="AI35" s="440">
        <f>SUM(AF35:AH35)</f>
        <v>0</v>
      </c>
      <c r="AJ35" s="116">
        <f>SUM(T35:V35,X35:Z35,AB35:AD35,AF35:AH35)</f>
        <v>0</v>
      </c>
      <c r="AK35" s="1354"/>
      <c r="AL35" s="1370"/>
      <c r="AM35" s="1411"/>
      <c r="AN35" s="1405">
        <f>L35*AM35</f>
        <v>0</v>
      </c>
      <c r="AO35" s="47">
        <f>B35</f>
        <v>0</v>
      </c>
      <c r="AP35" s="47">
        <f>A35</f>
        <v>0</v>
      </c>
      <c r="AQ35" s="62" t="s">
        <v>311</v>
      </c>
      <c r="AR35" s="508" t="str" cm="1">
        <f t="array" aca="1" ref="AR35" ca="1">IF(OR(AO35="",AO35=0),"",IF(SUMPRODUCT(($B$38:$B$87=AO35)*($R$38:$R$87="Previsto")*($T$37:$AH$37&lt;EOMONTH(TODAY(),-1)+1)*($T$38:$AH$87))=0,"",SUMPRODUCT(($B$38:$B$87=AO35)*($R$38:$R$87="Previsto")*($T$37:$AH$37&lt;EOMONTH(TODAY(),-1)+1)*($T$38:$AH$87))))</f>
        <v/>
      </c>
    </row>
    <row r="36" spans="1:44" ht="29.1" customHeight="1" x14ac:dyDescent="0.3">
      <c r="A36" s="1381"/>
      <c r="B36" s="2448"/>
      <c r="C36" s="1483"/>
      <c r="D36" s="1369"/>
      <c r="E36" s="1371"/>
      <c r="F36" s="1373"/>
      <c r="G36" s="1373"/>
      <c r="H36" s="1406"/>
      <c r="I36" s="1377"/>
      <c r="J36" s="1390"/>
      <c r="K36" s="1355"/>
      <c r="L36" s="1392"/>
      <c r="M36" s="1392"/>
      <c r="N36" s="1355"/>
      <c r="O36" s="1355"/>
      <c r="P36" s="1355"/>
      <c r="Q36" s="1328"/>
      <c r="R36" s="91" t="s">
        <v>117</v>
      </c>
      <c r="S36" s="455">
        <v>0</v>
      </c>
      <c r="T36" s="287"/>
      <c r="U36" s="287"/>
      <c r="V36" s="287"/>
      <c r="W36" s="440">
        <f t="shared" ref="W36" si="39">SUM(T36:V36)</f>
        <v>0</v>
      </c>
      <c r="X36" s="287"/>
      <c r="Y36" s="287"/>
      <c r="Z36" s="287"/>
      <c r="AA36" s="440">
        <f t="shared" ref="AA36" si="40">SUM(X36:Z36)</f>
        <v>0</v>
      </c>
      <c r="AB36" s="287"/>
      <c r="AC36" s="287"/>
      <c r="AD36" s="287"/>
      <c r="AE36" s="440">
        <f t="shared" ref="AE36" si="41">SUM(AB36:AD36)</f>
        <v>0</v>
      </c>
      <c r="AF36" s="287"/>
      <c r="AG36" s="287"/>
      <c r="AH36" s="287"/>
      <c r="AI36" s="440">
        <f t="shared" ref="AI36" si="42">SUM(AF36:AH36)</f>
        <v>0</v>
      </c>
      <c r="AJ36" s="454">
        <f t="shared" ref="AJ36" si="43">SUM(T36:V36,X36:Z36,AB36:AD36,AF36:AH36)</f>
        <v>0</v>
      </c>
      <c r="AK36" s="1355"/>
      <c r="AL36" s="1371"/>
      <c r="AM36" s="1412"/>
      <c r="AN36" s="1406"/>
      <c r="AO36" s="47">
        <f>B35</f>
        <v>0</v>
      </c>
      <c r="AP36" s="47">
        <f>A35</f>
        <v>0</v>
      </c>
      <c r="AQ36" s="62" t="s">
        <v>313</v>
      </c>
      <c r="AR36" s="508" t="str" cm="1">
        <f t="array" aca="1" ref="AR36" ca="1">IF(OR(AO35="",AO35=0),"",IF(SUMPRODUCT(($B$38:$B$87=AO35)*(ISNUMBER(SEARCH("Real",$Q$39:$Q$88)))*($T$37:$AH$37&lt;EOMONTH(TODAY(),-1)+1)*($T$39:$AH$88))=0,"",SUMPRODUCT(($B$38:$B$87=AO35)*(ISNUMBER(SEARCH("Real",$Q$39:$Q$88)))*($T$37:$AH$37&lt;EOMONTH(TODAY(),-1)+1)*($T$39:$AH$88))))</f>
        <v/>
      </c>
    </row>
    <row r="37" spans="1:44" ht="29.1" customHeight="1" x14ac:dyDescent="0.3">
      <c r="A37" s="1407"/>
      <c r="B37" s="1465"/>
      <c r="C37" s="1465"/>
      <c r="D37" s="1449"/>
      <c r="E37" s="1451"/>
      <c r="F37" s="1366"/>
      <c r="G37" s="1366"/>
      <c r="H37" s="1488"/>
      <c r="I37" s="1749"/>
      <c r="J37" s="1387" t="str">
        <f t="shared" ref="J37" si="44">IF(I37="", "", 12 - MONTH(I37) + 1)</f>
        <v/>
      </c>
      <c r="K37" s="1395"/>
      <c r="L37" s="1393"/>
      <c r="M37" s="2155"/>
      <c r="N37" s="1352"/>
      <c r="O37" s="1352"/>
      <c r="P37" s="1352"/>
      <c r="Q37" s="1334"/>
      <c r="R37" s="96" t="s">
        <v>116</v>
      </c>
      <c r="S37" s="96">
        <v>0</v>
      </c>
      <c r="T37" s="498">
        <f>IFERROR(IF(AND(T$20&gt;=EOMONTH($I37,-1)+1,T$20&lt;=EOMONTH(EOMONTH($I37,-1)+1,$J37-1)),IF(NOT(ISBLANK($M37)),$M37/$J37,$H37/$J37),0),0)</f>
        <v>0</v>
      </c>
      <c r="U37" s="498">
        <f t="shared" si="6"/>
        <v>0</v>
      </c>
      <c r="V37" s="498">
        <f t="shared" si="6"/>
        <v>0</v>
      </c>
      <c r="W37" s="440">
        <f>SUM(T37:V37)</f>
        <v>0</v>
      </c>
      <c r="X37" s="498">
        <f t="shared" si="6"/>
        <v>0</v>
      </c>
      <c r="Y37" s="498">
        <f t="shared" si="6"/>
        <v>0</v>
      </c>
      <c r="Z37" s="498">
        <f t="shared" si="6"/>
        <v>0</v>
      </c>
      <c r="AA37" s="440">
        <f>SUM(X37:Z37)</f>
        <v>0</v>
      </c>
      <c r="AB37" s="498">
        <f t="shared" si="6"/>
        <v>0</v>
      </c>
      <c r="AC37" s="498">
        <f t="shared" si="6"/>
        <v>0</v>
      </c>
      <c r="AD37" s="498">
        <f t="shared" si="6"/>
        <v>0</v>
      </c>
      <c r="AE37" s="440">
        <f>SUM(AB37:AD37)</f>
        <v>0</v>
      </c>
      <c r="AF37" s="498">
        <f t="shared" si="6"/>
        <v>0</v>
      </c>
      <c r="AG37" s="498">
        <f t="shared" si="6"/>
        <v>0</v>
      </c>
      <c r="AH37" s="498">
        <f t="shared" si="6"/>
        <v>0</v>
      </c>
      <c r="AI37" s="440">
        <f>SUM(AF37:AH37)</f>
        <v>0</v>
      </c>
      <c r="AJ37" s="1020">
        <f>SUM(T37:V37,X37:Z37,AB37:AD37,AF37:AH37)</f>
        <v>0</v>
      </c>
      <c r="AK37" s="2462"/>
      <c r="AL37" s="1407"/>
      <c r="AM37" s="1334"/>
      <c r="AN37" s="1403">
        <f>L37*AM37</f>
        <v>0</v>
      </c>
      <c r="AO37" s="47">
        <f>B37</f>
        <v>0</v>
      </c>
      <c r="AP37" s="47">
        <f>A37</f>
        <v>0</v>
      </c>
      <c r="AQ37" s="62" t="s">
        <v>311</v>
      </c>
      <c r="AR37" s="508" t="str" cm="1">
        <f t="array" aca="1" ref="AR37" ca="1">IF(OR(AO37="",AO37=0),"",IF(SUMPRODUCT(($B$38:$B$87=AO37)*($R$38:$R$87="Previsto")*($T$37:$AH$37&lt;EOMONTH(TODAY(),-1)+1)*($T$38:$AH$87))=0,"",SUMPRODUCT(($B$38:$B$87=AO37)*($R$38:$R$87="Previsto")*($T$37:$AH$37&lt;EOMONTH(TODAY(),-1)+1)*($T$38:$AH$87))))</f>
        <v/>
      </c>
    </row>
    <row r="38" spans="1:44" ht="29.1" customHeight="1" x14ac:dyDescent="0.3">
      <c r="A38" s="1408"/>
      <c r="B38" s="1466"/>
      <c r="C38" s="1466"/>
      <c r="D38" s="1450"/>
      <c r="E38" s="1452"/>
      <c r="F38" s="1513"/>
      <c r="G38" s="1513"/>
      <c r="H38" s="1367"/>
      <c r="I38" s="1750"/>
      <c r="J38" s="1388"/>
      <c r="K38" s="1396"/>
      <c r="L38" s="1394"/>
      <c r="M38" s="2156"/>
      <c r="N38" s="1353"/>
      <c r="O38" s="1353"/>
      <c r="P38" s="1353"/>
      <c r="Q38" s="1330"/>
      <c r="R38" s="96" t="s">
        <v>117</v>
      </c>
      <c r="S38" s="456">
        <v>0</v>
      </c>
      <c r="T38" s="457"/>
      <c r="U38" s="457"/>
      <c r="V38" s="290"/>
      <c r="W38" s="440">
        <f t="shared" ref="W38" si="45">SUM(T38:V38)</f>
        <v>0</v>
      </c>
      <c r="X38" s="457"/>
      <c r="Y38" s="457"/>
      <c r="Z38" s="290"/>
      <c r="AA38" s="440">
        <f t="shared" ref="AA38" si="46">SUM(X38:Z38)</f>
        <v>0</v>
      </c>
      <c r="AB38" s="457"/>
      <c r="AC38" s="457"/>
      <c r="AD38" s="290"/>
      <c r="AE38" s="440">
        <f t="shared" ref="AE38" si="47">SUM(AB38:AD38)</f>
        <v>0</v>
      </c>
      <c r="AF38" s="457"/>
      <c r="AG38" s="457"/>
      <c r="AH38" s="290"/>
      <c r="AI38" s="440">
        <f t="shared" ref="AI38" si="48">SUM(AF38:AH38)</f>
        <v>0</v>
      </c>
      <c r="AJ38" s="94">
        <f t="shared" ref="AJ38" si="49">SUM(T38:V38,X38:Z38,AB38:AD38,AF38:AH38)</f>
        <v>0</v>
      </c>
      <c r="AK38" s="2463"/>
      <c r="AL38" s="1408"/>
      <c r="AM38" s="1330"/>
      <c r="AN38" s="1404"/>
      <c r="AO38" s="47">
        <f>B37</f>
        <v>0</v>
      </c>
      <c r="AP38" s="47">
        <f>A37</f>
        <v>0</v>
      </c>
      <c r="AQ38" s="62" t="s">
        <v>313</v>
      </c>
      <c r="AR38" s="508" t="str" cm="1">
        <f t="array" aca="1" ref="AR38" ca="1">IF(OR(AO37="",AO37=0),"",IF(SUMPRODUCT(($B$38:$B$87=AO37)*(ISNUMBER(SEARCH("Real",$Q$39:$Q$88)))*($T$37:$AH$37&lt;EOMONTH(TODAY(),-1)+1)*($T$39:$AH$88))=0,"",SUMPRODUCT(($B$38:$B$87=AO37)*(ISNUMBER(SEARCH("Real",$Q$39:$Q$88)))*($T$37:$AH$37&lt;EOMONTH(TODAY(),-1)+1)*($T$39:$AH$88))))</f>
        <v/>
      </c>
    </row>
    <row r="39" spans="1:44" ht="29.1" customHeight="1" x14ac:dyDescent="0.3">
      <c r="A39" s="1380"/>
      <c r="B39" s="1482"/>
      <c r="C39" s="1482"/>
      <c r="D39" s="1368"/>
      <c r="E39" s="1370"/>
      <c r="F39" s="1372"/>
      <c r="G39" s="1372"/>
      <c r="H39" s="1405"/>
      <c r="I39" s="1376"/>
      <c r="J39" s="1389" t="str">
        <f t="shared" ref="J39" si="50">IF(I39="", "", 12 - MONTH(I39) + 1)</f>
        <v/>
      </c>
      <c r="K39" s="1354"/>
      <c r="L39" s="1861"/>
      <c r="M39" s="1861"/>
      <c r="N39" s="1350"/>
      <c r="O39" s="1354"/>
      <c r="P39" s="1354"/>
      <c r="Q39" s="1327"/>
      <c r="R39" s="91" t="s">
        <v>116</v>
      </c>
      <c r="S39" s="91">
        <v>0</v>
      </c>
      <c r="T39" s="287">
        <f>IFERROR(IF(AND(T$20&gt;=EOMONTH($I39,-1)+1,T$20&lt;=EOMONTH(EOMONTH($I39,-1)+1,$J39-1)),IF(NOT(ISBLANK($M39)),$M39/$J39,$H39/$J39),0),0)</f>
        <v>0</v>
      </c>
      <c r="U39" s="287">
        <f t="shared" ref="U39:AH39" si="51">IFERROR(IF(AND(U$20&gt;=EOMONTH($I39,-1)+1,U$20&lt;=EOMONTH(EOMONTH($I39,-1)+1,$J39-1)),IF(NOT(ISBLANK($M39)),$M39/$J39,$H39/$J39),0),0)</f>
        <v>0</v>
      </c>
      <c r="V39" s="287">
        <f t="shared" si="51"/>
        <v>0</v>
      </c>
      <c r="W39" s="440">
        <f>SUM(T39:V39)</f>
        <v>0</v>
      </c>
      <c r="X39" s="287">
        <f t="shared" si="51"/>
        <v>0</v>
      </c>
      <c r="Y39" s="287">
        <f t="shared" si="51"/>
        <v>0</v>
      </c>
      <c r="Z39" s="287">
        <f t="shared" si="51"/>
        <v>0</v>
      </c>
      <c r="AA39" s="440">
        <f>SUM(X39:Z39)</f>
        <v>0</v>
      </c>
      <c r="AB39" s="287">
        <f t="shared" si="51"/>
        <v>0</v>
      </c>
      <c r="AC39" s="287">
        <f t="shared" si="51"/>
        <v>0</v>
      </c>
      <c r="AD39" s="287">
        <f t="shared" si="51"/>
        <v>0</v>
      </c>
      <c r="AE39" s="440">
        <f>SUM(AB39:AD39)</f>
        <v>0</v>
      </c>
      <c r="AF39" s="287">
        <f t="shared" si="51"/>
        <v>0</v>
      </c>
      <c r="AG39" s="287">
        <f t="shared" si="51"/>
        <v>0</v>
      </c>
      <c r="AH39" s="287">
        <f t="shared" si="51"/>
        <v>0</v>
      </c>
      <c r="AI39" s="440">
        <f>SUM(AF39:AH39)</f>
        <v>0</v>
      </c>
      <c r="AJ39" s="116">
        <f>SUM(T39:V39,X39:Z39,AB39:AD39,AF39:AH39)</f>
        <v>0</v>
      </c>
      <c r="AK39" s="1354"/>
      <c r="AL39" s="1370"/>
      <c r="AM39" s="1411"/>
      <c r="AN39" s="1405">
        <f>L39*AM39</f>
        <v>0</v>
      </c>
      <c r="AO39" s="47">
        <f>B39</f>
        <v>0</v>
      </c>
      <c r="AP39" s="47">
        <f>A39</f>
        <v>0</v>
      </c>
      <c r="AQ39" s="62" t="s">
        <v>311</v>
      </c>
      <c r="AR39" s="508" t="str" cm="1">
        <f t="array" aca="1" ref="AR39" ca="1">IF(OR(AO39="",AO39=0),"",IF(SUMPRODUCT(($B$38:$B$87=AO39)*($R$38:$R$87="Previsto")*($T$37:$AH$37&lt;EOMONTH(TODAY(),-1)+1)*($T$38:$AH$87))=0,"",SUMPRODUCT(($B$38:$B$87=AO39)*($R$38:$R$87="Previsto")*($T$37:$AH$37&lt;EOMONTH(TODAY(),-1)+1)*($T$38:$AH$87))))</f>
        <v/>
      </c>
    </row>
    <row r="40" spans="1:44" ht="29.1" customHeight="1" x14ac:dyDescent="0.3">
      <c r="A40" s="1381"/>
      <c r="B40" s="1483"/>
      <c r="C40" s="1483"/>
      <c r="D40" s="1369"/>
      <c r="E40" s="1371"/>
      <c r="F40" s="1373"/>
      <c r="G40" s="1373"/>
      <c r="H40" s="1406"/>
      <c r="I40" s="1377"/>
      <c r="J40" s="1390"/>
      <c r="K40" s="1355"/>
      <c r="L40" s="1392"/>
      <c r="M40" s="1392"/>
      <c r="N40" s="1460"/>
      <c r="O40" s="1355"/>
      <c r="P40" s="1355"/>
      <c r="Q40" s="1328"/>
      <c r="R40" s="91" t="s">
        <v>117</v>
      </c>
      <c r="S40" s="455">
        <v>0</v>
      </c>
      <c r="T40" s="287"/>
      <c r="U40" s="287"/>
      <c r="V40" s="287"/>
      <c r="W40" s="440">
        <f t="shared" ref="W40" si="52">SUM(T40:V40)</f>
        <v>0</v>
      </c>
      <c r="X40" s="287"/>
      <c r="Y40" s="287"/>
      <c r="Z40" s="287"/>
      <c r="AA40" s="440">
        <f t="shared" ref="AA40" si="53">SUM(X40:Z40)</f>
        <v>0</v>
      </c>
      <c r="AB40" s="287"/>
      <c r="AC40" s="287"/>
      <c r="AD40" s="287"/>
      <c r="AE40" s="440">
        <f t="shared" ref="AE40" si="54">SUM(AB40:AD40)</f>
        <v>0</v>
      </c>
      <c r="AF40" s="287"/>
      <c r="AG40" s="287"/>
      <c r="AH40" s="287"/>
      <c r="AI40" s="440">
        <f t="shared" ref="AI40" si="55">SUM(AF40:AH40)</f>
        <v>0</v>
      </c>
      <c r="AJ40" s="454">
        <f t="shared" ref="AJ40" si="56">SUM(T40:V40,X40:Z40,AB40:AD40,AF40:AH40)</f>
        <v>0</v>
      </c>
      <c r="AK40" s="1355"/>
      <c r="AL40" s="1371"/>
      <c r="AM40" s="1412"/>
      <c r="AN40" s="1406"/>
      <c r="AO40" s="47">
        <f>B39</f>
        <v>0</v>
      </c>
      <c r="AP40" s="47">
        <f>A39</f>
        <v>0</v>
      </c>
      <c r="AQ40" s="62" t="s">
        <v>313</v>
      </c>
      <c r="AR40" s="508" t="str" cm="1">
        <f t="array" aca="1" ref="AR40" ca="1">IF(OR(AO39="",AO39=0),"",IF(SUMPRODUCT(($B$38:$B$87=AO39)*(ISNUMBER(SEARCH("Real",$Q$39:$Q$88)))*($T$37:$AH$37&lt;EOMONTH(TODAY(),-1)+1)*($T$39:$AH$88))=0,"",SUMPRODUCT(($B$38:$B$87=AO39)*(ISNUMBER(SEARCH("Real",$Q$39:$Q$88)))*($T$37:$AH$37&lt;EOMONTH(TODAY(),-1)+1)*($T$39:$AH$88))))</f>
        <v/>
      </c>
    </row>
    <row r="41" spans="1:44" ht="29.1" customHeight="1" x14ac:dyDescent="0.3">
      <c r="A41" s="1407"/>
      <c r="B41" s="1465"/>
      <c r="C41" s="1465"/>
      <c r="D41" s="1449"/>
      <c r="E41" s="1449"/>
      <c r="F41" s="1366"/>
      <c r="G41" s="1366"/>
      <c r="H41" s="1488"/>
      <c r="I41" s="1749"/>
      <c r="J41" s="1387" t="str">
        <f t="shared" ref="J41" si="57">IF(I41="", "", 12 - MONTH(I41) + 1)</f>
        <v/>
      </c>
      <c r="K41" s="1395"/>
      <c r="L41" s="1393"/>
      <c r="M41" s="2155"/>
      <c r="N41" s="1352"/>
      <c r="O41" s="1352"/>
      <c r="P41" s="1352"/>
      <c r="Q41" s="1334"/>
      <c r="R41" s="96" t="s">
        <v>116</v>
      </c>
      <c r="S41" s="96">
        <v>0</v>
      </c>
      <c r="T41" s="498">
        <f>IFERROR(IF(AND(T$20&gt;=EOMONTH($I41,-1)+1,T$20&lt;=EOMONTH(EOMONTH($I41,-1)+1,$J41-1)),IF(NOT(ISBLANK($M41)),$M41/$J41,$H41/$J41),0),0)</f>
        <v>0</v>
      </c>
      <c r="U41" s="498">
        <f t="shared" ref="U41:AH43" si="58">IFERROR(IF(AND(U$20&gt;=EOMONTH($I41,-1)+1,U$20&lt;=EOMONTH(EOMONTH($I41,-1)+1,$J41-1)),IF(NOT(ISBLANK($M41)),$M41/$J41,$H41/$J41),0),0)</f>
        <v>0</v>
      </c>
      <c r="V41" s="498">
        <f t="shared" si="58"/>
        <v>0</v>
      </c>
      <c r="W41" s="440">
        <f>SUM(T41:V41)</f>
        <v>0</v>
      </c>
      <c r="X41" s="498">
        <f t="shared" si="58"/>
        <v>0</v>
      </c>
      <c r="Y41" s="498">
        <f t="shared" si="58"/>
        <v>0</v>
      </c>
      <c r="Z41" s="498">
        <f t="shared" si="58"/>
        <v>0</v>
      </c>
      <c r="AA41" s="440">
        <f>SUM(X41:Z41)</f>
        <v>0</v>
      </c>
      <c r="AB41" s="498">
        <f t="shared" si="58"/>
        <v>0</v>
      </c>
      <c r="AC41" s="498">
        <f t="shared" si="58"/>
        <v>0</v>
      </c>
      <c r="AD41" s="498">
        <f t="shared" si="58"/>
        <v>0</v>
      </c>
      <c r="AE41" s="440">
        <f>SUM(AB41:AD41)</f>
        <v>0</v>
      </c>
      <c r="AF41" s="498">
        <f t="shared" si="58"/>
        <v>0</v>
      </c>
      <c r="AG41" s="498">
        <f t="shared" si="58"/>
        <v>0</v>
      </c>
      <c r="AH41" s="498">
        <f t="shared" si="58"/>
        <v>0</v>
      </c>
      <c r="AI41" s="440">
        <f>SUM(AF41:AH41)</f>
        <v>0</v>
      </c>
      <c r="AJ41" s="1020">
        <f>SUM(T41:V41,X41:Z41,AB41:AD41,AF41:AH41)</f>
        <v>0</v>
      </c>
      <c r="AK41" s="2462"/>
      <c r="AL41" s="1407"/>
      <c r="AM41" s="1334"/>
      <c r="AN41" s="1403">
        <f>L41*AM41</f>
        <v>0</v>
      </c>
      <c r="AO41" s="47">
        <f>B41</f>
        <v>0</v>
      </c>
      <c r="AP41" s="47">
        <f>A41</f>
        <v>0</v>
      </c>
      <c r="AQ41" s="62" t="s">
        <v>311</v>
      </c>
      <c r="AR41" s="508" t="str" cm="1">
        <f t="array" aca="1" ref="AR41" ca="1">IF(OR(AO41="",AO41=0),"",IF(SUMPRODUCT(($B$38:$B$87=AO41)*($R$38:$R$87="Previsto")*($T$37:$AH$37&lt;EOMONTH(TODAY(),-1)+1)*($T$38:$AH$87))=0,"",SUMPRODUCT(($B$38:$B$87=AO41)*($R$38:$R$87="Previsto")*($T$37:$AH$37&lt;EOMONTH(TODAY(),-1)+1)*($T$38:$AH$87))))</f>
        <v/>
      </c>
    </row>
    <row r="42" spans="1:44" ht="29.1" customHeight="1" x14ac:dyDescent="0.3">
      <c r="A42" s="1408"/>
      <c r="B42" s="1466"/>
      <c r="C42" s="1466"/>
      <c r="D42" s="1450"/>
      <c r="E42" s="1450"/>
      <c r="F42" s="1513"/>
      <c r="G42" s="1513"/>
      <c r="H42" s="1367"/>
      <c r="I42" s="1750"/>
      <c r="J42" s="1388"/>
      <c r="K42" s="1396"/>
      <c r="L42" s="1394"/>
      <c r="M42" s="2156"/>
      <c r="N42" s="1353"/>
      <c r="O42" s="1353"/>
      <c r="P42" s="1353"/>
      <c r="Q42" s="1330"/>
      <c r="R42" s="96" t="s">
        <v>117</v>
      </c>
      <c r="S42" s="456">
        <v>0</v>
      </c>
      <c r="T42" s="457"/>
      <c r="U42" s="457"/>
      <c r="V42" s="290"/>
      <c r="W42" s="440">
        <f t="shared" ref="W42" si="59">SUM(T42:V42)</f>
        <v>0</v>
      </c>
      <c r="X42" s="457"/>
      <c r="Y42" s="457"/>
      <c r="Z42" s="290"/>
      <c r="AA42" s="440">
        <f t="shared" ref="AA42" si="60">SUM(X42:Z42)</f>
        <v>0</v>
      </c>
      <c r="AB42" s="457"/>
      <c r="AC42" s="457"/>
      <c r="AD42" s="290"/>
      <c r="AE42" s="440">
        <f t="shared" ref="AE42" si="61">SUM(AB42:AD42)</f>
        <v>0</v>
      </c>
      <c r="AF42" s="457"/>
      <c r="AG42" s="457"/>
      <c r="AH42" s="290"/>
      <c r="AI42" s="440">
        <f t="shared" ref="AI42" si="62">SUM(AF42:AH42)</f>
        <v>0</v>
      </c>
      <c r="AJ42" s="94">
        <f t="shared" ref="AJ42" si="63">SUM(T42:V42,X42:Z42,AB42:AD42,AF42:AH42)</f>
        <v>0</v>
      </c>
      <c r="AK42" s="2463"/>
      <c r="AL42" s="1408"/>
      <c r="AM42" s="1330"/>
      <c r="AN42" s="1404"/>
      <c r="AO42" s="47">
        <f>B41</f>
        <v>0</v>
      </c>
      <c r="AP42" s="47">
        <f>A41</f>
        <v>0</v>
      </c>
      <c r="AQ42" s="62" t="s">
        <v>313</v>
      </c>
      <c r="AR42" s="508" t="str" cm="1">
        <f t="array" aca="1" ref="AR42" ca="1">IF(OR(AO41="",AO41=0),"",IF(SUMPRODUCT(($B$38:$B$87=AO41)*(ISNUMBER(SEARCH("Real",$Q$39:$Q$88)))*($T$37:$AH$37&lt;EOMONTH(TODAY(),-1)+1)*($T$39:$AH$88))=0,"",SUMPRODUCT(($B$38:$B$87=AO41)*(ISNUMBER(SEARCH("Real",$Q$39:$Q$88)))*($T$37:$AH$37&lt;EOMONTH(TODAY(),-1)+1)*($T$39:$AH$88))))</f>
        <v/>
      </c>
    </row>
    <row r="43" spans="1:44" ht="29.1" customHeight="1" x14ac:dyDescent="0.3">
      <c r="A43" s="1380"/>
      <c r="B43" s="1482"/>
      <c r="C43" s="1482"/>
      <c r="D43" s="1368"/>
      <c r="E43" s="1370"/>
      <c r="F43" s="1372"/>
      <c r="G43" s="1372"/>
      <c r="H43" s="1405"/>
      <c r="I43" s="1376"/>
      <c r="J43" s="1389" t="str">
        <f t="shared" ref="J43" si="64">IF(I43="", "", 12 - MONTH(I43) + 1)</f>
        <v/>
      </c>
      <c r="K43" s="1354"/>
      <c r="L43" s="1861"/>
      <c r="M43" s="1861"/>
      <c r="N43" s="1350"/>
      <c r="O43" s="1354"/>
      <c r="P43" s="1354"/>
      <c r="Q43" s="1327"/>
      <c r="R43" s="91" t="s">
        <v>116</v>
      </c>
      <c r="S43" s="91">
        <v>0</v>
      </c>
      <c r="T43" s="287">
        <f>IFERROR(IF(AND(T$20&gt;=EOMONTH($I43,-1)+1,T$20&lt;=EOMONTH(EOMONTH($I43,-1)+1,$J43-1)),IF(NOT(ISBLANK($M43)),$M43/$J43,$H43/$J43),0),0)</f>
        <v>0</v>
      </c>
      <c r="U43" s="287">
        <f t="shared" si="58"/>
        <v>0</v>
      </c>
      <c r="V43" s="287">
        <f t="shared" si="58"/>
        <v>0</v>
      </c>
      <c r="W43" s="440">
        <f>SUM(T43:V43)</f>
        <v>0</v>
      </c>
      <c r="X43" s="287">
        <f t="shared" si="58"/>
        <v>0</v>
      </c>
      <c r="Y43" s="287">
        <f t="shared" si="58"/>
        <v>0</v>
      </c>
      <c r="Z43" s="287">
        <f t="shared" si="58"/>
        <v>0</v>
      </c>
      <c r="AA43" s="440">
        <f>SUM(X43:Z43)</f>
        <v>0</v>
      </c>
      <c r="AB43" s="287">
        <f t="shared" si="58"/>
        <v>0</v>
      </c>
      <c r="AC43" s="287">
        <f t="shared" si="58"/>
        <v>0</v>
      </c>
      <c r="AD43" s="287">
        <f t="shared" si="58"/>
        <v>0</v>
      </c>
      <c r="AE43" s="440">
        <f>SUM(AB43:AD43)</f>
        <v>0</v>
      </c>
      <c r="AF43" s="287">
        <f t="shared" si="58"/>
        <v>0</v>
      </c>
      <c r="AG43" s="287">
        <f t="shared" si="58"/>
        <v>0</v>
      </c>
      <c r="AH43" s="287">
        <f t="shared" si="58"/>
        <v>0</v>
      </c>
      <c r="AI43" s="440">
        <f>SUM(AF43:AH43)</f>
        <v>0</v>
      </c>
      <c r="AJ43" s="116">
        <f>SUM(T43:V43,X43:Z43,AB43:AD43,AF43:AH43)</f>
        <v>0</v>
      </c>
      <c r="AK43" s="1354"/>
      <c r="AL43" s="1370"/>
      <c r="AM43" s="1411"/>
      <c r="AN43" s="1405">
        <f>L43*AM43</f>
        <v>0</v>
      </c>
      <c r="AO43" s="47">
        <f>B43</f>
        <v>0</v>
      </c>
      <c r="AP43" s="47">
        <f>A43</f>
        <v>0</v>
      </c>
      <c r="AQ43" s="62" t="s">
        <v>311</v>
      </c>
      <c r="AR43" s="508" t="str" cm="1">
        <f t="array" aca="1" ref="AR43" ca="1">IF(OR(AO43="",AO43=0),"",IF(SUMPRODUCT(($B$38:$B$87=AO43)*($R$38:$R$87="Previsto")*($T$37:$AH$37&lt;EOMONTH(TODAY(),-1)+1)*($T$38:$AH$87))=0,"",SUMPRODUCT(($B$38:$B$87=AO43)*($R$38:$R$87="Previsto")*($T$37:$AH$37&lt;EOMONTH(TODAY(),-1)+1)*($T$38:$AH$87))))</f>
        <v/>
      </c>
    </row>
    <row r="44" spans="1:44" ht="29.1" customHeight="1" x14ac:dyDescent="0.3">
      <c r="A44" s="1381"/>
      <c r="B44" s="1483"/>
      <c r="C44" s="1483"/>
      <c r="D44" s="1369"/>
      <c r="E44" s="1371"/>
      <c r="F44" s="1373"/>
      <c r="G44" s="1373"/>
      <c r="H44" s="1406"/>
      <c r="I44" s="1377"/>
      <c r="J44" s="1390"/>
      <c r="K44" s="1355"/>
      <c r="L44" s="1392"/>
      <c r="M44" s="1392"/>
      <c r="N44" s="1460"/>
      <c r="O44" s="1355"/>
      <c r="P44" s="1355"/>
      <c r="Q44" s="1328"/>
      <c r="R44" s="91" t="s">
        <v>117</v>
      </c>
      <c r="S44" s="455">
        <v>0</v>
      </c>
      <c r="T44" s="287"/>
      <c r="U44" s="287"/>
      <c r="V44" s="287"/>
      <c r="W44" s="440">
        <f t="shared" ref="W44" si="65">SUM(T44:V44)</f>
        <v>0</v>
      </c>
      <c r="X44" s="287"/>
      <c r="Y44" s="287"/>
      <c r="Z44" s="287"/>
      <c r="AA44" s="440">
        <f t="shared" ref="AA44" si="66">SUM(X44:Z44)</f>
        <v>0</v>
      </c>
      <c r="AB44" s="287"/>
      <c r="AC44" s="287"/>
      <c r="AD44" s="287"/>
      <c r="AE44" s="440">
        <f t="shared" ref="AE44" si="67">SUM(AB44:AD44)</f>
        <v>0</v>
      </c>
      <c r="AF44" s="287"/>
      <c r="AG44" s="287"/>
      <c r="AH44" s="287"/>
      <c r="AI44" s="440">
        <f t="shared" ref="AI44" si="68">SUM(AF44:AH44)</f>
        <v>0</v>
      </c>
      <c r="AJ44" s="454">
        <f t="shared" ref="AJ44" si="69">SUM(T44:V44,X44:Z44,AB44:AD44,AF44:AH44)</f>
        <v>0</v>
      </c>
      <c r="AK44" s="1355"/>
      <c r="AL44" s="1371"/>
      <c r="AM44" s="1412"/>
      <c r="AN44" s="1406"/>
      <c r="AO44" s="47">
        <f>B43</f>
        <v>0</v>
      </c>
      <c r="AP44" s="47">
        <f>A43</f>
        <v>0</v>
      </c>
      <c r="AQ44" s="62" t="s">
        <v>313</v>
      </c>
      <c r="AR44" s="508" t="str" cm="1">
        <f t="array" aca="1" ref="AR44" ca="1">IF(OR(AO43="",AO43=0),"",IF(SUMPRODUCT(($B$38:$B$87=AO43)*(ISNUMBER(SEARCH("Real",$Q$39:$Q$88)))*($T$37:$AH$37&lt;EOMONTH(TODAY(),-1)+1)*($T$39:$AH$88))=0,"",SUMPRODUCT(($B$38:$B$87=AO43)*(ISNUMBER(SEARCH("Real",$Q$39:$Q$88)))*($T$37:$AH$37&lt;EOMONTH(TODAY(),-1)+1)*($T$39:$AH$88))))</f>
        <v/>
      </c>
    </row>
    <row r="45" spans="1:44" ht="29.1" customHeight="1" x14ac:dyDescent="0.3">
      <c r="A45" s="1407"/>
      <c r="B45" s="1465"/>
      <c r="C45" s="1465"/>
      <c r="D45" s="1449"/>
      <c r="E45" s="1449"/>
      <c r="F45" s="1366"/>
      <c r="G45" s="1366"/>
      <c r="H45" s="1488"/>
      <c r="I45" s="1749"/>
      <c r="J45" s="1387" t="str">
        <f t="shared" ref="J45" si="70">IF(I45="", "", 12 - MONTH(I45) + 1)</f>
        <v/>
      </c>
      <c r="K45" s="1395"/>
      <c r="L45" s="1393"/>
      <c r="M45" s="2155"/>
      <c r="N45" s="1352"/>
      <c r="O45" s="1352"/>
      <c r="P45" s="1352"/>
      <c r="Q45" s="1334"/>
      <c r="R45" s="96" t="s">
        <v>116</v>
      </c>
      <c r="S45" s="96">
        <v>0</v>
      </c>
      <c r="T45" s="498">
        <f>IFERROR(IF(AND(T$20&gt;=EOMONTH($I45,-1)+1,T$20&lt;=EOMONTH(EOMONTH($I45,-1)+1,$J45-1)),IF(NOT(ISBLANK($M45)),$M45/$J45,$H45/$J45),0),0)</f>
        <v>0</v>
      </c>
      <c r="U45" s="498">
        <f t="shared" ref="U45:AH47" si="71">IFERROR(IF(AND(U$20&gt;=EOMONTH($I45,-1)+1,U$20&lt;=EOMONTH(EOMONTH($I45,-1)+1,$J45-1)),IF(NOT(ISBLANK($M45)),$M45/$J45,$H45/$J45),0),0)</f>
        <v>0</v>
      </c>
      <c r="V45" s="498">
        <f t="shared" si="71"/>
        <v>0</v>
      </c>
      <c r="W45" s="440">
        <f>SUM(T45:V45)</f>
        <v>0</v>
      </c>
      <c r="X45" s="498">
        <f t="shared" si="71"/>
        <v>0</v>
      </c>
      <c r="Y45" s="498">
        <f t="shared" si="71"/>
        <v>0</v>
      </c>
      <c r="Z45" s="498">
        <f t="shared" si="71"/>
        <v>0</v>
      </c>
      <c r="AA45" s="440">
        <f>SUM(X45:Z45)</f>
        <v>0</v>
      </c>
      <c r="AB45" s="498">
        <f t="shared" si="71"/>
        <v>0</v>
      </c>
      <c r="AC45" s="498">
        <f t="shared" si="71"/>
        <v>0</v>
      </c>
      <c r="AD45" s="498">
        <f t="shared" si="71"/>
        <v>0</v>
      </c>
      <c r="AE45" s="440">
        <f>SUM(AB45:AD45)</f>
        <v>0</v>
      </c>
      <c r="AF45" s="498">
        <f t="shared" si="71"/>
        <v>0</v>
      </c>
      <c r="AG45" s="498">
        <f t="shared" si="71"/>
        <v>0</v>
      </c>
      <c r="AH45" s="498">
        <f t="shared" si="71"/>
        <v>0</v>
      </c>
      <c r="AI45" s="440">
        <f>SUM(AF45:AH45)</f>
        <v>0</v>
      </c>
      <c r="AJ45" s="1020">
        <f>SUM(T45:V45,X45:Z45,AB45:AD45,AF45:AH45)</f>
        <v>0</v>
      </c>
      <c r="AK45" s="1488"/>
      <c r="AL45" s="1407"/>
      <c r="AM45" s="1334"/>
      <c r="AN45" s="1403">
        <f>L45*AM45</f>
        <v>0</v>
      </c>
      <c r="AO45" s="47">
        <f>B45</f>
        <v>0</v>
      </c>
      <c r="AP45" s="47">
        <f>A45</f>
        <v>0</v>
      </c>
      <c r="AQ45" s="62" t="s">
        <v>311</v>
      </c>
      <c r="AR45" s="508" t="str" cm="1">
        <f t="array" aca="1" ref="AR45" ca="1">IF(OR(AO45="",AO45=0),"",IF(SUMPRODUCT(($B$38:$B$87=AO45)*($R$38:$R$87="Previsto")*($T$37:$AH$37&lt;EOMONTH(TODAY(),-1)+1)*($T$38:$AH$87))=0,"",SUMPRODUCT(($B$38:$B$87=AO45)*($R$38:$R$87="Previsto")*($T$37:$AH$37&lt;EOMONTH(TODAY(),-1)+1)*($T$38:$AH$87))))</f>
        <v/>
      </c>
    </row>
    <row r="46" spans="1:44" ht="29.1" customHeight="1" x14ac:dyDescent="0.3">
      <c r="A46" s="1408"/>
      <c r="B46" s="1466"/>
      <c r="C46" s="1466"/>
      <c r="D46" s="1450"/>
      <c r="E46" s="1450"/>
      <c r="F46" s="1513"/>
      <c r="G46" s="1513"/>
      <c r="H46" s="1367"/>
      <c r="I46" s="1750"/>
      <c r="J46" s="1388"/>
      <c r="K46" s="1396"/>
      <c r="L46" s="1394"/>
      <c r="M46" s="2156"/>
      <c r="N46" s="1353"/>
      <c r="O46" s="1353"/>
      <c r="P46" s="1353"/>
      <c r="Q46" s="1330"/>
      <c r="R46" s="96" t="s">
        <v>117</v>
      </c>
      <c r="S46" s="456">
        <v>0</v>
      </c>
      <c r="T46" s="457"/>
      <c r="U46" s="457"/>
      <c r="V46" s="290"/>
      <c r="W46" s="440">
        <f t="shared" ref="W46" si="72">SUM(T46:V46)</f>
        <v>0</v>
      </c>
      <c r="X46" s="457"/>
      <c r="Y46" s="457"/>
      <c r="Z46" s="290"/>
      <c r="AA46" s="440">
        <f t="shared" ref="AA46" si="73">SUM(X46:Z46)</f>
        <v>0</v>
      </c>
      <c r="AB46" s="457"/>
      <c r="AC46" s="457"/>
      <c r="AD46" s="290"/>
      <c r="AE46" s="440">
        <f t="shared" ref="AE46" si="74">SUM(AB46:AD46)</f>
        <v>0</v>
      </c>
      <c r="AF46" s="457"/>
      <c r="AG46" s="457"/>
      <c r="AH46" s="290"/>
      <c r="AI46" s="440">
        <f t="shared" ref="AI46" si="75">SUM(AF46:AH46)</f>
        <v>0</v>
      </c>
      <c r="AJ46" s="94">
        <f t="shared" ref="AJ46" si="76">SUM(T46:V46,X46:Z46,AB46:AD46,AF46:AH46)</f>
        <v>0</v>
      </c>
      <c r="AK46" s="1367"/>
      <c r="AL46" s="1408"/>
      <c r="AM46" s="1330"/>
      <c r="AN46" s="1404"/>
      <c r="AO46" s="47">
        <f>B45</f>
        <v>0</v>
      </c>
      <c r="AP46" s="47">
        <f>A45</f>
        <v>0</v>
      </c>
      <c r="AQ46" s="62" t="s">
        <v>313</v>
      </c>
      <c r="AR46" s="508" t="str" cm="1">
        <f t="array" aca="1" ref="AR46" ca="1">IF(OR(AO45="",AO45=0),"",IF(SUMPRODUCT(($B$38:$B$87=AO45)*(ISNUMBER(SEARCH("Real",$Q$39:$Q$88)))*($T$37:$AH$37&lt;EOMONTH(TODAY(),-1)+1)*($T$39:$AH$88))=0,"",SUMPRODUCT(($B$38:$B$87=AO45)*(ISNUMBER(SEARCH("Real",$Q$39:$Q$88)))*($T$37:$AH$37&lt;EOMONTH(TODAY(),-1)+1)*($T$39:$AH$88))))</f>
        <v/>
      </c>
    </row>
    <row r="47" spans="1:44" ht="29.1" customHeight="1" x14ac:dyDescent="0.3">
      <c r="A47" s="1380"/>
      <c r="B47" s="1482"/>
      <c r="C47" s="1486"/>
      <c r="D47" s="1368"/>
      <c r="E47" s="1368"/>
      <c r="F47" s="1372"/>
      <c r="G47" s="1372"/>
      <c r="H47" s="1405"/>
      <c r="I47" s="1376"/>
      <c r="J47" s="1389" t="str">
        <f t="shared" ref="J47" si="77">IF(I47="", "", 12 - MONTH(I47) + 1)</f>
        <v/>
      </c>
      <c r="K47" s="1354"/>
      <c r="L47" s="1861"/>
      <c r="M47" s="1861"/>
      <c r="N47" s="1350"/>
      <c r="O47" s="1354"/>
      <c r="P47" s="1354"/>
      <c r="Q47" s="1327"/>
      <c r="R47" s="91" t="s">
        <v>116</v>
      </c>
      <c r="S47" s="91">
        <v>0</v>
      </c>
      <c r="T47" s="287">
        <f>IFERROR(IF(AND(T$20&gt;=EOMONTH($I47,-1)+1,T$20&lt;=EOMONTH(EOMONTH($I47,-1)+1,$J47-1)),IF(NOT(ISBLANK($M47)),$M47/$J47,$H47/$J47),0),0)</f>
        <v>0</v>
      </c>
      <c r="U47" s="287">
        <f t="shared" si="71"/>
        <v>0</v>
      </c>
      <c r="V47" s="287">
        <f t="shared" si="71"/>
        <v>0</v>
      </c>
      <c r="W47" s="440">
        <f>SUM(T47:V47)</f>
        <v>0</v>
      </c>
      <c r="X47" s="287">
        <f t="shared" si="71"/>
        <v>0</v>
      </c>
      <c r="Y47" s="287">
        <f t="shared" si="71"/>
        <v>0</v>
      </c>
      <c r="Z47" s="287">
        <f t="shared" si="71"/>
        <v>0</v>
      </c>
      <c r="AA47" s="440">
        <f>SUM(X47:Z47)</f>
        <v>0</v>
      </c>
      <c r="AB47" s="287">
        <f t="shared" si="71"/>
        <v>0</v>
      </c>
      <c r="AC47" s="287">
        <f t="shared" si="71"/>
        <v>0</v>
      </c>
      <c r="AD47" s="287">
        <f t="shared" si="71"/>
        <v>0</v>
      </c>
      <c r="AE47" s="440">
        <f>SUM(AB47:AD47)</f>
        <v>0</v>
      </c>
      <c r="AF47" s="287">
        <f t="shared" si="71"/>
        <v>0</v>
      </c>
      <c r="AG47" s="287">
        <f t="shared" si="71"/>
        <v>0</v>
      </c>
      <c r="AH47" s="287">
        <f t="shared" si="71"/>
        <v>0</v>
      </c>
      <c r="AI47" s="440">
        <f>SUM(AF47:AH47)</f>
        <v>0</v>
      </c>
      <c r="AJ47" s="116">
        <f>SUM(T47:V47,X47:Z47,AB47:AD47,AF47:AH47)</f>
        <v>0</v>
      </c>
      <c r="AK47" s="1354"/>
      <c r="AL47" s="1370"/>
      <c r="AM47" s="1411"/>
      <c r="AN47" s="1405">
        <f>L47*AM47</f>
        <v>0</v>
      </c>
      <c r="AO47" s="47">
        <f>B47</f>
        <v>0</v>
      </c>
      <c r="AP47" s="47">
        <f>A47</f>
        <v>0</v>
      </c>
      <c r="AQ47" s="62" t="s">
        <v>311</v>
      </c>
      <c r="AR47" s="508" t="str" cm="1">
        <f t="array" aca="1" ref="AR47" ca="1">IF(OR(AO47="",AO47=0),"",IF(SUMPRODUCT(($B$38:$B$87=AO47)*($R$38:$R$87="Previsto")*($T$37:$AH$37&lt;EOMONTH(TODAY(),-1)+1)*($T$38:$AH$87))=0,"",SUMPRODUCT(($B$38:$B$87=AO47)*($R$38:$R$87="Previsto")*($T$37:$AH$37&lt;EOMONTH(TODAY(),-1)+1)*($T$38:$AH$87))))</f>
        <v/>
      </c>
    </row>
    <row r="48" spans="1:44" ht="29.1" customHeight="1" x14ac:dyDescent="0.3">
      <c r="A48" s="1381"/>
      <c r="B48" s="1483"/>
      <c r="C48" s="1487"/>
      <c r="D48" s="1369"/>
      <c r="E48" s="1369"/>
      <c r="F48" s="1373"/>
      <c r="G48" s="1373"/>
      <c r="H48" s="1406"/>
      <c r="I48" s="1377"/>
      <c r="J48" s="1390"/>
      <c r="K48" s="1355"/>
      <c r="L48" s="1392"/>
      <c r="M48" s="1392"/>
      <c r="N48" s="1460"/>
      <c r="O48" s="1355"/>
      <c r="P48" s="1355"/>
      <c r="Q48" s="1328"/>
      <c r="R48" s="91" t="s">
        <v>117</v>
      </c>
      <c r="S48" s="455">
        <v>0</v>
      </c>
      <c r="T48" s="287"/>
      <c r="U48" s="287"/>
      <c r="V48" s="287"/>
      <c r="W48" s="440">
        <f t="shared" ref="W48" si="78">SUM(T48:V48)</f>
        <v>0</v>
      </c>
      <c r="X48" s="287"/>
      <c r="Y48" s="287"/>
      <c r="Z48" s="287"/>
      <c r="AA48" s="440">
        <f t="shared" ref="AA48" si="79">SUM(X48:Z48)</f>
        <v>0</v>
      </c>
      <c r="AB48" s="287"/>
      <c r="AC48" s="287"/>
      <c r="AD48" s="287"/>
      <c r="AE48" s="440">
        <f t="shared" ref="AE48" si="80">SUM(AB48:AD48)</f>
        <v>0</v>
      </c>
      <c r="AF48" s="287"/>
      <c r="AG48" s="287"/>
      <c r="AH48" s="287"/>
      <c r="AI48" s="440">
        <f t="shared" ref="AI48" si="81">SUM(AF48:AH48)</f>
        <v>0</v>
      </c>
      <c r="AJ48" s="454">
        <f t="shared" ref="AJ48" si="82">SUM(T48:V48,X48:Z48,AB48:AD48,AF48:AH48)</f>
        <v>0</v>
      </c>
      <c r="AK48" s="1355"/>
      <c r="AL48" s="1371"/>
      <c r="AM48" s="1412"/>
      <c r="AN48" s="1406"/>
      <c r="AO48" s="47">
        <f>B47</f>
        <v>0</v>
      </c>
      <c r="AP48" s="47">
        <f>A47</f>
        <v>0</v>
      </c>
      <c r="AQ48" s="62" t="s">
        <v>313</v>
      </c>
      <c r="AR48" s="508" t="str" cm="1">
        <f t="array" aca="1" ref="AR48" ca="1">IF(OR(AO47="",AO47=0),"",IF(SUMPRODUCT(($B$38:$B$87=AO47)*(ISNUMBER(SEARCH("Real",$Q$39:$Q$88)))*($T$37:$AH$37&lt;EOMONTH(TODAY(),-1)+1)*($T$39:$AH$88))=0,"",SUMPRODUCT(($B$38:$B$87=AO47)*(ISNUMBER(SEARCH("Real",$Q$39:$Q$88)))*($T$37:$AH$37&lt;EOMONTH(TODAY(),-1)+1)*($T$39:$AH$88))))</f>
        <v/>
      </c>
    </row>
    <row r="49" spans="1:44" ht="29.1" customHeight="1" x14ac:dyDescent="0.3">
      <c r="A49" s="1407"/>
      <c r="B49" s="1465"/>
      <c r="C49" s="1356"/>
      <c r="D49" s="1449"/>
      <c r="E49" s="1449"/>
      <c r="F49" s="1366"/>
      <c r="G49" s="1366"/>
      <c r="H49" s="1488"/>
      <c r="I49" s="1749"/>
      <c r="J49" s="1387" t="str">
        <f t="shared" ref="J49" si="83">IF(I49="", "", 12 - MONTH(I49) + 1)</f>
        <v/>
      </c>
      <c r="K49" s="1395"/>
      <c r="L49" s="1393"/>
      <c r="M49" s="2155"/>
      <c r="N49" s="1352"/>
      <c r="O49" s="1352"/>
      <c r="P49" s="1352"/>
      <c r="Q49" s="1334"/>
      <c r="R49" s="96" t="s">
        <v>116</v>
      </c>
      <c r="S49" s="96">
        <v>0</v>
      </c>
      <c r="T49" s="498">
        <f>IFERROR(IF(AND(T$20&gt;=EOMONTH($I49,-1)+1,T$20&lt;=EOMONTH(EOMONTH($I49,-1)+1,$J49-1)),IF(NOT(ISBLANK($M49)),$M49/$J49,$H49/$J49),0),0)</f>
        <v>0</v>
      </c>
      <c r="U49" s="498">
        <f t="shared" ref="U49:AH51" si="84">IFERROR(IF(AND(U$20&gt;=EOMONTH($I49,-1)+1,U$20&lt;=EOMONTH(EOMONTH($I49,-1)+1,$J49-1)),IF(NOT(ISBLANK($M49)),$M49/$J49,$H49/$J49),0),0)</f>
        <v>0</v>
      </c>
      <c r="V49" s="498">
        <f t="shared" si="84"/>
        <v>0</v>
      </c>
      <c r="W49" s="440">
        <f>SUM(T49:V49)</f>
        <v>0</v>
      </c>
      <c r="X49" s="498">
        <f t="shared" si="84"/>
        <v>0</v>
      </c>
      <c r="Y49" s="498">
        <f t="shared" si="84"/>
        <v>0</v>
      </c>
      <c r="Z49" s="498">
        <f t="shared" si="84"/>
        <v>0</v>
      </c>
      <c r="AA49" s="440">
        <f>SUM(X49:Z49)</f>
        <v>0</v>
      </c>
      <c r="AB49" s="498">
        <f t="shared" si="84"/>
        <v>0</v>
      </c>
      <c r="AC49" s="498">
        <f t="shared" si="84"/>
        <v>0</v>
      </c>
      <c r="AD49" s="498">
        <f t="shared" si="84"/>
        <v>0</v>
      </c>
      <c r="AE49" s="440">
        <f>SUM(AB49:AD49)</f>
        <v>0</v>
      </c>
      <c r="AF49" s="498">
        <f t="shared" si="84"/>
        <v>0</v>
      </c>
      <c r="AG49" s="498">
        <f t="shared" si="84"/>
        <v>0</v>
      </c>
      <c r="AH49" s="498">
        <f t="shared" si="84"/>
        <v>0</v>
      </c>
      <c r="AI49" s="440">
        <f>SUM(AF49:AH49)</f>
        <v>0</v>
      </c>
      <c r="AJ49" s="1020">
        <f>SUM(T49:V49,X49:Z49,AB49:AD49,AF49:AH49)</f>
        <v>0</v>
      </c>
      <c r="AK49" s="1488"/>
      <c r="AL49" s="1407"/>
      <c r="AM49" s="1334"/>
      <c r="AN49" s="1403">
        <f>L49*AM49</f>
        <v>0</v>
      </c>
      <c r="AO49" s="47">
        <f>B49</f>
        <v>0</v>
      </c>
      <c r="AP49" s="47">
        <f>A49</f>
        <v>0</v>
      </c>
      <c r="AQ49" s="62" t="s">
        <v>311</v>
      </c>
      <c r="AR49" s="508" t="str" cm="1">
        <f t="array" aca="1" ref="AR49" ca="1">IF(OR(AO49="",AO49=0),"",IF(SUMPRODUCT(($B$38:$B$87=AO49)*($R$38:$R$87="Previsto")*($T$37:$AH$37&lt;EOMONTH(TODAY(),-1)+1)*($T$38:$AH$87))=0,"",SUMPRODUCT(($B$38:$B$87=AO49)*($R$38:$R$87="Previsto")*($T$37:$AH$37&lt;EOMONTH(TODAY(),-1)+1)*($T$38:$AH$87))))</f>
        <v/>
      </c>
    </row>
    <row r="50" spans="1:44" ht="29.1" customHeight="1" x14ac:dyDescent="0.3">
      <c r="A50" s="1408"/>
      <c r="B50" s="1466"/>
      <c r="C50" s="1455"/>
      <c r="D50" s="1450"/>
      <c r="E50" s="1450"/>
      <c r="F50" s="1513"/>
      <c r="G50" s="1513"/>
      <c r="H50" s="1367"/>
      <c r="I50" s="1750"/>
      <c r="J50" s="1388"/>
      <c r="K50" s="1396"/>
      <c r="L50" s="1394"/>
      <c r="M50" s="2156"/>
      <c r="N50" s="1353"/>
      <c r="O50" s="1353"/>
      <c r="P50" s="1353"/>
      <c r="Q50" s="1330"/>
      <c r="R50" s="96" t="s">
        <v>117</v>
      </c>
      <c r="S50" s="456">
        <v>0</v>
      </c>
      <c r="T50" s="457"/>
      <c r="U50" s="457"/>
      <c r="V50" s="290"/>
      <c r="W50" s="440">
        <f t="shared" ref="W50" si="85">SUM(T50:V50)</f>
        <v>0</v>
      </c>
      <c r="X50" s="457"/>
      <c r="Y50" s="457"/>
      <c r="Z50" s="290"/>
      <c r="AA50" s="440">
        <f t="shared" ref="AA50" si="86">SUM(X50:Z50)</f>
        <v>0</v>
      </c>
      <c r="AB50" s="457"/>
      <c r="AC50" s="457"/>
      <c r="AD50" s="290"/>
      <c r="AE50" s="440">
        <f t="shared" ref="AE50" si="87">SUM(AB50:AD50)</f>
        <v>0</v>
      </c>
      <c r="AF50" s="457"/>
      <c r="AG50" s="457"/>
      <c r="AH50" s="290"/>
      <c r="AI50" s="440">
        <f t="shared" ref="AI50" si="88">SUM(AF50:AH50)</f>
        <v>0</v>
      </c>
      <c r="AJ50" s="94">
        <f t="shared" ref="AJ50" si="89">SUM(T50:V50,X50:Z50,AB50:AD50,AF50:AH50)</f>
        <v>0</v>
      </c>
      <c r="AK50" s="1367"/>
      <c r="AL50" s="1408"/>
      <c r="AM50" s="1330"/>
      <c r="AN50" s="1404"/>
      <c r="AO50" s="47">
        <f>B49</f>
        <v>0</v>
      </c>
      <c r="AP50" s="47">
        <f>A49</f>
        <v>0</v>
      </c>
      <c r="AQ50" s="62" t="s">
        <v>313</v>
      </c>
      <c r="AR50" s="508" t="str" cm="1">
        <f t="array" aca="1" ref="AR50" ca="1">IF(OR(AO49="",AO49=0),"",IF(SUMPRODUCT(($B$38:$B$87=AO49)*(ISNUMBER(SEARCH("Real",$Q$39:$Q$88)))*($T$37:$AH$37&lt;EOMONTH(TODAY(),-1)+1)*($T$39:$AH$88))=0,"",SUMPRODUCT(($B$38:$B$87=AO49)*(ISNUMBER(SEARCH("Real",$Q$39:$Q$88)))*($T$37:$AH$37&lt;EOMONTH(TODAY(),-1)+1)*($T$39:$AH$88))))</f>
        <v/>
      </c>
    </row>
    <row r="51" spans="1:44" ht="29.1" customHeight="1" x14ac:dyDescent="0.3">
      <c r="A51" s="1380"/>
      <c r="B51" s="1482"/>
      <c r="C51" s="1486"/>
      <c r="D51" s="1368"/>
      <c r="E51" s="1368"/>
      <c r="F51" s="1372"/>
      <c r="G51" s="1372"/>
      <c r="H51" s="1405"/>
      <c r="I51" s="1376"/>
      <c r="J51" s="1389" t="str">
        <f t="shared" ref="J51" si="90">IF(I51="", "", 12 - MONTH(I51) + 1)</f>
        <v/>
      </c>
      <c r="K51" s="1354"/>
      <c r="L51" s="1861"/>
      <c r="M51" s="1861"/>
      <c r="N51" s="1350"/>
      <c r="O51" s="1354"/>
      <c r="P51" s="1354"/>
      <c r="Q51" s="1327"/>
      <c r="R51" s="91" t="s">
        <v>116</v>
      </c>
      <c r="S51" s="91">
        <v>0</v>
      </c>
      <c r="T51" s="287">
        <f>IFERROR(IF(AND(T$20&gt;=EOMONTH($I51,-1)+1,T$20&lt;=EOMONTH(EOMONTH($I51,-1)+1,$J51-1)),IF(NOT(ISBLANK($M51)),$M51/$J51,$H51/$J51),0),0)</f>
        <v>0</v>
      </c>
      <c r="U51" s="287">
        <f t="shared" si="84"/>
        <v>0</v>
      </c>
      <c r="V51" s="287">
        <f t="shared" si="84"/>
        <v>0</v>
      </c>
      <c r="W51" s="440">
        <f>SUM(T51:V51)</f>
        <v>0</v>
      </c>
      <c r="X51" s="287">
        <f t="shared" si="84"/>
        <v>0</v>
      </c>
      <c r="Y51" s="287">
        <f t="shared" si="84"/>
        <v>0</v>
      </c>
      <c r="Z51" s="287">
        <f t="shared" si="84"/>
        <v>0</v>
      </c>
      <c r="AA51" s="440">
        <f>SUM(X51:Z51)</f>
        <v>0</v>
      </c>
      <c r="AB51" s="287">
        <f t="shared" si="84"/>
        <v>0</v>
      </c>
      <c r="AC51" s="287">
        <f t="shared" si="84"/>
        <v>0</v>
      </c>
      <c r="AD51" s="287">
        <f t="shared" si="84"/>
        <v>0</v>
      </c>
      <c r="AE51" s="440">
        <f>SUM(AB51:AD51)</f>
        <v>0</v>
      </c>
      <c r="AF51" s="287">
        <f t="shared" si="84"/>
        <v>0</v>
      </c>
      <c r="AG51" s="287">
        <f t="shared" si="84"/>
        <v>0</v>
      </c>
      <c r="AH51" s="287">
        <f t="shared" si="84"/>
        <v>0</v>
      </c>
      <c r="AI51" s="440">
        <f>SUM(AF51:AH51)</f>
        <v>0</v>
      </c>
      <c r="AJ51" s="116">
        <f>SUM(T51:V51,X51:Z51,AB51:AD51,AF51:AH51)</f>
        <v>0</v>
      </c>
      <c r="AK51" s="1354"/>
      <c r="AL51" s="1370"/>
      <c r="AM51" s="1411"/>
      <c r="AN51" s="1405">
        <f>L51*AM51</f>
        <v>0</v>
      </c>
      <c r="AO51" s="47">
        <f>B51</f>
        <v>0</v>
      </c>
      <c r="AP51" s="47">
        <f>A51</f>
        <v>0</v>
      </c>
      <c r="AQ51" s="62" t="s">
        <v>311</v>
      </c>
      <c r="AR51" s="508" t="str" cm="1">
        <f t="array" aca="1" ref="AR51" ca="1">IF(OR(AO51="",AO51=0),"",IF(SUMPRODUCT(($B$38:$B$87=AO51)*($R$38:$R$87="Previsto")*($T$37:$AH$37&lt;EOMONTH(TODAY(),-1)+1)*($T$38:$AH$87))=0,"",SUMPRODUCT(($B$38:$B$87=AO51)*($R$38:$R$87="Previsto")*($T$37:$AH$37&lt;EOMONTH(TODAY(),-1)+1)*($T$38:$AH$87))))</f>
        <v/>
      </c>
    </row>
    <row r="52" spans="1:44" ht="29.1" customHeight="1" x14ac:dyDescent="0.3">
      <c r="A52" s="1381"/>
      <c r="B52" s="1483"/>
      <c r="C52" s="1487"/>
      <c r="D52" s="1369"/>
      <c r="E52" s="1369"/>
      <c r="F52" s="1373"/>
      <c r="G52" s="1373"/>
      <c r="H52" s="1406"/>
      <c r="I52" s="1377"/>
      <c r="J52" s="1390"/>
      <c r="K52" s="1355"/>
      <c r="L52" s="1392"/>
      <c r="M52" s="1392"/>
      <c r="N52" s="1460"/>
      <c r="O52" s="1355"/>
      <c r="P52" s="1355"/>
      <c r="Q52" s="1328"/>
      <c r="R52" s="91" t="s">
        <v>117</v>
      </c>
      <c r="S52" s="455">
        <v>0</v>
      </c>
      <c r="T52" s="287"/>
      <c r="U52" s="287"/>
      <c r="V52" s="287"/>
      <c r="W52" s="440">
        <f t="shared" ref="W52" si="91">SUM(T52:V52)</f>
        <v>0</v>
      </c>
      <c r="X52" s="287"/>
      <c r="Y52" s="287"/>
      <c r="Z52" s="287"/>
      <c r="AA52" s="440">
        <f t="shared" ref="AA52" si="92">SUM(X52:Z52)</f>
        <v>0</v>
      </c>
      <c r="AB52" s="287"/>
      <c r="AC52" s="287"/>
      <c r="AD52" s="287"/>
      <c r="AE52" s="440">
        <f t="shared" ref="AE52" si="93">SUM(AB52:AD52)</f>
        <v>0</v>
      </c>
      <c r="AF52" s="287"/>
      <c r="AG52" s="287"/>
      <c r="AH52" s="287"/>
      <c r="AI52" s="440">
        <f t="shared" ref="AI52" si="94">SUM(AF52:AH52)</f>
        <v>0</v>
      </c>
      <c r="AJ52" s="454">
        <f t="shared" ref="AJ52" si="95">SUM(T52:V52,X52:Z52,AB52:AD52,AF52:AH52)</f>
        <v>0</v>
      </c>
      <c r="AK52" s="1355"/>
      <c r="AL52" s="1371"/>
      <c r="AM52" s="1412"/>
      <c r="AN52" s="1406"/>
      <c r="AO52" s="47">
        <f>B51</f>
        <v>0</v>
      </c>
      <c r="AP52" s="47">
        <f>A51</f>
        <v>0</v>
      </c>
      <c r="AQ52" s="62" t="s">
        <v>313</v>
      </c>
      <c r="AR52" s="508" t="str" cm="1">
        <f t="array" aca="1" ref="AR52" ca="1">IF(OR(AO51="",AO51=0),"",IF(SUMPRODUCT(($B$38:$B$87=AO51)*(ISNUMBER(SEARCH("Real",$Q$39:$Q$88)))*($T$37:$AH$37&lt;EOMONTH(TODAY(),-1)+1)*($T$39:$AH$88))=0,"",SUMPRODUCT(($B$38:$B$87=AO51)*(ISNUMBER(SEARCH("Real",$Q$39:$Q$88)))*($T$37:$AH$37&lt;EOMONTH(TODAY(),-1)+1)*($T$39:$AH$88))))</f>
        <v/>
      </c>
    </row>
    <row r="53" spans="1:44" ht="29.1" customHeight="1" x14ac:dyDescent="0.3">
      <c r="A53" s="1407"/>
      <c r="B53" s="1465"/>
      <c r="C53" s="1356"/>
      <c r="D53" s="1449"/>
      <c r="E53" s="1449"/>
      <c r="F53" s="1366"/>
      <c r="G53" s="1366"/>
      <c r="H53" s="1488"/>
      <c r="I53" s="1749"/>
      <c r="J53" s="1387" t="str">
        <f t="shared" ref="J53" si="96">IF(I53="", "", 12 - MONTH(I53) + 1)</f>
        <v/>
      </c>
      <c r="K53" s="1395"/>
      <c r="L53" s="1393"/>
      <c r="M53" s="2155"/>
      <c r="N53" s="1352"/>
      <c r="O53" s="1352"/>
      <c r="P53" s="1352"/>
      <c r="Q53" s="1334"/>
      <c r="R53" s="96" t="s">
        <v>116</v>
      </c>
      <c r="S53" s="96">
        <v>0</v>
      </c>
      <c r="T53" s="498">
        <f>IFERROR(IF(AND(T$20&gt;=EOMONTH($I53,-1)+1,T$20&lt;=EOMONTH(EOMONTH($I53,-1)+1,$J53-1)),IF(NOT(ISBLANK($M53)),$M53/$J53,$H53/$J53),0),0)</f>
        <v>0</v>
      </c>
      <c r="U53" s="498">
        <f t="shared" ref="U53:AH55" si="97">IFERROR(IF(AND(U$20&gt;=EOMONTH($I53,-1)+1,U$20&lt;=EOMONTH(EOMONTH($I53,-1)+1,$J53-1)),IF(NOT(ISBLANK($M53)),$M53/$J53,$H53/$J53),0),0)</f>
        <v>0</v>
      </c>
      <c r="V53" s="498">
        <f t="shared" si="97"/>
        <v>0</v>
      </c>
      <c r="W53" s="440">
        <f>SUM(T53:V53)</f>
        <v>0</v>
      </c>
      <c r="X53" s="498">
        <f t="shared" si="97"/>
        <v>0</v>
      </c>
      <c r="Y53" s="498">
        <f t="shared" si="97"/>
        <v>0</v>
      </c>
      <c r="Z53" s="498">
        <f t="shared" si="97"/>
        <v>0</v>
      </c>
      <c r="AA53" s="440">
        <f>SUM(X53:Z53)</f>
        <v>0</v>
      </c>
      <c r="AB53" s="498">
        <f t="shared" si="97"/>
        <v>0</v>
      </c>
      <c r="AC53" s="498">
        <f t="shared" si="97"/>
        <v>0</v>
      </c>
      <c r="AD53" s="498">
        <f t="shared" si="97"/>
        <v>0</v>
      </c>
      <c r="AE53" s="440">
        <f>SUM(AB53:AD53)</f>
        <v>0</v>
      </c>
      <c r="AF53" s="498">
        <f t="shared" si="97"/>
        <v>0</v>
      </c>
      <c r="AG53" s="498">
        <f t="shared" si="97"/>
        <v>0</v>
      </c>
      <c r="AH53" s="498">
        <f t="shared" si="97"/>
        <v>0</v>
      </c>
      <c r="AI53" s="440">
        <f>SUM(AF53:AH53)</f>
        <v>0</v>
      </c>
      <c r="AJ53" s="1020">
        <f>SUM(T53:V53,X53:Z53,AB53:AD53,AF53:AH53)</f>
        <v>0</v>
      </c>
      <c r="AK53" s="1488"/>
      <c r="AL53" s="1407"/>
      <c r="AM53" s="1334"/>
      <c r="AN53" s="1403">
        <f>L53*AM53</f>
        <v>0</v>
      </c>
      <c r="AO53" s="47">
        <f>B53</f>
        <v>0</v>
      </c>
      <c r="AP53" s="47">
        <f>A53</f>
        <v>0</v>
      </c>
      <c r="AQ53" s="62" t="s">
        <v>311</v>
      </c>
      <c r="AR53" s="508" t="str" cm="1">
        <f t="array" aca="1" ref="AR53" ca="1">IF(OR(AO53="",AO53=0),"",IF(SUMPRODUCT(($B$38:$B$87=AO53)*($R$38:$R$87="Previsto")*($T$37:$AH$37&lt;EOMONTH(TODAY(),-1)+1)*($T$38:$AH$87))=0,"",SUMPRODUCT(($B$38:$B$87=AO53)*($R$38:$R$87="Previsto")*($T$37:$AH$37&lt;EOMONTH(TODAY(),-1)+1)*($T$38:$AH$87))))</f>
        <v/>
      </c>
    </row>
    <row r="54" spans="1:44" ht="29.1" customHeight="1" x14ac:dyDescent="0.3">
      <c r="A54" s="1408"/>
      <c r="B54" s="1466"/>
      <c r="C54" s="1455"/>
      <c r="D54" s="1450"/>
      <c r="E54" s="1450"/>
      <c r="F54" s="1513"/>
      <c r="G54" s="1513"/>
      <c r="H54" s="1367"/>
      <c r="I54" s="1750"/>
      <c r="J54" s="1388"/>
      <c r="K54" s="1396"/>
      <c r="L54" s="1394"/>
      <c r="M54" s="2156"/>
      <c r="N54" s="1353"/>
      <c r="O54" s="1353"/>
      <c r="P54" s="1353"/>
      <c r="Q54" s="1330"/>
      <c r="R54" s="96" t="s">
        <v>117</v>
      </c>
      <c r="S54" s="456">
        <v>0</v>
      </c>
      <c r="T54" s="457"/>
      <c r="U54" s="457"/>
      <c r="V54" s="290"/>
      <c r="W54" s="440">
        <f t="shared" ref="W54" si="98">SUM(T54:V54)</f>
        <v>0</v>
      </c>
      <c r="X54" s="457"/>
      <c r="Y54" s="457"/>
      <c r="Z54" s="290"/>
      <c r="AA54" s="440">
        <f t="shared" ref="AA54" si="99">SUM(X54:Z54)</f>
        <v>0</v>
      </c>
      <c r="AB54" s="457"/>
      <c r="AC54" s="457"/>
      <c r="AD54" s="290"/>
      <c r="AE54" s="440">
        <f t="shared" ref="AE54" si="100">SUM(AB54:AD54)</f>
        <v>0</v>
      </c>
      <c r="AF54" s="457"/>
      <c r="AG54" s="457"/>
      <c r="AH54" s="290"/>
      <c r="AI54" s="440">
        <f t="shared" ref="AI54" si="101">SUM(AF54:AH54)</f>
        <v>0</v>
      </c>
      <c r="AJ54" s="94">
        <f t="shared" ref="AJ54" si="102">SUM(T54:V54,X54:Z54,AB54:AD54,AF54:AH54)</f>
        <v>0</v>
      </c>
      <c r="AK54" s="1367"/>
      <c r="AL54" s="1408"/>
      <c r="AM54" s="1330"/>
      <c r="AN54" s="1404"/>
      <c r="AO54" s="47">
        <f>B53</f>
        <v>0</v>
      </c>
      <c r="AP54" s="47">
        <f>A53</f>
        <v>0</v>
      </c>
      <c r="AQ54" s="62" t="s">
        <v>313</v>
      </c>
      <c r="AR54" s="508" t="str" cm="1">
        <f t="array" aca="1" ref="AR54" ca="1">IF(OR(AO53="",AO53=0),"",IF(SUMPRODUCT(($B$38:$B$87=AO53)*(ISNUMBER(SEARCH("Real",$Q$39:$Q$88)))*($T$37:$AH$37&lt;EOMONTH(TODAY(),-1)+1)*($T$39:$AH$88))=0,"",SUMPRODUCT(($B$38:$B$87=AO53)*(ISNUMBER(SEARCH("Real",$Q$39:$Q$88)))*($T$37:$AH$37&lt;EOMONTH(TODAY(),-1)+1)*($T$39:$AH$88))))</f>
        <v/>
      </c>
    </row>
    <row r="55" spans="1:44" ht="29.1" customHeight="1" x14ac:dyDescent="0.3">
      <c r="A55" s="1380"/>
      <c r="B55" s="1482"/>
      <c r="C55" s="1486"/>
      <c r="D55" s="1368"/>
      <c r="E55" s="1368"/>
      <c r="F55" s="1372"/>
      <c r="G55" s="1372"/>
      <c r="H55" s="1405"/>
      <c r="I55" s="1376"/>
      <c r="J55" s="1389" t="str">
        <f t="shared" ref="J55" si="103">IF(I55="", "", 12 - MONTH(I55) + 1)</f>
        <v/>
      </c>
      <c r="K55" s="1354"/>
      <c r="L55" s="1861"/>
      <c r="M55" s="1861"/>
      <c r="N55" s="1350"/>
      <c r="O55" s="1354"/>
      <c r="P55" s="1354"/>
      <c r="Q55" s="1327"/>
      <c r="R55" s="91" t="s">
        <v>116</v>
      </c>
      <c r="S55" s="91">
        <v>0</v>
      </c>
      <c r="T55" s="287">
        <f>IFERROR(IF(AND(T$20&gt;=EOMONTH($I55,-1)+1,T$20&lt;=EOMONTH(EOMONTH($I55,-1)+1,$J55-1)),IF(NOT(ISBLANK($M55)),$M55/$J55,$H55/$J55),0),0)</f>
        <v>0</v>
      </c>
      <c r="U55" s="287">
        <f t="shared" si="97"/>
        <v>0</v>
      </c>
      <c r="V55" s="287">
        <f t="shared" si="97"/>
        <v>0</v>
      </c>
      <c r="W55" s="440">
        <f>SUM(T55:V55)</f>
        <v>0</v>
      </c>
      <c r="X55" s="287">
        <f t="shared" si="97"/>
        <v>0</v>
      </c>
      <c r="Y55" s="287">
        <f t="shared" si="97"/>
        <v>0</v>
      </c>
      <c r="Z55" s="287">
        <f t="shared" si="97"/>
        <v>0</v>
      </c>
      <c r="AA55" s="440">
        <f>SUM(X55:Z55)</f>
        <v>0</v>
      </c>
      <c r="AB55" s="287">
        <f t="shared" si="97"/>
        <v>0</v>
      </c>
      <c r="AC55" s="287">
        <f t="shared" si="97"/>
        <v>0</v>
      </c>
      <c r="AD55" s="287">
        <f t="shared" si="97"/>
        <v>0</v>
      </c>
      <c r="AE55" s="440">
        <f>SUM(AB55:AD55)</f>
        <v>0</v>
      </c>
      <c r="AF55" s="287">
        <f t="shared" si="97"/>
        <v>0</v>
      </c>
      <c r="AG55" s="287">
        <f t="shared" si="97"/>
        <v>0</v>
      </c>
      <c r="AH55" s="287">
        <f t="shared" si="97"/>
        <v>0</v>
      </c>
      <c r="AI55" s="440">
        <f>SUM(AF55:AH55)</f>
        <v>0</v>
      </c>
      <c r="AJ55" s="116">
        <f>SUM(T55:V55,X55:Z55,AB55:AD55,AF55:AH55)</f>
        <v>0</v>
      </c>
      <c r="AK55" s="1354"/>
      <c r="AL55" s="1370"/>
      <c r="AM55" s="1411"/>
      <c r="AN55" s="1405">
        <f>L55*AM55</f>
        <v>0</v>
      </c>
      <c r="AO55" s="47">
        <f>B55</f>
        <v>0</v>
      </c>
      <c r="AP55" s="47">
        <f>A55</f>
        <v>0</v>
      </c>
      <c r="AQ55" s="62" t="s">
        <v>311</v>
      </c>
      <c r="AR55" s="508" t="str" cm="1">
        <f t="array" aca="1" ref="AR55" ca="1">IF(OR(AO55="",AO55=0),"",IF(SUMPRODUCT(($B$38:$B$87=AO55)*($R$38:$R$87="Previsto")*($T$37:$AH$37&lt;EOMONTH(TODAY(),-1)+1)*($T$38:$AH$87))=0,"",SUMPRODUCT(($B$38:$B$87=AO55)*($R$38:$R$87="Previsto")*($T$37:$AH$37&lt;EOMONTH(TODAY(),-1)+1)*($T$38:$AH$87))))</f>
        <v/>
      </c>
    </row>
    <row r="56" spans="1:44" ht="29.1" customHeight="1" x14ac:dyDescent="0.3">
      <c r="A56" s="1381"/>
      <c r="B56" s="1483"/>
      <c r="C56" s="1487"/>
      <c r="D56" s="1369"/>
      <c r="E56" s="1369"/>
      <c r="F56" s="1373"/>
      <c r="G56" s="1373"/>
      <c r="H56" s="1406"/>
      <c r="I56" s="1377"/>
      <c r="J56" s="1390"/>
      <c r="K56" s="1355"/>
      <c r="L56" s="1392"/>
      <c r="M56" s="1392"/>
      <c r="N56" s="1460"/>
      <c r="O56" s="1355"/>
      <c r="P56" s="1355"/>
      <c r="Q56" s="1328"/>
      <c r="R56" s="91" t="s">
        <v>117</v>
      </c>
      <c r="S56" s="455">
        <v>0</v>
      </c>
      <c r="T56" s="287"/>
      <c r="U56" s="287"/>
      <c r="V56" s="287"/>
      <c r="W56" s="440">
        <f t="shared" ref="W56" si="104">SUM(T56:V56)</f>
        <v>0</v>
      </c>
      <c r="X56" s="287"/>
      <c r="Y56" s="287"/>
      <c r="Z56" s="287"/>
      <c r="AA56" s="440">
        <f t="shared" ref="AA56" si="105">SUM(X56:Z56)</f>
        <v>0</v>
      </c>
      <c r="AB56" s="287"/>
      <c r="AC56" s="287"/>
      <c r="AD56" s="287"/>
      <c r="AE56" s="440">
        <f t="shared" ref="AE56" si="106">SUM(AB56:AD56)</f>
        <v>0</v>
      </c>
      <c r="AF56" s="287"/>
      <c r="AG56" s="287"/>
      <c r="AH56" s="287"/>
      <c r="AI56" s="440">
        <f t="shared" ref="AI56" si="107">SUM(AF56:AH56)</f>
        <v>0</v>
      </c>
      <c r="AJ56" s="454">
        <f t="shared" ref="AJ56" si="108">SUM(T56:V56,X56:Z56,AB56:AD56,AF56:AH56)</f>
        <v>0</v>
      </c>
      <c r="AK56" s="1355"/>
      <c r="AL56" s="1371"/>
      <c r="AM56" s="1412"/>
      <c r="AN56" s="1406"/>
      <c r="AO56" s="47">
        <f>B55</f>
        <v>0</v>
      </c>
      <c r="AP56" s="47">
        <f>A55</f>
        <v>0</v>
      </c>
      <c r="AQ56" s="62" t="s">
        <v>313</v>
      </c>
      <c r="AR56" s="508" t="str" cm="1">
        <f t="array" aca="1" ref="AR56" ca="1">IF(OR(AO55="",AO55=0),"",IF(SUMPRODUCT(($B$38:$B$87=AO55)*(ISNUMBER(SEARCH("Real",$Q$39:$Q$88)))*($T$37:$AH$37&lt;EOMONTH(TODAY(),-1)+1)*($T$39:$AH$88))=0,"",SUMPRODUCT(($B$38:$B$87=AO55)*(ISNUMBER(SEARCH("Real",$Q$39:$Q$88)))*($T$37:$AH$37&lt;EOMONTH(TODAY(),-1)+1)*($T$39:$AH$88))))</f>
        <v/>
      </c>
    </row>
    <row r="57" spans="1:44" ht="29.1" customHeight="1" x14ac:dyDescent="0.3">
      <c r="A57" s="1407"/>
      <c r="B57" s="1465"/>
      <c r="C57" s="1356"/>
      <c r="D57" s="1449"/>
      <c r="E57" s="1449"/>
      <c r="F57" s="1366"/>
      <c r="G57" s="1366"/>
      <c r="H57" s="1488"/>
      <c r="I57" s="1749"/>
      <c r="J57" s="1387" t="str">
        <f t="shared" ref="J57" si="109">IF(I57="", "", 12 - MONTH(I57) + 1)</f>
        <v/>
      </c>
      <c r="K57" s="1395"/>
      <c r="L57" s="1393"/>
      <c r="M57" s="2155"/>
      <c r="N57" s="1352"/>
      <c r="O57" s="1352"/>
      <c r="P57" s="1352"/>
      <c r="Q57" s="1334"/>
      <c r="R57" s="96" t="s">
        <v>116</v>
      </c>
      <c r="S57" s="96">
        <v>0</v>
      </c>
      <c r="T57" s="498">
        <f>IFERROR(IF(AND(T$20&gt;=EOMONTH($I57,-1)+1,T$20&lt;=EOMONTH(EOMONTH($I57,-1)+1,$J57-1)),IF(NOT(ISBLANK($M57)),$M57/$J57,$H57/$J57),0),0)</f>
        <v>0</v>
      </c>
      <c r="U57" s="498">
        <f t="shared" ref="U57:AH59" si="110">IFERROR(IF(AND(U$20&gt;=EOMONTH($I57,-1)+1,U$20&lt;=EOMONTH(EOMONTH($I57,-1)+1,$J57-1)),IF(NOT(ISBLANK($M57)),$M57/$J57,$H57/$J57),0),0)</f>
        <v>0</v>
      </c>
      <c r="V57" s="498">
        <f t="shared" si="110"/>
        <v>0</v>
      </c>
      <c r="W57" s="440">
        <f>SUM(T57:V57)</f>
        <v>0</v>
      </c>
      <c r="X57" s="498">
        <f t="shared" si="110"/>
        <v>0</v>
      </c>
      <c r="Y57" s="498">
        <f t="shared" si="110"/>
        <v>0</v>
      </c>
      <c r="Z57" s="498">
        <f t="shared" si="110"/>
        <v>0</v>
      </c>
      <c r="AA57" s="440">
        <f>SUM(X57:Z57)</f>
        <v>0</v>
      </c>
      <c r="AB57" s="498">
        <f t="shared" si="110"/>
        <v>0</v>
      </c>
      <c r="AC57" s="498">
        <f t="shared" si="110"/>
        <v>0</v>
      </c>
      <c r="AD57" s="498">
        <f t="shared" si="110"/>
        <v>0</v>
      </c>
      <c r="AE57" s="440">
        <f>SUM(AB57:AD57)</f>
        <v>0</v>
      </c>
      <c r="AF57" s="498">
        <f t="shared" si="110"/>
        <v>0</v>
      </c>
      <c r="AG57" s="498">
        <f t="shared" si="110"/>
        <v>0</v>
      </c>
      <c r="AH57" s="498">
        <f t="shared" si="110"/>
        <v>0</v>
      </c>
      <c r="AI57" s="440">
        <f>SUM(AF57:AH57)</f>
        <v>0</v>
      </c>
      <c r="AJ57" s="1020">
        <f>SUM(T57:V57,X57:Z57,AB57:AD57,AF57:AH57)</f>
        <v>0</v>
      </c>
      <c r="AK57" s="1488"/>
      <c r="AL57" s="1407"/>
      <c r="AM57" s="1334"/>
      <c r="AN57" s="1403">
        <f>L57*AM57</f>
        <v>0</v>
      </c>
      <c r="AO57" s="47">
        <f>B57</f>
        <v>0</v>
      </c>
      <c r="AP57" s="47">
        <f>A57</f>
        <v>0</v>
      </c>
      <c r="AQ57" s="62" t="s">
        <v>311</v>
      </c>
      <c r="AR57" s="508" t="str" cm="1">
        <f t="array" aca="1" ref="AR57" ca="1">IF(OR(AO57="",AO57=0),"",IF(SUMPRODUCT(($B$38:$B$87=AO57)*($R$38:$R$87="Previsto")*($T$37:$AH$37&lt;EOMONTH(TODAY(),-1)+1)*($T$38:$AH$87))=0,"",SUMPRODUCT(($B$38:$B$87=AO57)*($R$38:$R$87="Previsto")*($T$37:$AH$37&lt;EOMONTH(TODAY(),-1)+1)*($T$38:$AH$87))))</f>
        <v/>
      </c>
    </row>
    <row r="58" spans="1:44" ht="29.1" customHeight="1" x14ac:dyDescent="0.3">
      <c r="A58" s="1408"/>
      <c r="B58" s="1466"/>
      <c r="C58" s="1455"/>
      <c r="D58" s="1450"/>
      <c r="E58" s="1450"/>
      <c r="F58" s="1513"/>
      <c r="G58" s="1513"/>
      <c r="H58" s="1367"/>
      <c r="I58" s="1750"/>
      <c r="J58" s="1388"/>
      <c r="K58" s="1396"/>
      <c r="L58" s="1394"/>
      <c r="M58" s="2156"/>
      <c r="N58" s="1353"/>
      <c r="O58" s="1353"/>
      <c r="P58" s="1353"/>
      <c r="Q58" s="1330"/>
      <c r="R58" s="96" t="s">
        <v>117</v>
      </c>
      <c r="S58" s="456">
        <v>0</v>
      </c>
      <c r="T58" s="457"/>
      <c r="U58" s="457"/>
      <c r="V58" s="290"/>
      <c r="W58" s="440">
        <f t="shared" ref="W58" si="111">SUM(T58:V58)</f>
        <v>0</v>
      </c>
      <c r="X58" s="457"/>
      <c r="Y58" s="457"/>
      <c r="Z58" s="290"/>
      <c r="AA58" s="440">
        <f t="shared" ref="AA58" si="112">SUM(X58:Z58)</f>
        <v>0</v>
      </c>
      <c r="AB58" s="457"/>
      <c r="AC58" s="457"/>
      <c r="AD58" s="290"/>
      <c r="AE58" s="440">
        <f t="shared" ref="AE58" si="113">SUM(AB58:AD58)</f>
        <v>0</v>
      </c>
      <c r="AF58" s="457"/>
      <c r="AG58" s="457"/>
      <c r="AH58" s="290"/>
      <c r="AI58" s="440">
        <f t="shared" ref="AI58" si="114">SUM(AF58:AH58)</f>
        <v>0</v>
      </c>
      <c r="AJ58" s="94">
        <f t="shared" ref="AJ58" si="115">SUM(T58:V58,X58:Z58,AB58:AD58,AF58:AH58)</f>
        <v>0</v>
      </c>
      <c r="AK58" s="1367"/>
      <c r="AL58" s="1408"/>
      <c r="AM58" s="1330"/>
      <c r="AN58" s="1404"/>
      <c r="AO58" s="47">
        <f>B57</f>
        <v>0</v>
      </c>
      <c r="AP58" s="47">
        <f>A57</f>
        <v>0</v>
      </c>
      <c r="AQ58" s="62" t="s">
        <v>313</v>
      </c>
      <c r="AR58" s="508" t="str" cm="1">
        <f t="array" aca="1" ref="AR58" ca="1">IF(OR(AO57="",AO57=0),"",IF(SUMPRODUCT(($B$38:$B$87=AO57)*(ISNUMBER(SEARCH("Real",$Q$39:$Q$88)))*($T$37:$AH$37&lt;EOMONTH(TODAY(),-1)+1)*($T$39:$AH$88))=0,"",SUMPRODUCT(($B$38:$B$87=AO57)*(ISNUMBER(SEARCH("Real",$Q$39:$Q$88)))*($T$37:$AH$37&lt;EOMONTH(TODAY(),-1)+1)*($T$39:$AH$88))))</f>
        <v/>
      </c>
    </row>
    <row r="59" spans="1:44" ht="29.1" customHeight="1" x14ac:dyDescent="0.3">
      <c r="A59" s="1380"/>
      <c r="B59" s="1482"/>
      <c r="C59" s="1486"/>
      <c r="D59" s="1368"/>
      <c r="E59" s="1368"/>
      <c r="F59" s="1372"/>
      <c r="G59" s="1372"/>
      <c r="H59" s="1405"/>
      <c r="I59" s="1376"/>
      <c r="J59" s="1389" t="str">
        <f t="shared" ref="J59" si="116">IF(I59="", "", 12 - MONTH(I59) + 1)</f>
        <v/>
      </c>
      <c r="K59" s="1354"/>
      <c r="L59" s="1861"/>
      <c r="M59" s="1861"/>
      <c r="N59" s="1350"/>
      <c r="O59" s="1354"/>
      <c r="P59" s="1354"/>
      <c r="Q59" s="1327"/>
      <c r="R59" s="91" t="s">
        <v>116</v>
      </c>
      <c r="S59" s="91">
        <v>0</v>
      </c>
      <c r="T59" s="287">
        <f>IFERROR(IF(AND(T$20&gt;=EOMONTH($I59,-1)+1,T$20&lt;=EOMONTH(EOMONTH($I59,-1)+1,$J59-1)),IF(NOT(ISBLANK($M59)),$M59/$J59,$H59/$J59),0),0)</f>
        <v>0</v>
      </c>
      <c r="U59" s="287">
        <f t="shared" si="110"/>
        <v>0</v>
      </c>
      <c r="V59" s="287">
        <f t="shared" si="110"/>
        <v>0</v>
      </c>
      <c r="W59" s="440">
        <f>SUM(T59:V59)</f>
        <v>0</v>
      </c>
      <c r="X59" s="287">
        <f t="shared" si="110"/>
        <v>0</v>
      </c>
      <c r="Y59" s="287">
        <f t="shared" si="110"/>
        <v>0</v>
      </c>
      <c r="Z59" s="287">
        <f t="shared" si="110"/>
        <v>0</v>
      </c>
      <c r="AA59" s="440">
        <f>SUM(X59:Z59)</f>
        <v>0</v>
      </c>
      <c r="AB59" s="287">
        <f t="shared" si="110"/>
        <v>0</v>
      </c>
      <c r="AC59" s="287">
        <f t="shared" si="110"/>
        <v>0</v>
      </c>
      <c r="AD59" s="287">
        <f t="shared" si="110"/>
        <v>0</v>
      </c>
      <c r="AE59" s="440">
        <f>SUM(AB59:AD59)</f>
        <v>0</v>
      </c>
      <c r="AF59" s="287">
        <f t="shared" si="110"/>
        <v>0</v>
      </c>
      <c r="AG59" s="287">
        <f t="shared" si="110"/>
        <v>0</v>
      </c>
      <c r="AH59" s="287">
        <f t="shared" si="110"/>
        <v>0</v>
      </c>
      <c r="AI59" s="440">
        <f>SUM(AF59:AH59)</f>
        <v>0</v>
      </c>
      <c r="AJ59" s="116">
        <f>SUM(T59:V59,X59:Z59,AB59:AD59,AF59:AH59)</f>
        <v>0</v>
      </c>
      <c r="AK59" s="1354"/>
      <c r="AL59" s="1370"/>
      <c r="AM59" s="1411"/>
      <c r="AN59" s="1405">
        <f>L59*AM59</f>
        <v>0</v>
      </c>
      <c r="AO59" s="47">
        <f>B59</f>
        <v>0</v>
      </c>
      <c r="AP59" s="47">
        <f>A59</f>
        <v>0</v>
      </c>
      <c r="AQ59" s="62" t="s">
        <v>311</v>
      </c>
      <c r="AR59" s="508" t="str" cm="1">
        <f t="array" aca="1" ref="AR59" ca="1">IF(OR(AO59="",AO59=0),"",IF(SUMPRODUCT(($B$38:$B$87=AO59)*($R$38:$R$87="Previsto")*($T$37:$AH$37&lt;EOMONTH(TODAY(),-1)+1)*($T$38:$AH$87))=0,"",SUMPRODUCT(($B$38:$B$87=AO59)*($R$38:$R$87="Previsto")*($T$37:$AH$37&lt;EOMONTH(TODAY(),-1)+1)*($T$38:$AH$87))))</f>
        <v/>
      </c>
    </row>
    <row r="60" spans="1:44" ht="29.1" customHeight="1" x14ac:dyDescent="0.3">
      <c r="A60" s="1381"/>
      <c r="B60" s="1483"/>
      <c r="C60" s="1487"/>
      <c r="D60" s="1369"/>
      <c r="E60" s="1369"/>
      <c r="F60" s="1373"/>
      <c r="G60" s="1373"/>
      <c r="H60" s="1406"/>
      <c r="I60" s="1377"/>
      <c r="J60" s="1390"/>
      <c r="K60" s="1355"/>
      <c r="L60" s="1392"/>
      <c r="M60" s="1392"/>
      <c r="N60" s="1460"/>
      <c r="O60" s="1355"/>
      <c r="P60" s="1355"/>
      <c r="Q60" s="1328"/>
      <c r="R60" s="91" t="s">
        <v>117</v>
      </c>
      <c r="S60" s="455">
        <v>0</v>
      </c>
      <c r="T60" s="287"/>
      <c r="U60" s="287"/>
      <c r="V60" s="287"/>
      <c r="W60" s="440">
        <f t="shared" ref="W60" si="117">SUM(T60:V60)</f>
        <v>0</v>
      </c>
      <c r="X60" s="287"/>
      <c r="Y60" s="287"/>
      <c r="Z60" s="287"/>
      <c r="AA60" s="440">
        <f t="shared" ref="AA60" si="118">SUM(X60:Z60)</f>
        <v>0</v>
      </c>
      <c r="AB60" s="287"/>
      <c r="AC60" s="287"/>
      <c r="AD60" s="287"/>
      <c r="AE60" s="440">
        <f t="shared" ref="AE60" si="119">SUM(AB60:AD60)</f>
        <v>0</v>
      </c>
      <c r="AF60" s="287"/>
      <c r="AG60" s="287"/>
      <c r="AH60" s="287"/>
      <c r="AI60" s="440">
        <f t="shared" ref="AI60" si="120">SUM(AF60:AH60)</f>
        <v>0</v>
      </c>
      <c r="AJ60" s="454">
        <f t="shared" ref="AJ60" si="121">SUM(T60:V60,X60:Z60,AB60:AD60,AF60:AH60)</f>
        <v>0</v>
      </c>
      <c r="AK60" s="1355"/>
      <c r="AL60" s="1371"/>
      <c r="AM60" s="1412"/>
      <c r="AN60" s="1406"/>
      <c r="AO60" s="47">
        <f>B59</f>
        <v>0</v>
      </c>
      <c r="AP60" s="47">
        <f>A59</f>
        <v>0</v>
      </c>
      <c r="AQ60" s="62" t="s">
        <v>313</v>
      </c>
      <c r="AR60" s="508" t="str" cm="1">
        <f t="array" aca="1" ref="AR60" ca="1">IF(OR(AO59="",AO59=0),"",IF(SUMPRODUCT(($B$38:$B$87=AO59)*(ISNUMBER(SEARCH("Real",$Q$39:$Q$88)))*($T$37:$AH$37&lt;EOMONTH(TODAY(),-1)+1)*($T$39:$AH$88))=0,"",SUMPRODUCT(($B$38:$B$87=AO59)*(ISNUMBER(SEARCH("Real",$Q$39:$Q$88)))*($T$37:$AH$37&lt;EOMONTH(TODAY(),-1)+1)*($T$39:$AH$88))))</f>
        <v/>
      </c>
    </row>
    <row r="61" spans="1:44" ht="29.1" customHeight="1" x14ac:dyDescent="0.3">
      <c r="A61" s="1407"/>
      <c r="B61" s="1465"/>
      <c r="C61" s="1356"/>
      <c r="D61" s="1449"/>
      <c r="E61" s="1449"/>
      <c r="F61" s="1366"/>
      <c r="G61" s="1366"/>
      <c r="H61" s="1488"/>
      <c r="I61" s="1749"/>
      <c r="J61" s="1387" t="str">
        <f t="shared" ref="J61" si="122">IF(I61="", "", 12 - MONTH(I61) + 1)</f>
        <v/>
      </c>
      <c r="K61" s="1395"/>
      <c r="L61" s="1393"/>
      <c r="M61" s="2155"/>
      <c r="N61" s="1352"/>
      <c r="O61" s="1352"/>
      <c r="P61" s="1352"/>
      <c r="Q61" s="1334"/>
      <c r="R61" s="96" t="s">
        <v>116</v>
      </c>
      <c r="S61" s="96">
        <v>0</v>
      </c>
      <c r="T61" s="498">
        <f>IFERROR(IF(AND(T$20&gt;=EOMONTH($I61,-1)+1,T$20&lt;=EOMONTH(EOMONTH($I61,-1)+1,$J61-1)),IF(NOT(ISBLANK($M61)),$M61/$J61,$H61/$J61),0),0)</f>
        <v>0</v>
      </c>
      <c r="U61" s="498">
        <f t="shared" ref="U61:AH63" si="123">IFERROR(IF(AND(U$20&gt;=EOMONTH($I61,-1)+1,U$20&lt;=EOMONTH(EOMONTH($I61,-1)+1,$J61-1)),IF(NOT(ISBLANK($M61)),$M61/$J61,$H61/$J61),0),0)</f>
        <v>0</v>
      </c>
      <c r="V61" s="498">
        <f t="shared" si="123"/>
        <v>0</v>
      </c>
      <c r="W61" s="440">
        <f>SUM(T61:V61)</f>
        <v>0</v>
      </c>
      <c r="X61" s="498">
        <f t="shared" si="123"/>
        <v>0</v>
      </c>
      <c r="Y61" s="498">
        <f t="shared" si="123"/>
        <v>0</v>
      </c>
      <c r="Z61" s="498">
        <f t="shared" si="123"/>
        <v>0</v>
      </c>
      <c r="AA61" s="440">
        <f>SUM(X61:Z61)</f>
        <v>0</v>
      </c>
      <c r="AB61" s="498">
        <f t="shared" si="123"/>
        <v>0</v>
      </c>
      <c r="AC61" s="498">
        <f t="shared" si="123"/>
        <v>0</v>
      </c>
      <c r="AD61" s="498">
        <f t="shared" si="123"/>
        <v>0</v>
      </c>
      <c r="AE61" s="440">
        <f>SUM(AB61:AD61)</f>
        <v>0</v>
      </c>
      <c r="AF61" s="498">
        <f t="shared" si="123"/>
        <v>0</v>
      </c>
      <c r="AG61" s="498">
        <f t="shared" si="123"/>
        <v>0</v>
      </c>
      <c r="AH61" s="498">
        <f t="shared" si="123"/>
        <v>0</v>
      </c>
      <c r="AI61" s="440">
        <f>SUM(AF61:AH61)</f>
        <v>0</v>
      </c>
      <c r="AJ61" s="1020">
        <f>SUM(T61:V61,X61:Z61,AB61:AD61,AF61:AH61)</f>
        <v>0</v>
      </c>
      <c r="AK61" s="1488"/>
      <c r="AL61" s="1407"/>
      <c r="AM61" s="1334"/>
      <c r="AN61" s="1403">
        <f>L61*AM61</f>
        <v>0</v>
      </c>
      <c r="AO61" s="47">
        <f>B61</f>
        <v>0</v>
      </c>
      <c r="AP61" s="47">
        <f>A61</f>
        <v>0</v>
      </c>
      <c r="AQ61" s="62" t="s">
        <v>311</v>
      </c>
      <c r="AR61" s="508" t="str" cm="1">
        <f t="array" aca="1" ref="AR61" ca="1">IF(OR(AO61="",AO61=0),"",IF(SUMPRODUCT(($B$38:$B$87=AO61)*($R$38:$R$87="Previsto")*($T$37:$AH$37&lt;EOMONTH(TODAY(),-1)+1)*($T$38:$AH$87))=0,"",SUMPRODUCT(($B$38:$B$87=AO61)*($R$38:$R$87="Previsto")*($T$37:$AH$37&lt;EOMONTH(TODAY(),-1)+1)*($T$38:$AH$87))))</f>
        <v/>
      </c>
    </row>
    <row r="62" spans="1:44" ht="29.1" customHeight="1" x14ac:dyDescent="0.3">
      <c r="A62" s="1408"/>
      <c r="B62" s="1466"/>
      <c r="C62" s="1455"/>
      <c r="D62" s="1450"/>
      <c r="E62" s="1450"/>
      <c r="F62" s="1513"/>
      <c r="G62" s="1513"/>
      <c r="H62" s="1367"/>
      <c r="I62" s="1750"/>
      <c r="J62" s="1388"/>
      <c r="K62" s="1396"/>
      <c r="L62" s="1394"/>
      <c r="M62" s="2156"/>
      <c r="N62" s="1353"/>
      <c r="O62" s="1353"/>
      <c r="P62" s="1353"/>
      <c r="Q62" s="1330"/>
      <c r="R62" s="96" t="s">
        <v>117</v>
      </c>
      <c r="S62" s="456">
        <v>0</v>
      </c>
      <c r="T62" s="457"/>
      <c r="U62" s="457"/>
      <c r="V62" s="290"/>
      <c r="W62" s="440">
        <f t="shared" ref="W62" si="124">SUM(T62:V62)</f>
        <v>0</v>
      </c>
      <c r="X62" s="457"/>
      <c r="Y62" s="457"/>
      <c r="Z62" s="290"/>
      <c r="AA62" s="440">
        <f t="shared" ref="AA62" si="125">SUM(X62:Z62)</f>
        <v>0</v>
      </c>
      <c r="AB62" s="457"/>
      <c r="AC62" s="457"/>
      <c r="AD62" s="290"/>
      <c r="AE62" s="440">
        <f t="shared" ref="AE62" si="126">SUM(AB62:AD62)</f>
        <v>0</v>
      </c>
      <c r="AF62" s="457"/>
      <c r="AG62" s="457"/>
      <c r="AH62" s="290"/>
      <c r="AI62" s="440">
        <f t="shared" ref="AI62" si="127">SUM(AF62:AH62)</f>
        <v>0</v>
      </c>
      <c r="AJ62" s="94">
        <f t="shared" ref="AJ62" si="128">SUM(T62:V62,X62:Z62,AB62:AD62,AF62:AH62)</f>
        <v>0</v>
      </c>
      <c r="AK62" s="1367"/>
      <c r="AL62" s="1408"/>
      <c r="AM62" s="1330"/>
      <c r="AN62" s="1404"/>
      <c r="AO62" s="47">
        <f>B61</f>
        <v>0</v>
      </c>
      <c r="AP62" s="47">
        <f>A61</f>
        <v>0</v>
      </c>
      <c r="AQ62" s="62" t="s">
        <v>313</v>
      </c>
      <c r="AR62" s="508" t="str" cm="1">
        <f t="array" aca="1" ref="AR62" ca="1">IF(OR(AO61="",AO61=0),"",IF(SUMPRODUCT(($B$38:$B$87=AO61)*(ISNUMBER(SEARCH("Real",$Q$39:$Q$88)))*($T$37:$AH$37&lt;EOMONTH(TODAY(),-1)+1)*($T$39:$AH$88))=0,"",SUMPRODUCT(($B$38:$B$87=AO61)*(ISNUMBER(SEARCH("Real",$Q$39:$Q$88)))*($T$37:$AH$37&lt;EOMONTH(TODAY(),-1)+1)*($T$39:$AH$88))))</f>
        <v/>
      </c>
    </row>
    <row r="63" spans="1:44" ht="29.1" customHeight="1" x14ac:dyDescent="0.3">
      <c r="A63" s="1380"/>
      <c r="B63" s="1482"/>
      <c r="C63" s="1486"/>
      <c r="D63" s="1368"/>
      <c r="E63" s="1368"/>
      <c r="F63" s="1372"/>
      <c r="G63" s="1372"/>
      <c r="H63" s="1405"/>
      <c r="I63" s="1376"/>
      <c r="J63" s="1389" t="str">
        <f t="shared" ref="J63" si="129">IF(I63="", "", 12 - MONTH(I63) + 1)</f>
        <v/>
      </c>
      <c r="K63" s="1354"/>
      <c r="L63" s="1861"/>
      <c r="M63" s="1861"/>
      <c r="N63" s="1350"/>
      <c r="O63" s="1354"/>
      <c r="P63" s="1354"/>
      <c r="Q63" s="1327"/>
      <c r="R63" s="91" t="s">
        <v>116</v>
      </c>
      <c r="S63" s="91">
        <v>0</v>
      </c>
      <c r="T63" s="287">
        <f>IFERROR(IF(AND(T$20&gt;=EOMONTH($I63,-1)+1,T$20&lt;=EOMONTH(EOMONTH($I63,-1)+1,$J63-1)),IF(NOT(ISBLANK($M63)),$M63/$J63,$H63/$J63),0),0)</f>
        <v>0</v>
      </c>
      <c r="U63" s="287">
        <f t="shared" si="123"/>
        <v>0</v>
      </c>
      <c r="V63" s="287">
        <f t="shared" si="123"/>
        <v>0</v>
      </c>
      <c r="W63" s="440">
        <f>SUM(T63:V63)</f>
        <v>0</v>
      </c>
      <c r="X63" s="287">
        <f t="shared" si="123"/>
        <v>0</v>
      </c>
      <c r="Y63" s="287">
        <f t="shared" si="123"/>
        <v>0</v>
      </c>
      <c r="Z63" s="287">
        <f t="shared" si="123"/>
        <v>0</v>
      </c>
      <c r="AA63" s="440">
        <f>SUM(X63:Z63)</f>
        <v>0</v>
      </c>
      <c r="AB63" s="287">
        <f t="shared" si="123"/>
        <v>0</v>
      </c>
      <c r="AC63" s="287">
        <f t="shared" si="123"/>
        <v>0</v>
      </c>
      <c r="AD63" s="287">
        <f t="shared" si="123"/>
        <v>0</v>
      </c>
      <c r="AE63" s="440">
        <f>SUM(AB63:AD63)</f>
        <v>0</v>
      </c>
      <c r="AF63" s="287">
        <f t="shared" si="123"/>
        <v>0</v>
      </c>
      <c r="AG63" s="287">
        <f t="shared" si="123"/>
        <v>0</v>
      </c>
      <c r="AH63" s="287">
        <f t="shared" si="123"/>
        <v>0</v>
      </c>
      <c r="AI63" s="440">
        <f>SUM(AF63:AH63)</f>
        <v>0</v>
      </c>
      <c r="AJ63" s="116">
        <f>SUM(T63:V63,X63:Z63,AB63:AD63,AF63:AH63)</f>
        <v>0</v>
      </c>
      <c r="AK63" s="1354"/>
      <c r="AL63" s="1370"/>
      <c r="AM63" s="1411"/>
      <c r="AN63" s="1405">
        <f>L63*AM63</f>
        <v>0</v>
      </c>
      <c r="AO63" s="47">
        <f>B63</f>
        <v>0</v>
      </c>
      <c r="AP63" s="47">
        <f>A63</f>
        <v>0</v>
      </c>
      <c r="AQ63" s="62" t="s">
        <v>311</v>
      </c>
      <c r="AR63" s="508" t="str" cm="1">
        <f t="array" aca="1" ref="AR63" ca="1">IF(OR(AO63="",AO63=0),"",IF(SUMPRODUCT(($B$38:$B$87=AO63)*($R$38:$R$87="Previsto")*($T$37:$AH$37&lt;EOMONTH(TODAY(),-1)+1)*($T$38:$AH$87))=0,"",SUMPRODUCT(($B$38:$B$87=AO63)*($R$38:$R$87="Previsto")*($T$37:$AH$37&lt;EOMONTH(TODAY(),-1)+1)*($T$38:$AH$87))))</f>
        <v/>
      </c>
    </row>
    <row r="64" spans="1:44" ht="29.1" customHeight="1" x14ac:dyDescent="0.3">
      <c r="A64" s="1381"/>
      <c r="B64" s="1483"/>
      <c r="C64" s="1487"/>
      <c r="D64" s="1369"/>
      <c r="E64" s="1369"/>
      <c r="F64" s="1373"/>
      <c r="G64" s="1373"/>
      <c r="H64" s="1406"/>
      <c r="I64" s="1377"/>
      <c r="J64" s="1390"/>
      <c r="K64" s="1355"/>
      <c r="L64" s="1392"/>
      <c r="M64" s="1392"/>
      <c r="N64" s="1460"/>
      <c r="O64" s="1355"/>
      <c r="P64" s="1355"/>
      <c r="Q64" s="1328"/>
      <c r="R64" s="91" t="s">
        <v>117</v>
      </c>
      <c r="S64" s="455">
        <v>0</v>
      </c>
      <c r="T64" s="287"/>
      <c r="U64" s="287"/>
      <c r="V64" s="287"/>
      <c r="W64" s="440">
        <f t="shared" ref="W64" si="130">SUM(T64:V64)</f>
        <v>0</v>
      </c>
      <c r="X64" s="287"/>
      <c r="Y64" s="287"/>
      <c r="Z64" s="287"/>
      <c r="AA64" s="440">
        <f t="shared" ref="AA64" si="131">SUM(X64:Z64)</f>
        <v>0</v>
      </c>
      <c r="AB64" s="287"/>
      <c r="AC64" s="287"/>
      <c r="AD64" s="287"/>
      <c r="AE64" s="440">
        <f t="shared" ref="AE64" si="132">SUM(AB64:AD64)</f>
        <v>0</v>
      </c>
      <c r="AF64" s="287"/>
      <c r="AG64" s="287"/>
      <c r="AH64" s="287"/>
      <c r="AI64" s="440">
        <f t="shared" ref="AI64" si="133">SUM(AF64:AH64)</f>
        <v>0</v>
      </c>
      <c r="AJ64" s="454">
        <f t="shared" ref="AJ64" si="134">SUM(T64:V64,X64:Z64,AB64:AD64,AF64:AH64)</f>
        <v>0</v>
      </c>
      <c r="AK64" s="1355"/>
      <c r="AL64" s="1371"/>
      <c r="AM64" s="1412"/>
      <c r="AN64" s="1406"/>
      <c r="AO64" s="47">
        <f>B63</f>
        <v>0</v>
      </c>
      <c r="AP64" s="47">
        <f>A63</f>
        <v>0</v>
      </c>
      <c r="AQ64" s="62" t="s">
        <v>313</v>
      </c>
      <c r="AR64" s="508" t="str" cm="1">
        <f t="array" aca="1" ref="AR64" ca="1">IF(OR(AO63="",AO63=0),"",IF(SUMPRODUCT(($B$38:$B$87=AO63)*(ISNUMBER(SEARCH("Real",$Q$39:$Q$88)))*($T$37:$AH$37&lt;EOMONTH(TODAY(),-1)+1)*($T$39:$AH$88))=0,"",SUMPRODUCT(($B$38:$B$87=AO63)*(ISNUMBER(SEARCH("Real",$Q$39:$Q$88)))*($T$37:$AH$37&lt;EOMONTH(TODAY(),-1)+1)*($T$39:$AH$88))))</f>
        <v/>
      </c>
    </row>
    <row r="65" spans="1:44" ht="29.1" customHeight="1" x14ac:dyDescent="0.3">
      <c r="A65" s="1407"/>
      <c r="B65" s="1465"/>
      <c r="C65" s="1356"/>
      <c r="D65" s="1449"/>
      <c r="E65" s="1449"/>
      <c r="F65" s="1366"/>
      <c r="G65" s="1366"/>
      <c r="H65" s="1488"/>
      <c r="I65" s="1749"/>
      <c r="J65" s="1387" t="str">
        <f t="shared" ref="J65" si="135">IF(I65="", "", 12 - MONTH(I65) + 1)</f>
        <v/>
      </c>
      <c r="K65" s="1395"/>
      <c r="L65" s="1393"/>
      <c r="M65" s="2155"/>
      <c r="N65" s="1352"/>
      <c r="O65" s="1352"/>
      <c r="P65" s="1352"/>
      <c r="Q65" s="1334"/>
      <c r="R65" s="96" t="s">
        <v>116</v>
      </c>
      <c r="S65" s="96">
        <v>0</v>
      </c>
      <c r="T65" s="498">
        <f>IFERROR(IF(AND(T$20&gt;=EOMONTH($I65,-1)+1,T$20&lt;=EOMONTH(EOMONTH($I65,-1)+1,$J65-1)),IF(NOT(ISBLANK($M65)),$M65/$J65,$H65/$J65),0),0)</f>
        <v>0</v>
      </c>
      <c r="U65" s="498">
        <f t="shared" ref="U65:AH69" si="136">IFERROR(IF(AND(U$20&gt;=EOMONTH($I65,-1)+1,U$20&lt;=EOMONTH(EOMONTH($I65,-1)+1,$J65-1)),IF(NOT(ISBLANK($M65)),$M65/$J65,$H65/$J65),0),0)</f>
        <v>0</v>
      </c>
      <c r="V65" s="498">
        <f t="shared" si="136"/>
        <v>0</v>
      </c>
      <c r="W65" s="440">
        <f>SUM(T65:V65)</f>
        <v>0</v>
      </c>
      <c r="X65" s="498">
        <f t="shared" si="136"/>
        <v>0</v>
      </c>
      <c r="Y65" s="498">
        <f t="shared" si="136"/>
        <v>0</v>
      </c>
      <c r="Z65" s="498">
        <f t="shared" si="136"/>
        <v>0</v>
      </c>
      <c r="AA65" s="440">
        <f>SUM(X65:Z65)</f>
        <v>0</v>
      </c>
      <c r="AB65" s="498">
        <f t="shared" si="136"/>
        <v>0</v>
      </c>
      <c r="AC65" s="498">
        <f t="shared" si="136"/>
        <v>0</v>
      </c>
      <c r="AD65" s="498">
        <f t="shared" si="136"/>
        <v>0</v>
      </c>
      <c r="AE65" s="440">
        <f>SUM(AB65:AD65)</f>
        <v>0</v>
      </c>
      <c r="AF65" s="498">
        <f t="shared" si="136"/>
        <v>0</v>
      </c>
      <c r="AG65" s="498">
        <f t="shared" si="136"/>
        <v>0</v>
      </c>
      <c r="AH65" s="498">
        <f t="shared" si="136"/>
        <v>0</v>
      </c>
      <c r="AI65" s="440">
        <f>SUM(AF65:AH65)</f>
        <v>0</v>
      </c>
      <c r="AJ65" s="1020">
        <f>SUM(T65:V65,X65:Z65,AB65:AD65,AF65:AH65)</f>
        <v>0</v>
      </c>
      <c r="AK65" s="1488"/>
      <c r="AL65" s="1407"/>
      <c r="AM65" s="1334"/>
      <c r="AN65" s="1403">
        <f>L65*AM65</f>
        <v>0</v>
      </c>
      <c r="AO65" s="47">
        <f>B65</f>
        <v>0</v>
      </c>
      <c r="AP65" s="47">
        <f>A65</f>
        <v>0</v>
      </c>
      <c r="AQ65" s="62" t="s">
        <v>311</v>
      </c>
      <c r="AR65" s="508" t="str" cm="1">
        <f t="array" aca="1" ref="AR65" ca="1">IF(OR(AO65="",AO65=0),"",IF(SUMPRODUCT(($B$38:$B$87=AO65)*($R$38:$R$87="Previsto")*($T$37:$AH$37&lt;EOMONTH(TODAY(),-1)+1)*($T$38:$AH$87))=0,"",SUMPRODUCT(($B$38:$B$87=AO65)*($R$38:$R$87="Previsto")*($T$37:$AH$37&lt;EOMONTH(TODAY(),-1)+1)*($T$38:$AH$87))))</f>
        <v/>
      </c>
    </row>
    <row r="66" spans="1:44" ht="29.1" customHeight="1" x14ac:dyDescent="0.3">
      <c r="A66" s="1408"/>
      <c r="B66" s="1466"/>
      <c r="C66" s="1455"/>
      <c r="D66" s="1450"/>
      <c r="E66" s="1450"/>
      <c r="F66" s="1513"/>
      <c r="G66" s="1513"/>
      <c r="H66" s="1367"/>
      <c r="I66" s="1750"/>
      <c r="J66" s="1388"/>
      <c r="K66" s="1396"/>
      <c r="L66" s="1394"/>
      <c r="M66" s="2156"/>
      <c r="N66" s="1353"/>
      <c r="O66" s="1353"/>
      <c r="P66" s="1353"/>
      <c r="Q66" s="1330"/>
      <c r="R66" s="96" t="s">
        <v>117</v>
      </c>
      <c r="S66" s="456">
        <v>0</v>
      </c>
      <c r="T66" s="457"/>
      <c r="U66" s="457"/>
      <c r="V66" s="290"/>
      <c r="W66" s="440">
        <f t="shared" ref="W66" si="137">SUM(T66:V66)</f>
        <v>0</v>
      </c>
      <c r="X66" s="457"/>
      <c r="Y66" s="457"/>
      <c r="Z66" s="290"/>
      <c r="AA66" s="440">
        <f t="shared" ref="AA66" si="138">SUM(X66:Z66)</f>
        <v>0</v>
      </c>
      <c r="AB66" s="457"/>
      <c r="AC66" s="457"/>
      <c r="AD66" s="290"/>
      <c r="AE66" s="440">
        <f t="shared" ref="AE66" si="139">SUM(AB66:AD66)</f>
        <v>0</v>
      </c>
      <c r="AF66" s="457"/>
      <c r="AG66" s="457"/>
      <c r="AH66" s="290"/>
      <c r="AI66" s="440">
        <f t="shared" ref="AI66" si="140">SUM(AF66:AH66)</f>
        <v>0</v>
      </c>
      <c r="AJ66" s="94">
        <f t="shared" ref="AJ66" si="141">SUM(T66:V66,X66:Z66,AB66:AD66,AF66:AH66)</f>
        <v>0</v>
      </c>
      <c r="AK66" s="1367"/>
      <c r="AL66" s="1408"/>
      <c r="AM66" s="1330"/>
      <c r="AN66" s="1404"/>
      <c r="AO66" s="47">
        <f>B65</f>
        <v>0</v>
      </c>
      <c r="AP66" s="47">
        <f>A65</f>
        <v>0</v>
      </c>
      <c r="AQ66" s="62" t="s">
        <v>313</v>
      </c>
      <c r="AR66" s="508" t="str" cm="1">
        <f t="array" aca="1" ref="AR66" ca="1">IF(OR(AO65="",AO65=0),"",IF(SUMPRODUCT(($B$38:$B$87=AO65)*(ISNUMBER(SEARCH("Real",$Q$39:$Q$88)))*($T$37:$AH$37&lt;EOMONTH(TODAY(),-1)+1)*($T$39:$AH$88))=0,"",SUMPRODUCT(($B$38:$B$87=AO65)*(ISNUMBER(SEARCH("Real",$Q$39:$Q$88)))*($T$37:$AH$37&lt;EOMONTH(TODAY(),-1)+1)*($T$39:$AH$88))))</f>
        <v/>
      </c>
    </row>
    <row r="67" spans="1:44" ht="29.1" customHeight="1" x14ac:dyDescent="0.3">
      <c r="A67" s="1380"/>
      <c r="B67" s="1482"/>
      <c r="C67" s="1486"/>
      <c r="D67" s="1368"/>
      <c r="E67" s="1368"/>
      <c r="F67" s="1372"/>
      <c r="G67" s="1372"/>
      <c r="H67" s="1405"/>
      <c r="I67" s="1376"/>
      <c r="J67" s="1389" t="str">
        <f t="shared" ref="J67" si="142">IF(I67="", "", 12 - MONTH(I67) + 1)</f>
        <v/>
      </c>
      <c r="K67" s="1354"/>
      <c r="L67" s="1861"/>
      <c r="M67" s="1861"/>
      <c r="N67" s="1350"/>
      <c r="O67" s="1354"/>
      <c r="P67" s="1354"/>
      <c r="Q67" s="1327"/>
      <c r="R67" s="91" t="s">
        <v>116</v>
      </c>
      <c r="S67" s="91">
        <v>0</v>
      </c>
      <c r="T67" s="287">
        <f>IFERROR(IF(AND(T$20&gt;=EOMONTH($I67,-1)+1,T$20&lt;=EOMONTH(EOMONTH($I67,-1)+1,$J67-1)),IF(NOT(ISBLANK($M67)),$M67/$J67,$H67/$J67),0),0)</f>
        <v>0</v>
      </c>
      <c r="U67" s="287">
        <f t="shared" si="136"/>
        <v>0</v>
      </c>
      <c r="V67" s="287">
        <f t="shared" si="136"/>
        <v>0</v>
      </c>
      <c r="W67" s="440">
        <f>SUM(T67:V67)</f>
        <v>0</v>
      </c>
      <c r="X67" s="287">
        <f t="shared" si="136"/>
        <v>0</v>
      </c>
      <c r="Y67" s="287">
        <f t="shared" si="136"/>
        <v>0</v>
      </c>
      <c r="Z67" s="287">
        <f t="shared" si="136"/>
        <v>0</v>
      </c>
      <c r="AA67" s="440">
        <f>SUM(X67:Z67)</f>
        <v>0</v>
      </c>
      <c r="AB67" s="287">
        <f t="shared" si="136"/>
        <v>0</v>
      </c>
      <c r="AC67" s="287">
        <f t="shared" si="136"/>
        <v>0</v>
      </c>
      <c r="AD67" s="287">
        <f t="shared" si="136"/>
        <v>0</v>
      </c>
      <c r="AE67" s="440">
        <f>SUM(AB67:AD67)</f>
        <v>0</v>
      </c>
      <c r="AF67" s="287">
        <f t="shared" si="136"/>
        <v>0</v>
      </c>
      <c r="AG67" s="287">
        <f t="shared" si="136"/>
        <v>0</v>
      </c>
      <c r="AH67" s="287">
        <f t="shared" si="136"/>
        <v>0</v>
      </c>
      <c r="AI67" s="440">
        <f>SUM(AF67:AH67)</f>
        <v>0</v>
      </c>
      <c r="AJ67" s="116">
        <f>SUM(T67:V67,X67:Z67,AB67:AD67,AF67:AH67)</f>
        <v>0</v>
      </c>
      <c r="AK67" s="1354"/>
      <c r="AL67" s="1370"/>
      <c r="AM67" s="1411"/>
      <c r="AN67" s="1405">
        <f>L67*AM67</f>
        <v>0</v>
      </c>
      <c r="AO67" s="47">
        <f>B67</f>
        <v>0</v>
      </c>
      <c r="AP67" s="47">
        <f>A67</f>
        <v>0</v>
      </c>
      <c r="AQ67" s="62" t="s">
        <v>311</v>
      </c>
      <c r="AR67" s="508" t="str" cm="1">
        <f t="array" aca="1" ref="AR67" ca="1">IF(OR(AO67="",AO67=0),"",IF(SUMPRODUCT(($B$38:$B$87=AO67)*($R$38:$R$87="Previsto")*($T$37:$AH$37&lt;EOMONTH(TODAY(),-1)+1)*($T$38:$AH$87))=0,"",SUMPRODUCT(($B$38:$B$87=AO67)*($R$38:$R$87="Previsto")*($T$37:$AH$37&lt;EOMONTH(TODAY(),-1)+1)*($T$38:$AH$87))))</f>
        <v/>
      </c>
    </row>
    <row r="68" spans="1:44" ht="29.1" customHeight="1" x14ac:dyDescent="0.3">
      <c r="A68" s="1381"/>
      <c r="B68" s="1483"/>
      <c r="C68" s="1487"/>
      <c r="D68" s="1369"/>
      <c r="E68" s="1369"/>
      <c r="F68" s="1373"/>
      <c r="G68" s="1373"/>
      <c r="H68" s="1406"/>
      <c r="I68" s="1377"/>
      <c r="J68" s="1390"/>
      <c r="K68" s="1355"/>
      <c r="L68" s="1392"/>
      <c r="M68" s="1392"/>
      <c r="N68" s="1460"/>
      <c r="O68" s="1355"/>
      <c r="P68" s="1355"/>
      <c r="Q68" s="1328"/>
      <c r="R68" s="91" t="s">
        <v>117</v>
      </c>
      <c r="S68" s="455">
        <v>0</v>
      </c>
      <c r="T68" s="287"/>
      <c r="U68" s="287"/>
      <c r="V68" s="287"/>
      <c r="W68" s="440">
        <f t="shared" ref="W68" si="143">SUM(T68:V68)</f>
        <v>0</v>
      </c>
      <c r="X68" s="287"/>
      <c r="Y68" s="287"/>
      <c r="Z68" s="287"/>
      <c r="AA68" s="440">
        <f t="shared" ref="AA68" si="144">SUM(X68:Z68)</f>
        <v>0</v>
      </c>
      <c r="AB68" s="287"/>
      <c r="AC68" s="287"/>
      <c r="AD68" s="287"/>
      <c r="AE68" s="440">
        <f t="shared" ref="AE68" si="145">SUM(AB68:AD68)</f>
        <v>0</v>
      </c>
      <c r="AF68" s="287"/>
      <c r="AG68" s="287"/>
      <c r="AH68" s="287"/>
      <c r="AI68" s="440">
        <f t="shared" ref="AI68" si="146">SUM(AF68:AH68)</f>
        <v>0</v>
      </c>
      <c r="AJ68" s="454">
        <f t="shared" ref="AJ68" si="147">SUM(T68:V68,X68:Z68,AB68:AD68,AF68:AH68)</f>
        <v>0</v>
      </c>
      <c r="AK68" s="1355"/>
      <c r="AL68" s="1371"/>
      <c r="AM68" s="1412"/>
      <c r="AN68" s="1406"/>
      <c r="AO68" s="47">
        <f>B67</f>
        <v>0</v>
      </c>
      <c r="AP68" s="47">
        <f>A67</f>
        <v>0</v>
      </c>
      <c r="AQ68" s="62" t="s">
        <v>313</v>
      </c>
      <c r="AR68" s="508" t="str" cm="1">
        <f t="array" aca="1" ref="AR68" ca="1">IF(OR(AO67="",AO67=0),"",IF(SUMPRODUCT(($B$38:$B$87=AO67)*(ISNUMBER(SEARCH("Real",$Q$39:$Q$88)))*($T$37:$AH$37&lt;EOMONTH(TODAY(),-1)+1)*($T$39:$AH$88))=0,"",SUMPRODUCT(($B$38:$B$87=AO67)*(ISNUMBER(SEARCH("Real",$Q$39:$Q$88)))*($T$37:$AH$37&lt;EOMONTH(TODAY(),-1)+1)*($T$39:$AH$88))))</f>
        <v/>
      </c>
    </row>
    <row r="69" spans="1:44" ht="29.1" customHeight="1" x14ac:dyDescent="0.3">
      <c r="A69" s="1407"/>
      <c r="B69" s="1465"/>
      <c r="C69" s="1356"/>
      <c r="D69" s="1449"/>
      <c r="E69" s="1449"/>
      <c r="F69" s="1366"/>
      <c r="G69" s="1366"/>
      <c r="H69" s="1488"/>
      <c r="I69" s="1749"/>
      <c r="J69" s="1387" t="str">
        <f t="shared" ref="J69" si="148">IF(I69="", "", 12 - MONTH(I69) + 1)</f>
        <v/>
      </c>
      <c r="K69" s="1395"/>
      <c r="L69" s="1393"/>
      <c r="M69" s="2155"/>
      <c r="N69" s="1352"/>
      <c r="O69" s="1352"/>
      <c r="P69" s="1352"/>
      <c r="Q69" s="1334"/>
      <c r="R69" s="96" t="s">
        <v>116</v>
      </c>
      <c r="S69" s="96">
        <v>0</v>
      </c>
      <c r="T69" s="498">
        <f>IFERROR(IF(AND(T$20&gt;=EOMONTH($I69,-1)+1,T$20&lt;=EOMONTH(EOMONTH($I69,-1)+1,$J69-1)),IF(NOT(ISBLANK($M69)),$M69/$J69,$H69/$J69),0),0)</f>
        <v>0</v>
      </c>
      <c r="U69" s="498">
        <f t="shared" si="136"/>
        <v>0</v>
      </c>
      <c r="V69" s="498">
        <f t="shared" si="136"/>
        <v>0</v>
      </c>
      <c r="W69" s="440">
        <f>SUM(T69:V69)</f>
        <v>0</v>
      </c>
      <c r="X69" s="498">
        <f t="shared" si="136"/>
        <v>0</v>
      </c>
      <c r="Y69" s="498">
        <f t="shared" si="136"/>
        <v>0</v>
      </c>
      <c r="Z69" s="498">
        <f t="shared" si="136"/>
        <v>0</v>
      </c>
      <c r="AA69" s="440">
        <f>SUM(X69:Z69)</f>
        <v>0</v>
      </c>
      <c r="AB69" s="498">
        <f t="shared" si="136"/>
        <v>0</v>
      </c>
      <c r="AC69" s="498">
        <f t="shared" si="136"/>
        <v>0</v>
      </c>
      <c r="AD69" s="498">
        <f t="shared" si="136"/>
        <v>0</v>
      </c>
      <c r="AE69" s="440">
        <f>SUM(AB69:AD69)</f>
        <v>0</v>
      </c>
      <c r="AF69" s="498">
        <f t="shared" si="136"/>
        <v>0</v>
      </c>
      <c r="AG69" s="498">
        <f t="shared" si="136"/>
        <v>0</v>
      </c>
      <c r="AH69" s="498">
        <f t="shared" si="136"/>
        <v>0</v>
      </c>
      <c r="AI69" s="440">
        <f>SUM(AF69:AH69)</f>
        <v>0</v>
      </c>
      <c r="AJ69" s="1020">
        <f>SUM(T69:V69,X69:Z69,AB69:AD69,AF69:AH69)</f>
        <v>0</v>
      </c>
      <c r="AK69" s="1488"/>
      <c r="AL69" s="1407"/>
      <c r="AM69" s="1334"/>
      <c r="AN69" s="1403">
        <f>L69*AM69</f>
        <v>0</v>
      </c>
      <c r="AO69" s="47">
        <f>B69</f>
        <v>0</v>
      </c>
      <c r="AP69" s="47">
        <f>A69</f>
        <v>0</v>
      </c>
      <c r="AQ69" s="62" t="s">
        <v>311</v>
      </c>
      <c r="AR69" s="508" t="str" cm="1">
        <f t="array" aca="1" ref="AR69" ca="1">IF(OR(AO69="",AO69=0),"",IF(SUMPRODUCT(($B$38:$B$87=AO69)*($R$38:$R$87="Previsto")*($T$37:$AH$37&lt;EOMONTH(TODAY(),-1)+1)*($T$38:$AH$87))=0,"",SUMPRODUCT(($B$38:$B$87=AO69)*($R$38:$R$87="Previsto")*($T$37:$AH$37&lt;EOMONTH(TODAY(),-1)+1)*($T$38:$AH$87))))</f>
        <v/>
      </c>
    </row>
    <row r="70" spans="1:44" ht="29.1" customHeight="1" x14ac:dyDescent="0.3">
      <c r="A70" s="1408"/>
      <c r="B70" s="1466"/>
      <c r="C70" s="1455"/>
      <c r="D70" s="1450"/>
      <c r="E70" s="1450"/>
      <c r="F70" s="1513"/>
      <c r="G70" s="1513"/>
      <c r="H70" s="1367"/>
      <c r="I70" s="1750"/>
      <c r="J70" s="1388"/>
      <c r="K70" s="1396"/>
      <c r="L70" s="1394"/>
      <c r="M70" s="2156"/>
      <c r="N70" s="1353"/>
      <c r="O70" s="1353"/>
      <c r="P70" s="1353"/>
      <c r="Q70" s="1330"/>
      <c r="R70" s="96" t="s">
        <v>117</v>
      </c>
      <c r="S70" s="456">
        <v>0</v>
      </c>
      <c r="T70" s="457"/>
      <c r="U70" s="457"/>
      <c r="V70" s="290"/>
      <c r="W70" s="440">
        <f t="shared" ref="W70" si="149">SUM(T70:V70)</f>
        <v>0</v>
      </c>
      <c r="X70" s="457"/>
      <c r="Y70" s="457"/>
      <c r="Z70" s="290"/>
      <c r="AA70" s="440">
        <f t="shared" ref="AA70" si="150">SUM(X70:Z70)</f>
        <v>0</v>
      </c>
      <c r="AB70" s="457"/>
      <c r="AC70" s="457"/>
      <c r="AD70" s="290"/>
      <c r="AE70" s="440">
        <f t="shared" ref="AE70" si="151">SUM(AB70:AD70)</f>
        <v>0</v>
      </c>
      <c r="AF70" s="457"/>
      <c r="AG70" s="457"/>
      <c r="AH70" s="290"/>
      <c r="AI70" s="440">
        <f t="shared" ref="AI70" si="152">SUM(AF70:AH70)</f>
        <v>0</v>
      </c>
      <c r="AJ70" s="94">
        <f t="shared" ref="AJ70" si="153">SUM(T70:V70,X70:Z70,AB70:AD70,AF70:AH70)</f>
        <v>0</v>
      </c>
      <c r="AK70" s="1367"/>
      <c r="AL70" s="1408"/>
      <c r="AM70" s="1330"/>
      <c r="AN70" s="1404"/>
      <c r="AO70" s="47">
        <f>B69</f>
        <v>0</v>
      </c>
      <c r="AP70" s="47">
        <f>A69</f>
        <v>0</v>
      </c>
      <c r="AQ70" s="62" t="s">
        <v>313</v>
      </c>
      <c r="AR70" s="508" t="str" cm="1">
        <f t="array" aca="1" ref="AR70" ca="1">IF(OR(AO69="",AO69=0),"",IF(SUMPRODUCT(($B$38:$B$87=AO69)*(ISNUMBER(SEARCH("Real",$Q$39:$Q$88)))*($T$37:$AH$37&lt;EOMONTH(TODAY(),-1)+1)*($T$39:$AH$88))=0,"",SUMPRODUCT(($B$38:$B$87=AO69)*(ISNUMBER(SEARCH("Real",$Q$39:$Q$88)))*($T$37:$AH$37&lt;EOMONTH(TODAY(),-1)+1)*($T$39:$AH$88))))</f>
        <v/>
      </c>
    </row>
    <row r="71" spans="1:44" s="120" customFormat="1" ht="20.85" customHeight="1" x14ac:dyDescent="0.3"/>
    <row r="72" spans="1:44" x14ac:dyDescent="0.3">
      <c r="K72" s="151"/>
      <c r="L72" s="151">
        <v>46023</v>
      </c>
      <c r="M72" s="151">
        <v>46054</v>
      </c>
      <c r="N72" s="151">
        <v>46082</v>
      </c>
      <c r="O72" s="151">
        <v>46113</v>
      </c>
      <c r="P72" s="151">
        <v>46143</v>
      </c>
      <c r="Q72" s="151">
        <v>46174</v>
      </c>
      <c r="R72" s="151">
        <v>46204</v>
      </c>
      <c r="S72" s="151">
        <v>46235</v>
      </c>
      <c r="T72" s="151">
        <v>46266</v>
      </c>
      <c r="U72" s="151">
        <v>46296</v>
      </c>
      <c r="V72" s="151">
        <v>46327</v>
      </c>
      <c r="W72" s="151">
        <v>46357</v>
      </c>
      <c r="X72" s="151" t="s">
        <v>115</v>
      </c>
    </row>
    <row r="73" spans="1:44" x14ac:dyDescent="0.3">
      <c r="K73" s="471" t="s">
        <v>116</v>
      </c>
      <c r="L73" s="152">
        <f>SUMIF($R$21:$R$70,$K$73,T21:T70)</f>
        <v>0</v>
      </c>
      <c r="M73" s="152">
        <f t="shared" ref="M73:N73" si="154">SUMIF($R$21:$R$70,$K$73,U21:U70)</f>
        <v>0</v>
      </c>
      <c r="N73" s="152">
        <f t="shared" si="154"/>
        <v>0</v>
      </c>
      <c r="O73" s="152">
        <f>SUMIF($R$21:$R$70,$K$73,X21:X70)</f>
        <v>0</v>
      </c>
      <c r="P73" s="152">
        <f t="shared" ref="P73" si="155">SUMIF($R$21:$R$70,$K$73,Y21:Y70)</f>
        <v>0</v>
      </c>
      <c r="Q73" s="152">
        <f>SUMIF($R$21:$R$70,$K$73,Z21:Z70)</f>
        <v>0</v>
      </c>
      <c r="R73" s="152">
        <f>SUMIF($R$21:$R$70,$K$73,AB21:AB70)</f>
        <v>0</v>
      </c>
      <c r="S73" s="152">
        <f t="shared" ref="S73" si="156">SUMIF($R$21:$R$70,$K$73,AC21:AC70)</f>
        <v>6513.6</v>
      </c>
      <c r="T73" s="152">
        <f>SUMIF($R$21:$R$70,$K$73,AD21:AD70)</f>
        <v>6513.6</v>
      </c>
      <c r="U73" s="152">
        <f>SUMIF($R$21:$R$70,$K$73,AF21:AF70)</f>
        <v>6513.6</v>
      </c>
      <c r="V73" s="152">
        <f t="shared" ref="V73:W73" si="157">SUMIF($R$21:$R$70,$K$73,AG21:AG70)</f>
        <v>6513.6</v>
      </c>
      <c r="W73" s="152">
        <f t="shared" si="157"/>
        <v>6513.6</v>
      </c>
      <c r="X73" s="152"/>
    </row>
    <row r="74" spans="1:44" x14ac:dyDescent="0.3">
      <c r="K74" s="472" t="s">
        <v>117</v>
      </c>
      <c r="L74" s="502">
        <f>SUMIF($R$21:$R$70,$K$74,T21:T70)</f>
        <v>0</v>
      </c>
      <c r="M74" s="502">
        <f t="shared" ref="M74:N74" si="158">SUMIF($R$21:$R$70,$K$74,U21:U70)</f>
        <v>0</v>
      </c>
      <c r="N74" s="502">
        <f t="shared" si="158"/>
        <v>0</v>
      </c>
      <c r="O74" s="502">
        <f>SUMIF($R$21:$R$70,$K$74,X21:X70)</f>
        <v>0</v>
      </c>
      <c r="P74" s="502">
        <f t="shared" ref="P74:Q74" si="159">SUMIF($R$21:$R$70,$K$74,Y21:Y70)</f>
        <v>0</v>
      </c>
      <c r="Q74" s="502">
        <f t="shared" si="159"/>
        <v>0</v>
      </c>
      <c r="R74" s="502">
        <f>SUMIF($R$21:$R$70,$K$74,AB21:AB70)</f>
        <v>0</v>
      </c>
      <c r="S74" s="502">
        <f t="shared" ref="S74" si="160">SUMIF($R$21:$R$70,$K$74,AC21:AC70)</f>
        <v>0</v>
      </c>
      <c r="T74" s="502">
        <f>SUMIF($R$21:$R$70,$K$74,AD21:AD70)</f>
        <v>0</v>
      </c>
      <c r="U74" s="502">
        <f>SUMIF($R$21:$R$70,$K$74,AF21:AF70)</f>
        <v>0</v>
      </c>
      <c r="V74" s="502">
        <f t="shared" ref="V74:W74" si="161">SUMIF($R$21:$R$70,$K$74,AG21:AG70)</f>
        <v>0</v>
      </c>
      <c r="W74" s="502">
        <f t="shared" si="161"/>
        <v>0</v>
      </c>
      <c r="X74" s="154"/>
    </row>
    <row r="75" spans="1:44" x14ac:dyDescent="0.3">
      <c r="K75" s="473" t="s">
        <v>118</v>
      </c>
      <c r="L75" s="160" cm="1">
        <f t="array" ref="L75">SUMPRODUCT(($F$21:$F$70&lt;&gt;"")*($F$21:$F$70&lt;=L$85)*(($G$21:$G$70="")+($G$21:$G$70&gt;=L$85)))</f>
        <v>0</v>
      </c>
      <c r="M75" s="160" cm="1">
        <f t="array" ref="M75">SUMPRODUCT(($F$21:$F$70&lt;&gt;"")*($F$21:$F$70&lt;=M$85)*(($G$21:$G$70="")+($G$21:$G$70&gt;=M$85)))</f>
        <v>0</v>
      </c>
      <c r="N75" s="160" cm="1">
        <f t="array" ref="N75">SUMPRODUCT(($F$21:$F$70&lt;&gt;"")*($F$21:$F$70&lt;=N$85)*(($G$21:$G$70="")+($G$21:$G$70&gt;=N$85)))</f>
        <v>0</v>
      </c>
      <c r="O75" s="160" cm="1">
        <f t="array" ref="O75">SUMPRODUCT(($F$21:$F$70&lt;&gt;"")*($F$21:$F$70&lt;=O$85)*(($G$21:$G$70="")+($G$21:$G$70&gt;=O$85)))</f>
        <v>0</v>
      </c>
      <c r="P75" s="160" cm="1">
        <f t="array" ref="P75">SUMPRODUCT(($F$21:$F$70&lt;&gt;"")*($F$21:$F$70&lt;=P$85)*(($G$21:$G$70="")+($G$21:$G$70&gt;=P$85)))</f>
        <v>0</v>
      </c>
      <c r="Q75" s="160" cm="1">
        <f t="array" ref="Q75">SUMPRODUCT(($F$21:$F$70&lt;&gt;"")*($F$21:$F$70&lt;=Q$85)*(($G$21:$G$70="")+($G$21:$G$70&gt;=Q$85)))</f>
        <v>0</v>
      </c>
      <c r="R75" s="160" cm="1">
        <f t="array" ref="R75">SUMPRODUCT(($F$21:$F$70&lt;&gt;"")*($F$21:$F$70&lt;=R$85)*(($G$21:$G$70="")+($G$21:$G$70&gt;=R$85)))</f>
        <v>0</v>
      </c>
      <c r="S75" s="160" cm="1">
        <f t="array" ref="S75">SUMPRODUCT(($F$21:$F$70&lt;&gt;"")*($F$21:$F$70&lt;=S$85)*(($G$21:$G$70="")+($G$21:$G$70&gt;=S$85)))</f>
        <v>0</v>
      </c>
      <c r="T75" s="160" cm="1">
        <f t="array" ref="T75">SUMPRODUCT(($F$21:$F$70&lt;&gt;"")*($F$21:$F$70&lt;=T$85)*(($G$21:$G$70="")+($G$21:$G$70&gt;=T$85)))</f>
        <v>0</v>
      </c>
      <c r="U75" s="160" cm="1">
        <f t="array" ref="U75">SUMPRODUCT(($F$21:$F$70&lt;&gt;"")*($F$21:$F$70&lt;=U$85)*(($G$21:$G$70="")+($G$21:$G$70&gt;=U$85)))</f>
        <v>0</v>
      </c>
      <c r="V75" s="160" cm="1">
        <f t="array" ref="V75">SUMPRODUCT(($F$21:$F$70&lt;&gt;"")*($F$21:$F$70&lt;=V$85)*(($G$21:$G$70="")+($G$21:$G$70&gt;=V$85)))</f>
        <v>0</v>
      </c>
      <c r="W75" s="160" cm="1">
        <f t="array" ref="W75">SUMPRODUCT(($F$21:$F$70&lt;&gt;"")*($F$21:$F$70&lt;=W$85)*(($G$21:$G$70="")+($G$21:$G$70&gt;=W$85)))</f>
        <v>0</v>
      </c>
      <c r="X75" s="160"/>
    </row>
    <row r="76" spans="1:44" x14ac:dyDescent="0.3">
      <c r="K76" s="472" t="s">
        <v>119</v>
      </c>
      <c r="L76" s="154">
        <f>L73</f>
        <v>0</v>
      </c>
      <c r="M76" s="154">
        <f>L76+M73</f>
        <v>0</v>
      </c>
      <c r="N76" s="154">
        <f t="shared" ref="N76:W76" si="162">M76+N73</f>
        <v>0</v>
      </c>
      <c r="O76" s="154">
        <f t="shared" si="162"/>
        <v>0</v>
      </c>
      <c r="P76" s="154">
        <f t="shared" si="162"/>
        <v>0</v>
      </c>
      <c r="Q76" s="154">
        <f t="shared" si="162"/>
        <v>0</v>
      </c>
      <c r="R76" s="154">
        <f t="shared" si="162"/>
        <v>0</v>
      </c>
      <c r="S76" s="154">
        <f t="shared" si="162"/>
        <v>6513.6</v>
      </c>
      <c r="T76" s="154">
        <f t="shared" si="162"/>
        <v>13027.2</v>
      </c>
      <c r="U76" s="154">
        <f t="shared" si="162"/>
        <v>19540.800000000003</v>
      </c>
      <c r="V76" s="154">
        <f t="shared" si="162"/>
        <v>26054.400000000001</v>
      </c>
      <c r="W76" s="154">
        <f t="shared" si="162"/>
        <v>32568</v>
      </c>
      <c r="X76" s="154"/>
    </row>
    <row r="77" spans="1:44" x14ac:dyDescent="0.3">
      <c r="K77" s="473" t="s">
        <v>120</v>
      </c>
      <c r="L77" s="474">
        <f>L74</f>
        <v>0</v>
      </c>
      <c r="M77" s="474">
        <f>L77+M74</f>
        <v>0</v>
      </c>
      <c r="N77" s="474">
        <f t="shared" ref="N77:W77" si="163">M77+N74</f>
        <v>0</v>
      </c>
      <c r="O77" s="474">
        <f t="shared" si="163"/>
        <v>0</v>
      </c>
      <c r="P77" s="474">
        <f t="shared" si="163"/>
        <v>0</v>
      </c>
      <c r="Q77" s="474">
        <f>P77+Q74</f>
        <v>0</v>
      </c>
      <c r="R77" s="474">
        <f t="shared" si="163"/>
        <v>0</v>
      </c>
      <c r="S77" s="474">
        <f t="shared" si="163"/>
        <v>0</v>
      </c>
      <c r="T77" s="474">
        <f t="shared" si="163"/>
        <v>0</v>
      </c>
      <c r="U77" s="474">
        <f t="shared" si="163"/>
        <v>0</v>
      </c>
      <c r="V77" s="474">
        <f t="shared" si="163"/>
        <v>0</v>
      </c>
      <c r="W77" s="474">
        <f t="shared" si="163"/>
        <v>0</v>
      </c>
      <c r="X77" s="474"/>
    </row>
    <row r="78" spans="1:44" x14ac:dyDescent="0.3">
      <c r="K78" s="472" t="s">
        <v>121</v>
      </c>
      <c r="L78" s="502"/>
      <c r="M78" s="502"/>
      <c r="N78" s="502"/>
      <c r="O78" s="502"/>
      <c r="P78" s="502"/>
      <c r="Q78" s="502"/>
      <c r="R78" s="502"/>
      <c r="S78" s="502"/>
      <c r="T78" s="502"/>
      <c r="U78" s="502"/>
      <c r="V78" s="502"/>
      <c r="W78" s="502"/>
      <c r="X78" s="154"/>
    </row>
  </sheetData>
  <sheetProtection formatCells="0" formatColumns="0" formatRows="0" insertHyperlinks="0"/>
  <mergeCells count="550">
    <mergeCell ref="N69:N70"/>
    <mergeCell ref="O69:O70"/>
    <mergeCell ref="P69:P70"/>
    <mergeCell ref="Q69:Q70"/>
    <mergeCell ref="AM69:AM70"/>
    <mergeCell ref="AN69:AN70"/>
    <mergeCell ref="N65:N66"/>
    <mergeCell ref="O65:O66"/>
    <mergeCell ref="P65:P66"/>
    <mergeCell ref="Q65:Q66"/>
    <mergeCell ref="AM65:AM66"/>
    <mergeCell ref="AN65:AN66"/>
    <mergeCell ref="N67:N68"/>
    <mergeCell ref="O67:O68"/>
    <mergeCell ref="P67:P68"/>
    <mergeCell ref="Q67:Q68"/>
    <mergeCell ref="AM67:AM68"/>
    <mergeCell ref="AN67:AN68"/>
    <mergeCell ref="AK65:AK66"/>
    <mergeCell ref="AL65:AL66"/>
    <mergeCell ref="AK67:AK68"/>
    <mergeCell ref="AL67:AL68"/>
    <mergeCell ref="AK69:AK70"/>
    <mergeCell ref="AL69:AL70"/>
    <mergeCell ref="N61:N62"/>
    <mergeCell ref="O61:O62"/>
    <mergeCell ref="P61:P62"/>
    <mergeCell ref="Q61:Q62"/>
    <mergeCell ref="AM61:AM62"/>
    <mergeCell ref="AN61:AN62"/>
    <mergeCell ref="N63:N64"/>
    <mergeCell ref="O63:O64"/>
    <mergeCell ref="P63:P64"/>
    <mergeCell ref="Q63:Q64"/>
    <mergeCell ref="AM63:AM64"/>
    <mergeCell ref="AN63:AN64"/>
    <mergeCell ref="AK61:AK62"/>
    <mergeCell ref="AL61:AL62"/>
    <mergeCell ref="AK63:AK64"/>
    <mergeCell ref="AL63:AL64"/>
    <mergeCell ref="N57:N58"/>
    <mergeCell ref="O57:O58"/>
    <mergeCell ref="P57:P58"/>
    <mergeCell ref="Q57:Q58"/>
    <mergeCell ref="AM57:AM58"/>
    <mergeCell ref="AN57:AN58"/>
    <mergeCell ref="N59:N60"/>
    <mergeCell ref="O59:O60"/>
    <mergeCell ref="P59:P60"/>
    <mergeCell ref="Q59:Q60"/>
    <mergeCell ref="AM59:AM60"/>
    <mergeCell ref="AN59:AN60"/>
    <mergeCell ref="AK57:AK58"/>
    <mergeCell ref="AL57:AL58"/>
    <mergeCell ref="AK59:AK60"/>
    <mergeCell ref="AL59:AL60"/>
    <mergeCell ref="N53:N54"/>
    <mergeCell ref="O53:O54"/>
    <mergeCell ref="P53:P54"/>
    <mergeCell ref="Q53:Q54"/>
    <mergeCell ref="AM53:AM54"/>
    <mergeCell ref="AN53:AN54"/>
    <mergeCell ref="N55:N56"/>
    <mergeCell ref="O55:O56"/>
    <mergeCell ref="P55:P56"/>
    <mergeCell ref="Q55:Q56"/>
    <mergeCell ref="AM55:AM56"/>
    <mergeCell ref="AN55:AN56"/>
    <mergeCell ref="AK55:AK56"/>
    <mergeCell ref="AL55:AL56"/>
    <mergeCell ref="AK53:AK54"/>
    <mergeCell ref="AL53:AL54"/>
    <mergeCell ref="N49:N50"/>
    <mergeCell ref="O49:O50"/>
    <mergeCell ref="P49:P50"/>
    <mergeCell ref="Q49:Q50"/>
    <mergeCell ref="AM49:AM50"/>
    <mergeCell ref="AN49:AN50"/>
    <mergeCell ref="N51:N52"/>
    <mergeCell ref="O51:O52"/>
    <mergeCell ref="P51:P52"/>
    <mergeCell ref="Q51:Q52"/>
    <mergeCell ref="AM51:AM52"/>
    <mergeCell ref="AN51:AN52"/>
    <mergeCell ref="AK49:AK50"/>
    <mergeCell ref="AL49:AL50"/>
    <mergeCell ref="AK51:AK52"/>
    <mergeCell ref="AL51:AL52"/>
    <mergeCell ref="N45:N46"/>
    <mergeCell ref="O45:O46"/>
    <mergeCell ref="P45:P46"/>
    <mergeCell ref="Q45:Q46"/>
    <mergeCell ref="AM45:AM46"/>
    <mergeCell ref="AN45:AN46"/>
    <mergeCell ref="N47:N48"/>
    <mergeCell ref="O47:O48"/>
    <mergeCell ref="P47:P48"/>
    <mergeCell ref="Q47:Q48"/>
    <mergeCell ref="AM47:AM48"/>
    <mergeCell ref="AN47:AN48"/>
    <mergeCell ref="AK45:AK46"/>
    <mergeCell ref="AL45:AL46"/>
    <mergeCell ref="AK47:AK48"/>
    <mergeCell ref="AL47:AL48"/>
    <mergeCell ref="N41:N42"/>
    <mergeCell ref="O41:O42"/>
    <mergeCell ref="P41:P42"/>
    <mergeCell ref="Q41:Q42"/>
    <mergeCell ref="AM41:AM42"/>
    <mergeCell ref="AN41:AN42"/>
    <mergeCell ref="N43:N44"/>
    <mergeCell ref="O43:O44"/>
    <mergeCell ref="P43:P44"/>
    <mergeCell ref="Q43:Q44"/>
    <mergeCell ref="AM43:AM44"/>
    <mergeCell ref="AN43:AN44"/>
    <mergeCell ref="AK43:AK44"/>
    <mergeCell ref="AL43:AL44"/>
    <mergeCell ref="AK41:AK42"/>
    <mergeCell ref="AL41:AL42"/>
    <mergeCell ref="O37:O38"/>
    <mergeCell ref="P37:P38"/>
    <mergeCell ref="Q37:Q38"/>
    <mergeCell ref="AM37:AM38"/>
    <mergeCell ref="AN37:AN38"/>
    <mergeCell ref="N39:N40"/>
    <mergeCell ref="O39:O40"/>
    <mergeCell ref="P39:P40"/>
    <mergeCell ref="Q39:Q40"/>
    <mergeCell ref="AM39:AM40"/>
    <mergeCell ref="AN39:AN40"/>
    <mergeCell ref="AK37:AK38"/>
    <mergeCell ref="AL37:AL38"/>
    <mergeCell ref="AK39:AK40"/>
    <mergeCell ref="AL39:AL40"/>
    <mergeCell ref="O33:O34"/>
    <mergeCell ref="P33:P34"/>
    <mergeCell ref="Q33:Q34"/>
    <mergeCell ref="AM33:AM34"/>
    <mergeCell ref="AN33:AN34"/>
    <mergeCell ref="N35:N36"/>
    <mergeCell ref="O35:O36"/>
    <mergeCell ref="P35:P36"/>
    <mergeCell ref="Q35:Q36"/>
    <mergeCell ref="AM35:AM36"/>
    <mergeCell ref="AN35:AN36"/>
    <mergeCell ref="AK33:AK34"/>
    <mergeCell ref="AL33:AL34"/>
    <mergeCell ref="AK35:AK36"/>
    <mergeCell ref="AL35:AL36"/>
    <mergeCell ref="O29:O30"/>
    <mergeCell ref="P29:P30"/>
    <mergeCell ref="Q29:Q30"/>
    <mergeCell ref="AM29:AM30"/>
    <mergeCell ref="AN29:AN30"/>
    <mergeCell ref="N31:N32"/>
    <mergeCell ref="O31:O32"/>
    <mergeCell ref="P31:P32"/>
    <mergeCell ref="Q31:Q32"/>
    <mergeCell ref="AM31:AM32"/>
    <mergeCell ref="AN31:AN32"/>
    <mergeCell ref="AK31:AK32"/>
    <mergeCell ref="AL31:AL32"/>
    <mergeCell ref="AK29:AK30"/>
    <mergeCell ref="AL29:AL30"/>
    <mergeCell ref="O25:O26"/>
    <mergeCell ref="P25:P26"/>
    <mergeCell ref="Q25:Q26"/>
    <mergeCell ref="AM25:AM26"/>
    <mergeCell ref="AN25:AN26"/>
    <mergeCell ref="N27:N28"/>
    <mergeCell ref="O27:O28"/>
    <mergeCell ref="P27:P28"/>
    <mergeCell ref="Q27:Q28"/>
    <mergeCell ref="AM27:AM28"/>
    <mergeCell ref="AN27:AN28"/>
    <mergeCell ref="AK25:AK26"/>
    <mergeCell ref="AL25:AL26"/>
    <mergeCell ref="AK27:AK28"/>
    <mergeCell ref="AL27:AL28"/>
    <mergeCell ref="O21:O22"/>
    <mergeCell ref="P21:P22"/>
    <mergeCell ref="Q21:Q22"/>
    <mergeCell ref="AM21:AM22"/>
    <mergeCell ref="AN21:AN22"/>
    <mergeCell ref="N23:N24"/>
    <mergeCell ref="O23:O24"/>
    <mergeCell ref="P23:P24"/>
    <mergeCell ref="Q23:Q24"/>
    <mergeCell ref="AM23:AM24"/>
    <mergeCell ref="AN23:AN24"/>
    <mergeCell ref="AH1:AL1"/>
    <mergeCell ref="AH2:AL2"/>
    <mergeCell ref="AH7:AI7"/>
    <mergeCell ref="AK21:AK22"/>
    <mergeCell ref="AL21:AL22"/>
    <mergeCell ref="AK23:AK24"/>
    <mergeCell ref="AL23:AL24"/>
    <mergeCell ref="AL19:AN19"/>
    <mergeCell ref="M69:M70"/>
    <mergeCell ref="M37:M38"/>
    <mergeCell ref="M33:M34"/>
    <mergeCell ref="M29:M30"/>
    <mergeCell ref="M25:M26"/>
    <mergeCell ref="M21:M22"/>
    <mergeCell ref="O1:AB1"/>
    <mergeCell ref="AC1:AG1"/>
    <mergeCell ref="O2:AB2"/>
    <mergeCell ref="AC2:AG2"/>
    <mergeCell ref="A1:N1"/>
    <mergeCell ref="A2:N2"/>
    <mergeCell ref="A4:B4"/>
    <mergeCell ref="C4:D4"/>
    <mergeCell ref="E4:F4"/>
    <mergeCell ref="G4:I4"/>
    <mergeCell ref="F67:F68"/>
    <mergeCell ref="G67:G68"/>
    <mergeCell ref="H67:H68"/>
    <mergeCell ref="I67:I68"/>
    <mergeCell ref="M67:M68"/>
    <mergeCell ref="A67:A68"/>
    <mergeCell ref="B67:B68"/>
    <mergeCell ref="C67:C68"/>
    <mergeCell ref="D67:D68"/>
    <mergeCell ref="E67:E68"/>
    <mergeCell ref="J67:J68"/>
    <mergeCell ref="K67:K68"/>
    <mergeCell ref="J69:J70"/>
    <mergeCell ref="A69:A70"/>
    <mergeCell ref="B69:B70"/>
    <mergeCell ref="C69:C70"/>
    <mergeCell ref="D69:D70"/>
    <mergeCell ref="E69:E70"/>
    <mergeCell ref="F69:F70"/>
    <mergeCell ref="G69:G70"/>
    <mergeCell ref="H69:H70"/>
    <mergeCell ref="I69:I70"/>
    <mergeCell ref="K69:K70"/>
    <mergeCell ref="M65:M66"/>
    <mergeCell ref="F63:F64"/>
    <mergeCell ref="G63:G64"/>
    <mergeCell ref="H63:H64"/>
    <mergeCell ref="I63:I64"/>
    <mergeCell ref="M63:M64"/>
    <mergeCell ref="A63:A64"/>
    <mergeCell ref="B63:B64"/>
    <mergeCell ref="C63:C64"/>
    <mergeCell ref="D63:D64"/>
    <mergeCell ref="E63:E64"/>
    <mergeCell ref="J63:J64"/>
    <mergeCell ref="J65:J66"/>
    <mergeCell ref="A65:A66"/>
    <mergeCell ref="B65:B66"/>
    <mergeCell ref="C65:C66"/>
    <mergeCell ref="D65:D66"/>
    <mergeCell ref="E65:E66"/>
    <mergeCell ref="F65:F66"/>
    <mergeCell ref="G65:G66"/>
    <mergeCell ref="H65:H66"/>
    <mergeCell ref="I65:I66"/>
    <mergeCell ref="K63:K64"/>
    <mergeCell ref="K65:K66"/>
    <mergeCell ref="M61:M62"/>
    <mergeCell ref="F59:F60"/>
    <mergeCell ref="G59:G60"/>
    <mergeCell ref="H59:H60"/>
    <mergeCell ref="I59:I60"/>
    <mergeCell ref="M59:M60"/>
    <mergeCell ref="A59:A60"/>
    <mergeCell ref="B59:B60"/>
    <mergeCell ref="C59:C60"/>
    <mergeCell ref="D59:D60"/>
    <mergeCell ref="E59:E60"/>
    <mergeCell ref="J59:J60"/>
    <mergeCell ref="J61:J62"/>
    <mergeCell ref="A61:A62"/>
    <mergeCell ref="B61:B62"/>
    <mergeCell ref="C61:C62"/>
    <mergeCell ref="D61:D62"/>
    <mergeCell ref="E61:E62"/>
    <mergeCell ref="F61:F62"/>
    <mergeCell ref="G61:G62"/>
    <mergeCell ref="H61:H62"/>
    <mergeCell ref="I61:I62"/>
    <mergeCell ref="K59:K60"/>
    <mergeCell ref="K61:K62"/>
    <mergeCell ref="M57:M58"/>
    <mergeCell ref="F55:F56"/>
    <mergeCell ref="G55:G56"/>
    <mergeCell ref="H55:H56"/>
    <mergeCell ref="I55:I56"/>
    <mergeCell ref="M55:M56"/>
    <mergeCell ref="A55:A56"/>
    <mergeCell ref="B55:B56"/>
    <mergeCell ref="C55:C56"/>
    <mergeCell ref="D55:D56"/>
    <mergeCell ref="E55:E56"/>
    <mergeCell ref="J55:J56"/>
    <mergeCell ref="J57:J58"/>
    <mergeCell ref="A57:A58"/>
    <mergeCell ref="B57:B58"/>
    <mergeCell ref="C57:C58"/>
    <mergeCell ref="D57:D58"/>
    <mergeCell ref="E57:E58"/>
    <mergeCell ref="F57:F58"/>
    <mergeCell ref="G57:G58"/>
    <mergeCell ref="H57:H58"/>
    <mergeCell ref="I57:I58"/>
    <mergeCell ref="K55:K56"/>
    <mergeCell ref="K57:K58"/>
    <mergeCell ref="M53:M54"/>
    <mergeCell ref="F51:F52"/>
    <mergeCell ref="G51:G52"/>
    <mergeCell ref="H51:H52"/>
    <mergeCell ref="I51:I52"/>
    <mergeCell ref="M51:M52"/>
    <mergeCell ref="A51:A52"/>
    <mergeCell ref="B51:B52"/>
    <mergeCell ref="C51:C52"/>
    <mergeCell ref="D51:D52"/>
    <mergeCell ref="E51:E52"/>
    <mergeCell ref="J51:J52"/>
    <mergeCell ref="J53:J54"/>
    <mergeCell ref="A53:A54"/>
    <mergeCell ref="B53:B54"/>
    <mergeCell ref="C53:C54"/>
    <mergeCell ref="D53:D54"/>
    <mergeCell ref="E53:E54"/>
    <mergeCell ref="F53:F54"/>
    <mergeCell ref="G53:G54"/>
    <mergeCell ref="H53:H54"/>
    <mergeCell ref="I53:I54"/>
    <mergeCell ref="K51:K52"/>
    <mergeCell ref="K53:K54"/>
    <mergeCell ref="M49:M50"/>
    <mergeCell ref="F47:F48"/>
    <mergeCell ref="G47:G48"/>
    <mergeCell ref="H47:H48"/>
    <mergeCell ref="I47:I48"/>
    <mergeCell ref="M47:M48"/>
    <mergeCell ref="A47:A48"/>
    <mergeCell ref="B47:B48"/>
    <mergeCell ref="C47:C48"/>
    <mergeCell ref="D47:D48"/>
    <mergeCell ref="E47:E48"/>
    <mergeCell ref="J47:J48"/>
    <mergeCell ref="J49:J50"/>
    <mergeCell ref="A49:A50"/>
    <mergeCell ref="B49:B50"/>
    <mergeCell ref="C49:C50"/>
    <mergeCell ref="D49:D50"/>
    <mergeCell ref="E49:E50"/>
    <mergeCell ref="F49:F50"/>
    <mergeCell ref="G49:G50"/>
    <mergeCell ref="H49:H50"/>
    <mergeCell ref="I49:I50"/>
    <mergeCell ref="K47:K48"/>
    <mergeCell ref="K49:K50"/>
    <mergeCell ref="M45:M46"/>
    <mergeCell ref="F43:F44"/>
    <mergeCell ref="G43:G44"/>
    <mergeCell ref="H43:H44"/>
    <mergeCell ref="I43:I44"/>
    <mergeCell ref="M43:M44"/>
    <mergeCell ref="A43:A44"/>
    <mergeCell ref="B43:B44"/>
    <mergeCell ref="C43:C44"/>
    <mergeCell ref="D43:D44"/>
    <mergeCell ref="E43:E44"/>
    <mergeCell ref="J43:J44"/>
    <mergeCell ref="J45:J46"/>
    <mergeCell ref="A45:A46"/>
    <mergeCell ref="B45:B46"/>
    <mergeCell ref="C45:C46"/>
    <mergeCell ref="D45:D46"/>
    <mergeCell ref="E45:E46"/>
    <mergeCell ref="F45:F46"/>
    <mergeCell ref="G45:G46"/>
    <mergeCell ref="H45:H46"/>
    <mergeCell ref="I45:I46"/>
    <mergeCell ref="K43:K44"/>
    <mergeCell ref="K45:K46"/>
    <mergeCell ref="M41:M42"/>
    <mergeCell ref="F39:F40"/>
    <mergeCell ref="G39:G40"/>
    <mergeCell ref="H39:H40"/>
    <mergeCell ref="I39:I40"/>
    <mergeCell ref="M39:M40"/>
    <mergeCell ref="A39:A40"/>
    <mergeCell ref="B39:B40"/>
    <mergeCell ref="C39:C40"/>
    <mergeCell ref="D39:D40"/>
    <mergeCell ref="E39:E40"/>
    <mergeCell ref="J39:J40"/>
    <mergeCell ref="J41:J42"/>
    <mergeCell ref="A41:A42"/>
    <mergeCell ref="B41:B42"/>
    <mergeCell ref="C41:C42"/>
    <mergeCell ref="D41:D42"/>
    <mergeCell ref="E41:E42"/>
    <mergeCell ref="F41:F42"/>
    <mergeCell ref="G41:G42"/>
    <mergeCell ref="H41:H42"/>
    <mergeCell ref="I41:I42"/>
    <mergeCell ref="K39:K40"/>
    <mergeCell ref="F35:F36"/>
    <mergeCell ref="G35:G36"/>
    <mergeCell ref="H35:H36"/>
    <mergeCell ref="I35:I36"/>
    <mergeCell ref="M35:M36"/>
    <mergeCell ref="A35:A36"/>
    <mergeCell ref="B35:B36"/>
    <mergeCell ref="C35:C36"/>
    <mergeCell ref="D35:D36"/>
    <mergeCell ref="E35:E36"/>
    <mergeCell ref="J35:J36"/>
    <mergeCell ref="A37:A38"/>
    <mergeCell ref="B37:B38"/>
    <mergeCell ref="C37:C38"/>
    <mergeCell ref="D37:D38"/>
    <mergeCell ref="E37:E38"/>
    <mergeCell ref="F37:F38"/>
    <mergeCell ref="G37:G38"/>
    <mergeCell ref="H37:H38"/>
    <mergeCell ref="I37:I38"/>
    <mergeCell ref="F31:F32"/>
    <mergeCell ref="G31:G32"/>
    <mergeCell ref="H31:H32"/>
    <mergeCell ref="I31:I32"/>
    <mergeCell ref="M31:M32"/>
    <mergeCell ref="A31:A32"/>
    <mergeCell ref="B31:B32"/>
    <mergeCell ref="C31:C32"/>
    <mergeCell ref="D31:D32"/>
    <mergeCell ref="E31:E32"/>
    <mergeCell ref="J31:J32"/>
    <mergeCell ref="A33:A34"/>
    <mergeCell ref="B33:B34"/>
    <mergeCell ref="C33:C34"/>
    <mergeCell ref="D33:D34"/>
    <mergeCell ref="E33:E34"/>
    <mergeCell ref="F33:F34"/>
    <mergeCell ref="G33:G34"/>
    <mergeCell ref="H33:H34"/>
    <mergeCell ref="I33:I34"/>
    <mergeCell ref="F27:F28"/>
    <mergeCell ref="G27:G28"/>
    <mergeCell ref="H27:H28"/>
    <mergeCell ref="I27:I28"/>
    <mergeCell ref="M27:M28"/>
    <mergeCell ref="A27:A28"/>
    <mergeCell ref="B27:B28"/>
    <mergeCell ref="C27:C28"/>
    <mergeCell ref="D27:D28"/>
    <mergeCell ref="E27:E28"/>
    <mergeCell ref="J27:J28"/>
    <mergeCell ref="A29:A30"/>
    <mergeCell ref="B29:B30"/>
    <mergeCell ref="C29:C30"/>
    <mergeCell ref="D29:D30"/>
    <mergeCell ref="E29:E30"/>
    <mergeCell ref="F29:F30"/>
    <mergeCell ref="G29:G30"/>
    <mergeCell ref="H29:H30"/>
    <mergeCell ref="I29:I30"/>
    <mergeCell ref="F23:F24"/>
    <mergeCell ref="G23:G24"/>
    <mergeCell ref="H23:H24"/>
    <mergeCell ref="I23:I24"/>
    <mergeCell ref="M23:M24"/>
    <mergeCell ref="A23:A24"/>
    <mergeCell ref="B23:B24"/>
    <mergeCell ref="C23:C24"/>
    <mergeCell ref="D23:D24"/>
    <mergeCell ref="E23:E24"/>
    <mergeCell ref="J23:J24"/>
    <mergeCell ref="K23:K24"/>
    <mergeCell ref="L23:L24"/>
    <mergeCell ref="A25:A26"/>
    <mergeCell ref="B25:B26"/>
    <mergeCell ref="C25:C26"/>
    <mergeCell ref="D25:D26"/>
    <mergeCell ref="E25:E26"/>
    <mergeCell ref="F25:F26"/>
    <mergeCell ref="G25:G26"/>
    <mergeCell ref="H25:H26"/>
    <mergeCell ref="I25:I26"/>
    <mergeCell ref="A7:E7"/>
    <mergeCell ref="G7:I7"/>
    <mergeCell ref="A5:B5"/>
    <mergeCell ref="C5:D5"/>
    <mergeCell ref="E5:F5"/>
    <mergeCell ref="G5:I5"/>
    <mergeCell ref="J5:L5"/>
    <mergeCell ref="A21:A22"/>
    <mergeCell ref="B21:B22"/>
    <mergeCell ref="C21:C22"/>
    <mergeCell ref="D21:D22"/>
    <mergeCell ref="E21:E22"/>
    <mergeCell ref="F21:F22"/>
    <mergeCell ref="G21:G22"/>
    <mergeCell ref="H21:H22"/>
    <mergeCell ref="I21:I22"/>
    <mergeCell ref="K7:M7"/>
    <mergeCell ref="K21:K22"/>
    <mergeCell ref="L21:L22"/>
    <mergeCell ref="J4:L4"/>
    <mergeCell ref="M4:N4"/>
    <mergeCell ref="K25:K26"/>
    <mergeCell ref="K27:K28"/>
    <mergeCell ref="K29:K30"/>
    <mergeCell ref="K31:K32"/>
    <mergeCell ref="K33:K34"/>
    <mergeCell ref="K35:K36"/>
    <mergeCell ref="K37:K38"/>
    <mergeCell ref="J21:J22"/>
    <mergeCell ref="M5:N5"/>
    <mergeCell ref="N21:N22"/>
    <mergeCell ref="J25:J26"/>
    <mergeCell ref="J29:J30"/>
    <mergeCell ref="J33:J34"/>
    <mergeCell ref="J37:J38"/>
    <mergeCell ref="N25:N26"/>
    <mergeCell ref="N29:N30"/>
    <mergeCell ref="N33:N34"/>
    <mergeCell ref="N37:N38"/>
    <mergeCell ref="K41:K42"/>
    <mergeCell ref="L25:L26"/>
    <mergeCell ref="L27:L28"/>
    <mergeCell ref="L29:L30"/>
    <mergeCell ref="L31:L32"/>
    <mergeCell ref="L33:L34"/>
    <mergeCell ref="L35:L36"/>
    <mergeCell ref="L37:L38"/>
    <mergeCell ref="L39:L40"/>
    <mergeCell ref="L41:L42"/>
    <mergeCell ref="L61:L62"/>
    <mergeCell ref="L63:L64"/>
    <mergeCell ref="L65:L66"/>
    <mergeCell ref="L67:L68"/>
    <mergeCell ref="L69:L70"/>
    <mergeCell ref="L43:L44"/>
    <mergeCell ref="L45:L46"/>
    <mergeCell ref="L47:L48"/>
    <mergeCell ref="L49:L50"/>
    <mergeCell ref="L51:L52"/>
    <mergeCell ref="L53:L54"/>
    <mergeCell ref="L55:L56"/>
    <mergeCell ref="L57:L58"/>
    <mergeCell ref="L59:L60"/>
  </mergeCells>
  <conditionalFormatting sqref="AR21:AR70">
    <cfRule type="cellIs" dxfId="8" priority="1" operator="lessThan">
      <formula>0</formula>
    </cfRule>
  </conditionalFormatting>
  <dataValidations count="3">
    <dataValidation type="list" allowBlank="1" showInputMessage="1" showErrorMessage="1" sqref="Q21:Q70" xr:uid="{698FEC21-0349-4087-AE95-BAD96D543C58}">
      <formula1>"Diadema,Jarinu,Ferraz,Anchieta,São Leopoldo, Multi Unidades"</formula1>
    </dataValidation>
    <dataValidation type="list" allowBlank="1" showInputMessage="1" showErrorMessage="1" sqref="A21:A70" xr:uid="{C08F9E5E-D9A3-41E1-8570-347169A9D978}">
      <formula1>"Kaizen,Redução de Custo, BSW, Estratégia Comercial,Meta Executiva "</formula1>
    </dataValidation>
    <dataValidation type="list" allowBlank="1" showInputMessage="1" showErrorMessage="1" sqref="AL21:AL70" xr:uid="{2B516C20-D8BB-4D63-880D-6461FCFA46FC}">
      <formula1>"Compras,Vendas,Orçamento,Eng. Corporativa,Eng. Ferraz,Eng. Diadema,Eng. SL,Eng. Anchieta,Eng. Jarinu"</formula1>
    </dataValidation>
  </dataValidations>
  <hyperlinks>
    <hyperlink ref="D21" r:id="rId1" xr:uid="{67A2B13A-88D1-4F53-BA34-E2341BEFAC01}"/>
  </hyperlinks>
  <pageMargins left="0.75" right="0.75" top="1" bottom="1" header="0.5" footer="0.5"/>
  <drawing r:id="rId2"/>
  <legacyDrawing r:id="rId3"/>
  <mc:AlternateContent xmlns:mc="http://schemas.openxmlformats.org/markup-compatibility/2006">
    <mc:Choice Requires="x14">
      <controls>
        <mc:AlternateContent xmlns:mc="http://schemas.openxmlformats.org/markup-compatibility/2006">
          <mc:Choice Requires="x14">
            <control shapeId="21506" r:id="rId4" name="Check Box 2">
              <controlPr defaultSize="0" autoFill="0" autoLine="0" autoPict="0">
                <anchor moveWithCells="1">
                  <from>
                    <xdr:col>10</xdr:col>
                    <xdr:colOff>30480</xdr:colOff>
                    <xdr:row>22</xdr:row>
                    <xdr:rowOff>152400</xdr:rowOff>
                  </from>
                  <to>
                    <xdr:col>10</xdr:col>
                    <xdr:colOff>1706880</xdr:colOff>
                    <xdr:row>23</xdr:row>
                    <xdr:rowOff>68580</xdr:rowOff>
                  </to>
                </anchor>
              </controlPr>
            </control>
          </mc:Choice>
        </mc:AlternateContent>
        <mc:AlternateContent xmlns:mc="http://schemas.openxmlformats.org/markup-compatibility/2006">
          <mc:Choice Requires="x14">
            <control shapeId="21507" r:id="rId5" name="Check Box 3">
              <controlPr defaultSize="0" autoFill="0" autoLine="0" autoPict="0">
                <anchor moveWithCells="1">
                  <from>
                    <xdr:col>10</xdr:col>
                    <xdr:colOff>30480</xdr:colOff>
                    <xdr:row>23</xdr:row>
                    <xdr:rowOff>30480</xdr:rowOff>
                  </from>
                  <to>
                    <xdr:col>10</xdr:col>
                    <xdr:colOff>1706880</xdr:colOff>
                    <xdr:row>23</xdr:row>
                    <xdr:rowOff>259080</xdr:rowOff>
                  </to>
                </anchor>
              </controlPr>
            </control>
          </mc:Choice>
        </mc:AlternateContent>
        <mc:AlternateContent xmlns:mc="http://schemas.openxmlformats.org/markup-compatibility/2006">
          <mc:Choice Requires="x14">
            <control shapeId="21508" r:id="rId6" name="Check Box 4">
              <controlPr defaultSize="0" autoFill="0" autoLine="0" autoPict="0">
                <anchor moveWithCells="1">
                  <from>
                    <xdr:col>10</xdr:col>
                    <xdr:colOff>0</xdr:colOff>
                    <xdr:row>24</xdr:row>
                    <xdr:rowOff>266700</xdr:rowOff>
                  </from>
                  <to>
                    <xdr:col>10</xdr:col>
                    <xdr:colOff>1706880</xdr:colOff>
                    <xdr:row>25</xdr:row>
                    <xdr:rowOff>106680</xdr:rowOff>
                  </to>
                </anchor>
              </controlPr>
            </control>
          </mc:Choice>
        </mc:AlternateContent>
        <mc:AlternateContent xmlns:mc="http://schemas.openxmlformats.org/markup-compatibility/2006">
          <mc:Choice Requires="x14">
            <control shapeId="21509" r:id="rId7" name="Check Box 5">
              <controlPr defaultSize="0" autoFill="0" autoLine="0" autoPict="0">
                <anchor moveWithCells="1">
                  <from>
                    <xdr:col>10</xdr:col>
                    <xdr:colOff>0</xdr:colOff>
                    <xdr:row>25</xdr:row>
                    <xdr:rowOff>144780</xdr:rowOff>
                  </from>
                  <to>
                    <xdr:col>10</xdr:col>
                    <xdr:colOff>1706880</xdr:colOff>
                    <xdr:row>26</xdr:row>
                    <xdr:rowOff>0</xdr:rowOff>
                  </to>
                </anchor>
              </controlPr>
            </control>
          </mc:Choice>
        </mc:AlternateContent>
        <mc:AlternateContent xmlns:mc="http://schemas.openxmlformats.org/markup-compatibility/2006">
          <mc:Choice Requires="x14">
            <control shapeId="21510" r:id="rId8" name="Check Box 6">
              <controlPr defaultSize="0" autoFill="0" autoLine="0" autoPict="0">
                <anchor moveWithCells="1">
                  <from>
                    <xdr:col>10</xdr:col>
                    <xdr:colOff>0</xdr:colOff>
                    <xdr:row>24</xdr:row>
                    <xdr:rowOff>30480</xdr:rowOff>
                  </from>
                  <to>
                    <xdr:col>10</xdr:col>
                    <xdr:colOff>1706880</xdr:colOff>
                    <xdr:row>24</xdr:row>
                    <xdr:rowOff>259080</xdr:rowOff>
                  </to>
                </anchor>
              </controlPr>
            </control>
          </mc:Choice>
        </mc:AlternateContent>
        <mc:AlternateContent xmlns:mc="http://schemas.openxmlformats.org/markup-compatibility/2006">
          <mc:Choice Requires="x14">
            <control shapeId="21511" r:id="rId9" name="Check Box 7">
              <controlPr defaultSize="0" autoFill="0" autoLine="0" autoPict="0">
                <anchor moveWithCells="1">
                  <from>
                    <xdr:col>10</xdr:col>
                    <xdr:colOff>0</xdr:colOff>
                    <xdr:row>26</xdr:row>
                    <xdr:rowOff>266700</xdr:rowOff>
                  </from>
                  <to>
                    <xdr:col>10</xdr:col>
                    <xdr:colOff>1706880</xdr:colOff>
                    <xdr:row>27</xdr:row>
                    <xdr:rowOff>106680</xdr:rowOff>
                  </to>
                </anchor>
              </controlPr>
            </control>
          </mc:Choice>
        </mc:AlternateContent>
        <mc:AlternateContent xmlns:mc="http://schemas.openxmlformats.org/markup-compatibility/2006">
          <mc:Choice Requires="x14">
            <control shapeId="21512" r:id="rId10" name="Check Box 8">
              <controlPr defaultSize="0" autoFill="0" autoLine="0" autoPict="0">
                <anchor moveWithCells="1">
                  <from>
                    <xdr:col>10</xdr:col>
                    <xdr:colOff>0</xdr:colOff>
                    <xdr:row>27</xdr:row>
                    <xdr:rowOff>144780</xdr:rowOff>
                  </from>
                  <to>
                    <xdr:col>10</xdr:col>
                    <xdr:colOff>1706880</xdr:colOff>
                    <xdr:row>28</xdr:row>
                    <xdr:rowOff>0</xdr:rowOff>
                  </to>
                </anchor>
              </controlPr>
            </control>
          </mc:Choice>
        </mc:AlternateContent>
        <mc:AlternateContent xmlns:mc="http://schemas.openxmlformats.org/markup-compatibility/2006">
          <mc:Choice Requires="x14">
            <control shapeId="21513" r:id="rId11" name="Check Box 9">
              <controlPr defaultSize="0" autoFill="0" autoLine="0" autoPict="0">
                <anchor moveWithCells="1">
                  <from>
                    <xdr:col>10</xdr:col>
                    <xdr:colOff>0</xdr:colOff>
                    <xdr:row>26</xdr:row>
                    <xdr:rowOff>30480</xdr:rowOff>
                  </from>
                  <to>
                    <xdr:col>10</xdr:col>
                    <xdr:colOff>1706880</xdr:colOff>
                    <xdr:row>26</xdr:row>
                    <xdr:rowOff>259080</xdr:rowOff>
                  </to>
                </anchor>
              </controlPr>
            </control>
          </mc:Choice>
        </mc:AlternateContent>
        <mc:AlternateContent xmlns:mc="http://schemas.openxmlformats.org/markup-compatibility/2006">
          <mc:Choice Requires="x14">
            <control shapeId="21514" r:id="rId12" name="Check Box 10">
              <controlPr defaultSize="0" autoFill="0" autoLine="0" autoPict="0">
                <anchor moveWithCells="1">
                  <from>
                    <xdr:col>10</xdr:col>
                    <xdr:colOff>0</xdr:colOff>
                    <xdr:row>28</xdr:row>
                    <xdr:rowOff>266700</xdr:rowOff>
                  </from>
                  <to>
                    <xdr:col>10</xdr:col>
                    <xdr:colOff>1706880</xdr:colOff>
                    <xdr:row>29</xdr:row>
                    <xdr:rowOff>106680</xdr:rowOff>
                  </to>
                </anchor>
              </controlPr>
            </control>
          </mc:Choice>
        </mc:AlternateContent>
        <mc:AlternateContent xmlns:mc="http://schemas.openxmlformats.org/markup-compatibility/2006">
          <mc:Choice Requires="x14">
            <control shapeId="21515" r:id="rId13" name="Check Box 11">
              <controlPr defaultSize="0" autoFill="0" autoLine="0" autoPict="0">
                <anchor moveWithCells="1">
                  <from>
                    <xdr:col>10</xdr:col>
                    <xdr:colOff>0</xdr:colOff>
                    <xdr:row>29</xdr:row>
                    <xdr:rowOff>144780</xdr:rowOff>
                  </from>
                  <to>
                    <xdr:col>10</xdr:col>
                    <xdr:colOff>1706880</xdr:colOff>
                    <xdr:row>30</xdr:row>
                    <xdr:rowOff>0</xdr:rowOff>
                  </to>
                </anchor>
              </controlPr>
            </control>
          </mc:Choice>
        </mc:AlternateContent>
        <mc:AlternateContent xmlns:mc="http://schemas.openxmlformats.org/markup-compatibility/2006">
          <mc:Choice Requires="x14">
            <control shapeId="21516" r:id="rId14" name="Check Box 12">
              <controlPr defaultSize="0" autoFill="0" autoLine="0" autoPict="0">
                <anchor moveWithCells="1">
                  <from>
                    <xdr:col>10</xdr:col>
                    <xdr:colOff>0</xdr:colOff>
                    <xdr:row>28</xdr:row>
                    <xdr:rowOff>30480</xdr:rowOff>
                  </from>
                  <to>
                    <xdr:col>10</xdr:col>
                    <xdr:colOff>1706880</xdr:colOff>
                    <xdr:row>28</xdr:row>
                    <xdr:rowOff>259080</xdr:rowOff>
                  </to>
                </anchor>
              </controlPr>
            </control>
          </mc:Choice>
        </mc:AlternateContent>
        <mc:AlternateContent xmlns:mc="http://schemas.openxmlformats.org/markup-compatibility/2006">
          <mc:Choice Requires="x14">
            <control shapeId="21517" r:id="rId15" name="Check Box 13">
              <controlPr defaultSize="0" autoFill="0" autoLine="0" autoPict="0">
                <anchor moveWithCells="1">
                  <from>
                    <xdr:col>10</xdr:col>
                    <xdr:colOff>0</xdr:colOff>
                    <xdr:row>30</xdr:row>
                    <xdr:rowOff>266700</xdr:rowOff>
                  </from>
                  <to>
                    <xdr:col>10</xdr:col>
                    <xdr:colOff>1706880</xdr:colOff>
                    <xdr:row>31</xdr:row>
                    <xdr:rowOff>106680</xdr:rowOff>
                  </to>
                </anchor>
              </controlPr>
            </control>
          </mc:Choice>
        </mc:AlternateContent>
        <mc:AlternateContent xmlns:mc="http://schemas.openxmlformats.org/markup-compatibility/2006">
          <mc:Choice Requires="x14">
            <control shapeId="21518" r:id="rId16" name="Check Box 14">
              <controlPr defaultSize="0" autoFill="0" autoLine="0" autoPict="0">
                <anchor moveWithCells="1">
                  <from>
                    <xdr:col>10</xdr:col>
                    <xdr:colOff>0</xdr:colOff>
                    <xdr:row>31</xdr:row>
                    <xdr:rowOff>144780</xdr:rowOff>
                  </from>
                  <to>
                    <xdr:col>10</xdr:col>
                    <xdr:colOff>1706880</xdr:colOff>
                    <xdr:row>32</xdr:row>
                    <xdr:rowOff>0</xdr:rowOff>
                  </to>
                </anchor>
              </controlPr>
            </control>
          </mc:Choice>
        </mc:AlternateContent>
        <mc:AlternateContent xmlns:mc="http://schemas.openxmlformats.org/markup-compatibility/2006">
          <mc:Choice Requires="x14">
            <control shapeId="21519" r:id="rId17" name="Check Box 15">
              <controlPr defaultSize="0" autoFill="0" autoLine="0" autoPict="0">
                <anchor moveWithCells="1">
                  <from>
                    <xdr:col>10</xdr:col>
                    <xdr:colOff>0</xdr:colOff>
                    <xdr:row>30</xdr:row>
                    <xdr:rowOff>30480</xdr:rowOff>
                  </from>
                  <to>
                    <xdr:col>10</xdr:col>
                    <xdr:colOff>1706880</xdr:colOff>
                    <xdr:row>30</xdr:row>
                    <xdr:rowOff>259080</xdr:rowOff>
                  </to>
                </anchor>
              </controlPr>
            </control>
          </mc:Choice>
        </mc:AlternateContent>
        <mc:AlternateContent xmlns:mc="http://schemas.openxmlformats.org/markup-compatibility/2006">
          <mc:Choice Requires="x14">
            <control shapeId="21520" r:id="rId18" name="Check Box 16">
              <controlPr defaultSize="0" autoFill="0" autoLine="0" autoPict="0">
                <anchor moveWithCells="1">
                  <from>
                    <xdr:col>10</xdr:col>
                    <xdr:colOff>0</xdr:colOff>
                    <xdr:row>32</xdr:row>
                    <xdr:rowOff>266700</xdr:rowOff>
                  </from>
                  <to>
                    <xdr:col>10</xdr:col>
                    <xdr:colOff>1706880</xdr:colOff>
                    <xdr:row>33</xdr:row>
                    <xdr:rowOff>106680</xdr:rowOff>
                  </to>
                </anchor>
              </controlPr>
            </control>
          </mc:Choice>
        </mc:AlternateContent>
        <mc:AlternateContent xmlns:mc="http://schemas.openxmlformats.org/markup-compatibility/2006">
          <mc:Choice Requires="x14">
            <control shapeId="21521" r:id="rId19" name="Check Box 17">
              <controlPr defaultSize="0" autoFill="0" autoLine="0" autoPict="0">
                <anchor moveWithCells="1">
                  <from>
                    <xdr:col>10</xdr:col>
                    <xdr:colOff>0</xdr:colOff>
                    <xdr:row>33</xdr:row>
                    <xdr:rowOff>144780</xdr:rowOff>
                  </from>
                  <to>
                    <xdr:col>10</xdr:col>
                    <xdr:colOff>1706880</xdr:colOff>
                    <xdr:row>34</xdr:row>
                    <xdr:rowOff>0</xdr:rowOff>
                  </to>
                </anchor>
              </controlPr>
            </control>
          </mc:Choice>
        </mc:AlternateContent>
        <mc:AlternateContent xmlns:mc="http://schemas.openxmlformats.org/markup-compatibility/2006">
          <mc:Choice Requires="x14">
            <control shapeId="21522" r:id="rId20" name="Check Box 18">
              <controlPr defaultSize="0" autoFill="0" autoLine="0" autoPict="0">
                <anchor moveWithCells="1">
                  <from>
                    <xdr:col>10</xdr:col>
                    <xdr:colOff>0</xdr:colOff>
                    <xdr:row>32</xdr:row>
                    <xdr:rowOff>30480</xdr:rowOff>
                  </from>
                  <to>
                    <xdr:col>10</xdr:col>
                    <xdr:colOff>1706880</xdr:colOff>
                    <xdr:row>32</xdr:row>
                    <xdr:rowOff>259080</xdr:rowOff>
                  </to>
                </anchor>
              </controlPr>
            </control>
          </mc:Choice>
        </mc:AlternateContent>
        <mc:AlternateContent xmlns:mc="http://schemas.openxmlformats.org/markup-compatibility/2006">
          <mc:Choice Requires="x14">
            <control shapeId="21523" r:id="rId21" name="Check Box 19">
              <controlPr defaultSize="0" autoFill="0" autoLine="0" autoPict="0">
                <anchor moveWithCells="1">
                  <from>
                    <xdr:col>10</xdr:col>
                    <xdr:colOff>0</xdr:colOff>
                    <xdr:row>34</xdr:row>
                    <xdr:rowOff>266700</xdr:rowOff>
                  </from>
                  <to>
                    <xdr:col>10</xdr:col>
                    <xdr:colOff>1706880</xdr:colOff>
                    <xdr:row>35</xdr:row>
                    <xdr:rowOff>106680</xdr:rowOff>
                  </to>
                </anchor>
              </controlPr>
            </control>
          </mc:Choice>
        </mc:AlternateContent>
        <mc:AlternateContent xmlns:mc="http://schemas.openxmlformats.org/markup-compatibility/2006">
          <mc:Choice Requires="x14">
            <control shapeId="21524" r:id="rId22" name="Check Box 20">
              <controlPr defaultSize="0" autoFill="0" autoLine="0" autoPict="0">
                <anchor moveWithCells="1">
                  <from>
                    <xdr:col>10</xdr:col>
                    <xdr:colOff>0</xdr:colOff>
                    <xdr:row>35</xdr:row>
                    <xdr:rowOff>144780</xdr:rowOff>
                  </from>
                  <to>
                    <xdr:col>10</xdr:col>
                    <xdr:colOff>1706880</xdr:colOff>
                    <xdr:row>36</xdr:row>
                    <xdr:rowOff>0</xdr:rowOff>
                  </to>
                </anchor>
              </controlPr>
            </control>
          </mc:Choice>
        </mc:AlternateContent>
        <mc:AlternateContent xmlns:mc="http://schemas.openxmlformats.org/markup-compatibility/2006">
          <mc:Choice Requires="x14">
            <control shapeId="21525" r:id="rId23" name="Check Box 21">
              <controlPr defaultSize="0" autoFill="0" autoLine="0" autoPict="0">
                <anchor moveWithCells="1">
                  <from>
                    <xdr:col>10</xdr:col>
                    <xdr:colOff>0</xdr:colOff>
                    <xdr:row>34</xdr:row>
                    <xdr:rowOff>30480</xdr:rowOff>
                  </from>
                  <to>
                    <xdr:col>10</xdr:col>
                    <xdr:colOff>1706880</xdr:colOff>
                    <xdr:row>34</xdr:row>
                    <xdr:rowOff>259080</xdr:rowOff>
                  </to>
                </anchor>
              </controlPr>
            </control>
          </mc:Choice>
        </mc:AlternateContent>
        <mc:AlternateContent xmlns:mc="http://schemas.openxmlformats.org/markup-compatibility/2006">
          <mc:Choice Requires="x14">
            <control shapeId="21526" r:id="rId24" name="Check Box 22">
              <controlPr defaultSize="0" autoFill="0" autoLine="0" autoPict="0">
                <anchor moveWithCells="1">
                  <from>
                    <xdr:col>10</xdr:col>
                    <xdr:colOff>0</xdr:colOff>
                    <xdr:row>36</xdr:row>
                    <xdr:rowOff>266700</xdr:rowOff>
                  </from>
                  <to>
                    <xdr:col>10</xdr:col>
                    <xdr:colOff>1706880</xdr:colOff>
                    <xdr:row>37</xdr:row>
                    <xdr:rowOff>106680</xdr:rowOff>
                  </to>
                </anchor>
              </controlPr>
            </control>
          </mc:Choice>
        </mc:AlternateContent>
        <mc:AlternateContent xmlns:mc="http://schemas.openxmlformats.org/markup-compatibility/2006">
          <mc:Choice Requires="x14">
            <control shapeId="21527" r:id="rId25" name="Check Box 23">
              <controlPr defaultSize="0" autoFill="0" autoLine="0" autoPict="0">
                <anchor moveWithCells="1">
                  <from>
                    <xdr:col>10</xdr:col>
                    <xdr:colOff>0</xdr:colOff>
                    <xdr:row>37</xdr:row>
                    <xdr:rowOff>144780</xdr:rowOff>
                  </from>
                  <to>
                    <xdr:col>10</xdr:col>
                    <xdr:colOff>1706880</xdr:colOff>
                    <xdr:row>38</xdr:row>
                    <xdr:rowOff>0</xdr:rowOff>
                  </to>
                </anchor>
              </controlPr>
            </control>
          </mc:Choice>
        </mc:AlternateContent>
        <mc:AlternateContent xmlns:mc="http://schemas.openxmlformats.org/markup-compatibility/2006">
          <mc:Choice Requires="x14">
            <control shapeId="21528" r:id="rId26" name="Check Box 24">
              <controlPr defaultSize="0" autoFill="0" autoLine="0" autoPict="0">
                <anchor moveWithCells="1">
                  <from>
                    <xdr:col>10</xdr:col>
                    <xdr:colOff>0</xdr:colOff>
                    <xdr:row>36</xdr:row>
                    <xdr:rowOff>30480</xdr:rowOff>
                  </from>
                  <to>
                    <xdr:col>10</xdr:col>
                    <xdr:colOff>1706880</xdr:colOff>
                    <xdr:row>36</xdr:row>
                    <xdr:rowOff>259080</xdr:rowOff>
                  </to>
                </anchor>
              </controlPr>
            </control>
          </mc:Choice>
        </mc:AlternateContent>
        <mc:AlternateContent xmlns:mc="http://schemas.openxmlformats.org/markup-compatibility/2006">
          <mc:Choice Requires="x14">
            <control shapeId="21529" r:id="rId27" name="Check Box 25">
              <controlPr defaultSize="0" autoFill="0" autoLine="0" autoPict="0">
                <anchor moveWithCells="1">
                  <from>
                    <xdr:col>10</xdr:col>
                    <xdr:colOff>0</xdr:colOff>
                    <xdr:row>38</xdr:row>
                    <xdr:rowOff>266700</xdr:rowOff>
                  </from>
                  <to>
                    <xdr:col>10</xdr:col>
                    <xdr:colOff>1706880</xdr:colOff>
                    <xdr:row>39</xdr:row>
                    <xdr:rowOff>106680</xdr:rowOff>
                  </to>
                </anchor>
              </controlPr>
            </control>
          </mc:Choice>
        </mc:AlternateContent>
        <mc:AlternateContent xmlns:mc="http://schemas.openxmlformats.org/markup-compatibility/2006">
          <mc:Choice Requires="x14">
            <control shapeId="21530" r:id="rId28" name="Check Box 26">
              <controlPr defaultSize="0" autoFill="0" autoLine="0" autoPict="0">
                <anchor moveWithCells="1">
                  <from>
                    <xdr:col>10</xdr:col>
                    <xdr:colOff>0</xdr:colOff>
                    <xdr:row>39</xdr:row>
                    <xdr:rowOff>144780</xdr:rowOff>
                  </from>
                  <to>
                    <xdr:col>10</xdr:col>
                    <xdr:colOff>1706880</xdr:colOff>
                    <xdr:row>40</xdr:row>
                    <xdr:rowOff>0</xdr:rowOff>
                  </to>
                </anchor>
              </controlPr>
            </control>
          </mc:Choice>
        </mc:AlternateContent>
        <mc:AlternateContent xmlns:mc="http://schemas.openxmlformats.org/markup-compatibility/2006">
          <mc:Choice Requires="x14">
            <control shapeId="21531" r:id="rId29" name="Check Box 27">
              <controlPr defaultSize="0" autoFill="0" autoLine="0" autoPict="0">
                <anchor moveWithCells="1">
                  <from>
                    <xdr:col>10</xdr:col>
                    <xdr:colOff>0</xdr:colOff>
                    <xdr:row>38</xdr:row>
                    <xdr:rowOff>30480</xdr:rowOff>
                  </from>
                  <to>
                    <xdr:col>10</xdr:col>
                    <xdr:colOff>1706880</xdr:colOff>
                    <xdr:row>38</xdr:row>
                    <xdr:rowOff>259080</xdr:rowOff>
                  </to>
                </anchor>
              </controlPr>
            </control>
          </mc:Choice>
        </mc:AlternateContent>
        <mc:AlternateContent xmlns:mc="http://schemas.openxmlformats.org/markup-compatibility/2006">
          <mc:Choice Requires="x14">
            <control shapeId="21532" r:id="rId30" name="Check Box 28">
              <controlPr defaultSize="0" autoFill="0" autoLine="0" autoPict="0">
                <anchor moveWithCells="1">
                  <from>
                    <xdr:col>10</xdr:col>
                    <xdr:colOff>0</xdr:colOff>
                    <xdr:row>40</xdr:row>
                    <xdr:rowOff>266700</xdr:rowOff>
                  </from>
                  <to>
                    <xdr:col>10</xdr:col>
                    <xdr:colOff>1706880</xdr:colOff>
                    <xdr:row>41</xdr:row>
                    <xdr:rowOff>106680</xdr:rowOff>
                  </to>
                </anchor>
              </controlPr>
            </control>
          </mc:Choice>
        </mc:AlternateContent>
        <mc:AlternateContent xmlns:mc="http://schemas.openxmlformats.org/markup-compatibility/2006">
          <mc:Choice Requires="x14">
            <control shapeId="21533" r:id="rId31" name="Check Box 29">
              <controlPr defaultSize="0" autoFill="0" autoLine="0" autoPict="0">
                <anchor moveWithCells="1">
                  <from>
                    <xdr:col>10</xdr:col>
                    <xdr:colOff>0</xdr:colOff>
                    <xdr:row>41</xdr:row>
                    <xdr:rowOff>144780</xdr:rowOff>
                  </from>
                  <to>
                    <xdr:col>10</xdr:col>
                    <xdr:colOff>1706880</xdr:colOff>
                    <xdr:row>42</xdr:row>
                    <xdr:rowOff>0</xdr:rowOff>
                  </to>
                </anchor>
              </controlPr>
            </control>
          </mc:Choice>
        </mc:AlternateContent>
        <mc:AlternateContent xmlns:mc="http://schemas.openxmlformats.org/markup-compatibility/2006">
          <mc:Choice Requires="x14">
            <control shapeId="21534" r:id="rId32" name="Check Box 30">
              <controlPr defaultSize="0" autoFill="0" autoLine="0" autoPict="0">
                <anchor moveWithCells="1">
                  <from>
                    <xdr:col>10</xdr:col>
                    <xdr:colOff>0</xdr:colOff>
                    <xdr:row>40</xdr:row>
                    <xdr:rowOff>30480</xdr:rowOff>
                  </from>
                  <to>
                    <xdr:col>10</xdr:col>
                    <xdr:colOff>1706880</xdr:colOff>
                    <xdr:row>40</xdr:row>
                    <xdr:rowOff>259080</xdr:rowOff>
                  </to>
                </anchor>
              </controlPr>
            </control>
          </mc:Choice>
        </mc:AlternateContent>
        <mc:AlternateContent xmlns:mc="http://schemas.openxmlformats.org/markup-compatibility/2006">
          <mc:Choice Requires="x14">
            <control shapeId="21535" r:id="rId33" name="Check Box 31">
              <controlPr defaultSize="0" autoFill="0" autoLine="0" autoPict="0">
                <anchor moveWithCells="1">
                  <from>
                    <xdr:col>10</xdr:col>
                    <xdr:colOff>0</xdr:colOff>
                    <xdr:row>42</xdr:row>
                    <xdr:rowOff>266700</xdr:rowOff>
                  </from>
                  <to>
                    <xdr:col>10</xdr:col>
                    <xdr:colOff>1706880</xdr:colOff>
                    <xdr:row>43</xdr:row>
                    <xdr:rowOff>106680</xdr:rowOff>
                  </to>
                </anchor>
              </controlPr>
            </control>
          </mc:Choice>
        </mc:AlternateContent>
        <mc:AlternateContent xmlns:mc="http://schemas.openxmlformats.org/markup-compatibility/2006">
          <mc:Choice Requires="x14">
            <control shapeId="21536" r:id="rId34" name="Check Box 32">
              <controlPr defaultSize="0" autoFill="0" autoLine="0" autoPict="0">
                <anchor moveWithCells="1">
                  <from>
                    <xdr:col>10</xdr:col>
                    <xdr:colOff>0</xdr:colOff>
                    <xdr:row>43</xdr:row>
                    <xdr:rowOff>144780</xdr:rowOff>
                  </from>
                  <to>
                    <xdr:col>10</xdr:col>
                    <xdr:colOff>1706880</xdr:colOff>
                    <xdr:row>44</xdr:row>
                    <xdr:rowOff>0</xdr:rowOff>
                  </to>
                </anchor>
              </controlPr>
            </control>
          </mc:Choice>
        </mc:AlternateContent>
        <mc:AlternateContent xmlns:mc="http://schemas.openxmlformats.org/markup-compatibility/2006">
          <mc:Choice Requires="x14">
            <control shapeId="21537" r:id="rId35" name="Check Box 33">
              <controlPr defaultSize="0" autoFill="0" autoLine="0" autoPict="0">
                <anchor moveWithCells="1">
                  <from>
                    <xdr:col>10</xdr:col>
                    <xdr:colOff>0</xdr:colOff>
                    <xdr:row>42</xdr:row>
                    <xdr:rowOff>30480</xdr:rowOff>
                  </from>
                  <to>
                    <xdr:col>10</xdr:col>
                    <xdr:colOff>1706880</xdr:colOff>
                    <xdr:row>42</xdr:row>
                    <xdr:rowOff>259080</xdr:rowOff>
                  </to>
                </anchor>
              </controlPr>
            </control>
          </mc:Choice>
        </mc:AlternateContent>
        <mc:AlternateContent xmlns:mc="http://schemas.openxmlformats.org/markup-compatibility/2006">
          <mc:Choice Requires="x14">
            <control shapeId="21538" r:id="rId36" name="Check Box 34">
              <controlPr defaultSize="0" autoFill="0" autoLine="0" autoPict="0">
                <anchor moveWithCells="1">
                  <from>
                    <xdr:col>10</xdr:col>
                    <xdr:colOff>0</xdr:colOff>
                    <xdr:row>44</xdr:row>
                    <xdr:rowOff>266700</xdr:rowOff>
                  </from>
                  <to>
                    <xdr:col>10</xdr:col>
                    <xdr:colOff>1706880</xdr:colOff>
                    <xdr:row>45</xdr:row>
                    <xdr:rowOff>106680</xdr:rowOff>
                  </to>
                </anchor>
              </controlPr>
            </control>
          </mc:Choice>
        </mc:AlternateContent>
        <mc:AlternateContent xmlns:mc="http://schemas.openxmlformats.org/markup-compatibility/2006">
          <mc:Choice Requires="x14">
            <control shapeId="21539" r:id="rId37" name="Check Box 35">
              <controlPr defaultSize="0" autoFill="0" autoLine="0" autoPict="0">
                <anchor moveWithCells="1">
                  <from>
                    <xdr:col>10</xdr:col>
                    <xdr:colOff>0</xdr:colOff>
                    <xdr:row>45</xdr:row>
                    <xdr:rowOff>144780</xdr:rowOff>
                  </from>
                  <to>
                    <xdr:col>10</xdr:col>
                    <xdr:colOff>1706880</xdr:colOff>
                    <xdr:row>46</xdr:row>
                    <xdr:rowOff>0</xdr:rowOff>
                  </to>
                </anchor>
              </controlPr>
            </control>
          </mc:Choice>
        </mc:AlternateContent>
        <mc:AlternateContent xmlns:mc="http://schemas.openxmlformats.org/markup-compatibility/2006">
          <mc:Choice Requires="x14">
            <control shapeId="21540" r:id="rId38" name="Check Box 36">
              <controlPr defaultSize="0" autoFill="0" autoLine="0" autoPict="0">
                <anchor moveWithCells="1">
                  <from>
                    <xdr:col>10</xdr:col>
                    <xdr:colOff>0</xdr:colOff>
                    <xdr:row>44</xdr:row>
                    <xdr:rowOff>30480</xdr:rowOff>
                  </from>
                  <to>
                    <xdr:col>10</xdr:col>
                    <xdr:colOff>1706880</xdr:colOff>
                    <xdr:row>44</xdr:row>
                    <xdr:rowOff>259080</xdr:rowOff>
                  </to>
                </anchor>
              </controlPr>
            </control>
          </mc:Choice>
        </mc:AlternateContent>
        <mc:AlternateContent xmlns:mc="http://schemas.openxmlformats.org/markup-compatibility/2006">
          <mc:Choice Requires="x14">
            <control shapeId="21541" r:id="rId39" name="Check Box 37">
              <controlPr defaultSize="0" autoFill="0" autoLine="0" autoPict="0">
                <anchor moveWithCells="1">
                  <from>
                    <xdr:col>10</xdr:col>
                    <xdr:colOff>0</xdr:colOff>
                    <xdr:row>46</xdr:row>
                    <xdr:rowOff>266700</xdr:rowOff>
                  </from>
                  <to>
                    <xdr:col>10</xdr:col>
                    <xdr:colOff>1706880</xdr:colOff>
                    <xdr:row>47</xdr:row>
                    <xdr:rowOff>106680</xdr:rowOff>
                  </to>
                </anchor>
              </controlPr>
            </control>
          </mc:Choice>
        </mc:AlternateContent>
        <mc:AlternateContent xmlns:mc="http://schemas.openxmlformats.org/markup-compatibility/2006">
          <mc:Choice Requires="x14">
            <control shapeId="21542" r:id="rId40" name="Check Box 38">
              <controlPr defaultSize="0" autoFill="0" autoLine="0" autoPict="0">
                <anchor moveWithCells="1">
                  <from>
                    <xdr:col>10</xdr:col>
                    <xdr:colOff>0</xdr:colOff>
                    <xdr:row>47</xdr:row>
                    <xdr:rowOff>144780</xdr:rowOff>
                  </from>
                  <to>
                    <xdr:col>10</xdr:col>
                    <xdr:colOff>1706880</xdr:colOff>
                    <xdr:row>48</xdr:row>
                    <xdr:rowOff>0</xdr:rowOff>
                  </to>
                </anchor>
              </controlPr>
            </control>
          </mc:Choice>
        </mc:AlternateContent>
        <mc:AlternateContent xmlns:mc="http://schemas.openxmlformats.org/markup-compatibility/2006">
          <mc:Choice Requires="x14">
            <control shapeId="21543" r:id="rId41" name="Check Box 39">
              <controlPr defaultSize="0" autoFill="0" autoLine="0" autoPict="0">
                <anchor moveWithCells="1">
                  <from>
                    <xdr:col>10</xdr:col>
                    <xdr:colOff>0</xdr:colOff>
                    <xdr:row>46</xdr:row>
                    <xdr:rowOff>30480</xdr:rowOff>
                  </from>
                  <to>
                    <xdr:col>10</xdr:col>
                    <xdr:colOff>1706880</xdr:colOff>
                    <xdr:row>46</xdr:row>
                    <xdr:rowOff>259080</xdr:rowOff>
                  </to>
                </anchor>
              </controlPr>
            </control>
          </mc:Choice>
        </mc:AlternateContent>
        <mc:AlternateContent xmlns:mc="http://schemas.openxmlformats.org/markup-compatibility/2006">
          <mc:Choice Requires="x14">
            <control shapeId="21544" r:id="rId42" name="Check Box 40">
              <controlPr defaultSize="0" autoFill="0" autoLine="0" autoPict="0">
                <anchor moveWithCells="1">
                  <from>
                    <xdr:col>10</xdr:col>
                    <xdr:colOff>0</xdr:colOff>
                    <xdr:row>48</xdr:row>
                    <xdr:rowOff>266700</xdr:rowOff>
                  </from>
                  <to>
                    <xdr:col>10</xdr:col>
                    <xdr:colOff>1706880</xdr:colOff>
                    <xdr:row>49</xdr:row>
                    <xdr:rowOff>106680</xdr:rowOff>
                  </to>
                </anchor>
              </controlPr>
            </control>
          </mc:Choice>
        </mc:AlternateContent>
        <mc:AlternateContent xmlns:mc="http://schemas.openxmlformats.org/markup-compatibility/2006">
          <mc:Choice Requires="x14">
            <control shapeId="21545" r:id="rId43" name="Check Box 41">
              <controlPr defaultSize="0" autoFill="0" autoLine="0" autoPict="0">
                <anchor moveWithCells="1">
                  <from>
                    <xdr:col>10</xdr:col>
                    <xdr:colOff>0</xdr:colOff>
                    <xdr:row>49</xdr:row>
                    <xdr:rowOff>144780</xdr:rowOff>
                  </from>
                  <to>
                    <xdr:col>10</xdr:col>
                    <xdr:colOff>1706880</xdr:colOff>
                    <xdr:row>50</xdr:row>
                    <xdr:rowOff>0</xdr:rowOff>
                  </to>
                </anchor>
              </controlPr>
            </control>
          </mc:Choice>
        </mc:AlternateContent>
        <mc:AlternateContent xmlns:mc="http://schemas.openxmlformats.org/markup-compatibility/2006">
          <mc:Choice Requires="x14">
            <control shapeId="21546" r:id="rId44" name="Check Box 42">
              <controlPr defaultSize="0" autoFill="0" autoLine="0" autoPict="0">
                <anchor moveWithCells="1">
                  <from>
                    <xdr:col>10</xdr:col>
                    <xdr:colOff>0</xdr:colOff>
                    <xdr:row>48</xdr:row>
                    <xdr:rowOff>30480</xdr:rowOff>
                  </from>
                  <to>
                    <xdr:col>10</xdr:col>
                    <xdr:colOff>1706880</xdr:colOff>
                    <xdr:row>48</xdr:row>
                    <xdr:rowOff>259080</xdr:rowOff>
                  </to>
                </anchor>
              </controlPr>
            </control>
          </mc:Choice>
        </mc:AlternateContent>
        <mc:AlternateContent xmlns:mc="http://schemas.openxmlformats.org/markup-compatibility/2006">
          <mc:Choice Requires="x14">
            <control shapeId="21547" r:id="rId45" name="Check Box 43">
              <controlPr defaultSize="0" autoFill="0" autoLine="0" autoPict="0">
                <anchor moveWithCells="1">
                  <from>
                    <xdr:col>10</xdr:col>
                    <xdr:colOff>0</xdr:colOff>
                    <xdr:row>50</xdr:row>
                    <xdr:rowOff>266700</xdr:rowOff>
                  </from>
                  <to>
                    <xdr:col>10</xdr:col>
                    <xdr:colOff>1706880</xdr:colOff>
                    <xdr:row>51</xdr:row>
                    <xdr:rowOff>106680</xdr:rowOff>
                  </to>
                </anchor>
              </controlPr>
            </control>
          </mc:Choice>
        </mc:AlternateContent>
        <mc:AlternateContent xmlns:mc="http://schemas.openxmlformats.org/markup-compatibility/2006">
          <mc:Choice Requires="x14">
            <control shapeId="21548" r:id="rId46" name="Check Box 44">
              <controlPr defaultSize="0" autoFill="0" autoLine="0" autoPict="0">
                <anchor moveWithCells="1">
                  <from>
                    <xdr:col>10</xdr:col>
                    <xdr:colOff>0</xdr:colOff>
                    <xdr:row>51</xdr:row>
                    <xdr:rowOff>144780</xdr:rowOff>
                  </from>
                  <to>
                    <xdr:col>10</xdr:col>
                    <xdr:colOff>1706880</xdr:colOff>
                    <xdr:row>52</xdr:row>
                    <xdr:rowOff>0</xdr:rowOff>
                  </to>
                </anchor>
              </controlPr>
            </control>
          </mc:Choice>
        </mc:AlternateContent>
        <mc:AlternateContent xmlns:mc="http://schemas.openxmlformats.org/markup-compatibility/2006">
          <mc:Choice Requires="x14">
            <control shapeId="21549" r:id="rId47" name="Check Box 45">
              <controlPr defaultSize="0" autoFill="0" autoLine="0" autoPict="0">
                <anchor moveWithCells="1">
                  <from>
                    <xdr:col>10</xdr:col>
                    <xdr:colOff>0</xdr:colOff>
                    <xdr:row>50</xdr:row>
                    <xdr:rowOff>30480</xdr:rowOff>
                  </from>
                  <to>
                    <xdr:col>10</xdr:col>
                    <xdr:colOff>1706880</xdr:colOff>
                    <xdr:row>50</xdr:row>
                    <xdr:rowOff>259080</xdr:rowOff>
                  </to>
                </anchor>
              </controlPr>
            </control>
          </mc:Choice>
        </mc:AlternateContent>
        <mc:AlternateContent xmlns:mc="http://schemas.openxmlformats.org/markup-compatibility/2006">
          <mc:Choice Requires="x14">
            <control shapeId="21550" r:id="rId48" name="Check Box 46">
              <controlPr defaultSize="0" autoFill="0" autoLine="0" autoPict="0">
                <anchor moveWithCells="1">
                  <from>
                    <xdr:col>10</xdr:col>
                    <xdr:colOff>0</xdr:colOff>
                    <xdr:row>52</xdr:row>
                    <xdr:rowOff>266700</xdr:rowOff>
                  </from>
                  <to>
                    <xdr:col>10</xdr:col>
                    <xdr:colOff>1706880</xdr:colOff>
                    <xdr:row>53</xdr:row>
                    <xdr:rowOff>106680</xdr:rowOff>
                  </to>
                </anchor>
              </controlPr>
            </control>
          </mc:Choice>
        </mc:AlternateContent>
        <mc:AlternateContent xmlns:mc="http://schemas.openxmlformats.org/markup-compatibility/2006">
          <mc:Choice Requires="x14">
            <control shapeId="21551" r:id="rId49" name="Check Box 47">
              <controlPr defaultSize="0" autoFill="0" autoLine="0" autoPict="0">
                <anchor moveWithCells="1">
                  <from>
                    <xdr:col>10</xdr:col>
                    <xdr:colOff>0</xdr:colOff>
                    <xdr:row>53</xdr:row>
                    <xdr:rowOff>144780</xdr:rowOff>
                  </from>
                  <to>
                    <xdr:col>10</xdr:col>
                    <xdr:colOff>1706880</xdr:colOff>
                    <xdr:row>54</xdr:row>
                    <xdr:rowOff>0</xdr:rowOff>
                  </to>
                </anchor>
              </controlPr>
            </control>
          </mc:Choice>
        </mc:AlternateContent>
        <mc:AlternateContent xmlns:mc="http://schemas.openxmlformats.org/markup-compatibility/2006">
          <mc:Choice Requires="x14">
            <control shapeId="21552" r:id="rId50" name="Check Box 48">
              <controlPr defaultSize="0" autoFill="0" autoLine="0" autoPict="0">
                <anchor moveWithCells="1">
                  <from>
                    <xdr:col>10</xdr:col>
                    <xdr:colOff>0</xdr:colOff>
                    <xdr:row>52</xdr:row>
                    <xdr:rowOff>30480</xdr:rowOff>
                  </from>
                  <to>
                    <xdr:col>10</xdr:col>
                    <xdr:colOff>1706880</xdr:colOff>
                    <xdr:row>52</xdr:row>
                    <xdr:rowOff>259080</xdr:rowOff>
                  </to>
                </anchor>
              </controlPr>
            </control>
          </mc:Choice>
        </mc:AlternateContent>
        <mc:AlternateContent xmlns:mc="http://schemas.openxmlformats.org/markup-compatibility/2006">
          <mc:Choice Requires="x14">
            <control shapeId="21553" r:id="rId51" name="Check Box 49">
              <controlPr defaultSize="0" autoFill="0" autoLine="0" autoPict="0">
                <anchor moveWithCells="1">
                  <from>
                    <xdr:col>10</xdr:col>
                    <xdr:colOff>0</xdr:colOff>
                    <xdr:row>54</xdr:row>
                    <xdr:rowOff>266700</xdr:rowOff>
                  </from>
                  <to>
                    <xdr:col>10</xdr:col>
                    <xdr:colOff>1706880</xdr:colOff>
                    <xdr:row>55</xdr:row>
                    <xdr:rowOff>106680</xdr:rowOff>
                  </to>
                </anchor>
              </controlPr>
            </control>
          </mc:Choice>
        </mc:AlternateContent>
        <mc:AlternateContent xmlns:mc="http://schemas.openxmlformats.org/markup-compatibility/2006">
          <mc:Choice Requires="x14">
            <control shapeId="21554" r:id="rId52" name="Check Box 50">
              <controlPr defaultSize="0" autoFill="0" autoLine="0" autoPict="0">
                <anchor moveWithCells="1">
                  <from>
                    <xdr:col>10</xdr:col>
                    <xdr:colOff>0</xdr:colOff>
                    <xdr:row>55</xdr:row>
                    <xdr:rowOff>144780</xdr:rowOff>
                  </from>
                  <to>
                    <xdr:col>10</xdr:col>
                    <xdr:colOff>1706880</xdr:colOff>
                    <xdr:row>56</xdr:row>
                    <xdr:rowOff>0</xdr:rowOff>
                  </to>
                </anchor>
              </controlPr>
            </control>
          </mc:Choice>
        </mc:AlternateContent>
        <mc:AlternateContent xmlns:mc="http://schemas.openxmlformats.org/markup-compatibility/2006">
          <mc:Choice Requires="x14">
            <control shapeId="21555" r:id="rId53" name="Check Box 51">
              <controlPr defaultSize="0" autoFill="0" autoLine="0" autoPict="0">
                <anchor moveWithCells="1">
                  <from>
                    <xdr:col>10</xdr:col>
                    <xdr:colOff>0</xdr:colOff>
                    <xdr:row>54</xdr:row>
                    <xdr:rowOff>30480</xdr:rowOff>
                  </from>
                  <to>
                    <xdr:col>10</xdr:col>
                    <xdr:colOff>1706880</xdr:colOff>
                    <xdr:row>54</xdr:row>
                    <xdr:rowOff>259080</xdr:rowOff>
                  </to>
                </anchor>
              </controlPr>
            </control>
          </mc:Choice>
        </mc:AlternateContent>
        <mc:AlternateContent xmlns:mc="http://schemas.openxmlformats.org/markup-compatibility/2006">
          <mc:Choice Requires="x14">
            <control shapeId="21556" r:id="rId54" name="Check Box 52">
              <controlPr defaultSize="0" autoFill="0" autoLine="0" autoPict="0">
                <anchor moveWithCells="1">
                  <from>
                    <xdr:col>10</xdr:col>
                    <xdr:colOff>0</xdr:colOff>
                    <xdr:row>56</xdr:row>
                    <xdr:rowOff>266700</xdr:rowOff>
                  </from>
                  <to>
                    <xdr:col>10</xdr:col>
                    <xdr:colOff>1706880</xdr:colOff>
                    <xdr:row>57</xdr:row>
                    <xdr:rowOff>106680</xdr:rowOff>
                  </to>
                </anchor>
              </controlPr>
            </control>
          </mc:Choice>
        </mc:AlternateContent>
        <mc:AlternateContent xmlns:mc="http://schemas.openxmlformats.org/markup-compatibility/2006">
          <mc:Choice Requires="x14">
            <control shapeId="21557" r:id="rId55" name="Check Box 53">
              <controlPr defaultSize="0" autoFill="0" autoLine="0" autoPict="0">
                <anchor moveWithCells="1">
                  <from>
                    <xdr:col>10</xdr:col>
                    <xdr:colOff>0</xdr:colOff>
                    <xdr:row>57</xdr:row>
                    <xdr:rowOff>144780</xdr:rowOff>
                  </from>
                  <to>
                    <xdr:col>10</xdr:col>
                    <xdr:colOff>1706880</xdr:colOff>
                    <xdr:row>58</xdr:row>
                    <xdr:rowOff>0</xdr:rowOff>
                  </to>
                </anchor>
              </controlPr>
            </control>
          </mc:Choice>
        </mc:AlternateContent>
        <mc:AlternateContent xmlns:mc="http://schemas.openxmlformats.org/markup-compatibility/2006">
          <mc:Choice Requires="x14">
            <control shapeId="21558" r:id="rId56" name="Check Box 54">
              <controlPr defaultSize="0" autoFill="0" autoLine="0" autoPict="0">
                <anchor moveWithCells="1">
                  <from>
                    <xdr:col>10</xdr:col>
                    <xdr:colOff>0</xdr:colOff>
                    <xdr:row>56</xdr:row>
                    <xdr:rowOff>30480</xdr:rowOff>
                  </from>
                  <to>
                    <xdr:col>10</xdr:col>
                    <xdr:colOff>1706880</xdr:colOff>
                    <xdr:row>56</xdr:row>
                    <xdr:rowOff>259080</xdr:rowOff>
                  </to>
                </anchor>
              </controlPr>
            </control>
          </mc:Choice>
        </mc:AlternateContent>
        <mc:AlternateContent xmlns:mc="http://schemas.openxmlformats.org/markup-compatibility/2006">
          <mc:Choice Requires="x14">
            <control shapeId="21559" r:id="rId57" name="Check Box 55">
              <controlPr defaultSize="0" autoFill="0" autoLine="0" autoPict="0">
                <anchor moveWithCells="1">
                  <from>
                    <xdr:col>10</xdr:col>
                    <xdr:colOff>0</xdr:colOff>
                    <xdr:row>58</xdr:row>
                    <xdr:rowOff>266700</xdr:rowOff>
                  </from>
                  <to>
                    <xdr:col>10</xdr:col>
                    <xdr:colOff>1706880</xdr:colOff>
                    <xdr:row>59</xdr:row>
                    <xdr:rowOff>106680</xdr:rowOff>
                  </to>
                </anchor>
              </controlPr>
            </control>
          </mc:Choice>
        </mc:AlternateContent>
        <mc:AlternateContent xmlns:mc="http://schemas.openxmlformats.org/markup-compatibility/2006">
          <mc:Choice Requires="x14">
            <control shapeId="21560" r:id="rId58" name="Check Box 56">
              <controlPr defaultSize="0" autoFill="0" autoLine="0" autoPict="0">
                <anchor moveWithCells="1">
                  <from>
                    <xdr:col>10</xdr:col>
                    <xdr:colOff>0</xdr:colOff>
                    <xdr:row>59</xdr:row>
                    <xdr:rowOff>144780</xdr:rowOff>
                  </from>
                  <to>
                    <xdr:col>10</xdr:col>
                    <xdr:colOff>1706880</xdr:colOff>
                    <xdr:row>60</xdr:row>
                    <xdr:rowOff>0</xdr:rowOff>
                  </to>
                </anchor>
              </controlPr>
            </control>
          </mc:Choice>
        </mc:AlternateContent>
        <mc:AlternateContent xmlns:mc="http://schemas.openxmlformats.org/markup-compatibility/2006">
          <mc:Choice Requires="x14">
            <control shapeId="21561" r:id="rId59" name="Check Box 57">
              <controlPr defaultSize="0" autoFill="0" autoLine="0" autoPict="0">
                <anchor moveWithCells="1">
                  <from>
                    <xdr:col>10</xdr:col>
                    <xdr:colOff>0</xdr:colOff>
                    <xdr:row>58</xdr:row>
                    <xdr:rowOff>30480</xdr:rowOff>
                  </from>
                  <to>
                    <xdr:col>10</xdr:col>
                    <xdr:colOff>1706880</xdr:colOff>
                    <xdr:row>58</xdr:row>
                    <xdr:rowOff>259080</xdr:rowOff>
                  </to>
                </anchor>
              </controlPr>
            </control>
          </mc:Choice>
        </mc:AlternateContent>
        <mc:AlternateContent xmlns:mc="http://schemas.openxmlformats.org/markup-compatibility/2006">
          <mc:Choice Requires="x14">
            <control shapeId="21562" r:id="rId60" name="Check Box 58">
              <controlPr defaultSize="0" autoFill="0" autoLine="0" autoPict="0">
                <anchor moveWithCells="1">
                  <from>
                    <xdr:col>10</xdr:col>
                    <xdr:colOff>0</xdr:colOff>
                    <xdr:row>60</xdr:row>
                    <xdr:rowOff>266700</xdr:rowOff>
                  </from>
                  <to>
                    <xdr:col>10</xdr:col>
                    <xdr:colOff>1706880</xdr:colOff>
                    <xdr:row>61</xdr:row>
                    <xdr:rowOff>106680</xdr:rowOff>
                  </to>
                </anchor>
              </controlPr>
            </control>
          </mc:Choice>
        </mc:AlternateContent>
        <mc:AlternateContent xmlns:mc="http://schemas.openxmlformats.org/markup-compatibility/2006">
          <mc:Choice Requires="x14">
            <control shapeId="21563" r:id="rId61" name="Check Box 59">
              <controlPr defaultSize="0" autoFill="0" autoLine="0" autoPict="0">
                <anchor moveWithCells="1">
                  <from>
                    <xdr:col>10</xdr:col>
                    <xdr:colOff>0</xdr:colOff>
                    <xdr:row>61</xdr:row>
                    <xdr:rowOff>144780</xdr:rowOff>
                  </from>
                  <to>
                    <xdr:col>10</xdr:col>
                    <xdr:colOff>1706880</xdr:colOff>
                    <xdr:row>62</xdr:row>
                    <xdr:rowOff>68580</xdr:rowOff>
                  </to>
                </anchor>
              </controlPr>
            </control>
          </mc:Choice>
        </mc:AlternateContent>
        <mc:AlternateContent xmlns:mc="http://schemas.openxmlformats.org/markup-compatibility/2006">
          <mc:Choice Requires="x14">
            <control shapeId="21564" r:id="rId62" name="Check Box 60">
              <controlPr defaultSize="0" autoFill="0" autoLine="0" autoPict="0">
                <anchor moveWithCells="1">
                  <from>
                    <xdr:col>10</xdr:col>
                    <xdr:colOff>0</xdr:colOff>
                    <xdr:row>60</xdr:row>
                    <xdr:rowOff>30480</xdr:rowOff>
                  </from>
                  <to>
                    <xdr:col>10</xdr:col>
                    <xdr:colOff>1706880</xdr:colOff>
                    <xdr:row>60</xdr:row>
                    <xdr:rowOff>259080</xdr:rowOff>
                  </to>
                </anchor>
              </controlPr>
            </control>
          </mc:Choice>
        </mc:AlternateContent>
        <mc:AlternateContent xmlns:mc="http://schemas.openxmlformats.org/markup-compatibility/2006">
          <mc:Choice Requires="x14">
            <control shapeId="21565" r:id="rId63" name="Check Box 61">
              <controlPr defaultSize="0" autoFill="0" autoLine="0" autoPict="0">
                <anchor moveWithCells="1">
                  <from>
                    <xdr:col>10</xdr:col>
                    <xdr:colOff>0</xdr:colOff>
                    <xdr:row>62</xdr:row>
                    <xdr:rowOff>266700</xdr:rowOff>
                  </from>
                  <to>
                    <xdr:col>10</xdr:col>
                    <xdr:colOff>1706880</xdr:colOff>
                    <xdr:row>63</xdr:row>
                    <xdr:rowOff>106680</xdr:rowOff>
                  </to>
                </anchor>
              </controlPr>
            </control>
          </mc:Choice>
        </mc:AlternateContent>
        <mc:AlternateContent xmlns:mc="http://schemas.openxmlformats.org/markup-compatibility/2006">
          <mc:Choice Requires="x14">
            <control shapeId="21566" r:id="rId64" name="Check Box 62">
              <controlPr defaultSize="0" autoFill="0" autoLine="0" autoPict="0">
                <anchor moveWithCells="1">
                  <from>
                    <xdr:col>10</xdr:col>
                    <xdr:colOff>0</xdr:colOff>
                    <xdr:row>63</xdr:row>
                    <xdr:rowOff>144780</xdr:rowOff>
                  </from>
                  <to>
                    <xdr:col>10</xdr:col>
                    <xdr:colOff>1706880</xdr:colOff>
                    <xdr:row>64</xdr:row>
                    <xdr:rowOff>0</xdr:rowOff>
                  </to>
                </anchor>
              </controlPr>
            </control>
          </mc:Choice>
        </mc:AlternateContent>
        <mc:AlternateContent xmlns:mc="http://schemas.openxmlformats.org/markup-compatibility/2006">
          <mc:Choice Requires="x14">
            <control shapeId="21567" r:id="rId65" name="Check Box 63">
              <controlPr defaultSize="0" autoFill="0" autoLine="0" autoPict="0">
                <anchor moveWithCells="1">
                  <from>
                    <xdr:col>10</xdr:col>
                    <xdr:colOff>0</xdr:colOff>
                    <xdr:row>62</xdr:row>
                    <xdr:rowOff>30480</xdr:rowOff>
                  </from>
                  <to>
                    <xdr:col>10</xdr:col>
                    <xdr:colOff>1706880</xdr:colOff>
                    <xdr:row>62</xdr:row>
                    <xdr:rowOff>259080</xdr:rowOff>
                  </to>
                </anchor>
              </controlPr>
            </control>
          </mc:Choice>
        </mc:AlternateContent>
        <mc:AlternateContent xmlns:mc="http://schemas.openxmlformats.org/markup-compatibility/2006">
          <mc:Choice Requires="x14">
            <control shapeId="21568" r:id="rId66" name="Check Box 64">
              <controlPr defaultSize="0" autoFill="0" autoLine="0" autoPict="0">
                <anchor moveWithCells="1">
                  <from>
                    <xdr:col>10</xdr:col>
                    <xdr:colOff>0</xdr:colOff>
                    <xdr:row>64</xdr:row>
                    <xdr:rowOff>266700</xdr:rowOff>
                  </from>
                  <to>
                    <xdr:col>10</xdr:col>
                    <xdr:colOff>1706880</xdr:colOff>
                    <xdr:row>65</xdr:row>
                    <xdr:rowOff>106680</xdr:rowOff>
                  </to>
                </anchor>
              </controlPr>
            </control>
          </mc:Choice>
        </mc:AlternateContent>
        <mc:AlternateContent xmlns:mc="http://schemas.openxmlformats.org/markup-compatibility/2006">
          <mc:Choice Requires="x14">
            <control shapeId="21569" r:id="rId67" name="Check Box 65">
              <controlPr defaultSize="0" autoFill="0" autoLine="0" autoPict="0">
                <anchor moveWithCells="1">
                  <from>
                    <xdr:col>10</xdr:col>
                    <xdr:colOff>0</xdr:colOff>
                    <xdr:row>65</xdr:row>
                    <xdr:rowOff>144780</xdr:rowOff>
                  </from>
                  <to>
                    <xdr:col>10</xdr:col>
                    <xdr:colOff>1706880</xdr:colOff>
                    <xdr:row>66</xdr:row>
                    <xdr:rowOff>68580</xdr:rowOff>
                  </to>
                </anchor>
              </controlPr>
            </control>
          </mc:Choice>
        </mc:AlternateContent>
        <mc:AlternateContent xmlns:mc="http://schemas.openxmlformats.org/markup-compatibility/2006">
          <mc:Choice Requires="x14">
            <control shapeId="21570" r:id="rId68" name="Check Box 66">
              <controlPr defaultSize="0" autoFill="0" autoLine="0" autoPict="0">
                <anchor moveWithCells="1">
                  <from>
                    <xdr:col>10</xdr:col>
                    <xdr:colOff>0</xdr:colOff>
                    <xdr:row>64</xdr:row>
                    <xdr:rowOff>30480</xdr:rowOff>
                  </from>
                  <to>
                    <xdr:col>10</xdr:col>
                    <xdr:colOff>1706880</xdr:colOff>
                    <xdr:row>64</xdr:row>
                    <xdr:rowOff>259080</xdr:rowOff>
                  </to>
                </anchor>
              </controlPr>
            </control>
          </mc:Choice>
        </mc:AlternateContent>
        <mc:AlternateContent xmlns:mc="http://schemas.openxmlformats.org/markup-compatibility/2006">
          <mc:Choice Requires="x14">
            <control shapeId="21571" r:id="rId69" name="Check Box 67">
              <controlPr defaultSize="0" autoFill="0" autoLine="0" autoPict="0">
                <anchor moveWithCells="1">
                  <from>
                    <xdr:col>10</xdr:col>
                    <xdr:colOff>0</xdr:colOff>
                    <xdr:row>66</xdr:row>
                    <xdr:rowOff>266700</xdr:rowOff>
                  </from>
                  <to>
                    <xdr:col>10</xdr:col>
                    <xdr:colOff>1706880</xdr:colOff>
                    <xdr:row>67</xdr:row>
                    <xdr:rowOff>106680</xdr:rowOff>
                  </to>
                </anchor>
              </controlPr>
            </control>
          </mc:Choice>
        </mc:AlternateContent>
        <mc:AlternateContent xmlns:mc="http://schemas.openxmlformats.org/markup-compatibility/2006">
          <mc:Choice Requires="x14">
            <control shapeId="21572" r:id="rId70" name="Check Box 68">
              <controlPr defaultSize="0" autoFill="0" autoLine="0" autoPict="0">
                <anchor moveWithCells="1">
                  <from>
                    <xdr:col>10</xdr:col>
                    <xdr:colOff>0</xdr:colOff>
                    <xdr:row>67</xdr:row>
                    <xdr:rowOff>144780</xdr:rowOff>
                  </from>
                  <to>
                    <xdr:col>10</xdr:col>
                    <xdr:colOff>1706880</xdr:colOff>
                    <xdr:row>68</xdr:row>
                    <xdr:rowOff>0</xdr:rowOff>
                  </to>
                </anchor>
              </controlPr>
            </control>
          </mc:Choice>
        </mc:AlternateContent>
        <mc:AlternateContent xmlns:mc="http://schemas.openxmlformats.org/markup-compatibility/2006">
          <mc:Choice Requires="x14">
            <control shapeId="21573" r:id="rId71" name="Check Box 69">
              <controlPr defaultSize="0" autoFill="0" autoLine="0" autoPict="0">
                <anchor moveWithCells="1">
                  <from>
                    <xdr:col>10</xdr:col>
                    <xdr:colOff>0</xdr:colOff>
                    <xdr:row>66</xdr:row>
                    <xdr:rowOff>30480</xdr:rowOff>
                  </from>
                  <to>
                    <xdr:col>10</xdr:col>
                    <xdr:colOff>1706880</xdr:colOff>
                    <xdr:row>66</xdr:row>
                    <xdr:rowOff>259080</xdr:rowOff>
                  </to>
                </anchor>
              </controlPr>
            </control>
          </mc:Choice>
        </mc:AlternateContent>
        <mc:AlternateContent xmlns:mc="http://schemas.openxmlformats.org/markup-compatibility/2006">
          <mc:Choice Requires="x14">
            <control shapeId="21574" r:id="rId72" name="Check Box 70">
              <controlPr defaultSize="0" autoFill="0" autoLine="0" autoPict="0">
                <anchor moveWithCells="1">
                  <from>
                    <xdr:col>10</xdr:col>
                    <xdr:colOff>0</xdr:colOff>
                    <xdr:row>68</xdr:row>
                    <xdr:rowOff>266700</xdr:rowOff>
                  </from>
                  <to>
                    <xdr:col>10</xdr:col>
                    <xdr:colOff>1706880</xdr:colOff>
                    <xdr:row>69</xdr:row>
                    <xdr:rowOff>106680</xdr:rowOff>
                  </to>
                </anchor>
              </controlPr>
            </control>
          </mc:Choice>
        </mc:AlternateContent>
        <mc:AlternateContent xmlns:mc="http://schemas.openxmlformats.org/markup-compatibility/2006">
          <mc:Choice Requires="x14">
            <control shapeId="21575" r:id="rId73" name="Check Box 71">
              <controlPr defaultSize="0" autoFill="0" autoLine="0" autoPict="0">
                <anchor moveWithCells="1">
                  <from>
                    <xdr:col>10</xdr:col>
                    <xdr:colOff>0</xdr:colOff>
                    <xdr:row>69</xdr:row>
                    <xdr:rowOff>144780</xdr:rowOff>
                  </from>
                  <to>
                    <xdr:col>10</xdr:col>
                    <xdr:colOff>1706880</xdr:colOff>
                    <xdr:row>70</xdr:row>
                    <xdr:rowOff>0</xdr:rowOff>
                  </to>
                </anchor>
              </controlPr>
            </control>
          </mc:Choice>
        </mc:AlternateContent>
        <mc:AlternateContent xmlns:mc="http://schemas.openxmlformats.org/markup-compatibility/2006">
          <mc:Choice Requires="x14">
            <control shapeId="21576" r:id="rId74" name="Check Box 72">
              <controlPr defaultSize="0" autoFill="0" autoLine="0" autoPict="0">
                <anchor moveWithCells="1">
                  <from>
                    <xdr:col>10</xdr:col>
                    <xdr:colOff>0</xdr:colOff>
                    <xdr:row>68</xdr:row>
                    <xdr:rowOff>30480</xdr:rowOff>
                  </from>
                  <to>
                    <xdr:col>10</xdr:col>
                    <xdr:colOff>1706880</xdr:colOff>
                    <xdr:row>68</xdr:row>
                    <xdr:rowOff>259080</xdr:rowOff>
                  </to>
                </anchor>
              </controlPr>
            </control>
          </mc:Choice>
        </mc:AlternateContent>
        <mc:AlternateContent xmlns:mc="http://schemas.openxmlformats.org/markup-compatibility/2006">
          <mc:Choice Requires="x14">
            <control shapeId="21577" r:id="rId75" name="Check Box 73">
              <controlPr defaultSize="0" autoFill="0" autoLine="0" autoPict="0">
                <anchor moveWithCells="1">
                  <from>
                    <xdr:col>10</xdr:col>
                    <xdr:colOff>0</xdr:colOff>
                    <xdr:row>20</xdr:row>
                    <xdr:rowOff>266700</xdr:rowOff>
                  </from>
                  <to>
                    <xdr:col>10</xdr:col>
                    <xdr:colOff>1706880</xdr:colOff>
                    <xdr:row>21</xdr:row>
                    <xdr:rowOff>106680</xdr:rowOff>
                  </to>
                </anchor>
              </controlPr>
            </control>
          </mc:Choice>
        </mc:AlternateContent>
        <mc:AlternateContent xmlns:mc="http://schemas.openxmlformats.org/markup-compatibility/2006">
          <mc:Choice Requires="x14">
            <control shapeId="21578" r:id="rId76" name="Check Box 74">
              <controlPr defaultSize="0" autoFill="0" autoLine="0" autoPict="0">
                <anchor moveWithCells="1">
                  <from>
                    <xdr:col>10</xdr:col>
                    <xdr:colOff>0</xdr:colOff>
                    <xdr:row>21</xdr:row>
                    <xdr:rowOff>144780</xdr:rowOff>
                  </from>
                  <to>
                    <xdr:col>10</xdr:col>
                    <xdr:colOff>1706880</xdr:colOff>
                    <xdr:row>21</xdr:row>
                    <xdr:rowOff>373380</xdr:rowOff>
                  </to>
                </anchor>
              </controlPr>
            </control>
          </mc:Choice>
        </mc:AlternateContent>
        <mc:AlternateContent xmlns:mc="http://schemas.openxmlformats.org/markup-compatibility/2006">
          <mc:Choice Requires="x14">
            <control shapeId="21579" r:id="rId77" name="Check Box 75">
              <controlPr defaultSize="0" autoFill="0" autoLine="0" autoPict="0">
                <anchor moveWithCells="1">
                  <from>
                    <xdr:col>10</xdr:col>
                    <xdr:colOff>0</xdr:colOff>
                    <xdr:row>20</xdr:row>
                    <xdr:rowOff>30480</xdr:rowOff>
                  </from>
                  <to>
                    <xdr:col>10</xdr:col>
                    <xdr:colOff>1706880</xdr:colOff>
                    <xdr:row>20</xdr:row>
                    <xdr:rowOff>259080</xdr:rowOff>
                  </to>
                </anchor>
              </controlPr>
            </control>
          </mc:Choice>
        </mc:AlternateContent>
        <mc:AlternateContent xmlns:mc="http://schemas.openxmlformats.org/markup-compatibility/2006">
          <mc:Choice Requires="x14">
            <control shapeId="21580" r:id="rId78" name="Check Box 76">
              <controlPr defaultSize="0" autoFill="0" autoLine="0" autoPict="0">
                <anchor moveWithCells="1">
                  <from>
                    <xdr:col>10</xdr:col>
                    <xdr:colOff>0</xdr:colOff>
                    <xdr:row>33</xdr:row>
                    <xdr:rowOff>144780</xdr:rowOff>
                  </from>
                  <to>
                    <xdr:col>10</xdr:col>
                    <xdr:colOff>1706880</xdr:colOff>
                    <xdr:row>34</xdr:row>
                    <xdr:rowOff>0</xdr:rowOff>
                  </to>
                </anchor>
              </controlPr>
            </control>
          </mc:Choice>
        </mc:AlternateContent>
        <mc:AlternateContent xmlns:mc="http://schemas.openxmlformats.org/markup-compatibility/2006">
          <mc:Choice Requires="x14">
            <control shapeId="21581" r:id="rId79" name="Check Box 77">
              <controlPr defaultSize="0" autoFill="0" autoLine="0" autoPict="0">
                <anchor moveWithCells="1">
                  <from>
                    <xdr:col>10</xdr:col>
                    <xdr:colOff>0</xdr:colOff>
                    <xdr:row>32</xdr:row>
                    <xdr:rowOff>30480</xdr:rowOff>
                  </from>
                  <to>
                    <xdr:col>10</xdr:col>
                    <xdr:colOff>1706880</xdr:colOff>
                    <xdr:row>32</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B890AFE1-3C6B-447A-A1D9-18A07E8F2DBB}">
          <x14:formula1>
            <xm:f>Parâmetros!$A$31:$A$33</xm:f>
          </x14:formula1>
          <xm:sqref>N25 N27 N37 N21 N29 N35 N39:N70 N23 N31 N33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5E488-456C-4219-B3C9-A02C081A37D1}">
  <dimension ref="A1:L34"/>
  <sheetViews>
    <sheetView workbookViewId="0">
      <selection activeCell="R18" sqref="R18"/>
    </sheetView>
  </sheetViews>
  <sheetFormatPr defaultRowHeight="14.4" x14ac:dyDescent="0.3"/>
  <cols>
    <col min="1" max="1" width="10.5546875" bestFit="1" customWidth="1"/>
  </cols>
  <sheetData>
    <row r="1" spans="1:12" x14ac:dyDescent="0.3">
      <c r="A1" t="s">
        <v>21</v>
      </c>
      <c r="B1" s="735">
        <v>46135</v>
      </c>
      <c r="C1" s="735">
        <v>46142</v>
      </c>
      <c r="D1" s="735">
        <v>46149</v>
      </c>
      <c r="E1" s="735">
        <v>46156</v>
      </c>
      <c r="F1" s="735">
        <v>46163</v>
      </c>
      <c r="G1" s="735">
        <v>46197</v>
      </c>
      <c r="H1" s="735">
        <v>46204</v>
      </c>
      <c r="I1" s="735">
        <v>46211</v>
      </c>
      <c r="J1" s="735">
        <v>46218</v>
      </c>
      <c r="K1" s="735">
        <v>46225</v>
      </c>
      <c r="L1" s="735">
        <v>46232</v>
      </c>
    </row>
    <row r="2" spans="1:12" x14ac:dyDescent="0.3">
      <c r="A2" t="s">
        <v>2691</v>
      </c>
      <c r="B2" s="736">
        <v>0.61</v>
      </c>
      <c r="C2" s="736">
        <v>0.61</v>
      </c>
      <c r="D2" s="736">
        <v>0.64</v>
      </c>
      <c r="E2" s="736">
        <v>0.64</v>
      </c>
      <c r="F2" s="736">
        <v>0.6428571428571429</v>
      </c>
      <c r="G2" s="896">
        <v>0</v>
      </c>
      <c r="H2" s="896">
        <v>0.96</v>
      </c>
      <c r="I2" s="896">
        <v>1</v>
      </c>
    </row>
    <row r="3" spans="1:12" x14ac:dyDescent="0.3">
      <c r="A3" t="s">
        <v>2692</v>
      </c>
      <c r="B3" s="736">
        <v>0.39</v>
      </c>
      <c r="C3" s="736">
        <v>0.39</v>
      </c>
      <c r="D3" s="736">
        <v>0.39</v>
      </c>
      <c r="E3" s="736">
        <v>0.39</v>
      </c>
      <c r="F3" s="736">
        <v>0.39285714285714285</v>
      </c>
      <c r="G3" s="896">
        <v>0</v>
      </c>
      <c r="H3" s="736">
        <v>0</v>
      </c>
      <c r="I3" s="736">
        <v>0.92</v>
      </c>
    </row>
    <row r="4" spans="1:12" x14ac:dyDescent="0.3">
      <c r="A4" t="s">
        <v>2693</v>
      </c>
      <c r="B4" s="736">
        <v>0.77</v>
      </c>
      <c r="C4" s="736">
        <v>0.77</v>
      </c>
      <c r="D4" s="736">
        <v>0.85</v>
      </c>
      <c r="E4" s="736">
        <v>0.85</v>
      </c>
      <c r="F4" s="736">
        <v>0.84615384615384615</v>
      </c>
      <c r="G4" s="896">
        <v>0</v>
      </c>
      <c r="H4" s="736">
        <v>1</v>
      </c>
      <c r="I4" s="736">
        <v>1</v>
      </c>
    </row>
    <row r="5" spans="1:12" x14ac:dyDescent="0.3">
      <c r="A5" t="s">
        <v>2694</v>
      </c>
      <c r="B5" s="736">
        <v>0.5</v>
      </c>
      <c r="C5" s="736">
        <v>0.5</v>
      </c>
      <c r="D5" s="736">
        <v>0.5</v>
      </c>
      <c r="E5" s="736">
        <v>0.5</v>
      </c>
      <c r="F5" s="736">
        <v>0.5</v>
      </c>
      <c r="G5" s="896">
        <v>0</v>
      </c>
      <c r="H5" s="736">
        <v>0.92</v>
      </c>
      <c r="I5" s="736">
        <v>1</v>
      </c>
    </row>
    <row r="6" spans="1:12" x14ac:dyDescent="0.3">
      <c r="A6" t="s">
        <v>2695</v>
      </c>
      <c r="B6" s="736">
        <v>0</v>
      </c>
      <c r="C6" s="736">
        <v>0</v>
      </c>
      <c r="D6" s="736">
        <v>0</v>
      </c>
      <c r="E6" s="736">
        <v>0</v>
      </c>
      <c r="F6" s="736">
        <v>0</v>
      </c>
      <c r="G6" s="896">
        <v>0</v>
      </c>
      <c r="H6" s="736"/>
    </row>
    <row r="8" spans="1:12" x14ac:dyDescent="0.3">
      <c r="A8" t="s">
        <v>24</v>
      </c>
      <c r="B8" s="735">
        <v>46135</v>
      </c>
      <c r="C8" s="735">
        <v>46142</v>
      </c>
      <c r="D8" s="735">
        <v>46149</v>
      </c>
      <c r="E8" s="735">
        <v>46156</v>
      </c>
      <c r="F8" s="735">
        <v>46163</v>
      </c>
      <c r="G8" s="735">
        <v>46197</v>
      </c>
      <c r="H8" s="735">
        <v>46204</v>
      </c>
      <c r="I8" s="735">
        <v>46211</v>
      </c>
      <c r="J8" s="735">
        <v>46218</v>
      </c>
      <c r="K8" s="735">
        <v>46225</v>
      </c>
      <c r="L8" s="735">
        <v>46232</v>
      </c>
    </row>
    <row r="9" spans="1:12" x14ac:dyDescent="0.3">
      <c r="A9" t="s">
        <v>2691</v>
      </c>
      <c r="B9" s="736">
        <v>0.54</v>
      </c>
      <c r="C9" s="736">
        <v>0.56999999999999995</v>
      </c>
      <c r="D9" s="736">
        <v>0.61</v>
      </c>
      <c r="E9" s="736">
        <v>0.68</v>
      </c>
      <c r="F9" s="736">
        <v>0.6428571428571429</v>
      </c>
      <c r="G9" s="896">
        <v>0.67</v>
      </c>
      <c r="H9" s="736">
        <v>0.92</v>
      </c>
      <c r="I9" s="736">
        <v>0.92</v>
      </c>
    </row>
    <row r="10" spans="1:12" x14ac:dyDescent="0.3">
      <c r="A10" t="s">
        <v>2692</v>
      </c>
      <c r="B10" s="736">
        <v>0.39</v>
      </c>
      <c r="C10" s="736">
        <v>0.39</v>
      </c>
      <c r="D10" s="736">
        <v>0.39</v>
      </c>
      <c r="E10" s="736">
        <v>0.39</v>
      </c>
      <c r="F10" s="736">
        <v>0.39285714285714285</v>
      </c>
      <c r="G10" s="896">
        <v>0</v>
      </c>
      <c r="H10" s="736">
        <v>0.92</v>
      </c>
      <c r="I10" s="736">
        <v>0.92</v>
      </c>
    </row>
    <row r="11" spans="1:12" x14ac:dyDescent="0.3">
      <c r="A11" t="s">
        <v>2693</v>
      </c>
      <c r="B11" s="736">
        <v>0.69</v>
      </c>
      <c r="C11" s="736">
        <v>0.77</v>
      </c>
      <c r="D11" s="736">
        <v>0.85</v>
      </c>
      <c r="E11" s="736">
        <v>0.85</v>
      </c>
      <c r="F11" s="736">
        <v>0.84615384615384615</v>
      </c>
      <c r="G11" s="896">
        <v>0.75</v>
      </c>
      <c r="H11" s="736">
        <v>0.92</v>
      </c>
      <c r="I11" s="736">
        <v>0.92</v>
      </c>
    </row>
    <row r="12" spans="1:12" x14ac:dyDescent="0.3">
      <c r="A12" t="s">
        <v>2694</v>
      </c>
      <c r="B12" s="736">
        <v>0.28999999999999998</v>
      </c>
      <c r="C12" s="736">
        <v>0.28999999999999998</v>
      </c>
      <c r="D12" s="736">
        <v>0.28999999999999998</v>
      </c>
      <c r="E12" s="736">
        <v>0.35714285714285715</v>
      </c>
      <c r="F12" s="736">
        <v>0.35714285714285715</v>
      </c>
      <c r="G12" s="896">
        <v>0.57999999999999996</v>
      </c>
      <c r="H12" s="736">
        <v>0.92</v>
      </c>
      <c r="I12" s="736">
        <v>0.92</v>
      </c>
    </row>
    <row r="13" spans="1:12" x14ac:dyDescent="0.3">
      <c r="A13" t="s">
        <v>2695</v>
      </c>
      <c r="B13" s="736">
        <v>1</v>
      </c>
      <c r="C13" s="736">
        <v>1</v>
      </c>
      <c r="D13" s="736">
        <v>1</v>
      </c>
      <c r="E13" s="736">
        <v>1</v>
      </c>
      <c r="F13" s="736">
        <v>1</v>
      </c>
      <c r="G13" s="896">
        <v>0</v>
      </c>
      <c r="H13" s="736"/>
    </row>
    <row r="15" spans="1:12" x14ac:dyDescent="0.3">
      <c r="A15" t="s">
        <v>25</v>
      </c>
      <c r="B15" s="735">
        <v>46135</v>
      </c>
      <c r="C15" s="735">
        <v>46142</v>
      </c>
      <c r="D15" s="735">
        <v>46149</v>
      </c>
      <c r="E15" s="735">
        <v>46156</v>
      </c>
      <c r="F15" s="735">
        <v>46163</v>
      </c>
      <c r="G15" s="735">
        <v>46197</v>
      </c>
      <c r="H15" s="735">
        <v>46204</v>
      </c>
      <c r="I15" s="735">
        <v>46211</v>
      </c>
      <c r="J15" s="735">
        <v>46218</v>
      </c>
      <c r="K15" s="735">
        <v>46225</v>
      </c>
      <c r="L15" s="735">
        <v>46232</v>
      </c>
    </row>
    <row r="16" spans="1:12" x14ac:dyDescent="0.3">
      <c r="A16" t="s">
        <v>2691</v>
      </c>
      <c r="B16" s="736">
        <v>0.43</v>
      </c>
      <c r="C16" s="736">
        <v>0.64</v>
      </c>
      <c r="D16" s="736">
        <v>0.64</v>
      </c>
      <c r="E16" s="736">
        <v>0.64</v>
      </c>
      <c r="F16" s="736">
        <v>0.6785714285714286</v>
      </c>
      <c r="G16" s="896">
        <v>0.92</v>
      </c>
      <c r="H16" s="736">
        <v>0.96</v>
      </c>
      <c r="I16" s="736">
        <v>0.96</v>
      </c>
    </row>
    <row r="17" spans="1:12" x14ac:dyDescent="0.3">
      <c r="A17" t="s">
        <v>2692</v>
      </c>
      <c r="B17" s="736">
        <v>0.43</v>
      </c>
      <c r="C17" s="736">
        <v>0.43</v>
      </c>
      <c r="D17" s="736">
        <v>0.43</v>
      </c>
      <c r="E17" s="736">
        <v>0.43</v>
      </c>
      <c r="F17" s="736">
        <v>0.42857142857142855</v>
      </c>
      <c r="G17" s="896">
        <v>0</v>
      </c>
      <c r="H17" s="736">
        <v>0</v>
      </c>
      <c r="I17" s="736">
        <v>0.96</v>
      </c>
    </row>
    <row r="18" spans="1:12" x14ac:dyDescent="0.3">
      <c r="A18" t="s">
        <v>2693</v>
      </c>
      <c r="B18" s="736">
        <v>0.46</v>
      </c>
      <c r="C18" s="736">
        <v>0.77</v>
      </c>
      <c r="D18" s="736">
        <v>0.77</v>
      </c>
      <c r="E18" s="736">
        <v>0.76923076923076927</v>
      </c>
      <c r="F18" s="736">
        <v>0.84615384615384615</v>
      </c>
      <c r="G18" s="896">
        <v>0.92</v>
      </c>
      <c r="H18" s="736">
        <v>0.92</v>
      </c>
      <c r="I18" s="736">
        <v>0.92</v>
      </c>
    </row>
    <row r="19" spans="1:12" x14ac:dyDescent="0.3">
      <c r="A19" t="s">
        <v>2694</v>
      </c>
      <c r="B19" s="736">
        <v>0.43</v>
      </c>
      <c r="C19" s="736">
        <v>0.56999999999999995</v>
      </c>
      <c r="D19" s="736">
        <v>0.56999999999999995</v>
      </c>
      <c r="E19" s="736">
        <v>0.5714285714285714</v>
      </c>
      <c r="F19" s="736">
        <v>0.5714285714285714</v>
      </c>
      <c r="G19" s="896">
        <v>0.92</v>
      </c>
      <c r="H19" s="736">
        <v>1</v>
      </c>
      <c r="I19" s="736">
        <v>1</v>
      </c>
    </row>
    <row r="20" spans="1:12" x14ac:dyDescent="0.3">
      <c r="A20" t="s">
        <v>2695</v>
      </c>
      <c r="B20" s="736">
        <v>0</v>
      </c>
      <c r="C20" s="736">
        <v>0</v>
      </c>
      <c r="D20" s="736">
        <v>0</v>
      </c>
      <c r="E20" s="736">
        <v>0</v>
      </c>
      <c r="F20" s="736">
        <v>0</v>
      </c>
      <c r="G20" s="896">
        <v>0</v>
      </c>
      <c r="H20" s="736"/>
    </row>
    <row r="22" spans="1:12" x14ac:dyDescent="0.3">
      <c r="A22" t="s">
        <v>2696</v>
      </c>
      <c r="B22" s="735">
        <v>46135</v>
      </c>
      <c r="C22" s="735">
        <v>46142</v>
      </c>
      <c r="D22" s="735">
        <v>46149</v>
      </c>
      <c r="E22" s="735">
        <v>46156</v>
      </c>
      <c r="F22" s="735">
        <v>46163</v>
      </c>
      <c r="G22" s="735">
        <v>46197</v>
      </c>
      <c r="H22" s="735">
        <v>46204</v>
      </c>
      <c r="I22" s="735">
        <v>46211</v>
      </c>
      <c r="J22" s="735">
        <v>46218</v>
      </c>
      <c r="K22" s="735">
        <v>46225</v>
      </c>
      <c r="L22" s="735">
        <v>46232</v>
      </c>
    </row>
    <row r="23" spans="1:12" x14ac:dyDescent="0.3">
      <c r="A23" t="s">
        <v>2691</v>
      </c>
      <c r="B23" s="736">
        <v>0.79</v>
      </c>
      <c r="C23" s="737">
        <v>0.71</v>
      </c>
      <c r="D23" s="736">
        <v>0.62</v>
      </c>
      <c r="E23" s="736">
        <v>0.93</v>
      </c>
      <c r="F23" s="736">
        <v>0.6428571428571429</v>
      </c>
      <c r="G23" s="896">
        <v>0.83</v>
      </c>
      <c r="H23" s="736">
        <v>0.96</v>
      </c>
      <c r="I23" s="736">
        <v>1</v>
      </c>
    </row>
    <row r="24" spans="1:12" x14ac:dyDescent="0.3">
      <c r="A24" t="s">
        <v>2692</v>
      </c>
      <c r="B24" s="736">
        <v>0.36</v>
      </c>
      <c r="C24" s="736">
        <v>0.36</v>
      </c>
      <c r="D24" s="736">
        <v>0.36</v>
      </c>
      <c r="E24" s="736">
        <v>0.36</v>
      </c>
      <c r="F24" s="736">
        <v>0.35714285714285715</v>
      </c>
      <c r="G24" s="896">
        <v>0</v>
      </c>
      <c r="H24" s="736">
        <v>0.96</v>
      </c>
      <c r="I24" s="736">
        <v>0.96</v>
      </c>
    </row>
    <row r="25" spans="1:12" x14ac:dyDescent="0.3">
      <c r="A25" t="s">
        <v>2693</v>
      </c>
      <c r="B25" s="736">
        <v>0.85</v>
      </c>
      <c r="C25" s="737">
        <v>0.77</v>
      </c>
      <c r="D25" s="736">
        <v>0.85</v>
      </c>
      <c r="E25" s="736">
        <v>0.92</v>
      </c>
      <c r="F25" s="736">
        <v>0.69230769230769229</v>
      </c>
      <c r="G25" s="896">
        <v>0.67</v>
      </c>
      <c r="H25" s="736">
        <v>0.92</v>
      </c>
      <c r="I25" s="736">
        <v>1</v>
      </c>
    </row>
    <row r="26" spans="1:12" x14ac:dyDescent="0.3">
      <c r="A26" t="s">
        <v>2694</v>
      </c>
      <c r="B26" s="736">
        <v>0.71</v>
      </c>
      <c r="C26" s="737">
        <v>0.64</v>
      </c>
      <c r="D26" s="736">
        <v>0.79</v>
      </c>
      <c r="E26" s="736">
        <v>0.8571428571428571</v>
      </c>
      <c r="F26" s="736">
        <v>0.5714285714285714</v>
      </c>
      <c r="G26" s="896">
        <v>1</v>
      </c>
      <c r="H26" s="736">
        <v>1</v>
      </c>
      <c r="I26" s="736">
        <v>1</v>
      </c>
    </row>
    <row r="27" spans="1:12" x14ac:dyDescent="0.3">
      <c r="A27" t="s">
        <v>2695</v>
      </c>
      <c r="B27" s="736">
        <v>1</v>
      </c>
      <c r="C27" s="736">
        <v>1</v>
      </c>
      <c r="D27" s="736">
        <v>1</v>
      </c>
      <c r="E27" s="736">
        <v>1</v>
      </c>
      <c r="F27" s="736">
        <v>1</v>
      </c>
      <c r="G27" s="896">
        <v>0</v>
      </c>
      <c r="H27" s="736"/>
    </row>
    <row r="29" spans="1:12" x14ac:dyDescent="0.3">
      <c r="A29" t="s">
        <v>22</v>
      </c>
      <c r="B29" s="735">
        <v>46135</v>
      </c>
      <c r="C29" s="735">
        <v>46142</v>
      </c>
      <c r="D29" s="735">
        <v>46149</v>
      </c>
      <c r="E29" s="735">
        <v>46156</v>
      </c>
      <c r="F29" s="735">
        <v>46163</v>
      </c>
      <c r="G29" s="735">
        <v>46197</v>
      </c>
      <c r="H29" s="735">
        <v>46204</v>
      </c>
      <c r="I29" s="735">
        <v>46211</v>
      </c>
      <c r="J29" s="735">
        <v>46218</v>
      </c>
      <c r="K29" s="735">
        <v>46225</v>
      </c>
      <c r="L29" s="735">
        <v>46232</v>
      </c>
    </row>
    <row r="30" spans="1:12" x14ac:dyDescent="0.3">
      <c r="A30" t="s">
        <v>2691</v>
      </c>
      <c r="B30" s="736">
        <v>0.75</v>
      </c>
      <c r="C30" s="736">
        <v>0.75</v>
      </c>
      <c r="D30" s="736">
        <v>0.75</v>
      </c>
      <c r="E30" s="736">
        <v>0.75</v>
      </c>
      <c r="F30" s="736">
        <v>0.75</v>
      </c>
      <c r="G30" s="896">
        <v>0.96</v>
      </c>
      <c r="H30" s="736">
        <v>1</v>
      </c>
      <c r="I30" s="736">
        <v>1</v>
      </c>
    </row>
    <row r="31" spans="1:12" x14ac:dyDescent="0.3">
      <c r="A31" t="s">
        <v>2692</v>
      </c>
      <c r="B31" s="736">
        <v>0.28999999999999998</v>
      </c>
      <c r="C31" s="736">
        <v>0.28999999999999998</v>
      </c>
      <c r="D31" s="736">
        <v>0.28999999999999998</v>
      </c>
      <c r="E31" s="736">
        <v>0.28999999999999998</v>
      </c>
      <c r="F31" s="736">
        <v>0.2857142857142857</v>
      </c>
      <c r="G31" s="896">
        <v>0</v>
      </c>
      <c r="H31" s="736">
        <v>0.92</v>
      </c>
      <c r="I31" s="736">
        <v>0.96</v>
      </c>
    </row>
    <row r="32" spans="1:12" x14ac:dyDescent="0.3">
      <c r="A32" t="s">
        <v>2693</v>
      </c>
      <c r="B32" s="736">
        <v>0.85</v>
      </c>
      <c r="C32" s="736">
        <v>0.85</v>
      </c>
      <c r="D32" s="736">
        <v>0.85</v>
      </c>
      <c r="E32" s="736">
        <v>0.84615384615384615</v>
      </c>
      <c r="F32" s="736">
        <v>0.84615384615384615</v>
      </c>
      <c r="G32" s="896">
        <v>1</v>
      </c>
      <c r="H32" s="736">
        <v>1</v>
      </c>
      <c r="I32" s="736">
        <v>1</v>
      </c>
    </row>
    <row r="33" spans="1:9" x14ac:dyDescent="0.3">
      <c r="A33" t="s">
        <v>2694</v>
      </c>
      <c r="B33" s="736">
        <v>0.64</v>
      </c>
      <c r="C33" s="736">
        <v>0.64</v>
      </c>
      <c r="D33" s="736">
        <v>0.64</v>
      </c>
      <c r="E33" s="736">
        <v>0.6428571428571429</v>
      </c>
      <c r="F33" s="736">
        <v>0.6428571428571429</v>
      </c>
      <c r="G33" s="896">
        <v>0.92</v>
      </c>
      <c r="H33" s="736">
        <v>1</v>
      </c>
      <c r="I33" s="736">
        <v>1</v>
      </c>
    </row>
    <row r="34" spans="1:9" x14ac:dyDescent="0.3">
      <c r="A34" t="s">
        <v>2695</v>
      </c>
      <c r="B34" s="736">
        <v>1</v>
      </c>
      <c r="C34" s="736">
        <v>1</v>
      </c>
      <c r="D34" s="736">
        <v>1</v>
      </c>
      <c r="E34" s="736">
        <v>1</v>
      </c>
      <c r="F34" s="736">
        <v>1</v>
      </c>
      <c r="G34" s="896">
        <v>0</v>
      </c>
    </row>
  </sheetData>
  <phoneticPr fontId="1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22"/>
  <sheetViews>
    <sheetView topLeftCell="A11" zoomScale="85" zoomScaleNormal="85" workbookViewId="0">
      <selection activeCell="K17" sqref="K17:L26"/>
    </sheetView>
  </sheetViews>
  <sheetFormatPr defaultRowHeight="14.4" x14ac:dyDescent="0.3"/>
  <cols>
    <col min="1" max="1" width="30.5546875" bestFit="1" customWidth="1"/>
    <col min="2" max="2" width="20.5546875" customWidth="1"/>
    <col min="3" max="4" width="12" bestFit="1" customWidth="1"/>
    <col min="5" max="5" width="18.5546875" customWidth="1"/>
    <col min="7" max="7" width="15.5546875" bestFit="1" customWidth="1"/>
    <col min="11" max="11" width="13.44140625" bestFit="1" customWidth="1"/>
    <col min="12" max="14" width="16.44140625" bestFit="1" customWidth="1"/>
    <col min="15" max="17" width="16.5546875" bestFit="1" customWidth="1"/>
    <col min="18" max="23" width="16.44140625" bestFit="1" customWidth="1"/>
    <col min="24" max="27" width="16.5546875" bestFit="1" customWidth="1"/>
  </cols>
  <sheetData>
    <row r="1" spans="1:5" ht="21" x14ac:dyDescent="0.4">
      <c r="A1" s="8" t="s">
        <v>2697</v>
      </c>
    </row>
    <row r="3" spans="1:5" x14ac:dyDescent="0.3">
      <c r="A3" t="s">
        <v>2698</v>
      </c>
    </row>
    <row r="4" spans="1:5" x14ac:dyDescent="0.3">
      <c r="A4" s="9" t="s">
        <v>78</v>
      </c>
      <c r="B4" s="9" t="s">
        <v>95</v>
      </c>
      <c r="C4" s="9" t="s">
        <v>97</v>
      </c>
      <c r="D4" s="9" t="s">
        <v>2699</v>
      </c>
      <c r="E4" s="9" t="s">
        <v>29</v>
      </c>
    </row>
    <row r="5" spans="1:5" x14ac:dyDescent="0.3">
      <c r="A5" t="s">
        <v>21</v>
      </c>
      <c r="B5" s="6">
        <v>2758000</v>
      </c>
      <c r="C5" s="6">
        <v>3965000</v>
      </c>
      <c r="D5" s="6">
        <v>224000</v>
      </c>
      <c r="E5" s="6">
        <v>6947000</v>
      </c>
    </row>
    <row r="6" spans="1:5" x14ac:dyDescent="0.3">
      <c r="A6" t="s">
        <v>22</v>
      </c>
      <c r="B6" s="6">
        <v>6980000</v>
      </c>
      <c r="C6" s="6">
        <v>6040000</v>
      </c>
      <c r="D6" s="6">
        <v>347000</v>
      </c>
      <c r="E6" s="6">
        <v>13367000</v>
      </c>
    </row>
    <row r="7" spans="1:5" x14ac:dyDescent="0.3">
      <c r="A7" t="s">
        <v>23</v>
      </c>
      <c r="B7" s="6">
        <v>777000</v>
      </c>
      <c r="C7" s="6">
        <v>1141000</v>
      </c>
      <c r="D7" s="6">
        <v>182000</v>
      </c>
      <c r="E7" s="6">
        <v>2100000</v>
      </c>
    </row>
    <row r="8" spans="1:5" x14ac:dyDescent="0.3">
      <c r="A8" t="s">
        <v>24</v>
      </c>
      <c r="B8" s="6">
        <v>2687000</v>
      </c>
      <c r="C8" s="6">
        <v>2329000</v>
      </c>
      <c r="D8" s="6">
        <v>340000</v>
      </c>
      <c r="E8" s="6">
        <v>5356000</v>
      </c>
    </row>
    <row r="9" spans="1:5" x14ac:dyDescent="0.3">
      <c r="A9" t="s">
        <v>25</v>
      </c>
      <c r="B9" s="6">
        <v>1959000</v>
      </c>
      <c r="C9" s="6">
        <v>1684000</v>
      </c>
      <c r="D9" s="6">
        <v>198000</v>
      </c>
      <c r="E9" s="6">
        <v>3841000</v>
      </c>
    </row>
    <row r="10" spans="1:5" x14ac:dyDescent="0.3">
      <c r="A10" t="s">
        <v>28</v>
      </c>
      <c r="B10" s="6">
        <v>0</v>
      </c>
      <c r="C10" s="6">
        <v>0</v>
      </c>
      <c r="D10" s="6">
        <v>1709000</v>
      </c>
      <c r="E10" s="6">
        <v>1709000</v>
      </c>
    </row>
    <row r="11" spans="1:5" x14ac:dyDescent="0.3">
      <c r="A11" t="s">
        <v>2700</v>
      </c>
      <c r="E11" t="s">
        <v>2701</v>
      </c>
    </row>
    <row r="12" spans="1:5" x14ac:dyDescent="0.3">
      <c r="A12" t="s">
        <v>2702</v>
      </c>
      <c r="E12" s="6">
        <v>7000000</v>
      </c>
    </row>
    <row r="13" spans="1:5" x14ac:dyDescent="0.3">
      <c r="A13" t="s">
        <v>2703</v>
      </c>
      <c r="E13" s="6">
        <v>10000000</v>
      </c>
    </row>
    <row r="15" spans="1:5" ht="18" x14ac:dyDescent="0.35">
      <c r="A15" t="s">
        <v>2704</v>
      </c>
      <c r="E15" s="10">
        <f>SUM(E5:E13)</f>
        <v>50320000</v>
      </c>
    </row>
    <row r="17" spans="1:15" x14ac:dyDescent="0.3">
      <c r="K17" s="2216" t="s">
        <v>2705</v>
      </c>
      <c r="L17" s="2216"/>
      <c r="N17" s="2216" t="s">
        <v>2706</v>
      </c>
      <c r="O17" s="2216"/>
    </row>
    <row r="18" spans="1:15" x14ac:dyDescent="0.3">
      <c r="K18" s="9" t="s">
        <v>78</v>
      </c>
      <c r="L18" s="9" t="s">
        <v>29</v>
      </c>
      <c r="N18" s="9" t="s">
        <v>78</v>
      </c>
      <c r="O18" s="9" t="s">
        <v>29</v>
      </c>
    </row>
    <row r="19" spans="1:15" x14ac:dyDescent="0.3">
      <c r="K19" t="s">
        <v>21</v>
      </c>
      <c r="L19" s="6">
        <v>6947000</v>
      </c>
      <c r="N19" t="s">
        <v>21</v>
      </c>
      <c r="O19" s="6">
        <v>0</v>
      </c>
    </row>
    <row r="20" spans="1:15" x14ac:dyDescent="0.3">
      <c r="K20" t="s">
        <v>22</v>
      </c>
      <c r="L20" s="6">
        <v>13367000</v>
      </c>
      <c r="N20" t="s">
        <v>22</v>
      </c>
      <c r="O20" s="6">
        <v>0</v>
      </c>
    </row>
    <row r="21" spans="1:15" x14ac:dyDescent="0.3">
      <c r="A21" t="s">
        <v>57</v>
      </c>
      <c r="B21" t="s">
        <v>58</v>
      </c>
      <c r="K21" t="s">
        <v>23</v>
      </c>
      <c r="L21" s="6">
        <v>2100000</v>
      </c>
      <c r="N21" t="s">
        <v>23</v>
      </c>
      <c r="O21" s="6">
        <v>0</v>
      </c>
    </row>
    <row r="22" spans="1:15" x14ac:dyDescent="0.3">
      <c r="A22" t="s">
        <v>59</v>
      </c>
      <c r="B22" t="s">
        <v>60</v>
      </c>
      <c r="K22" t="s">
        <v>24</v>
      </c>
      <c r="L22" s="6">
        <v>5356000</v>
      </c>
      <c r="N22" t="s">
        <v>24</v>
      </c>
      <c r="O22" s="6">
        <v>0</v>
      </c>
    </row>
    <row r="23" spans="1:15" x14ac:dyDescent="0.3">
      <c r="A23" t="s">
        <v>61</v>
      </c>
      <c r="B23" t="s">
        <v>62</v>
      </c>
      <c r="K23" t="s">
        <v>25</v>
      </c>
      <c r="L23" s="6">
        <v>3841000</v>
      </c>
      <c r="N23" t="s">
        <v>25</v>
      </c>
      <c r="O23" s="6">
        <v>0</v>
      </c>
    </row>
    <row r="24" spans="1:15" x14ac:dyDescent="0.3">
      <c r="A24" t="s">
        <v>925</v>
      </c>
      <c r="K24" t="s">
        <v>28</v>
      </c>
      <c r="L24" s="6">
        <v>1709000</v>
      </c>
      <c r="N24" t="s">
        <v>28</v>
      </c>
      <c r="O24" s="6">
        <v>0</v>
      </c>
    </row>
    <row r="25" spans="1:15" x14ac:dyDescent="0.3">
      <c r="A25" t="s">
        <v>90</v>
      </c>
      <c r="K25" t="s">
        <v>2702</v>
      </c>
      <c r="L25" s="6">
        <v>7000000</v>
      </c>
      <c r="N25" t="s">
        <v>2702</v>
      </c>
      <c r="O25" s="6">
        <v>0</v>
      </c>
    </row>
    <row r="26" spans="1:15" x14ac:dyDescent="0.3">
      <c r="A26" t="s">
        <v>953</v>
      </c>
      <c r="K26" t="s">
        <v>2703</v>
      </c>
      <c r="L26" s="6">
        <v>10000000</v>
      </c>
      <c r="N26" t="s">
        <v>2703</v>
      </c>
      <c r="O26" s="6">
        <v>0</v>
      </c>
    </row>
    <row r="27" spans="1:15" x14ac:dyDescent="0.3">
      <c r="A27" t="s">
        <v>91</v>
      </c>
      <c r="O27" s="6" t="s">
        <v>128</v>
      </c>
    </row>
    <row r="28" spans="1:15" x14ac:dyDescent="0.3">
      <c r="A28" t="s">
        <v>308</v>
      </c>
    </row>
    <row r="29" spans="1:15" x14ac:dyDescent="0.3">
      <c r="A29" t="s">
        <v>363</v>
      </c>
    </row>
    <row r="30" spans="1:15" x14ac:dyDescent="0.3">
      <c r="A30" t="s">
        <v>589</v>
      </c>
    </row>
    <row r="31" spans="1:15" x14ac:dyDescent="0.3">
      <c r="A31" s="16" t="s">
        <v>81</v>
      </c>
    </row>
    <row r="32" spans="1:15" x14ac:dyDescent="0.3">
      <c r="A32" s="16" t="s">
        <v>83</v>
      </c>
    </row>
    <row r="33" spans="1:6" x14ac:dyDescent="0.3">
      <c r="A33" s="16" t="s">
        <v>85</v>
      </c>
    </row>
    <row r="36" spans="1:6" x14ac:dyDescent="0.3">
      <c r="A36" t="s">
        <v>186</v>
      </c>
    </row>
    <row r="37" spans="1:6" x14ac:dyDescent="0.3">
      <c r="A37" t="s">
        <v>964</v>
      </c>
    </row>
    <row r="38" spans="1:6" x14ac:dyDescent="0.3">
      <c r="A38" t="s">
        <v>1842</v>
      </c>
    </row>
    <row r="39" spans="1:6" x14ac:dyDescent="0.3">
      <c r="B39" s="2216" t="s">
        <v>2707</v>
      </c>
      <c r="C39" s="2216"/>
      <c r="D39" s="2216"/>
      <c r="E39" s="2216"/>
      <c r="F39" s="2216"/>
    </row>
    <row r="40" spans="1:6" x14ac:dyDescent="0.3">
      <c r="B40" t="s">
        <v>21</v>
      </c>
      <c r="C40" t="s">
        <v>24</v>
      </c>
      <c r="D40" t="s">
        <v>22</v>
      </c>
      <c r="E40" t="s">
        <v>23</v>
      </c>
      <c r="F40" t="s">
        <v>25</v>
      </c>
    </row>
    <row r="41" spans="1:6" x14ac:dyDescent="0.3">
      <c r="A41" t="s">
        <v>57</v>
      </c>
      <c r="B41" s="224">
        <f>SUMIF(Diadema!$A$55:$A$176,Parâmetros!A41,Diadema!$N$55:$N$176)</f>
        <v>0</v>
      </c>
    </row>
    <row r="42" spans="1:6" x14ac:dyDescent="0.3">
      <c r="A42" t="s">
        <v>59</v>
      </c>
      <c r="B42" s="224">
        <f>SUMIF(Diadema!$A$55:$A$176,Parâmetros!A42,Diadema!$N$55:$N$176)</f>
        <v>651481.30000000005</v>
      </c>
    </row>
    <row r="43" spans="1:6" x14ac:dyDescent="0.3">
      <c r="A43" t="s">
        <v>61</v>
      </c>
      <c r="B43" s="224">
        <f>SUMIF(Diadema!$A$55:$A$176,Parâmetros!A43,Diadema!$N$55:$N$176)</f>
        <v>0</v>
      </c>
    </row>
    <row r="44" spans="1:6" x14ac:dyDescent="0.3">
      <c r="A44" t="s">
        <v>925</v>
      </c>
      <c r="B44" s="224">
        <f>SUMIF(Diadema!$A$55:$A$176,Parâmetros!A44,Diadema!$N$55:$N$176)</f>
        <v>0</v>
      </c>
    </row>
    <row r="45" spans="1:6" x14ac:dyDescent="0.3">
      <c r="A45" t="s">
        <v>90</v>
      </c>
      <c r="B45" s="224">
        <f>SUMIF(Diadema!$A$55:$A$176,Parâmetros!A45,Diadema!$N$55:$N$176)</f>
        <v>0</v>
      </c>
    </row>
    <row r="46" spans="1:6" x14ac:dyDescent="0.3">
      <c r="A46" t="s">
        <v>953</v>
      </c>
      <c r="B46" s="224">
        <f>SUMIF(Diadema!$A$55:$A$176,Parâmetros!A46,Diadema!$N$55:$N$176)</f>
        <v>0</v>
      </c>
    </row>
    <row r="47" spans="1:6" x14ac:dyDescent="0.3">
      <c r="A47" t="s">
        <v>91</v>
      </c>
      <c r="B47" s="224">
        <f>SUMIF(Diadema!$A$55:$A$176,Parâmetros!A47,Diadema!$N$55:$N$176)</f>
        <v>2225803.9020731715</v>
      </c>
    </row>
    <row r="49" spans="1:6" x14ac:dyDescent="0.3">
      <c r="B49" s="2216" t="s">
        <v>117</v>
      </c>
      <c r="C49" s="2216"/>
      <c r="D49" s="2216"/>
      <c r="E49" s="2216"/>
      <c r="F49" s="2216"/>
    </row>
    <row r="50" spans="1:6" x14ac:dyDescent="0.3">
      <c r="B50" t="s">
        <v>21</v>
      </c>
      <c r="C50" t="s">
        <v>24</v>
      </c>
      <c r="D50" t="s">
        <v>22</v>
      </c>
      <c r="E50" t="s">
        <v>23</v>
      </c>
      <c r="F50" t="s">
        <v>25</v>
      </c>
    </row>
    <row r="51" spans="1:6" x14ac:dyDescent="0.3">
      <c r="A51" t="s">
        <v>57</v>
      </c>
      <c r="B51" s="224">
        <f>SUMIFS(Diadema!$AK$55:$AK$176,Diadema!$S$55:$S$176,"Real",Diadema!$AS$55:$AS$176,A51)</f>
        <v>0</v>
      </c>
    </row>
    <row r="52" spans="1:6" x14ac:dyDescent="0.3">
      <c r="A52" t="s">
        <v>59</v>
      </c>
      <c r="B52" s="224">
        <f>SUMIFS(Diadema!$AK$55:$AK$176,Diadema!$S$55:$S$176,"Real",Diadema!$AS$55:$AS$176,A52)</f>
        <v>237950.70250000001</v>
      </c>
    </row>
    <row r="53" spans="1:6" x14ac:dyDescent="0.3">
      <c r="A53" t="s">
        <v>61</v>
      </c>
      <c r="B53" s="224">
        <f>SUMIFS(Diadema!$AK$55:$AK$176,Diadema!$S$55:$S$176,"Real",Diadema!$AS$55:$AS$176,A53)</f>
        <v>0</v>
      </c>
    </row>
    <row r="54" spans="1:6" x14ac:dyDescent="0.3">
      <c r="A54" t="s">
        <v>925</v>
      </c>
      <c r="B54" s="224">
        <f>SUMIFS(Diadema!$AK$55:$AK$176,Diadema!$S$55:$S$176,"Real",Diadema!$AS$55:$AS$176,A54)</f>
        <v>0</v>
      </c>
    </row>
    <row r="55" spans="1:6" x14ac:dyDescent="0.3">
      <c r="A55" t="s">
        <v>90</v>
      </c>
      <c r="B55" s="224">
        <f>SUMIFS(Diadema!$AK$55:$AK$176,Diadema!$S$55:$S$176,"Real",Diadema!$AS$55:$AS$176,A55)</f>
        <v>0</v>
      </c>
    </row>
    <row r="56" spans="1:6" x14ac:dyDescent="0.3">
      <c r="A56" t="s">
        <v>953</v>
      </c>
      <c r="B56" s="224">
        <f>SUMIFS(Diadema!$AK$55:$AK$176,Diadema!$S$55:$S$176,"Real",Diadema!$AS$55:$AS$176,A56)</f>
        <v>0</v>
      </c>
    </row>
    <row r="57" spans="1:6" x14ac:dyDescent="0.3">
      <c r="A57" t="s">
        <v>91</v>
      </c>
      <c r="B57" s="224">
        <f>SUMIFS(Diadema!$AK$55:$AK$176,Diadema!$S$55:$S$176,"Real",Diadema!$AS$55:$AS$176,A57)</f>
        <v>770845.29200706468</v>
      </c>
    </row>
    <row r="87" spans="1:1" x14ac:dyDescent="0.3">
      <c r="A87" t="s">
        <v>2708</v>
      </c>
    </row>
    <row r="100" spans="1:1" x14ac:dyDescent="0.3">
      <c r="A100" s="210" t="s">
        <v>2709</v>
      </c>
    </row>
    <row r="122" spans="1:28" x14ac:dyDescent="0.3">
      <c r="A122">
        <v>100</v>
      </c>
      <c r="R122" s="154">
        <f>IF(AND(ISNUMBER('5 Unidades  +'!Y57),'5 Unidades  +'!Y57&lt;&gt;0), '5 Unidades  +'!Y60,#REF! + (( $E$15 - MAX($Y$43:$AC$43)) / COUNTIF($Y$40:$AC$40,0)))</f>
        <v>2338102.4540281026</v>
      </c>
      <c r="S122" s="154">
        <f>IF(AND(ISNUMBER('5 Unidades  +'!Z57),'5 Unidades  +'!Z57&lt;&gt;0), '5 Unidades  +'!Z60, '5 Unidades  +'!Y61 + (($E$15 - MAX($Y$43:$AC$43)) / COUNTIF($Y$40:$AC$40,0)))</f>
        <v>3150736.41589648</v>
      </c>
      <c r="T122" s="154">
        <f>IF(AND(ISNUMBER('5 Unidades  +'!AA57),'5 Unidades  +'!AA57&lt;&gt;0), '5 Unidades  +'!AA60, '5 Unidades  +'!Z61 + (($E$15 - MAX($Y$43:$AC$43)) / COUNTIF($Y$40:$AC$40,0)))</f>
        <v>4148030.5682156598</v>
      </c>
      <c r="U122" s="154">
        <f>IF(AND(ISNUMBER('5 Unidades  +'!AB57),'5 Unidades  +'!AB57&lt;&gt;0), '5 Unidades  +'!AB60, '5 Unidades  +'!AA61 + (($E$15 - MAX($Y$43:$AC$43)) / COUNTIF($Y$40:$AC$40,0)))</f>
        <v>5280873.787336383</v>
      </c>
      <c r="V122" s="154">
        <f>IF(AND(ISNUMBER('5 Unidades  +'!AC57),'5 Unidades  +'!AC57&lt;&gt;0), '5 Unidades  +'!AC60, '5 Unidades  +'!AB61 + (($E$15 - MAX($Y$43:$AC$43)) / COUNTIF($Y$40:$AC$40,0)))</f>
        <v>5605985.7600761652</v>
      </c>
      <c r="W122" s="154">
        <f>IF(AND(ISNUMBER('5 Unidades  +'!AD57),'5 Unidades  +'!AD57&lt;&gt;0), '5 Unidades  +'!AD60, '5 Unidades  +'!AC61 + (($E$15 - MAX($Y$43:$AC$43)) / COUNTIF($Y$40:$AC$40,0)))</f>
        <v>5623569.7600761652</v>
      </c>
      <c r="X122" s="154" t="e">
        <f>IF(AND(ISNUMBER('5 Unidades  +'!AE57),'5 Unidades  +'!AE57&lt;&gt;0), '5 Unidades  +'!AE60, '5 Unidades  +'!AD61 + (($E$15 - MAX($Y$43:$AC$43)) / COUNTIF($Y$40:$AC$40,0)))</f>
        <v>#DIV/0!</v>
      </c>
      <c r="Y122" s="154" t="e">
        <f>IF(AND(ISNUMBER('5 Unidades  +'!AF57),'5 Unidades  +'!AF57&lt;&gt;0), '5 Unidades  +'!AF60, '5 Unidades  +'!AE61 + (($E$15 - MAX($Y$43:$AC$43)) / COUNTIF($Y$40:$AC$40,0)))</f>
        <v>#DIV/0!</v>
      </c>
      <c r="Z122" s="154" t="e">
        <f>IF(AND(ISNUMBER('5 Unidades  +'!AG57),'5 Unidades  +'!AG57&lt;&gt;0), '5 Unidades  +'!AG60, '5 Unidades  +'!AF61 + (($E$15 - MAX($Y$43:$AC$43)) / COUNTIF($Y$40:$AC$40,0)))</f>
        <v>#DIV/0!</v>
      </c>
      <c r="AA122" s="154" t="e">
        <f>IF(AND(ISNUMBER('5 Unidades  +'!AH57),'5 Unidades  +'!AH57&lt;&gt;0), '5 Unidades  +'!AH60, '5 Unidades  +'!AG61 + (($E$15 - MAX($Y$43:$AC$43)) / COUNTIF($Y$40:$AC$40,0)))</f>
        <v>#DIV/0!</v>
      </c>
      <c r="AB122" s="154">
        <f>IF(AND(ISNUMBER('5 Unidades  +'!AI57),'5 Unidades  +'!AI57&lt;&gt;0), '5 Unidades  +'!AI60, '5 Unidades  +'!AH61 + (($E$15 - MAX($Y$43:$AC$43)) / COUNTIF($Y$40:$AC$40,0)))</f>
        <v>0</v>
      </c>
    </row>
  </sheetData>
  <mergeCells count="4">
    <mergeCell ref="B39:F39"/>
    <mergeCell ref="B49:F49"/>
    <mergeCell ref="K17:L17"/>
    <mergeCell ref="N17:O17"/>
  </mergeCells>
  <hyperlinks>
    <hyperlink ref="A100" r:id="rId1" xr:uid="{78B7FCF5-0A28-406B-BC84-A0FEEFAEC0DF}"/>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0197-2D2C-4501-974E-27EA491570C7}">
  <dimension ref="A1:AF265"/>
  <sheetViews>
    <sheetView showGridLines="0" topLeftCell="Q1" zoomScale="115" zoomScaleNormal="115" workbookViewId="0">
      <selection activeCell="Q17" sqref="A17:XFD17"/>
    </sheetView>
  </sheetViews>
  <sheetFormatPr defaultRowHeight="14.4" x14ac:dyDescent="0.3"/>
  <cols>
    <col min="2" max="2" width="16.44140625" bestFit="1" customWidth="1"/>
    <col min="3" max="3" width="52.44140625" customWidth="1"/>
    <col min="4" max="4" width="7.5546875" style="339" customWidth="1"/>
    <col min="5" max="5" width="8" style="339" bestFit="1" customWidth="1"/>
    <col min="6" max="6" width="13.44140625" customWidth="1"/>
    <col min="7" max="7" width="16.44140625" bestFit="1" customWidth="1"/>
    <col min="8" max="8" width="16.44140625" customWidth="1"/>
    <col min="9" max="9" width="17.5546875" bestFit="1" customWidth="1"/>
    <col min="10" max="10" width="15.5546875" bestFit="1" customWidth="1"/>
    <col min="11" max="11" width="14.44140625" bestFit="1" customWidth="1"/>
    <col min="12" max="12" width="15.44140625" bestFit="1" customWidth="1"/>
    <col min="13" max="13" width="14.44140625" bestFit="1" customWidth="1"/>
    <col min="14" max="14" width="17.44140625" bestFit="1" customWidth="1"/>
    <col min="15" max="16" width="15.44140625" customWidth="1"/>
    <col min="17" max="17" width="15.44140625" bestFit="1" customWidth="1"/>
    <col min="18" max="18" width="17.44140625" bestFit="1" customWidth="1"/>
    <col min="19" max="19" width="88.44140625" bestFit="1" customWidth="1"/>
    <col min="20" max="20" width="26.5546875" bestFit="1" customWidth="1"/>
    <col min="21" max="21" width="17.5546875" bestFit="1" customWidth="1"/>
    <col min="22" max="22" width="26.5546875" bestFit="1" customWidth="1"/>
    <col min="23" max="23" width="14.44140625" bestFit="1" customWidth="1"/>
    <col min="24" max="24" width="15.5546875" bestFit="1" customWidth="1"/>
    <col min="25" max="25" width="19.5546875" bestFit="1" customWidth="1"/>
    <col min="26" max="26" width="18.44140625" bestFit="1" customWidth="1"/>
    <col min="27" max="27" width="15.44140625" bestFit="1" customWidth="1"/>
    <col min="29" max="29" width="8.44140625" customWidth="1"/>
    <col min="32" max="32" width="18.44140625" bestFit="1" customWidth="1"/>
    <col min="33" max="33" width="11.44140625" bestFit="1" customWidth="1"/>
  </cols>
  <sheetData>
    <row r="1" spans="1:32" ht="14.85" customHeight="1" x14ac:dyDescent="0.3">
      <c r="A1" s="252" t="s">
        <v>21</v>
      </c>
      <c r="B1" s="252"/>
      <c r="C1" s="252"/>
      <c r="D1" s="718"/>
      <c r="E1" s="718"/>
      <c r="L1" s="47"/>
      <c r="M1" s="47"/>
      <c r="N1" s="47"/>
      <c r="O1" s="47"/>
      <c r="P1" s="47"/>
      <c r="R1" s="555"/>
      <c r="S1" s="555"/>
      <c r="T1" s="555" t="s">
        <v>2710</v>
      </c>
      <c r="U1" s="555"/>
      <c r="V1" s="555"/>
      <c r="W1" s="555"/>
    </row>
    <row r="2" spans="1:32" ht="14.85" customHeight="1" x14ac:dyDescent="0.3">
      <c r="A2" s="252"/>
      <c r="B2" s="252"/>
      <c r="C2" s="252"/>
      <c r="D2" s="718"/>
      <c r="E2" s="718"/>
      <c r="J2" s="2216" t="s">
        <v>2711</v>
      </c>
      <c r="K2" s="2216"/>
      <c r="Q2" s="555"/>
      <c r="R2" s="555"/>
      <c r="S2" s="555"/>
      <c r="T2" s="555"/>
      <c r="U2" s="555"/>
    </row>
    <row r="3" spans="1:32" ht="14.85" customHeight="1" x14ac:dyDescent="0.3">
      <c r="B3" t="s">
        <v>924</v>
      </c>
      <c r="C3" t="s">
        <v>2712</v>
      </c>
      <c r="D3" s="339" t="s">
        <v>183</v>
      </c>
      <c r="E3" s="339" t="s">
        <v>139</v>
      </c>
      <c r="F3" t="str">
        <f>$A$1</f>
        <v>Diadema</v>
      </c>
      <c r="G3" t="s">
        <v>2713</v>
      </c>
      <c r="H3" t="s">
        <v>2714</v>
      </c>
      <c r="I3" t="s">
        <v>2715</v>
      </c>
      <c r="J3" s="552" t="s">
        <v>116</v>
      </c>
      <c r="K3" s="552" t="s">
        <v>117</v>
      </c>
      <c r="L3" t="s">
        <v>2716</v>
      </c>
      <c r="M3" s="893" t="s">
        <v>2717</v>
      </c>
      <c r="N3" s="893" t="s">
        <v>2718</v>
      </c>
      <c r="Q3" s="555"/>
      <c r="R3" s="555"/>
      <c r="S3" s="555"/>
      <c r="T3" s="555"/>
      <c r="U3" s="552" t="s">
        <v>2716</v>
      </c>
      <c r="V3" s="552" t="s">
        <v>2719</v>
      </c>
      <c r="W3" s="552" t="s">
        <v>117</v>
      </c>
      <c r="X3" t="s">
        <v>2713</v>
      </c>
      <c r="Y3" t="s">
        <v>2715</v>
      </c>
      <c r="Z3" t="s">
        <v>2714</v>
      </c>
      <c r="AF3" s="224"/>
    </row>
    <row r="4" spans="1:32" x14ac:dyDescent="0.3">
      <c r="A4" cm="1">
        <f t="array" ref="A4:A63">_xlfn.SEQUENCE(60)</f>
        <v>1</v>
      </c>
      <c r="B4" s="224">
        <f>MAX(Diadema!$I$55:$I$176)</f>
        <v>450000.00900000002</v>
      </c>
      <c r="C4" t="str">
        <f>IFERROR(
   HYPERLINK(
      INDEX(Diadema!$D$55:$D$176,
             MATCH(B4,Diadema!$I$55:$I$176,0)
      ),
      INDEX(Diadema!$C$55:$C$176,
             MATCH(B4,Diadema!$I$55:$I$176,0)
      )
   ),
   ""
)</f>
        <v>29 - DA000489Z_DA000490Z - STC Scania M_</v>
      </c>
      <c r="D4" s="719">
        <f>IFERROR(B4/SUM($B$4:$B$63)," ")</f>
        <v>9.6544602637794436E-2</v>
      </c>
      <c r="E4" s="339">
        <f>D4</f>
        <v>9.6544602637794436E-2</v>
      </c>
      <c r="F4" t="str">
        <f t="shared" ref="F4:F63" si="0">$A$1</f>
        <v>Diadema</v>
      </c>
      <c r="G4" s="224" t="str">
        <f>_xlfn.XLOOKUP(C4,Diadema!$C$55:$C$176,Diadema!$O$55:$O$176)</f>
        <v>✓ Concluído</v>
      </c>
      <c r="H4" s="224" t="str">
        <f>_xlfn.XLOOKUP(C4,Diadema!$C$55:$C$176,Diadema!$M$55:$M$176," ")</f>
        <v>OK</v>
      </c>
      <c r="I4" s="716">
        <f>_xlfn.XLOOKUP(C4,Diadema!$C$55:$C$176,Diadema!$J$55:$J$176)</f>
        <v>46082</v>
      </c>
      <c r="J4" s="224">
        <f ca="1">INDEX(Diadema!$AR$55:$AR$176, MATCH(C4, Diadema!$C$55:$C$176, 0))</f>
        <v>223211.89500000002</v>
      </c>
      <c r="K4" s="224" cm="1">
        <f t="array" aca="1" ref="K4" ca="1">INDEX(Diadema!$AR$55:$AR$176, MATCH(C4, Diadema!$C$55:$C$176, 0) + 1)</f>
        <v>282888.46469920909</v>
      </c>
      <c r="L4" s="224">
        <f>INDEX(Diadema!$AK$55:$AK$176, MATCH(C4, Diadema!$C$55:$C$176, 0))</f>
        <v>446423.79</v>
      </c>
      <c r="M4" s="224"/>
      <c r="N4" s="224"/>
      <c r="O4" s="224"/>
      <c r="P4" s="224"/>
      <c r="Q4" cm="1">
        <f t="array" ref="Q4:Q203">_xlfn.SEQUENCE(200)</f>
        <v>1</v>
      </c>
      <c r="R4" s="253">
        <f>MAX(B:B)</f>
        <v>3256202</v>
      </c>
      <c r="S4" t="str">
        <f t="shared" ref="S4:S35" si="1">_xlfn.XLOOKUP(R4,B:B,C:C)</f>
        <v>Projeto DANA - Mudança de CH para BQ</v>
      </c>
      <c r="T4" t="str">
        <f t="shared" ref="T4:T35" si="2">_xlfn.XLOOKUP(S4,C:C,F:F)</f>
        <v>Compras</v>
      </c>
      <c r="U4" s="253">
        <f>_xlfn.XLOOKUP(S4,C:C,L:L)</f>
        <v>1444478.7299999997</v>
      </c>
      <c r="V4" s="224">
        <f ca="1">_xlfn.XLOOKUP(S4,C:C,J:J)</f>
        <v>412708.20857142855</v>
      </c>
      <c r="W4" s="224" t="str">
        <f ca="1">_xlfn.XLOOKUP(S4,C:C,K:K)</f>
        <v/>
      </c>
      <c r="X4" t="str">
        <f t="shared" ref="X4:X35" si="3">_xlfn.XLOOKUP(S4,C:C,G:G)</f>
        <v>✓ Concluído</v>
      </c>
      <c r="Y4" s="716">
        <f t="shared" ref="Y4:Y35" si="4">_xlfn.XLOOKUP(S4,C:C,I:I)</f>
        <v>46174</v>
      </c>
      <c r="Z4" t="str">
        <f t="shared" ref="Z4:Z35" si="5">IF(_xlfn.XLOOKUP(S4,C:C,H:H) = 0, "", _xlfn.XLOOKUP(S4,C:C,H:H))</f>
        <v>OK</v>
      </c>
    </row>
    <row r="5" spans="1:32" x14ac:dyDescent="0.3">
      <c r="A5">
        <v>2</v>
      </c>
      <c r="B5" s="224">
        <f>IFERROR(LARGE(Diadema!$I$55:$I$176,A5)," ")</f>
        <v>331600</v>
      </c>
      <c r="C5" t="str">
        <f>IFERROR(
   HYPERLINK(
      INDEX(Diadema!$D$55:$D$176,
             MATCH(B5,Diadema!$I$55:$I$176,0)
      ),
      INDEX(Diadema!$C$55:$C$176,
             MATCH(B5,Diadema!$I$55:$I$176,0)
      )
   ),
   ""
)</f>
        <v>01 - Redução de peso bruto DA000489A</v>
      </c>
      <c r="D5" s="719">
        <f t="shared" ref="D5:D63" si="6">IFERROR(B5/SUM($B$4:$B$63)," ")</f>
        <v>7.1142643543130754E-2</v>
      </c>
      <c r="E5" s="339">
        <f>IFERROR(D5+E4," ")</f>
        <v>0.16768724618092518</v>
      </c>
      <c r="F5" t="str">
        <f t="shared" si="0"/>
        <v>Diadema</v>
      </c>
      <c r="G5" s="224" t="str">
        <f>_xlfn.XLOOKUP(C5,Diadema!$C$55:$C$176,Diadema!$O$55:$O$176)</f>
        <v>✓ Concluído</v>
      </c>
      <c r="H5" s="224" t="str">
        <f>_xlfn.XLOOKUP(C5,Diadema!$C$55:$C$176,Diadema!$M$55:$M$176," ")</f>
        <v>OK</v>
      </c>
      <c r="I5" s="716">
        <f>_xlfn.XLOOKUP(C5,Diadema!$C$55:$C$176,Diadema!$J$55:$J$176)</f>
        <v>46082</v>
      </c>
      <c r="J5" s="224">
        <f ca="1">INDEX(Diadema!$AR$55:$AR$176, MATCH(C5, Diadema!$C$55:$C$176, 0))</f>
        <v>80089.145000000004</v>
      </c>
      <c r="K5" s="224" cm="1">
        <f t="array" aca="1" ref="K5" ca="1">INDEX(Diadema!$AR$55:$AR$176, MATCH(C5, Diadema!$C$55:$C$176, 0) + 1)</f>
        <v>84365.272032240013</v>
      </c>
      <c r="L5" s="224">
        <f>INDEX(Diadema!$AK$55:$AK$176, MATCH(C5, Diadema!$C$55:$C$176, 0))</f>
        <v>160178.29000000004</v>
      </c>
      <c r="M5" s="224"/>
      <c r="N5" s="224"/>
      <c r="O5" s="224"/>
      <c r="P5" s="224"/>
      <c r="Q5">
        <v>2</v>
      </c>
      <c r="R5" s="253">
        <f t="shared" ref="R5:R36" si="7">IFERROR(LARGE(B:B,Q5)," ")</f>
        <v>3000000</v>
      </c>
      <c r="S5" t="str">
        <f t="shared" si="1"/>
        <v>01 - Clientes com baixa margem de contribuição.</v>
      </c>
      <c r="T5" t="str">
        <f t="shared" si="2"/>
        <v>Ferraz</v>
      </c>
      <c r="U5" s="253">
        <f t="shared" ref="U5:U68" si="8">_xlfn.XLOOKUP(S5,C:C,L:L)</f>
        <v>0</v>
      </c>
      <c r="V5" s="224" t="str">
        <f t="shared" ref="V5:V36" si="9">IFERROR(_xlfn.XLOOKUP(S5,C:C,J:J), "")</f>
        <v xml:space="preserve"> </v>
      </c>
      <c r="W5" s="224" t="str">
        <f t="shared" ref="W5:W36" ca="1" si="10">IFERROR(_xlfn.XLOOKUP(S5,C:C,K:K), "")</f>
        <v/>
      </c>
      <c r="X5" t="str">
        <f t="shared" si="3"/>
        <v>⏳ Em Execução</v>
      </c>
      <c r="Y5" s="716">
        <f t="shared" si="4"/>
        <v>0</v>
      </c>
      <c r="Z5" t="str">
        <f t="shared" si="5"/>
        <v/>
      </c>
    </row>
    <row r="6" spans="1:32" x14ac:dyDescent="0.3">
      <c r="A6">
        <v>3</v>
      </c>
      <c r="B6" s="224">
        <f>IFERROR(LARGE(Diadema!$I$55:$I$176,A6)," ")</f>
        <v>288000.00300000003</v>
      </c>
      <c r="C6" t="str">
        <f>IFERROR(
   HYPERLINK(
      INDEX(Diadema!$D$55:$D$176,
             MATCH(B6,Diadema!$I$55:$I$176,0)
      ),
      INDEX(Diadema!$C$55:$C$176,
             MATCH(B6,Diadema!$I$55:$I$176,0)
      )
   ),
   ""
)</f>
        <v>06 - Produtividade</v>
      </c>
      <c r="D6" s="719">
        <f t="shared" si="6"/>
        <v>6.1788545096048225E-2</v>
      </c>
      <c r="E6" s="339">
        <f t="shared" ref="E6:E48" si="11">IFERROR(D6+E5," ")</f>
        <v>0.2294757912769734</v>
      </c>
      <c r="F6" t="str">
        <f t="shared" si="0"/>
        <v>Diadema</v>
      </c>
      <c r="G6" s="224" t="str">
        <f>_xlfn.XLOOKUP(C6,Diadema!$C$55:$C$176,Diadema!$O$55:$O$176)</f>
        <v>✓ Concluído</v>
      </c>
      <c r="H6" s="224" t="str">
        <f>_xlfn.XLOOKUP(C6,Diadema!$C$55:$C$176,Diadema!$M$55:$M$176," ")</f>
        <v>OK</v>
      </c>
      <c r="I6" s="716">
        <f>_xlfn.XLOOKUP(C6,Diadema!$C$55:$C$176,Diadema!$J$55:$J$176)</f>
        <v>46143</v>
      </c>
      <c r="J6" s="224">
        <f ca="1">INDEX(Diadema!$AR$55:$AR$176, MATCH(C6, Diadema!$C$55:$C$176, 0))</f>
        <v>71030.25</v>
      </c>
      <c r="K6" s="224" cm="1">
        <f t="array" aca="1" ref="K6" ca="1">INDEX(Diadema!$AR$55:$AR$176, MATCH(C6, Diadema!$C$55:$C$176, 0) + 1)</f>
        <v>17242</v>
      </c>
      <c r="L6" s="224">
        <f>INDEX(Diadema!$AK$55:$AK$176, MATCH(C6, Diadema!$C$55:$C$176, 0))</f>
        <v>189414</v>
      </c>
      <c r="M6" s="224"/>
      <c r="N6" s="224"/>
      <c r="O6" s="224"/>
      <c r="P6" s="224"/>
      <c r="Q6">
        <v>3</v>
      </c>
      <c r="R6" s="253">
        <f t="shared" si="7"/>
        <v>2674685</v>
      </c>
      <c r="S6" t="str">
        <f t="shared" si="1"/>
        <v>Negociação de preços materiais carcaça Dana</v>
      </c>
      <c r="T6" t="str">
        <f t="shared" si="2"/>
        <v>Compras</v>
      </c>
      <c r="U6" s="253">
        <f t="shared" si="8"/>
        <v>2651202.3200000003</v>
      </c>
      <c r="V6" s="224">
        <f t="shared" ca="1" si="9"/>
        <v>1546534.6866666665</v>
      </c>
      <c r="W6" s="224">
        <f t="shared" ca="1" si="10"/>
        <v>1154706.2400000002</v>
      </c>
      <c r="X6" t="str">
        <f t="shared" si="3"/>
        <v>✓ Concluído</v>
      </c>
      <c r="Y6" s="716">
        <f t="shared" si="4"/>
        <v>46023</v>
      </c>
      <c r="Z6" t="str">
        <f t="shared" si="5"/>
        <v>OK</v>
      </c>
    </row>
    <row r="7" spans="1:32" x14ac:dyDescent="0.3">
      <c r="A7">
        <v>4</v>
      </c>
      <c r="B7" s="224">
        <f>IFERROR(LARGE(Diadema!$I$55:$I$176,A7)," ")</f>
        <v>288000.00009897997</v>
      </c>
      <c r="C7" t="str">
        <f>IFERROR(
   HYPERLINK(
      INDEX(Diadema!$D$55:$D$176,
             MATCH(B7,Diadema!$I$55:$I$176,0)
      ),
      INDEX(Diadema!$C$55:$C$176,
             MATCH(B7,Diadema!$I$55:$I$176,0)
      )
   ),
   ""
)</f>
        <v>26 - Redução_de_MP - DJ000059Z_DJ000060Z</v>
      </c>
      <c r="D7" s="719">
        <f t="shared" si="6"/>
        <v>6.1788544473653062E-2</v>
      </c>
      <c r="E7" s="339">
        <f t="shared" si="11"/>
        <v>0.29126433575062649</v>
      </c>
      <c r="F7" t="str">
        <f t="shared" si="0"/>
        <v>Diadema</v>
      </c>
      <c r="G7" s="224" t="str">
        <f>_xlfn.XLOOKUP(C7,Diadema!$C$55:$C$176,Diadema!$O$55:$O$176)</f>
        <v>✓ Concluído</v>
      </c>
      <c r="H7" s="224" t="str">
        <f>_xlfn.XLOOKUP(C7,Diadema!$C$55:$C$176,Diadema!$M$55:$M$176," ")</f>
        <v>OK</v>
      </c>
      <c r="I7" s="716">
        <f>_xlfn.XLOOKUP(C7,Diadema!$C$55:$C$176,Diadema!$J$55:$J$176)</f>
        <v>46143</v>
      </c>
      <c r="J7" s="224">
        <f ca="1">INDEX(Diadema!$AR$55:$AR$176, MATCH(C7, Diadema!$C$55:$C$176, 0))</f>
        <v>65631.757499999992</v>
      </c>
      <c r="K7" s="224" cm="1">
        <f t="array" aca="1" ref="K7" ca="1">INDEX(Diadema!$AR$55:$AR$176, MATCH(C7, Diadema!$C$55:$C$176, 0) + 1)</f>
        <v>51802.779346892305</v>
      </c>
      <c r="L7" s="224">
        <f>INDEX(Diadema!$AK$55:$AK$176, MATCH(C7, Diadema!$C$55:$C$176, 0))</f>
        <v>175018.01999999996</v>
      </c>
      <c r="M7" s="224"/>
      <c r="N7" s="224"/>
      <c r="O7" s="224"/>
      <c r="P7" s="224"/>
      <c r="Q7">
        <v>4</v>
      </c>
      <c r="R7" s="253">
        <f t="shared" si="7"/>
        <v>1540000</v>
      </c>
      <c r="S7" t="str">
        <f t="shared" si="1"/>
        <v>34 - Redução dos gastos de manutenção com monitoramento do Tractian</v>
      </c>
      <c r="T7" t="str">
        <f t="shared" si="2"/>
        <v>Ferraz</v>
      </c>
      <c r="U7" s="253">
        <f t="shared" si="8"/>
        <v>924000</v>
      </c>
      <c r="V7" s="224" t="str">
        <f t="shared" ca="1" si="9"/>
        <v/>
      </c>
      <c r="W7" s="224" t="str">
        <f t="shared" ca="1" si="10"/>
        <v/>
      </c>
      <c r="X7">
        <f t="shared" si="3"/>
        <v>0</v>
      </c>
      <c r="Y7" s="716">
        <f t="shared" si="4"/>
        <v>46265</v>
      </c>
      <c r="Z7" t="str">
        <f t="shared" si="5"/>
        <v/>
      </c>
    </row>
    <row r="8" spans="1:32" x14ac:dyDescent="0.3">
      <c r="A8">
        <v>5</v>
      </c>
      <c r="B8" s="224">
        <f>IFERROR(LARGE(Diadema!$I$55:$I$176,A8)," ")</f>
        <v>270000</v>
      </c>
      <c r="C8" t="str">
        <f>IFERROR(
   HYPERLINK(
      INDEX(Diadema!$D$55:$D$176,
             MATCH(B8,Diadema!$I$55:$I$176,0)
      ),
      INDEX(Diadema!$C$55:$C$176,
             MATCH(B8,Diadema!$I$55:$I$176,0)
      )
   ),
   ""
)</f>
        <v>23 - Redução do peso bruto VW000581Z / VW000582Z</v>
      </c>
      <c r="D8" s="719">
        <f t="shared" si="6"/>
        <v>5.7926760424141452E-2</v>
      </c>
      <c r="E8" s="339">
        <f t="shared" si="11"/>
        <v>0.34919109617476796</v>
      </c>
      <c r="F8" t="str">
        <f t="shared" si="0"/>
        <v>Diadema</v>
      </c>
      <c r="G8" s="224" t="str">
        <f>_xlfn.XLOOKUP(C8,Diadema!$C$55:$C$176,Diadema!$O$55:$O$176)</f>
        <v>⏳ Em Execução</v>
      </c>
      <c r="H8" s="224" t="str">
        <f>_xlfn.XLOOKUP(C8,Diadema!$C$55:$C$176,Diadema!$M$55:$M$176," ")</f>
        <v>OK</v>
      </c>
      <c r="I8" s="716">
        <f>_xlfn.XLOOKUP(C8,Diadema!$C$55:$C$176,Diadema!$J$55:$J$176)</f>
        <v>46235</v>
      </c>
      <c r="J8" s="224" t="str">
        <f ca="1">INDEX(Diadema!$AR$55:$AR$176, MATCH(C8, Diadema!$C$55:$C$176, 0))</f>
        <v/>
      </c>
      <c r="K8" s="224" t="str" cm="1">
        <f t="array" aca="1" ref="K8" ca="1">INDEX(Diadema!$AR$55:$AR$176, MATCH(C8, Diadema!$C$55:$C$176, 0) + 1)</f>
        <v/>
      </c>
      <c r="L8" s="224">
        <f>INDEX(Diadema!$AK$55:$AK$176, MATCH(C8, Diadema!$C$55:$C$176, 0))</f>
        <v>128107.04000000001</v>
      </c>
      <c r="M8" s="224"/>
      <c r="N8" s="224"/>
      <c r="O8" s="224"/>
      <c r="P8" s="224"/>
      <c r="Q8">
        <v>5</v>
      </c>
      <c r="R8" s="253">
        <f t="shared" si="7"/>
        <v>1139000</v>
      </c>
      <c r="S8" t="str">
        <f t="shared" si="1"/>
        <v>Recuperação de valores - Energia Elétrica</v>
      </c>
      <c r="T8" t="str">
        <f t="shared" si="2"/>
        <v>Compras</v>
      </c>
      <c r="U8" s="253">
        <f t="shared" si="8"/>
        <v>0</v>
      </c>
      <c r="V8" s="224" t="str">
        <f t="shared" ca="1" si="9"/>
        <v/>
      </c>
      <c r="W8" s="224" t="str">
        <f t="shared" ca="1" si="10"/>
        <v/>
      </c>
      <c r="X8" t="str">
        <f t="shared" si="3"/>
        <v>⏳ Em Execução</v>
      </c>
      <c r="Y8" s="716">
        <f t="shared" si="4"/>
        <v>46174</v>
      </c>
      <c r="Z8" t="str">
        <f t="shared" si="5"/>
        <v/>
      </c>
    </row>
    <row r="9" spans="1:32" x14ac:dyDescent="0.3">
      <c r="A9">
        <v>6</v>
      </c>
      <c r="B9" s="224">
        <f>IFERROR(LARGE(Diadema!$I$55:$I$176,A9)," ")</f>
        <v>236000</v>
      </c>
      <c r="C9" t="str">
        <f>IFERROR(
   HYPERLINK(
      INDEX(Diadema!$D$55:$D$176,
             MATCH(B9,Diadema!$I$55:$I$176,0)
      ),
      INDEX(Diadema!$C$55:$C$176,
             MATCH(B9,Diadema!$I$55:$I$176,0)
      )
   ),
   ""
)</f>
        <v>52 - Redução de MP - GM000458Z / GM000459Z</v>
      </c>
      <c r="D9" s="719">
        <f t="shared" si="6"/>
        <v>5.0632279481842159E-2</v>
      </c>
      <c r="E9" s="339">
        <f t="shared" si="11"/>
        <v>0.39982337565661014</v>
      </c>
      <c r="F9" t="str">
        <f t="shared" si="0"/>
        <v>Diadema</v>
      </c>
      <c r="G9" s="224" t="str">
        <f>_xlfn.XLOOKUP(C9,Diadema!$C$55:$C$176,Diadema!$O$55:$O$176)</f>
        <v>✓ Concluído</v>
      </c>
      <c r="H9" s="224" t="str">
        <f>_xlfn.XLOOKUP(C9,Diadema!$C$55:$C$176,Diadema!$M$55:$M$176," ")</f>
        <v>OK</v>
      </c>
      <c r="I9" s="716">
        <f>_xlfn.XLOOKUP(C9,Diadema!$C$55:$C$176,Diadema!$J$55:$J$176)</f>
        <v>46174</v>
      </c>
      <c r="J9" s="224">
        <f ca="1">INDEX(Diadema!$AR$55:$AR$176, MATCH(C9, Diadema!$C$55:$C$176, 0))</f>
        <v>22101.325714285715</v>
      </c>
      <c r="K9" s="224" cm="1">
        <f t="array" aca="1" ref="K9" ca="1">INDEX(Diadema!$AR$55:$AR$176, MATCH(C9, Diadema!$C$55:$C$176, 0) + 1)</f>
        <v>12498.573232819546</v>
      </c>
      <c r="L9" s="224">
        <f>INDEX(Diadema!$AK$55:$AK$176, MATCH(C9, Diadema!$C$55:$C$176, 0))</f>
        <v>77354.64</v>
      </c>
      <c r="M9" s="224"/>
      <c r="N9" s="224"/>
      <c r="O9" s="224"/>
      <c r="P9" s="224"/>
      <c r="Q9">
        <v>6</v>
      </c>
      <c r="R9" s="253">
        <f t="shared" si="7"/>
        <v>1063359</v>
      </c>
      <c r="S9" t="str">
        <f t="shared" si="1"/>
        <v>06 - Redução consumo MTP aplicando tolerância mínima</v>
      </c>
      <c r="T9" t="str">
        <f t="shared" si="2"/>
        <v>Jarinu</v>
      </c>
      <c r="U9" s="253">
        <f t="shared" si="8"/>
        <v>1145830.24</v>
      </c>
      <c r="V9" s="224" t="str">
        <f t="shared" ca="1" si="9"/>
        <v/>
      </c>
      <c r="W9" s="224" t="str">
        <f t="shared" ca="1" si="10"/>
        <v/>
      </c>
      <c r="X9" t="str">
        <f t="shared" si="3"/>
        <v>⏳ Em Execução</v>
      </c>
      <c r="Y9" s="716">
        <f t="shared" si="4"/>
        <v>46296</v>
      </c>
      <c r="Z9" t="str">
        <f t="shared" si="5"/>
        <v>OK</v>
      </c>
    </row>
    <row r="10" spans="1:32" x14ac:dyDescent="0.3">
      <c r="A10">
        <v>7</v>
      </c>
      <c r="B10" s="224">
        <f>IFERROR(LARGE(Diadema!$I$55:$I$176,A10)," ")</f>
        <v>230000</v>
      </c>
      <c r="C10" t="str">
        <f>IFERROR(
   HYPERLINK(
      INDEX(Diadema!$D$55:$D$176,
             MATCH(B10,Diadema!$I$55:$I$176,0)
      ),
      INDEX(Diadema!$C$55:$C$176,
             MATCH(B10,Diadema!$I$55:$I$176,0)
      )
   ),
   ""
)</f>
        <v>44 - Mudança de fonte Usiminas para Arcelor</v>
      </c>
      <c r="D10" s="719">
        <f t="shared" si="6"/>
        <v>4.9345018139083457E-2</v>
      </c>
      <c r="E10" s="339">
        <f t="shared" si="11"/>
        <v>0.44916839379569362</v>
      </c>
      <c r="F10" t="str">
        <f t="shared" si="0"/>
        <v>Diadema</v>
      </c>
      <c r="G10" s="224" t="str">
        <f>_xlfn.XLOOKUP(C10,Diadema!$C$55:$C$176,Diadema!$O$55:$O$176)</f>
        <v>⏳ Em Execução</v>
      </c>
      <c r="H10" s="224" t="str">
        <f>_xlfn.XLOOKUP(C10,Diadema!$C$55:$C$176,Diadema!$M$55:$M$176," ")</f>
        <v>OK</v>
      </c>
      <c r="I10" s="716">
        <f>_xlfn.XLOOKUP(C10,Diadema!$C$55:$C$176,Diadema!$J$55:$J$176)</f>
        <v>46204</v>
      </c>
      <c r="J10" s="224">
        <f ca="1">INDEX(Diadema!$AR$55:$AR$176, MATCH(C10, Diadema!$C$55:$C$176, 0))</f>
        <v>19169.666666666668</v>
      </c>
      <c r="K10" s="224" cm="1">
        <f t="array" aca="1" ref="K10" ca="1">INDEX(Diadema!$AR$55:$AR$176, MATCH(C10, Diadema!$C$55:$C$176, 0) + 1)</f>
        <v>28959.052121999986</v>
      </c>
      <c r="L10" s="224">
        <f>INDEX(Diadema!$AK$55:$AK$176, MATCH(C10, Diadema!$C$55:$C$176, 0))</f>
        <v>115018</v>
      </c>
      <c r="M10" s="224"/>
      <c r="N10" s="224"/>
      <c r="O10" s="224"/>
      <c r="P10" s="224"/>
      <c r="Q10">
        <v>7</v>
      </c>
      <c r="R10" s="253">
        <f t="shared" si="7"/>
        <v>1000000</v>
      </c>
      <c r="S10" t="str">
        <f t="shared" si="1"/>
        <v xml:space="preserve">05 - Nitrogênio da máquina laser </v>
      </c>
      <c r="T10" t="str">
        <f t="shared" si="2"/>
        <v>Ferraz</v>
      </c>
      <c r="U10" s="253">
        <f t="shared" si="8"/>
        <v>240000</v>
      </c>
      <c r="V10" s="224" t="str">
        <f t="shared" ca="1" si="9"/>
        <v/>
      </c>
      <c r="W10" s="224" t="str">
        <f t="shared" ca="1" si="10"/>
        <v/>
      </c>
      <c r="X10" t="str">
        <f t="shared" si="3"/>
        <v>⏳ Em Execução</v>
      </c>
      <c r="Y10" s="716">
        <f t="shared" si="4"/>
        <v>46325</v>
      </c>
      <c r="Z10" t="str">
        <f t="shared" si="5"/>
        <v>OK</v>
      </c>
    </row>
    <row r="11" spans="1:32" x14ac:dyDescent="0.3">
      <c r="A11">
        <v>8</v>
      </c>
      <c r="B11" s="224">
        <f>IFERROR(LARGE(Diadema!$I$55:$I$176,A11)," ")</f>
        <v>228000</v>
      </c>
      <c r="C11" t="str">
        <f>IFERROR(
   HYPERLINK(
      INDEX(Diadema!$D$55:$D$176,
             MATCH(B11,Diadema!$I$55:$I$176,0)
      ),
      INDEX(Diadema!$C$55:$C$176,
             MATCH(B11,Diadema!$I$55:$I$176,0)
      )
   ),
   ""
)</f>
        <v>16 - Eficiência de MO na linha de Solda e Montagem</v>
      </c>
      <c r="D11" s="719">
        <f t="shared" si="6"/>
        <v>4.8915931024830557E-2</v>
      </c>
      <c r="E11" s="339">
        <f t="shared" si="11"/>
        <v>0.49808432482052417</v>
      </c>
      <c r="F11" t="str">
        <f t="shared" si="0"/>
        <v>Diadema</v>
      </c>
      <c r="G11" s="224" t="str">
        <f>_xlfn.XLOOKUP(C11,Diadema!$C$55:$C$176,Diadema!$O$55:$O$176)</f>
        <v>✓ Concluído</v>
      </c>
      <c r="H11" s="224" t="str">
        <f>_xlfn.XLOOKUP(C11,Diadema!$C$55:$C$176,Diadema!$M$55:$M$176," ")</f>
        <v>OK</v>
      </c>
      <c r="I11" s="716">
        <f>_xlfn.XLOOKUP(C11,Diadema!$C$55:$C$176,Diadema!$J$55:$J$176)</f>
        <v>46082</v>
      </c>
      <c r="J11" s="224">
        <f ca="1">INDEX(Diadema!$AR$55:$AR$176, MATCH(C11, Diadema!$C$55:$C$176, 0))</f>
        <v>76198</v>
      </c>
      <c r="K11" s="224" cm="1">
        <f t="array" aca="1" ref="K11" ca="1">INDEX(Diadema!$AR$55:$AR$176, MATCH(C11, Diadema!$C$55:$C$176, 0) + 1)</f>
        <v>72521</v>
      </c>
      <c r="L11" s="224">
        <f>INDEX(Diadema!$AK$55:$AK$176, MATCH(C11, Diadema!$C$55:$C$176, 0))</f>
        <v>152396</v>
      </c>
      <c r="M11" s="224"/>
      <c r="N11" s="224"/>
      <c r="O11" s="224"/>
      <c r="P11" s="224"/>
      <c r="Q11">
        <v>8</v>
      </c>
      <c r="R11" s="253">
        <f t="shared" si="7"/>
        <v>900000</v>
      </c>
      <c r="S11" t="str">
        <f t="shared" si="1"/>
        <v xml:space="preserve">03 - Consumo de desmoldante </v>
      </c>
      <c r="T11" t="str">
        <f t="shared" si="2"/>
        <v>Ferraz</v>
      </c>
      <c r="U11" s="253">
        <f t="shared" si="8"/>
        <v>126310.64000000001</v>
      </c>
      <c r="V11" s="224">
        <f t="shared" ca="1" si="9"/>
        <v>294724.82666666666</v>
      </c>
      <c r="W11" s="224">
        <f t="shared" ca="1" si="10"/>
        <v>525129.73</v>
      </c>
      <c r="X11" t="str">
        <f t="shared" si="3"/>
        <v>✓ Concluído</v>
      </c>
      <c r="Y11" s="716">
        <f t="shared" si="4"/>
        <v>46023</v>
      </c>
      <c r="Z11" t="str">
        <f t="shared" si="5"/>
        <v>OK</v>
      </c>
    </row>
    <row r="12" spans="1:32" x14ac:dyDescent="0.3">
      <c r="A12">
        <v>9</v>
      </c>
      <c r="B12" s="224">
        <f>IFERROR(LARGE(Diadema!$I$55:$I$176,A12)," ")</f>
        <v>223200</v>
      </c>
      <c r="C12" t="str">
        <f>IFERROR(
   HYPERLINK(
      INDEX(Diadema!$D$55:$D$176,
             MATCH(B12,Diadema!$I$55:$I$176,0)
      ),
      INDEX(Diadema!$C$55:$C$176,
             MATCH(B12,Diadema!$I$55:$I$176,0)
      )
   ),
   ""
)</f>
        <v>57 - AlmaCAM_Redução de Peso</v>
      </c>
      <c r="D12" s="719">
        <f t="shared" si="6"/>
        <v>4.7886121950623597E-2</v>
      </c>
      <c r="E12" s="339">
        <f t="shared" si="11"/>
        <v>0.54597044677114781</v>
      </c>
      <c r="F12" t="str">
        <f t="shared" si="0"/>
        <v>Diadema</v>
      </c>
      <c r="G12" s="224" t="str">
        <f>_xlfn.XLOOKUP(C12,Diadema!$C$55:$C$176,Diadema!$O$55:$O$176)</f>
        <v>✓ Concluído</v>
      </c>
      <c r="H12" s="224" t="str">
        <f>_xlfn.XLOOKUP(C12,Diadema!$C$55:$C$176,Diadema!$M$55:$M$176," ")</f>
        <v>OK</v>
      </c>
      <c r="I12" s="716">
        <f>_xlfn.XLOOKUP(C12,Diadema!$C$55:$C$176,Diadema!$J$55:$J$176)</f>
        <v>46174</v>
      </c>
      <c r="J12" s="224">
        <f ca="1">INDEX(Diadema!$AR$55:$AR$176, MATCH(C12, Diadema!$C$55:$C$176, 0))</f>
        <v>57861.697142857141</v>
      </c>
      <c r="K12" s="224" cm="1">
        <f t="array" aca="1" ref="K12" ca="1">INDEX(Diadema!$AR$55:$AR$176, MATCH(C12, Diadema!$C$55:$C$176, 0) + 1)</f>
        <v>27146.623922454113</v>
      </c>
      <c r="L12" s="224">
        <f>INDEX(Diadema!$AK$55:$AK$176, MATCH(C12, Diadema!$C$55:$C$176, 0))</f>
        <v>202515.94</v>
      </c>
      <c r="M12" s="224"/>
      <c r="N12" s="224"/>
      <c r="O12" s="224"/>
      <c r="P12" s="224"/>
      <c r="Q12">
        <v>9</v>
      </c>
      <c r="R12" s="253">
        <f t="shared" si="7"/>
        <v>900000</v>
      </c>
      <c r="S12" t="str">
        <f t="shared" si="1"/>
        <v xml:space="preserve">03 - Consumo de desmoldante </v>
      </c>
      <c r="T12" t="str">
        <f t="shared" si="2"/>
        <v>Ferraz</v>
      </c>
      <c r="U12" s="253">
        <f t="shared" si="8"/>
        <v>126310.64000000001</v>
      </c>
      <c r="V12" s="224">
        <f t="shared" ca="1" si="9"/>
        <v>294724.82666666666</v>
      </c>
      <c r="W12" s="224">
        <f t="shared" ca="1" si="10"/>
        <v>525129.73</v>
      </c>
      <c r="X12" t="str">
        <f t="shared" si="3"/>
        <v>✓ Concluído</v>
      </c>
      <c r="Y12" s="716">
        <f t="shared" si="4"/>
        <v>46023</v>
      </c>
      <c r="Z12" t="str">
        <f t="shared" si="5"/>
        <v>OK</v>
      </c>
    </row>
    <row r="13" spans="1:32" x14ac:dyDescent="0.3">
      <c r="A13">
        <v>10</v>
      </c>
      <c r="B13" s="224">
        <f>IFERROR(LARGE(Diadema!$I$55:$I$176,A13)," ")</f>
        <v>210000</v>
      </c>
      <c r="C13" t="str">
        <f>IFERROR(
   HYPERLINK(
      INDEX(Diadema!$D$55:$D$176,
             MATCH(B13,Diadema!$I$55:$I$176,0)
      ),
      INDEX(Diadema!$C$55:$C$176,
             MATCH(B13,Diadema!$I$55:$I$176,0)
      )
   ),
   ""
)</f>
        <v>42 - Aluguel de Compressor</v>
      </c>
      <c r="D13" s="719">
        <f t="shared" si="6"/>
        <v>4.505414699655446E-2</v>
      </c>
      <c r="E13" s="339">
        <f t="shared" si="11"/>
        <v>0.59102459376770222</v>
      </c>
      <c r="F13" t="str">
        <f t="shared" si="0"/>
        <v>Diadema</v>
      </c>
      <c r="G13" s="224" t="str">
        <f>_xlfn.XLOOKUP(C13,Diadema!$C$55:$C$176,Diadema!$O$55:$O$176)</f>
        <v>✓ Concluído</v>
      </c>
      <c r="H13" s="224" t="str">
        <f>_xlfn.XLOOKUP(C13,Diadema!$C$55:$C$176,Diadema!$M$55:$M$176," ")</f>
        <v>OK</v>
      </c>
      <c r="I13" s="716">
        <f>_xlfn.XLOOKUP(C13,Diadema!$C$55:$C$176,Diadema!$J$55:$J$176)</f>
        <v>46174</v>
      </c>
      <c r="J13" s="224">
        <f ca="1">INDEX(Diadema!$AR$55:$AR$176, MATCH(C13, Diadema!$C$55:$C$176, 0))</f>
        <v>35000</v>
      </c>
      <c r="K13" s="224" cm="1">
        <f t="array" aca="1" ref="K13" ca="1">INDEX(Diadema!$AR$55:$AR$176, MATCH(C13, Diadema!$C$55:$C$176, 0) + 1)</f>
        <v>35000</v>
      </c>
      <c r="L13" s="224">
        <f>INDEX(Diadema!$AK$55:$AK$176, MATCH(C13, Diadema!$C$55:$C$176, 0))</f>
        <v>122500</v>
      </c>
      <c r="M13" s="224"/>
      <c r="N13" s="224"/>
      <c r="O13" s="224"/>
      <c r="P13" s="224"/>
      <c r="Q13">
        <v>10</v>
      </c>
      <c r="R13" s="253">
        <f t="shared" si="7"/>
        <v>800000</v>
      </c>
      <c r="S13" t="str">
        <f t="shared" si="1"/>
        <v xml:space="preserve">33 - Venda de sucata </v>
      </c>
      <c r="T13" t="str">
        <f t="shared" si="2"/>
        <v>Ferraz</v>
      </c>
      <c r="U13" s="253">
        <f t="shared" si="8"/>
        <v>0</v>
      </c>
      <c r="V13" s="224" t="str">
        <f t="shared" ca="1" si="9"/>
        <v/>
      </c>
      <c r="W13" s="224" t="str">
        <f t="shared" ca="1" si="10"/>
        <v/>
      </c>
      <c r="X13">
        <f t="shared" si="3"/>
        <v>0</v>
      </c>
      <c r="Y13" s="716">
        <f t="shared" si="4"/>
        <v>0</v>
      </c>
      <c r="Z13" t="str">
        <f t="shared" si="5"/>
        <v/>
      </c>
    </row>
    <row r="14" spans="1:32" x14ac:dyDescent="0.3">
      <c r="A14">
        <v>11</v>
      </c>
      <c r="B14" s="224">
        <f>IFERROR(LARGE(Diadema!$I$55:$I$176,A14)," ")</f>
        <v>189200</v>
      </c>
      <c r="C14" t="str">
        <f>IFERROR(
   HYPERLINK(
      INDEX(Diadema!$D$55:$D$176,
             MATCH(B14,Diadema!$I$55:$I$176,0)
      ),
      INDEX(Diadema!$C$55:$C$176,
             MATCH(B14,Diadema!$I$55:$I$176,0)
      )
   ),
   ""
)</f>
        <v>47 - REDUÇÃO DE MP DJ000079Z – 80Z</v>
      </c>
      <c r="D14" s="719">
        <f t="shared" si="6"/>
        <v>4.0591641008324304E-2</v>
      </c>
      <c r="E14" s="339">
        <f t="shared" si="11"/>
        <v>0.63161623477602657</v>
      </c>
      <c r="F14" t="str">
        <f t="shared" si="0"/>
        <v>Diadema</v>
      </c>
      <c r="G14" s="224" t="str">
        <f>_xlfn.XLOOKUP(C14,Diadema!$C$55:$C$176,Diadema!$O$55:$O$176)</f>
        <v>⏳ Em Execução</v>
      </c>
      <c r="H14" s="224" t="str">
        <f>_xlfn.XLOOKUP(C14,Diadema!$C$55:$C$176,Diadema!$M$55:$M$176," ")</f>
        <v>OK</v>
      </c>
      <c r="I14" s="716">
        <f>_xlfn.XLOOKUP(C14,Diadema!$C$55:$C$176,Diadema!$J$55:$J$176)</f>
        <v>46235</v>
      </c>
      <c r="J14" s="224" t="str">
        <f ca="1">INDEX(Diadema!$AR$55:$AR$176, MATCH(C14, Diadema!$C$55:$C$176, 0))</f>
        <v/>
      </c>
      <c r="K14" s="224" t="str" cm="1">
        <f t="array" aca="1" ref="K14" ca="1">INDEX(Diadema!$AR$55:$AR$176, MATCH(C14, Diadema!$C$55:$C$176, 0) + 1)</f>
        <v/>
      </c>
      <c r="L14" s="224">
        <f>INDEX(Diadema!$AK$55:$AK$176, MATCH(C14, Diadema!$C$55:$C$176, 0))</f>
        <v>70963.59</v>
      </c>
      <c r="M14" s="224"/>
      <c r="N14" s="224"/>
      <c r="O14" s="224"/>
      <c r="P14" s="224"/>
      <c r="Q14">
        <v>11</v>
      </c>
      <c r="R14" s="253">
        <f t="shared" si="7"/>
        <v>794810</v>
      </c>
      <c r="S14" t="str">
        <f t="shared" si="1"/>
        <v>Ex Tarifário Transfer Norda</v>
      </c>
      <c r="T14" t="str">
        <f t="shared" si="2"/>
        <v>Compras</v>
      </c>
      <c r="U14" s="253">
        <f t="shared" si="8"/>
        <v>794810</v>
      </c>
      <c r="V14" s="224" t="str">
        <f t="shared" ca="1" si="9"/>
        <v/>
      </c>
      <c r="W14" s="224" t="str">
        <f t="shared" ca="1" si="10"/>
        <v/>
      </c>
      <c r="X14" t="str">
        <f t="shared" si="3"/>
        <v>⏳ Em Execução</v>
      </c>
      <c r="Y14" s="716">
        <f t="shared" si="4"/>
        <v>46311</v>
      </c>
      <c r="Z14" t="str">
        <f t="shared" si="5"/>
        <v/>
      </c>
    </row>
    <row r="15" spans="1:32" x14ac:dyDescent="0.3">
      <c r="A15">
        <v>12</v>
      </c>
      <c r="B15" s="224">
        <f>IFERROR(LARGE(Diadema!$I$55:$I$176,A15)," ")</f>
        <v>115000</v>
      </c>
      <c r="C15" t="str">
        <f>IFERROR(
   HYPERLINK(
      INDEX(Diadema!$D$55:$D$176,
             MATCH(B15,Diadema!$I$55:$I$176,0)
      ),
      INDEX(Diadema!$C$55:$C$176,
             MATCH(B15,Diadema!$I$55:$I$176,0)
      )
   ),
   ""
)</f>
        <v>30 - DA000491Z_DE000492Z - STC Scania G_</v>
      </c>
      <c r="D15" s="719">
        <f t="shared" si="6"/>
        <v>2.4672509069541729E-2</v>
      </c>
      <c r="E15" s="339">
        <f t="shared" si="11"/>
        <v>0.65628874384556835</v>
      </c>
      <c r="F15" t="str">
        <f t="shared" si="0"/>
        <v>Diadema</v>
      </c>
      <c r="G15" s="224" t="str">
        <f>_xlfn.XLOOKUP(C15,Diadema!$C$55:$C$176,Diadema!$O$55:$O$176)</f>
        <v>⏳ Em Execução</v>
      </c>
      <c r="H15" s="224" t="str">
        <f>_xlfn.XLOOKUP(C15,Diadema!$C$55:$C$176,Diadema!$M$55:$M$176," ")</f>
        <v>OK</v>
      </c>
      <c r="I15" s="716">
        <f>_xlfn.XLOOKUP(C15,Diadema!$C$55:$C$176,Diadema!$J$55:$J$176)</f>
        <v>46235</v>
      </c>
      <c r="J15" s="224" t="str">
        <f ca="1">INDEX(Diadema!$AR$55:$AR$176, MATCH(C15, Diadema!$C$55:$C$176, 0))</f>
        <v/>
      </c>
      <c r="K15" s="224" t="str" cm="1">
        <f t="array" aca="1" ref="K15" ca="1">INDEX(Diadema!$AR$55:$AR$176, MATCH(C15, Diadema!$C$55:$C$176, 0) + 1)</f>
        <v/>
      </c>
      <c r="L15" s="224">
        <f>INDEX(Diadema!$AK$55:$AK$176, MATCH(C15, Diadema!$C$55:$C$176, 0))</f>
        <v>39111.769999999997</v>
      </c>
      <c r="M15" s="224"/>
      <c r="N15" s="224"/>
      <c r="O15" s="224"/>
      <c r="P15" s="224"/>
      <c r="Q15">
        <v>12</v>
      </c>
      <c r="R15" s="253">
        <f t="shared" si="7"/>
        <v>733701.49999999988</v>
      </c>
      <c r="S15" t="str">
        <f t="shared" si="1"/>
        <v>07- Reestruturação</v>
      </c>
      <c r="T15" t="str">
        <f t="shared" si="2"/>
        <v>São leopoldo</v>
      </c>
      <c r="U15" s="253">
        <f t="shared" si="8"/>
        <v>520985.22899999993</v>
      </c>
      <c r="V15" s="224">
        <f t="shared" ca="1" si="9"/>
        <v>868308.71499999997</v>
      </c>
      <c r="W15" s="224">
        <f t="shared" ca="1" si="10"/>
        <v>933084</v>
      </c>
      <c r="X15" t="str">
        <f t="shared" si="3"/>
        <v>✓ Concluído</v>
      </c>
      <c r="Y15" s="716">
        <f t="shared" si="4"/>
        <v>46082</v>
      </c>
      <c r="Z15" t="str">
        <f t="shared" si="5"/>
        <v>OK</v>
      </c>
    </row>
    <row r="16" spans="1:32" x14ac:dyDescent="0.3">
      <c r="A16">
        <v>13</v>
      </c>
      <c r="B16" s="224">
        <f>IFERROR(LARGE(Diadema!$I$55:$I$176,A16)," ")</f>
        <v>106763.16</v>
      </c>
      <c r="C16" t="str">
        <f>IFERROR(
   HYPERLINK(
      INDEX(Diadema!$D$55:$D$176,
             MATCH(B16,Diadema!$I$55:$I$176,0)
      ),
      INDEX(Diadema!$C$55:$C$176,
             MATCH(B16,Diadema!$I$55:$I$176,0)
      )
   ),
   ""
)</f>
        <v>02 - Redução na quantidade de lâmpadas acessa, na produção</v>
      </c>
      <c r="D16" s="719">
        <f t="shared" si="6"/>
        <v>2.2905348116460302E-2</v>
      </c>
      <c r="E16" s="339">
        <f t="shared" si="11"/>
        <v>0.67919409196202862</v>
      </c>
      <c r="F16" t="str">
        <f t="shared" si="0"/>
        <v>Diadema</v>
      </c>
      <c r="G16" s="224" t="str">
        <f>_xlfn.XLOOKUP(C16,Diadema!$C$55:$C$176,Diadema!$O$55:$O$176)</f>
        <v>✓ Concluído</v>
      </c>
      <c r="H16" s="224">
        <f>_xlfn.XLOOKUP(C16,Diadema!$C$55:$C$176,Diadema!$M$55:$M$176," ")</f>
        <v>0</v>
      </c>
      <c r="I16" s="716">
        <f>_xlfn.XLOOKUP(C16,Diadema!$C$55:$C$176,Diadema!$J$55:$J$176)</f>
        <v>46054</v>
      </c>
      <c r="J16" s="224">
        <f ca="1">INDEX(Diadema!$AR$55:$AR$176, MATCH(C16, Diadema!$C$55:$C$176, 0))</f>
        <v>58234.45090909092</v>
      </c>
      <c r="K16" s="224" t="str" cm="1">
        <f t="array" aca="1" ref="K16" ca="1">INDEX(Diadema!$AR$55:$AR$176, MATCH(C16, Diadema!$C$55:$C$176, 0) + 1)</f>
        <v/>
      </c>
      <c r="L16" s="224">
        <f>INDEX(Diadema!$AK$55:$AK$176, MATCH(C16, Diadema!$C$55:$C$176, 0))</f>
        <v>106763.16</v>
      </c>
      <c r="M16" s="224"/>
      <c r="N16" s="224"/>
      <c r="O16" s="224"/>
      <c r="P16" s="224"/>
      <c r="Q16">
        <v>13</v>
      </c>
      <c r="R16" s="253">
        <f t="shared" si="7"/>
        <v>606000</v>
      </c>
      <c r="S16" t="str">
        <f t="shared" si="1"/>
        <v>Negociação Produtos Pré tratamento</v>
      </c>
      <c r="T16" t="str">
        <f t="shared" si="2"/>
        <v>Compras</v>
      </c>
      <c r="U16" s="253">
        <f t="shared" si="8"/>
        <v>606000</v>
      </c>
      <c r="V16" s="224" t="str">
        <f t="shared" ca="1" si="9"/>
        <v/>
      </c>
      <c r="W16" s="224" t="str">
        <f t="shared" ca="1" si="10"/>
        <v/>
      </c>
      <c r="X16" t="str">
        <f t="shared" si="3"/>
        <v>⏳ Em Execução</v>
      </c>
      <c r="Y16" s="716">
        <f t="shared" si="4"/>
        <v>46300</v>
      </c>
      <c r="Z16" t="str">
        <f t="shared" si="5"/>
        <v/>
      </c>
    </row>
    <row r="17" spans="1:26" x14ac:dyDescent="0.3">
      <c r="A17">
        <v>14</v>
      </c>
      <c r="B17" s="224">
        <f>IFERROR(LARGE(Diadema!$I$55:$I$176,A17)," ")</f>
        <v>106000</v>
      </c>
      <c r="C17" t="str">
        <f>IFERROR(
   HYPERLINK(
      INDEX(Diadema!$D$55:$D$176,
             MATCH(B17,Diadema!$I$55:$I$176,0)
      ),
      INDEX(Diadema!$C$55:$C$176,
             MATCH(B17,Diadema!$I$55:$I$176,0)
      )
   ),
   ""
)</f>
        <v>45 - Redução de MP GM000409Z</v>
      </c>
      <c r="D17" s="719">
        <f t="shared" si="6"/>
        <v>2.274161705540368E-2</v>
      </c>
      <c r="E17" s="339">
        <f t="shared" si="11"/>
        <v>0.7019357090174323</v>
      </c>
      <c r="F17" t="str">
        <f t="shared" si="0"/>
        <v>Diadema</v>
      </c>
      <c r="G17" s="224" t="str">
        <f>_xlfn.XLOOKUP(C17,Diadema!$C$55:$C$176,Diadema!$O$55:$O$176)</f>
        <v>✓ Concluído</v>
      </c>
      <c r="H17" s="224" t="str">
        <f>_xlfn.XLOOKUP(C17,Diadema!$C$55:$C$176,Diadema!$M$55:$M$176," ")</f>
        <v>OK</v>
      </c>
      <c r="I17" s="716">
        <f>_xlfn.XLOOKUP(C17,Diadema!$C$55:$C$176,Diadema!$J$55:$J$176)</f>
        <v>46136</v>
      </c>
      <c r="J17" s="224">
        <f ca="1">INDEX(Diadema!$AR$55:$AR$176, MATCH(C17, Diadema!$C$55:$C$176, 0))</f>
        <v>44169.448888888888</v>
      </c>
      <c r="K17" s="224" cm="1">
        <f t="array" aca="1" ref="K17" ca="1">INDEX(Diadema!$AR$55:$AR$176, MATCH(C17, Diadema!$C$55:$C$176, 0) + 1)</f>
        <v>76638.269723999692</v>
      </c>
      <c r="L17" s="224">
        <f>INDEX(Diadema!$AK$55:$AK$176, MATCH(C17, Diadema!$C$55:$C$176, 0))</f>
        <v>99381.260000000009</v>
      </c>
      <c r="M17" s="224"/>
      <c r="N17" s="224"/>
      <c r="O17" s="224"/>
      <c r="P17" s="224"/>
      <c r="Q17">
        <v>14</v>
      </c>
      <c r="R17" s="253">
        <f t="shared" si="7"/>
        <v>600868</v>
      </c>
      <c r="S17" t="str">
        <f t="shared" si="1"/>
        <v>Mão de Obra Terceirizada</v>
      </c>
      <c r="T17" t="str">
        <f t="shared" si="2"/>
        <v>Compras</v>
      </c>
      <c r="U17" s="253">
        <f t="shared" si="8"/>
        <v>600867.99999999988</v>
      </c>
      <c r="V17" s="224">
        <f t="shared" ca="1" si="9"/>
        <v>171676.57142857142</v>
      </c>
      <c r="W17" s="224" t="str">
        <f t="shared" ca="1" si="10"/>
        <v/>
      </c>
      <c r="X17" t="str">
        <f t="shared" si="3"/>
        <v>✓ Concluído</v>
      </c>
      <c r="Y17" s="716">
        <f t="shared" si="4"/>
        <v>46174</v>
      </c>
      <c r="Z17" t="str">
        <f t="shared" si="5"/>
        <v/>
      </c>
    </row>
    <row r="18" spans="1:26" x14ac:dyDescent="0.3">
      <c r="A18">
        <v>15</v>
      </c>
      <c r="B18" s="224">
        <f>IFERROR(LARGE(Diadema!$I$55:$I$176,A18)," ")</f>
        <v>96000</v>
      </c>
      <c r="C18" t="str">
        <f>IFERROR(
   HYPERLINK(
      INDEX(Diadema!$D$55:$D$176,
             MATCH(B18,Diadema!$I$55:$I$176,0)
      ),
      INDEX(Diadema!$C$55:$C$176,
             MATCH(B18,Diadema!$I$55:$I$176,0)
      )
   ),
   ""
)</f>
        <v>43 - Automação Boomerang</v>
      </c>
      <c r="D18" s="719">
        <f t="shared" si="6"/>
        <v>2.0596181484139182E-2</v>
      </c>
      <c r="E18" s="339">
        <f t="shared" si="11"/>
        <v>0.72253189050157152</v>
      </c>
      <c r="F18" t="str">
        <f t="shared" si="0"/>
        <v>Diadema</v>
      </c>
      <c r="G18" s="224" t="str">
        <f>_xlfn.XLOOKUP(C18,Diadema!$C$55:$C$176,Diadema!$O$55:$O$176)</f>
        <v>⏳ Em Execução</v>
      </c>
      <c r="H18" s="224" t="str">
        <f>_xlfn.XLOOKUP(C18,Diadema!$C$55:$C$176,Diadema!$M$55:$M$176," ")</f>
        <v>OK</v>
      </c>
      <c r="I18" s="716">
        <f>_xlfn.XLOOKUP(C18,Diadema!$C$55:$C$176,Diadema!$J$55:$J$176)</f>
        <v>46235</v>
      </c>
      <c r="J18" s="224" t="str">
        <f ca="1">INDEX(Diadema!$AR$55:$AR$176, MATCH(C18, Diadema!$C$55:$C$176, 0))</f>
        <v/>
      </c>
      <c r="K18" s="224" t="str" cm="1">
        <f t="array" aca="1" ref="K18" ca="1">INDEX(Diadema!$AR$55:$AR$176, MATCH(C18, Diadema!$C$55:$C$176, 0) + 1)</f>
        <v/>
      </c>
      <c r="L18" s="224">
        <f>INDEX(Diadema!$AK$55:$AK$176, MATCH(C18, Diadema!$C$55:$C$176, 0))</f>
        <v>43105</v>
      </c>
      <c r="M18" s="224"/>
      <c r="N18" s="224"/>
      <c r="O18" s="224"/>
      <c r="P18" s="224"/>
      <c r="Q18">
        <v>15</v>
      </c>
      <c r="R18" s="253">
        <f t="shared" si="7"/>
        <v>600000.00089999998</v>
      </c>
      <c r="S18" t="str">
        <f t="shared" si="1"/>
        <v xml:space="preserve">06 - Reaproveitamento de lixas </v>
      </c>
      <c r="T18" t="str">
        <f t="shared" si="2"/>
        <v>Ferraz</v>
      </c>
      <c r="U18" s="253">
        <f t="shared" si="8"/>
        <v>151815.13</v>
      </c>
      <c r="V18" s="224">
        <f t="shared" ca="1" si="9"/>
        <v>354235.30333333334</v>
      </c>
      <c r="W18" s="224">
        <f t="shared" ca="1" si="10"/>
        <v>276395.48</v>
      </c>
      <c r="X18" t="str">
        <f t="shared" si="3"/>
        <v>✓ Concluído</v>
      </c>
      <c r="Y18" s="716">
        <f t="shared" si="4"/>
        <v>46023</v>
      </c>
      <c r="Z18" t="str">
        <f t="shared" si="5"/>
        <v>OK</v>
      </c>
    </row>
    <row r="19" spans="1:26" x14ac:dyDescent="0.3">
      <c r="A19">
        <v>16</v>
      </c>
      <c r="B19" s="224">
        <f>IFERROR(LARGE(Diadema!$I$55:$I$176,A19)," ")</f>
        <v>92500</v>
      </c>
      <c r="C19" t="str">
        <f>IFERROR(
   HYPERLINK(
      INDEX(Diadema!$D$55:$D$176,
             MATCH(B19,Diadema!$I$55:$I$176,0)
      ),
      INDEX(Diadema!$C$55:$C$176,
             MATCH(B19,Diadema!$I$55:$I$176,0)
      )
   ),
   ""
)</f>
        <v>50 - Suporte da lanterna MB003681</v>
      </c>
      <c r="D19" s="719">
        <f t="shared" si="6"/>
        <v>1.9845279034196608E-2</v>
      </c>
      <c r="E19" s="339">
        <f t="shared" si="11"/>
        <v>0.74237716953576816</v>
      </c>
      <c r="F19" t="str">
        <f t="shared" si="0"/>
        <v>Diadema</v>
      </c>
      <c r="G19" s="224" t="str">
        <f>_xlfn.XLOOKUP(C19,Diadema!$C$55:$C$176,Diadema!$O$55:$O$176)</f>
        <v>⏳ Em Execução</v>
      </c>
      <c r="H19" s="224" t="str">
        <f>_xlfn.XLOOKUP(C19,Diadema!$C$55:$C$176,Diadema!$M$55:$M$176," ")</f>
        <v>OK</v>
      </c>
      <c r="I19" s="716">
        <f>_xlfn.XLOOKUP(C19,Diadema!$C$55:$C$176,Diadema!$J$55:$J$176)</f>
        <v>46174</v>
      </c>
      <c r="J19" s="224">
        <f ca="1">INDEX(Diadema!$AR$55:$AR$176, MATCH(C19, Diadema!$C$55:$C$176, 0))</f>
        <v>43800.737142857142</v>
      </c>
      <c r="K19" s="224" t="str" cm="1">
        <f t="array" aca="1" ref="K19" ca="1">INDEX(Diadema!$AR$55:$AR$176, MATCH(C19, Diadema!$C$55:$C$176, 0) + 1)</f>
        <v/>
      </c>
      <c r="L19" s="224">
        <f>INDEX(Diadema!$AK$55:$AK$176, MATCH(C19, Diadema!$C$55:$C$176, 0))</f>
        <v>153302.58000000002</v>
      </c>
      <c r="M19" s="224"/>
      <c r="N19" s="224"/>
      <c r="O19" s="224"/>
      <c r="P19" s="224"/>
      <c r="Q19">
        <v>16</v>
      </c>
      <c r="R19" s="253">
        <f t="shared" si="7"/>
        <v>600000</v>
      </c>
      <c r="S19" t="str">
        <f t="shared" si="1"/>
        <v xml:space="preserve">31 - Redução da nota de débitos de clientes </v>
      </c>
      <c r="T19" t="str">
        <f t="shared" si="2"/>
        <v>Ferraz</v>
      </c>
      <c r="U19" s="253">
        <f t="shared" si="8"/>
        <v>360000</v>
      </c>
      <c r="V19" s="224" t="str">
        <f t="shared" ca="1" si="9"/>
        <v/>
      </c>
      <c r="W19" s="224" t="str">
        <f t="shared" ca="1" si="10"/>
        <v/>
      </c>
      <c r="X19">
        <f t="shared" si="3"/>
        <v>0</v>
      </c>
      <c r="Y19" s="716">
        <f t="shared" si="4"/>
        <v>46265</v>
      </c>
      <c r="Z19" t="str">
        <f t="shared" si="5"/>
        <v/>
      </c>
    </row>
    <row r="20" spans="1:26" x14ac:dyDescent="0.3">
      <c r="A20">
        <v>17</v>
      </c>
      <c r="B20" s="224">
        <f>IFERROR(LARGE(Diadema!$I$55:$I$176,A20)," ")</f>
        <v>91200</v>
      </c>
      <c r="C20" t="str">
        <f>IFERROR(
   HYPERLINK(
      INDEX(Diadema!$D$55:$D$176,
             MATCH(B20,Diadema!$I$55:$I$176,0)
      ),
      INDEX(Diadema!$C$55:$C$176,
             MATCH(B20,Diadema!$I$55:$I$176,0)
      )
   ),
   ""
)</f>
        <v>56 -Redução de Peso Bruto do item SV001141LA / SV001142LA</v>
      </c>
      <c r="D20" s="719">
        <f t="shared" si="6"/>
        <v>1.9566372409932222E-2</v>
      </c>
      <c r="E20" s="339">
        <f t="shared" si="11"/>
        <v>0.76194354194570035</v>
      </c>
      <c r="F20" t="str">
        <f t="shared" si="0"/>
        <v>Diadema</v>
      </c>
      <c r="G20" s="224" t="str">
        <f>_xlfn.XLOOKUP(C20,Diadema!$C$55:$C$176,Diadema!$O$55:$O$176)</f>
        <v>✓ Concluído</v>
      </c>
      <c r="H20" s="224" t="str">
        <f>_xlfn.XLOOKUP(C20,Diadema!$C$55:$C$176,Diadema!$M$55:$M$176," ")</f>
        <v>OK</v>
      </c>
      <c r="I20" s="716">
        <f>_xlfn.XLOOKUP(C20,Diadema!$C$55:$C$176,Diadema!$J$55:$J$176)</f>
        <v>46204</v>
      </c>
      <c r="J20" s="224">
        <f ca="1">INDEX(Diadema!$AR$55:$AR$176, MATCH(C20, Diadema!$C$55:$C$176, 0))</f>
        <v>4088.3783333333336</v>
      </c>
      <c r="K20" s="224" cm="1">
        <f t="array" aca="1" ref="K20" ca="1">INDEX(Diadema!$AR$55:$AR$176, MATCH(C20, Diadema!$C$55:$C$176, 0) + 1)</f>
        <v>3614.0313599999999</v>
      </c>
      <c r="L20" s="224">
        <f>INDEX(Diadema!$AK$55:$AK$176, MATCH(C20, Diadema!$C$55:$C$176, 0))</f>
        <v>24530.27</v>
      </c>
      <c r="M20" s="224"/>
      <c r="N20" s="224"/>
      <c r="O20" s="224"/>
      <c r="P20" s="224"/>
      <c r="Q20">
        <v>17</v>
      </c>
      <c r="R20" s="253">
        <f t="shared" si="7"/>
        <v>600000</v>
      </c>
      <c r="S20" t="str">
        <f t="shared" si="1"/>
        <v xml:space="preserve">31 - Redução da nota de débitos de clientes </v>
      </c>
      <c r="T20" t="str">
        <f t="shared" si="2"/>
        <v>Ferraz</v>
      </c>
      <c r="U20" s="253">
        <f t="shared" si="8"/>
        <v>360000</v>
      </c>
      <c r="V20" s="224" t="str">
        <f t="shared" ca="1" si="9"/>
        <v/>
      </c>
      <c r="W20" s="224" t="str">
        <f t="shared" ca="1" si="10"/>
        <v/>
      </c>
      <c r="X20">
        <f t="shared" si="3"/>
        <v>0</v>
      </c>
      <c r="Y20" s="716">
        <f t="shared" si="4"/>
        <v>46265</v>
      </c>
      <c r="Z20" t="str">
        <f t="shared" si="5"/>
        <v/>
      </c>
    </row>
    <row r="21" spans="1:26" x14ac:dyDescent="0.3">
      <c r="A21">
        <v>18</v>
      </c>
      <c r="B21" s="224">
        <f>IFERROR(LARGE(Diadema!$I$55:$I$176,A21)," ")</f>
        <v>90000.000000098997</v>
      </c>
      <c r="C21" t="str">
        <f>IFERROR(
   HYPERLINK(
      INDEX(Diadema!$D$55:$D$176,
             MATCH(B21,Diadema!$I$55:$I$176,0)
      ),
      INDEX(Diadema!$C$55:$C$176,
             MATCH(B21,Diadema!$I$55:$I$176,0)
      )
   ),
   ""
)</f>
        <v>27 - DA000459AA - STC Volvo_</v>
      </c>
      <c r="D21" s="719">
        <f t="shared" si="6"/>
        <v>1.9308920141401724E-2</v>
      </c>
      <c r="E21" s="339">
        <f t="shared" si="11"/>
        <v>0.78125246208710208</v>
      </c>
      <c r="F21" t="str">
        <f t="shared" si="0"/>
        <v>Diadema</v>
      </c>
      <c r="G21" s="224" t="str">
        <f>_xlfn.XLOOKUP(C21,Diadema!$C$55:$C$176,Diadema!$O$55:$O$176)</f>
        <v>✓ Concluído</v>
      </c>
      <c r="H21" s="224" t="str">
        <f>_xlfn.XLOOKUP(C21,Diadema!$C$55:$C$176,Diadema!$M$55:$M$176," ")</f>
        <v>OK</v>
      </c>
      <c r="I21" s="716">
        <f>_xlfn.XLOOKUP(C21,Diadema!$C$55:$C$176,Diadema!$J$55:$J$176)</f>
        <v>46174</v>
      </c>
      <c r="J21" s="224">
        <f ca="1">INDEX(Diadema!$AR$55:$AR$176, MATCH(C21, Diadema!$C$55:$C$176, 0))</f>
        <v>11895.037142857142</v>
      </c>
      <c r="K21" s="224" cm="1">
        <f t="array" aca="1" ref="K21" ca="1">INDEX(Diadema!$AR$55:$AR$176, MATCH(C21, Diadema!$C$55:$C$176, 0) + 1)</f>
        <v>11219.737999999988</v>
      </c>
      <c r="L21" s="224">
        <f>INDEX(Diadema!$AK$55:$AK$176, MATCH(C21, Diadema!$C$55:$C$176, 0))</f>
        <v>41632.629999999997</v>
      </c>
      <c r="M21" s="224"/>
      <c r="N21" s="224"/>
      <c r="O21" s="224"/>
      <c r="P21" s="224"/>
      <c r="Q21">
        <v>18</v>
      </c>
      <c r="R21" s="253">
        <f t="shared" si="7"/>
        <v>572763</v>
      </c>
      <c r="S21" t="str">
        <f t="shared" si="1"/>
        <v>Negociação de itens Usiminas (SAR55 / scania / Mercedes / demais itens e reajuste frete)</v>
      </c>
      <c r="T21" t="str">
        <f t="shared" si="2"/>
        <v>Compras</v>
      </c>
      <c r="U21" s="253">
        <f t="shared" si="8"/>
        <v>572762.99999999988</v>
      </c>
      <c r="V21" s="224">
        <f t="shared" ca="1" si="9"/>
        <v>163646.57142857142</v>
      </c>
      <c r="W21" s="224" t="str">
        <f t="shared" ca="1" si="10"/>
        <v/>
      </c>
      <c r="X21" t="str">
        <f t="shared" si="3"/>
        <v>✓ Concluído</v>
      </c>
      <c r="Y21" s="716">
        <f t="shared" si="4"/>
        <v>46174</v>
      </c>
      <c r="Z21" t="str">
        <f t="shared" si="5"/>
        <v/>
      </c>
    </row>
    <row r="22" spans="1:26" x14ac:dyDescent="0.3">
      <c r="A22">
        <v>19</v>
      </c>
      <c r="B22" s="224">
        <f>IFERROR(LARGE(Diadema!$I$55:$I$176,A22)," ")</f>
        <v>68000</v>
      </c>
      <c r="C22" t="str">
        <f>IFERROR(
   HYPERLINK(
      INDEX(Diadema!$D$55:$D$176,
             MATCH(B22,Diadema!$I$55:$I$176,0)
      ),
      INDEX(Diadema!$C$55:$C$176,
             MATCH(B22,Diadema!$I$55:$I$176,0)
      )
   ),
   ""
)</f>
        <v>05 - Empilhadeira - Diadema</v>
      </c>
      <c r="D22" s="719">
        <f t="shared" si="6"/>
        <v>1.4588961884598588E-2</v>
      </c>
      <c r="E22" s="339">
        <f t="shared" si="11"/>
        <v>0.79584142397170066</v>
      </c>
      <c r="F22" t="str">
        <f t="shared" si="0"/>
        <v>Diadema</v>
      </c>
      <c r="G22" s="224" t="str">
        <f>_xlfn.XLOOKUP(C22,Diadema!$C$55:$C$176,Diadema!$O$55:$O$176)</f>
        <v>✓ Concluído</v>
      </c>
      <c r="H22" s="224" t="str">
        <f>_xlfn.XLOOKUP(C22,Diadema!$C$55:$C$176,Diadema!$M$55:$M$176," ")</f>
        <v>OK</v>
      </c>
      <c r="I22" s="716">
        <f>_xlfn.XLOOKUP(C22,Diadema!$C$55:$C$176,Diadema!$J$55:$J$176)</f>
        <v>46082</v>
      </c>
      <c r="J22" s="224">
        <f ca="1">INDEX(Diadema!$AR$55:$AR$176, MATCH(C22, Diadema!$C$55:$C$176, 0))</f>
        <v>28305.38</v>
      </c>
      <c r="K22" s="224" cm="1">
        <f t="array" aca="1" ref="K22" ca="1">INDEX(Diadema!$AR$55:$AR$176, MATCH(C22, Diadema!$C$55:$C$176, 0) + 1)</f>
        <v>25732.162500000013</v>
      </c>
      <c r="L22" s="224">
        <f>INDEX(Diadema!$AK$55:$AK$176, MATCH(C22, Diadema!$C$55:$C$176, 0))</f>
        <v>56610.759999999995</v>
      </c>
      <c r="M22" s="224"/>
      <c r="N22" s="224"/>
      <c r="O22" s="224"/>
      <c r="P22" s="224"/>
      <c r="Q22">
        <v>19</v>
      </c>
      <c r="R22" s="253">
        <f t="shared" si="7"/>
        <v>560000</v>
      </c>
      <c r="S22" t="str">
        <f t="shared" si="1"/>
        <v>01 - Desenvolver célula de solda para soldar porcas</v>
      </c>
      <c r="T22" t="str">
        <f t="shared" si="2"/>
        <v>Jarinu</v>
      </c>
      <c r="U22" s="253">
        <f t="shared" si="8"/>
        <v>0</v>
      </c>
      <c r="V22" s="224" t="str">
        <f t="shared" ca="1" si="9"/>
        <v/>
      </c>
      <c r="W22" s="224" t="str">
        <f t="shared" ca="1" si="10"/>
        <v/>
      </c>
      <c r="X22" t="str">
        <f t="shared" si="3"/>
        <v>⏳ Em Execução</v>
      </c>
      <c r="Y22" s="716">
        <f t="shared" si="4"/>
        <v>46388</v>
      </c>
      <c r="Z22" t="str">
        <f t="shared" si="5"/>
        <v/>
      </c>
    </row>
    <row r="23" spans="1:26" x14ac:dyDescent="0.3">
      <c r="A23">
        <v>20</v>
      </c>
      <c r="B23" s="224">
        <f>IFERROR(LARGE(Diadema!$I$55:$I$176,A23)," ")</f>
        <v>64554.69</v>
      </c>
      <c r="C23" t="str">
        <f>IFERROR(
   HYPERLINK(
      INDEX(Diadema!$D$55:$D$176,
             MATCH(B23,Diadema!$I$55:$I$176,0)
      ),
      INDEX(Diadema!$C$55:$C$176,
             MATCH(B23,Diadema!$I$55:$I$176,0)
      )
   ),
   ""
)</f>
        <v>41 - Redução de Peso Bruto do item SV001141LA</v>
      </c>
      <c r="D23" s="719">
        <f t="shared" si="6"/>
        <v>1.384979282179526E-2</v>
      </c>
      <c r="E23" s="339">
        <f t="shared" si="11"/>
        <v>0.80969121679349587</v>
      </c>
      <c r="F23" t="str">
        <f t="shared" si="0"/>
        <v>Diadema</v>
      </c>
      <c r="G23" s="224" t="str">
        <f>_xlfn.XLOOKUP(C23,Diadema!$C$55:$C$176,Diadema!$O$55:$O$176)</f>
        <v>✓ Concluído</v>
      </c>
      <c r="H23" s="224" t="str">
        <f>_xlfn.XLOOKUP(C23,Diadema!$C$55:$C$176,Diadema!$M$55:$M$176," ")</f>
        <v>OK</v>
      </c>
      <c r="I23" s="716">
        <f>_xlfn.XLOOKUP(C23,Diadema!$C$55:$C$176,Diadema!$J$55:$J$176)</f>
        <v>46082</v>
      </c>
      <c r="J23" s="224">
        <f ca="1">INDEX(Diadema!$AR$55:$AR$176, MATCH(C23, Diadema!$C$55:$C$176, 0))</f>
        <v>20552.285000000003</v>
      </c>
      <c r="K23" s="224" cm="1">
        <f t="array" aca="1" ref="K23" ca="1">INDEX(Diadema!$AR$55:$AR$176, MATCH(C23, Diadema!$C$55:$C$176, 0) + 1)</f>
        <v>23365.017324000008</v>
      </c>
      <c r="L23" s="224">
        <f>INDEX(Diadema!$AK$55:$AK$176, MATCH(C23, Diadema!$C$55:$C$176, 0))</f>
        <v>41104.57</v>
      </c>
      <c r="M23" s="224"/>
      <c r="N23" s="224"/>
      <c r="O23" s="224"/>
      <c r="P23" s="224"/>
      <c r="Q23">
        <v>20</v>
      </c>
      <c r="R23" s="253">
        <f t="shared" si="7"/>
        <v>530000</v>
      </c>
      <c r="S23" t="str">
        <f t="shared" si="1"/>
        <v>01 - VENDA DE ATIVOS</v>
      </c>
      <c r="T23" t="str">
        <f t="shared" si="2"/>
        <v>Anchieta</v>
      </c>
      <c r="U23" s="253">
        <f t="shared" si="8"/>
        <v>4545.454545454545</v>
      </c>
      <c r="V23" s="224">
        <f t="shared" ca="1" si="9"/>
        <v>50000</v>
      </c>
      <c r="W23" s="224">
        <f t="shared" ca="1" si="10"/>
        <v>50000</v>
      </c>
      <c r="X23" t="str">
        <f t="shared" si="3"/>
        <v>⏳ Em Execução</v>
      </c>
      <c r="Y23" s="716">
        <f t="shared" si="4"/>
        <v>46054</v>
      </c>
      <c r="Z23" t="str">
        <f t="shared" si="5"/>
        <v>OK</v>
      </c>
    </row>
    <row r="24" spans="1:26" x14ac:dyDescent="0.3">
      <c r="A24">
        <v>21</v>
      </c>
      <c r="B24" s="224">
        <f>IFERROR(LARGE(Diadema!$I$55:$I$176,A24)," ")</f>
        <v>63600</v>
      </c>
      <c r="C24" t="str">
        <f>IFERROR(
   HYPERLINK(
      INDEX(Diadema!$D$55:$D$176,
             MATCH(B24,Diadema!$I$55:$I$176,0)
      ),
      INDEX(Diadema!$C$55:$C$176,
             MATCH(B24,Diadema!$I$55:$I$176,0)
      )
   ),
   ""
)</f>
        <v>49 - REDUÇÃO DE MP GM000408Z / GM000409Z</v>
      </c>
      <c r="D24" s="719">
        <f t="shared" si="6"/>
        <v>1.3644970233242208E-2</v>
      </c>
      <c r="E24" s="339">
        <f t="shared" si="11"/>
        <v>0.82333618702673805</v>
      </c>
      <c r="F24" t="str">
        <f t="shared" si="0"/>
        <v>Diadema</v>
      </c>
      <c r="G24" s="224" t="str">
        <f>_xlfn.XLOOKUP(C24,Diadema!$C$55:$C$176,Diadema!$O$55:$O$176)</f>
        <v>⏳ Em Execução</v>
      </c>
      <c r="H24" s="224">
        <f>_xlfn.XLOOKUP(C24,Diadema!$C$55:$C$176,Diadema!$M$55:$M$176," ")</f>
        <v>0</v>
      </c>
      <c r="I24" s="716">
        <f>_xlfn.XLOOKUP(C24,Diadema!$C$55:$C$176,Diadema!$J$55:$J$176)</f>
        <v>46266</v>
      </c>
      <c r="J24" s="224" t="str">
        <f ca="1">INDEX(Diadema!$AR$55:$AR$176, MATCH(C24, Diadema!$C$55:$C$176, 0))</f>
        <v/>
      </c>
      <c r="K24" s="224" t="str" cm="1">
        <f t="array" aca="1" ref="K24" ca="1">INDEX(Diadema!$AR$55:$AR$176, MATCH(C24, Diadema!$C$55:$C$176, 0) + 1)</f>
        <v/>
      </c>
      <c r="L24" s="224">
        <f>INDEX(Diadema!$AK$55:$AK$176, MATCH(C24, Diadema!$C$55:$C$176, 0))</f>
        <v>63600</v>
      </c>
      <c r="M24" s="224"/>
      <c r="N24" s="224"/>
      <c r="O24" s="224"/>
      <c r="P24" s="224"/>
      <c r="Q24">
        <v>21</v>
      </c>
      <c r="R24" s="253">
        <f t="shared" si="7"/>
        <v>513721</v>
      </c>
      <c r="S24" t="str">
        <f t="shared" si="1"/>
        <v>03 - Redução de consumo de MP dos blanks com a técnica de corte Wave</v>
      </c>
      <c r="T24" t="str">
        <f t="shared" si="2"/>
        <v>Jarinu</v>
      </c>
      <c r="U24" s="253">
        <f t="shared" si="8"/>
        <v>385290.75</v>
      </c>
      <c r="V24" s="224" t="str">
        <f t="shared" ca="1" si="9"/>
        <v/>
      </c>
      <c r="W24" s="224" t="str">
        <f t="shared" ca="1" si="10"/>
        <v/>
      </c>
      <c r="X24" t="str">
        <f t="shared" si="3"/>
        <v>⏳ Em Execução</v>
      </c>
      <c r="Y24" s="716">
        <f t="shared" si="4"/>
        <v>46266</v>
      </c>
      <c r="Z24" t="str">
        <f t="shared" si="5"/>
        <v/>
      </c>
    </row>
    <row r="25" spans="1:26" x14ac:dyDescent="0.3">
      <c r="A25">
        <v>22</v>
      </c>
      <c r="B25" s="224">
        <f>IFERROR(LARGE(Diadema!$I$55:$I$176,A25)," ")</f>
        <v>60000.000008800002</v>
      </c>
      <c r="C25" t="str">
        <f>IFERROR(
   HYPERLINK(
      INDEX(Diadema!$D$55:$D$176,
             MATCH(B25,Diadema!$I$55:$I$176,0)
      ),
      INDEX(Diadema!$C$55:$C$176,
             MATCH(B25,Diadema!$I$55:$I$176,0)
      )
   ),
   ""
)</f>
        <v>54 - Redução de MP - VW000585Z_586Z (20mm no passo)</v>
      </c>
      <c r="D25" s="719">
        <f t="shared" si="6"/>
        <v>1.2872613429474973E-2</v>
      </c>
      <c r="E25" s="339">
        <f t="shared" si="11"/>
        <v>0.83620880045621304</v>
      </c>
      <c r="F25" t="str">
        <f t="shared" si="0"/>
        <v>Diadema</v>
      </c>
      <c r="G25" s="224" t="str">
        <f>_xlfn.XLOOKUP(C25,Diadema!$C$55:$C$176,Diadema!$O$55:$O$176)</f>
        <v>⏳ Em Execução</v>
      </c>
      <c r="H25" s="224" t="str">
        <f>_xlfn.XLOOKUP(C25,Diadema!$C$55:$C$176,Diadema!$M$55:$M$176," ")</f>
        <v>Não Ok</v>
      </c>
      <c r="I25" s="716">
        <f>_xlfn.XLOOKUP(C25,Diadema!$C$55:$C$176,Diadema!$J$55:$J$176)</f>
        <v>46266</v>
      </c>
      <c r="J25" s="224" t="str">
        <f ca="1">INDEX(Diadema!$AR$55:$AR$176, MATCH(C25, Diadema!$C$55:$C$176, 0))</f>
        <v/>
      </c>
      <c r="K25" s="224" t="str" cm="1">
        <f t="array" aca="1" ref="K25" ca="1">INDEX(Diadema!$AR$55:$AR$176, MATCH(C25, Diadema!$C$55:$C$176, 0) + 1)</f>
        <v/>
      </c>
      <c r="L25" s="224">
        <f>INDEX(Diadema!$AK$55:$AK$176, MATCH(C25, Diadema!$C$55:$C$176, 0))</f>
        <v>60000.000008800002</v>
      </c>
      <c r="M25" s="224"/>
      <c r="N25" s="224"/>
      <c r="O25" s="224"/>
      <c r="P25" s="224"/>
      <c r="Q25">
        <v>22</v>
      </c>
      <c r="R25" s="253">
        <f t="shared" si="7"/>
        <v>500000.000654654</v>
      </c>
      <c r="S25" t="str">
        <f t="shared" si="1"/>
        <v xml:space="preserve">29 - Aproveitamento de ponta de bobina - MP </v>
      </c>
      <c r="T25" t="str">
        <f t="shared" si="2"/>
        <v>Ferraz</v>
      </c>
      <c r="U25" s="253">
        <f t="shared" si="8"/>
        <v>0</v>
      </c>
      <c r="V25" s="224" t="str">
        <f t="shared" ca="1" si="9"/>
        <v/>
      </c>
      <c r="W25" s="224" t="str">
        <f t="shared" ca="1" si="10"/>
        <v/>
      </c>
      <c r="X25">
        <f t="shared" si="3"/>
        <v>0</v>
      </c>
      <c r="Y25" s="716">
        <f t="shared" si="4"/>
        <v>0</v>
      </c>
      <c r="Z25" t="str">
        <f t="shared" si="5"/>
        <v/>
      </c>
    </row>
    <row r="26" spans="1:26" x14ac:dyDescent="0.3">
      <c r="A26">
        <v>23</v>
      </c>
      <c r="B26" s="224">
        <f>IFERROR(LARGE(Diadema!$I$55:$I$176,A26)," ")</f>
        <v>60000</v>
      </c>
      <c r="C26" t="str">
        <f>IFERROR(
   HYPERLINK(
      INDEX(Diadema!$D$55:$D$176,
             MATCH(B26,Diadema!$I$55:$I$176,0)
      ),
      INDEX(Diadema!$C$55:$C$176,
             MATCH(B26,Diadema!$I$55:$I$176,0)
      )
   ),
   ""
)</f>
        <v>55 -  Redução de MP - GM000378Z / GM000379Z</v>
      </c>
      <c r="D26" s="719">
        <f t="shared" si="6"/>
        <v>1.287261342758699E-2</v>
      </c>
      <c r="E26" s="339">
        <f t="shared" si="11"/>
        <v>0.84908141388379998</v>
      </c>
      <c r="F26" t="str">
        <f t="shared" si="0"/>
        <v>Diadema</v>
      </c>
      <c r="G26" s="224" t="str">
        <f>_xlfn.XLOOKUP(C26,Diadema!$C$55:$C$176,Diadema!$O$55:$O$176)</f>
        <v>⏳ Em Execução</v>
      </c>
      <c r="H26" s="224" t="str">
        <f>_xlfn.XLOOKUP(C26,Diadema!$C$55:$C$176,Diadema!$M$55:$M$176," ")</f>
        <v>OK</v>
      </c>
      <c r="I26" s="716">
        <f>_xlfn.XLOOKUP(C26,Diadema!$C$55:$C$176,Diadema!$J$55:$J$176)</f>
        <v>46235</v>
      </c>
      <c r="J26" s="224" t="str">
        <f ca="1">INDEX(Diadema!$AR$55:$AR$176, MATCH(C26, Diadema!$C$55:$C$176, 0))</f>
        <v/>
      </c>
      <c r="K26" s="224" t="str" cm="1">
        <f t="array" aca="1" ref="K26" ca="1">INDEX(Diadema!$AR$55:$AR$176, MATCH(C26, Diadema!$C$55:$C$176, 0) + 1)</f>
        <v/>
      </c>
      <c r="L26" s="224">
        <f>INDEX(Diadema!$AK$55:$AK$176, MATCH(C26, Diadema!$C$55:$C$176, 0))</f>
        <v>37697.32</v>
      </c>
      <c r="M26" s="224"/>
      <c r="N26" s="224"/>
      <c r="O26" s="224"/>
      <c r="P26" s="224"/>
      <c r="Q26">
        <v>23</v>
      </c>
      <c r="R26" s="253">
        <f t="shared" si="7"/>
        <v>500000</v>
      </c>
      <c r="S26" t="str">
        <f t="shared" si="1"/>
        <v>Viabilizar Material Alternativo de Menor Custo para Utilização na Carcaça da Scania</v>
      </c>
      <c r="T26" t="str">
        <f t="shared" si="2"/>
        <v>Compras</v>
      </c>
      <c r="U26" s="253">
        <f t="shared" si="8"/>
        <v>0</v>
      </c>
      <c r="V26" s="224" t="str">
        <f t="shared" ca="1" si="9"/>
        <v/>
      </c>
      <c r="W26" s="224" t="str">
        <f t="shared" ca="1" si="10"/>
        <v/>
      </c>
      <c r="X26" t="str">
        <f t="shared" si="3"/>
        <v>⏳ Em Execução</v>
      </c>
      <c r="Y26" s="716">
        <f t="shared" si="4"/>
        <v>46447</v>
      </c>
      <c r="Z26" t="str">
        <f t="shared" si="5"/>
        <v/>
      </c>
    </row>
    <row r="27" spans="1:26" x14ac:dyDescent="0.3">
      <c r="A27">
        <v>24</v>
      </c>
      <c r="B27" s="224">
        <f>IFERROR(LARGE(Diadema!$I$55:$I$176,A27)," ")</f>
        <v>59800</v>
      </c>
      <c r="C27" t="str">
        <f>IFERROR(
   HYPERLINK(
      INDEX(Diadema!$D$55:$D$176,
             MATCH(B27,Diadema!$I$55:$I$176,0)
      ),
      INDEX(Diadema!$C$55:$C$176,
             MATCH(B27,Diadema!$I$55:$I$176,0)
      )
   ),
   ""
)</f>
        <v>31 - Comunização da chapa CHQ0475ED12502650</v>
      </c>
      <c r="D27" s="719">
        <f t="shared" si="6"/>
        <v>1.2829704716161698E-2</v>
      </c>
      <c r="E27" s="339">
        <f t="shared" si="11"/>
        <v>0.86191111859996172</v>
      </c>
      <c r="F27" t="str">
        <f t="shared" si="0"/>
        <v>Diadema</v>
      </c>
      <c r="G27" s="224" t="str">
        <f>_xlfn.XLOOKUP(C27,Diadema!$C$55:$C$176,Diadema!$O$55:$O$176)</f>
        <v>✓ Concluído</v>
      </c>
      <c r="H27" s="224" t="str">
        <f>_xlfn.XLOOKUP(C27,Diadema!$C$55:$C$176,Diadema!$M$55:$M$176," ")</f>
        <v>OK</v>
      </c>
      <c r="I27" s="716">
        <f>_xlfn.XLOOKUP(C27,Diadema!$C$55:$C$176,Diadema!$J$55:$J$176)</f>
        <v>46143</v>
      </c>
      <c r="J27" s="224">
        <f ca="1">INDEX(Diadema!$AR$55:$AR$176, MATCH(C27, Diadema!$C$55:$C$176, 0))</f>
        <v>42976.661249999997</v>
      </c>
      <c r="K27" s="224" cm="1">
        <f t="array" aca="1" ref="K27" ca="1">INDEX(Diadema!$AR$55:$AR$176, MATCH(C27, Diadema!$C$55:$C$176, 0) + 1)</f>
        <v>40335.03043738514</v>
      </c>
      <c r="L27" s="224">
        <f>INDEX(Diadema!$AK$55:$AK$176, MATCH(C27, Diadema!$C$55:$C$176, 0))</f>
        <v>114604.43</v>
      </c>
      <c r="M27" s="224"/>
      <c r="N27" s="224"/>
      <c r="O27" s="224"/>
      <c r="P27" s="224"/>
      <c r="Q27">
        <v>24</v>
      </c>
      <c r="R27" s="253">
        <f t="shared" si="7"/>
        <v>450000.00900000002</v>
      </c>
      <c r="S27" t="str">
        <f t="shared" si="1"/>
        <v>29 - DA000489Z_DA000490Z - STC Scania M_</v>
      </c>
      <c r="T27" t="str">
        <f t="shared" si="2"/>
        <v>Diadema</v>
      </c>
      <c r="U27" s="253">
        <f t="shared" si="8"/>
        <v>446423.79</v>
      </c>
      <c r="V27" s="224">
        <f t="shared" ca="1" si="9"/>
        <v>223211.89500000002</v>
      </c>
      <c r="W27" s="224">
        <f t="shared" ca="1" si="10"/>
        <v>282888.46469920909</v>
      </c>
      <c r="X27" t="str">
        <f t="shared" si="3"/>
        <v>✓ Concluído</v>
      </c>
      <c r="Y27" s="716">
        <f t="shared" si="4"/>
        <v>46082</v>
      </c>
      <c r="Z27" t="str">
        <f t="shared" si="5"/>
        <v>OK</v>
      </c>
    </row>
    <row r="28" spans="1:26" x14ac:dyDescent="0.3">
      <c r="A28">
        <v>25</v>
      </c>
      <c r="B28" s="224">
        <f>IFERROR(LARGE(Diadema!$I$55:$I$176,A28)," ")</f>
        <v>56826</v>
      </c>
      <c r="C28" t="str">
        <f>IFERROR(
   HYPERLINK(
      INDEX(Diadema!$D$55:$D$176,
             MATCH(B28,Diadema!$I$55:$I$176,0)
      ),
      INDEX(Diadema!$C$55:$C$176,
             MATCH(B28,Diadema!$I$55:$I$176,0)
      )
   ),
   ""
)</f>
        <v>21 - Kaizen_Redução de peso bruto MB003537LA_MB003538LA</v>
      </c>
      <c r="D28" s="719">
        <f t="shared" si="6"/>
        <v>1.2191652177267637E-2</v>
      </c>
      <c r="E28" s="339">
        <f t="shared" si="11"/>
        <v>0.87410277077722931</v>
      </c>
      <c r="F28" t="str">
        <f t="shared" si="0"/>
        <v>Diadema</v>
      </c>
      <c r="G28" s="224" t="str">
        <f>_xlfn.XLOOKUP(C28,Diadema!$C$55:$C$176,Diadema!$O$55:$O$176)</f>
        <v>✓ Concluído</v>
      </c>
      <c r="H28" s="224" t="str">
        <f>_xlfn.XLOOKUP(C28,Diadema!$C$55:$C$176,Diadema!$M$55:$M$176," ")</f>
        <v>OK</v>
      </c>
      <c r="I28" s="716">
        <f>_xlfn.XLOOKUP(C28,Diadema!$C$55:$C$176,Diadema!$J$55:$J$176)</f>
        <v>46082</v>
      </c>
      <c r="J28" s="224">
        <f ca="1">INDEX(Diadema!$AR$55:$AR$176, MATCH(C28, Diadema!$C$55:$C$176, 0))</f>
        <v>18682.79</v>
      </c>
      <c r="K28" s="224" cm="1">
        <f t="array" aca="1" ref="K28" ca="1">INDEX(Diadema!$AR$55:$AR$176, MATCH(C28, Diadema!$C$55:$C$176, 0) + 1)</f>
        <v>18873.367845683777</v>
      </c>
      <c r="L28" s="224">
        <f>INDEX(Diadema!$AK$55:$AK$176, MATCH(C28, Diadema!$C$55:$C$176, 0))</f>
        <v>37365.58</v>
      </c>
      <c r="M28" s="224"/>
      <c r="N28" s="224"/>
      <c r="O28" s="224"/>
      <c r="P28" s="224"/>
      <c r="Q28">
        <v>25</v>
      </c>
      <c r="R28" s="253">
        <f t="shared" si="7"/>
        <v>450000</v>
      </c>
      <c r="S28" t="str">
        <f t="shared" si="1"/>
        <v xml:space="preserve">04 - Redução dos retrabalhos </v>
      </c>
      <c r="T28" t="str">
        <f t="shared" si="2"/>
        <v>Ferraz</v>
      </c>
      <c r="U28" s="253">
        <f t="shared" si="8"/>
        <v>168750</v>
      </c>
      <c r="V28" s="224">
        <f t="shared" ca="1" si="9"/>
        <v>168750</v>
      </c>
      <c r="W28" s="224" t="str">
        <f t="shared" ca="1" si="10"/>
        <v/>
      </c>
      <c r="X28" t="str">
        <f t="shared" si="3"/>
        <v>✓ Concluído</v>
      </c>
      <c r="Y28" s="716">
        <f t="shared" si="4"/>
        <v>46171</v>
      </c>
      <c r="Z28" t="str">
        <f t="shared" si="5"/>
        <v/>
      </c>
    </row>
    <row r="29" spans="1:26" x14ac:dyDescent="0.3">
      <c r="A29">
        <v>26</v>
      </c>
      <c r="B29" s="224">
        <f>IFERROR(LARGE(Diadema!$I$55:$I$176,A29)," ")</f>
        <v>54000</v>
      </c>
      <c r="C29" t="str">
        <f>IFERROR(
   HYPERLINK(
      INDEX(Diadema!$D$55:$D$176,
             MATCH(B29,Diadema!$I$55:$I$176,0)
      ),
      INDEX(Diadema!$C$55:$C$176,
             MATCH(B29,Diadema!$I$55:$I$176,0)
      )
   ),
   ""
)</f>
        <v>19 - Kaizen Facão. DA000481Z - PRODUTIVIDADE</v>
      </c>
      <c r="D29" s="719">
        <f t="shared" si="6"/>
        <v>1.158535208482829E-2</v>
      </c>
      <c r="E29" s="339">
        <f t="shared" si="11"/>
        <v>0.88568812286205756</v>
      </c>
      <c r="F29" t="str">
        <f t="shared" si="0"/>
        <v>Diadema</v>
      </c>
      <c r="G29" s="224" t="str">
        <f>_xlfn.XLOOKUP(C29,Diadema!$C$55:$C$176,Diadema!$O$55:$O$176)</f>
        <v>✓ Concluído</v>
      </c>
      <c r="H29" s="224">
        <f>_xlfn.XLOOKUP(C29,Diadema!$C$55:$C$176,Diadema!$M$55:$M$176," ")</f>
        <v>0</v>
      </c>
      <c r="I29" s="716">
        <f>_xlfn.XLOOKUP(C29,Diadema!$C$55:$C$176,Diadema!$J$55:$J$176)</f>
        <v>46082</v>
      </c>
      <c r="J29" s="224">
        <f ca="1">INDEX(Diadema!$AR$55:$AR$176, MATCH(C29, Diadema!$C$55:$C$176, 0))</f>
        <v>27000</v>
      </c>
      <c r="K29" s="224" t="str" cm="1">
        <f t="array" aca="1" ref="K29" ca="1">INDEX(Diadema!$AR$55:$AR$176, MATCH(C29, Diadema!$C$55:$C$176, 0) + 1)</f>
        <v/>
      </c>
      <c r="L29" s="224">
        <f>INDEX(Diadema!$AK$55:$AK$176, MATCH(C29, Diadema!$C$55:$C$176, 0))</f>
        <v>54000</v>
      </c>
      <c r="M29" s="224"/>
      <c r="N29" s="224"/>
      <c r="O29" s="224"/>
      <c r="P29" s="224"/>
      <c r="Q29">
        <v>26</v>
      </c>
      <c r="R29" s="253">
        <f t="shared" si="7"/>
        <v>442000</v>
      </c>
      <c r="S29" t="str">
        <f t="shared" si="1"/>
        <v>26 - Redução da MO do processo do Crossmember Scania</v>
      </c>
      <c r="T29" t="str">
        <f t="shared" si="2"/>
        <v>Ferraz</v>
      </c>
      <c r="U29" s="253">
        <f t="shared" si="8"/>
        <v>0</v>
      </c>
      <c r="V29" s="224" t="str">
        <f t="shared" ca="1" si="9"/>
        <v/>
      </c>
      <c r="W29" s="224" t="str">
        <f t="shared" ca="1" si="10"/>
        <v/>
      </c>
      <c r="X29" t="str">
        <f t="shared" si="3"/>
        <v>✓ Concluído</v>
      </c>
      <c r="Y29" s="716">
        <f t="shared" si="4"/>
        <v>46209</v>
      </c>
      <c r="Z29" t="str">
        <f t="shared" si="5"/>
        <v>OK</v>
      </c>
    </row>
    <row r="30" spans="1:26" x14ac:dyDescent="0.3">
      <c r="A30">
        <v>27</v>
      </c>
      <c r="B30" s="224">
        <f>IFERROR(LARGE(Diadema!$I$55:$I$176,A30)," ")</f>
        <v>51480</v>
      </c>
      <c r="C30" t="str">
        <f>IFERROR(
   HYPERLINK(
      INDEX(Diadema!$D$55:$D$176,
             MATCH(B30,Diadema!$I$55:$I$176,0)
      ),
      INDEX(Diadema!$C$55:$C$176,
             MATCH(B30,Diadema!$I$55:$I$176,0)
      )
   ),
   ""
)</f>
        <v>17 - MB003537LB_MB003538LB</v>
      </c>
      <c r="D30" s="719">
        <f t="shared" si="6"/>
        <v>1.1044702320869636E-2</v>
      </c>
      <c r="E30" s="339">
        <f t="shared" si="11"/>
        <v>0.89673282518292718</v>
      </c>
      <c r="F30" t="str">
        <f t="shared" si="0"/>
        <v>Diadema</v>
      </c>
      <c r="G30" s="224" t="str">
        <f>_xlfn.XLOOKUP(C30,Diadema!$C$55:$C$176,Diadema!$O$55:$O$176)</f>
        <v>✓ Concluído</v>
      </c>
      <c r="H30" s="224" t="str">
        <f>_xlfn.XLOOKUP(C30,Diadema!$C$55:$C$176,Diadema!$M$55:$M$176," ")</f>
        <v>OK</v>
      </c>
      <c r="I30" s="716">
        <f>_xlfn.XLOOKUP(C30,Diadema!$C$55:$C$176,Diadema!$J$55:$J$176)</f>
        <v>46082</v>
      </c>
      <c r="J30" s="224">
        <f ca="1">INDEX(Diadema!$AR$55:$AR$176, MATCH(C30, Diadema!$C$55:$C$176, 0))</f>
        <v>16919.03</v>
      </c>
      <c r="K30" s="224" cm="1">
        <f t="array" aca="1" ref="K30" ca="1">INDEX(Diadema!$AR$55:$AR$176, MATCH(C30, Diadema!$C$55:$C$176, 0) + 1)</f>
        <v>17091.616335776573</v>
      </c>
      <c r="L30" s="224">
        <f>INDEX(Diadema!$AK$55:$AK$176, MATCH(C30, Diadema!$C$55:$C$176, 0))</f>
        <v>33838.06</v>
      </c>
      <c r="M30" s="224"/>
      <c r="N30" s="224"/>
      <c r="O30" s="224"/>
      <c r="P30" s="224"/>
      <c r="Q30">
        <v>27</v>
      </c>
      <c r="R30" s="253">
        <f t="shared" si="7"/>
        <v>437338</v>
      </c>
      <c r="S30" t="str">
        <f t="shared" si="1"/>
        <v>Nacionalização RIBE - 
Item 75640 (Pino Rebite M6 x 16)</v>
      </c>
      <c r="T30" t="str">
        <f t="shared" si="2"/>
        <v>Compras</v>
      </c>
      <c r="U30" s="253">
        <f t="shared" si="8"/>
        <v>437338</v>
      </c>
      <c r="V30" s="224" t="str">
        <f t="shared" ca="1" si="9"/>
        <v/>
      </c>
      <c r="W30" s="224" t="str">
        <f t="shared" ca="1" si="10"/>
        <v/>
      </c>
      <c r="X30" t="str">
        <f t="shared" si="3"/>
        <v>⏳ Em Execução</v>
      </c>
      <c r="Y30" s="716">
        <f t="shared" si="4"/>
        <v>46371</v>
      </c>
      <c r="Z30" t="str">
        <f t="shared" si="5"/>
        <v/>
      </c>
    </row>
    <row r="31" spans="1:26" x14ac:dyDescent="0.3">
      <c r="A31">
        <v>28</v>
      </c>
      <c r="B31" s="224">
        <f>IFERROR(LARGE(Diadema!$I$55:$I$176,A31)," ")</f>
        <v>46052</v>
      </c>
      <c r="C31" t="str">
        <f>IFERROR(
   HYPERLINK(
      INDEX(Diadema!$D$55:$D$176,
             MATCH(B31,Diadema!$I$55:$I$176,0)
      ),
      INDEX(Diadema!$C$55:$C$176,
             MATCH(B31,Diadema!$I$55:$I$176,0)
      )
   ),
   ""
)</f>
        <v>18 - Venda de Embalagens, ativos e sucatas</v>
      </c>
      <c r="D31" s="719">
        <f t="shared" si="6"/>
        <v>9.8801598927872672E-3</v>
      </c>
      <c r="E31" s="339">
        <f t="shared" si="11"/>
        <v>0.90661298507571442</v>
      </c>
      <c r="F31" t="str">
        <f t="shared" si="0"/>
        <v>Diadema</v>
      </c>
      <c r="G31" s="224" t="str">
        <f>_xlfn.XLOOKUP(C31,Diadema!$C$55:$C$176,Diadema!$O$55:$O$176)</f>
        <v>✓ Concluído</v>
      </c>
      <c r="H31" s="224" t="str">
        <f>_xlfn.XLOOKUP(C31,Diadema!$C$55:$C$176,Diadema!$M$55:$M$176," ")</f>
        <v>OK</v>
      </c>
      <c r="I31" s="716">
        <f>_xlfn.XLOOKUP(C31,Diadema!$C$55:$C$176,Diadema!$J$55:$J$176)</f>
        <v>0</v>
      </c>
      <c r="J31" s="224">
        <f ca="1">INDEX(Diadema!$AR$55:$AR$176, MATCH(C31, Diadema!$C$55:$C$176, 0))</f>
        <v>46052</v>
      </c>
      <c r="K31" s="224" cm="1">
        <f t="array" aca="1" ref="K31" ca="1">INDEX(Diadema!$AR$55:$AR$176, MATCH(C31, Diadema!$C$55:$C$176, 0) + 1)</f>
        <v>46052</v>
      </c>
      <c r="L31" s="224">
        <f>INDEX(Diadema!$AK$55:$AK$176, MATCH(C31, Diadema!$C$55:$C$176, 0))</f>
        <v>46052</v>
      </c>
      <c r="M31" s="224"/>
      <c r="N31" s="224"/>
      <c r="O31" s="224"/>
      <c r="P31" s="224"/>
      <c r="Q31">
        <v>28</v>
      </c>
      <c r="R31" s="253">
        <f t="shared" si="7"/>
        <v>435138</v>
      </c>
      <c r="S31" t="str">
        <f t="shared" si="1"/>
        <v>27 - Redução consumo MTP aplicando tolerância mínima curva B</v>
      </c>
      <c r="T31" t="str">
        <f t="shared" si="2"/>
        <v>Jarinu</v>
      </c>
      <c r="U31" s="253">
        <f t="shared" si="8"/>
        <v>221331.53499999997</v>
      </c>
      <c r="V31" s="224">
        <f t="shared" ca="1" si="9"/>
        <v>73777.17833333333</v>
      </c>
      <c r="W31" s="224" t="str">
        <f t="shared" ca="1" si="10"/>
        <v/>
      </c>
      <c r="X31" t="str">
        <f t="shared" si="3"/>
        <v>⏳ Em Execução</v>
      </c>
      <c r="Y31" s="716">
        <f t="shared" si="4"/>
        <v>46233</v>
      </c>
      <c r="Z31" t="str">
        <f t="shared" si="5"/>
        <v>OK</v>
      </c>
    </row>
    <row r="32" spans="1:26" x14ac:dyDescent="0.3">
      <c r="A32">
        <v>29</v>
      </c>
      <c r="B32" s="224">
        <f>IFERROR(LARGE(Diadema!$I$55:$I$176,A32)," ")</f>
        <v>44400</v>
      </c>
      <c r="C32" t="str">
        <f>IFERROR(
   HYPERLINK(
      INDEX(Diadema!$D$55:$D$176,
             MATCH(B32,Diadema!$I$55:$I$176,0)
      ),
      INDEX(Diadema!$C$55:$C$176,
             MATCH(B32,Diadema!$I$55:$I$176,0)
      )
   ),
   ""
)</f>
        <v>08 - Redução de peso bruto MB002446LA / MB003670LA / MB003671LA</v>
      </c>
      <c r="D32" s="719">
        <f t="shared" si="6"/>
        <v>9.5257339364143712E-3</v>
      </c>
      <c r="E32" s="339">
        <f t="shared" si="11"/>
        <v>0.91613871901212884</v>
      </c>
      <c r="F32" t="str">
        <f t="shared" si="0"/>
        <v>Diadema</v>
      </c>
      <c r="G32" s="224" t="str">
        <f>_xlfn.XLOOKUP(C32,Diadema!$C$55:$C$176,Diadema!$O$55:$O$176)</f>
        <v>✓ Concluído</v>
      </c>
      <c r="H32" s="224" t="str">
        <f>_xlfn.XLOOKUP(C32,Diadema!$C$55:$C$176,Diadema!$M$55:$M$176," ")</f>
        <v>OK</v>
      </c>
      <c r="I32" s="716">
        <f>_xlfn.XLOOKUP(C32,Diadema!$C$55:$C$176,Diadema!$J$55:$J$176)</f>
        <v>46143</v>
      </c>
      <c r="J32" s="224">
        <f ca="1">INDEX(Diadema!$AR$55:$AR$176, MATCH(C32, Diadema!$C$55:$C$176, 0))</f>
        <v>4926.6149999999998</v>
      </c>
      <c r="K32" s="224" cm="1">
        <f t="array" aca="1" ref="K32" ca="1">INDEX(Diadema!$AR$55:$AR$176, MATCH(C32, Diadema!$C$55:$C$176, 0) + 1)</f>
        <v>11080.218600000006</v>
      </c>
      <c r="L32" s="224">
        <f>INDEX(Diadema!$AK$55:$AK$176, MATCH(C32, Diadema!$C$55:$C$176, 0))</f>
        <v>13137.64</v>
      </c>
      <c r="M32" s="224"/>
      <c r="N32" s="224"/>
      <c r="O32" s="224"/>
      <c r="P32" s="224"/>
      <c r="Q32">
        <v>29</v>
      </c>
      <c r="R32" s="253">
        <f t="shared" si="7"/>
        <v>408000</v>
      </c>
      <c r="S32" t="str">
        <f t="shared" si="1"/>
        <v>Venda de Equipamentos</v>
      </c>
      <c r="T32" t="str">
        <f t="shared" si="2"/>
        <v>Compras</v>
      </c>
      <c r="U32" s="253">
        <f t="shared" si="8"/>
        <v>408000</v>
      </c>
      <c r="V32" s="224" t="str">
        <f t="shared" ca="1" si="9"/>
        <v/>
      </c>
      <c r="W32" s="224" t="str">
        <f t="shared" ca="1" si="10"/>
        <v/>
      </c>
      <c r="X32" t="str">
        <f t="shared" si="3"/>
        <v>⏳ Em Execução</v>
      </c>
      <c r="Y32" s="716">
        <f t="shared" si="4"/>
        <v>46357</v>
      </c>
      <c r="Z32" t="str">
        <f t="shared" si="5"/>
        <v/>
      </c>
    </row>
    <row r="33" spans="1:26" x14ac:dyDescent="0.3">
      <c r="A33">
        <v>30</v>
      </c>
      <c r="B33" s="224">
        <f>IFERROR(LARGE(Diadema!$I$55:$I$176,A33)," ")</f>
        <v>42000</v>
      </c>
      <c r="C33" t="str">
        <f>IFERROR(
   HYPERLINK(
      INDEX(Diadema!$D$55:$D$176,
             MATCH(B33,Diadema!$I$55:$I$176,0)
      ),
      INDEX(Diadema!$C$55:$C$176,
             MATCH(B33,Diadema!$I$55:$I$176,0)
      )
   ),
   ""
)</f>
        <v>04 - Otimização de processo - Pulmão</v>
      </c>
      <c r="D33" s="719">
        <f t="shared" si="6"/>
        <v>9.0108293993108931E-3</v>
      </c>
      <c r="E33" s="339">
        <f t="shared" si="11"/>
        <v>0.9251495484114397</v>
      </c>
      <c r="F33" t="str">
        <f t="shared" si="0"/>
        <v>Diadema</v>
      </c>
      <c r="G33" s="224" t="str">
        <f>_xlfn.XLOOKUP(C33,Diadema!$C$55:$C$176,Diadema!$O$55:$O$176)</f>
        <v>✓ Concluído</v>
      </c>
      <c r="H33" s="224">
        <f>_xlfn.XLOOKUP(C33,Diadema!$C$55:$C$176,Diadema!$M$55:$M$176," ")</f>
        <v>0</v>
      </c>
      <c r="I33" s="716">
        <f>_xlfn.XLOOKUP(C33,Diadema!$C$55:$C$176,Diadema!$J$55:$J$176)</f>
        <v>46082</v>
      </c>
      <c r="J33" s="224">
        <f ca="1">INDEX(Diadema!$AR$55:$AR$176, MATCH(C33, Diadema!$C$55:$C$176, 0))</f>
        <v>21000</v>
      </c>
      <c r="K33" s="224" t="str" cm="1">
        <f t="array" aca="1" ref="K33" ca="1">INDEX(Diadema!$AR$55:$AR$176, MATCH(C33, Diadema!$C$55:$C$176, 0) + 1)</f>
        <v/>
      </c>
      <c r="L33" s="224">
        <f>INDEX(Diadema!$AK$55:$AK$176, MATCH(C33, Diadema!$C$55:$C$176, 0))</f>
        <v>42000</v>
      </c>
      <c r="M33" s="224"/>
      <c r="N33" s="224"/>
      <c r="O33" s="224"/>
      <c r="P33" s="224"/>
      <c r="Q33">
        <v>30</v>
      </c>
      <c r="R33" s="253">
        <f t="shared" si="7"/>
        <v>400000.00089999998</v>
      </c>
      <c r="S33" t="str">
        <f t="shared" si="1"/>
        <v xml:space="preserve">07 - Consumo de gás </v>
      </c>
      <c r="T33" t="str">
        <f t="shared" si="2"/>
        <v>Ferraz</v>
      </c>
      <c r="U33" s="253">
        <f t="shared" si="8"/>
        <v>101344.25</v>
      </c>
      <c r="V33" s="224">
        <f t="shared" ca="1" si="9"/>
        <v>236469.91666666663</v>
      </c>
      <c r="W33" s="224">
        <f t="shared" ca="1" si="10"/>
        <v>413825.56999999995</v>
      </c>
      <c r="X33" t="str">
        <f t="shared" si="3"/>
        <v>✓ Concluído</v>
      </c>
      <c r="Y33" s="716">
        <f t="shared" si="4"/>
        <v>46023</v>
      </c>
      <c r="Z33" t="str">
        <f t="shared" si="5"/>
        <v>OK</v>
      </c>
    </row>
    <row r="34" spans="1:26" x14ac:dyDescent="0.3">
      <c r="A34">
        <v>31</v>
      </c>
      <c r="B34" s="224">
        <f>IFERROR(LARGE(Diadema!$I$55:$I$176,A34)," ")</f>
        <v>40000.000780000002</v>
      </c>
      <c r="C34" t="str">
        <f>IFERROR(
   HYPERLINK(
      INDEX(Diadema!$D$55:$D$176,
             MATCH(B34,Diadema!$I$55:$I$176,0)
      ),
      INDEX(Diadema!$C$55:$C$176,
             MATCH(B34,Diadema!$I$55:$I$176,0)
      )
   ),
   ""
)</f>
        <v>51 - Redução de MP - GM000402Z_403Z_Passo</v>
      </c>
      <c r="D34" s="719">
        <f t="shared" si="6"/>
        <v>8.5817424524019682E-3</v>
      </c>
      <c r="E34" s="339">
        <f t="shared" si="11"/>
        <v>0.93373129086384166</v>
      </c>
      <c r="F34" t="str">
        <f t="shared" si="0"/>
        <v>Diadema</v>
      </c>
      <c r="G34" s="224" t="str">
        <f>_xlfn.XLOOKUP(C34,Diadema!$C$55:$C$176,Diadema!$O$55:$O$176)</f>
        <v>✓ Concluído</v>
      </c>
      <c r="H34" s="224" t="str">
        <f>_xlfn.XLOOKUP(C34,Diadema!$C$55:$C$176,Diadema!$M$55:$M$176," ")</f>
        <v>OK</v>
      </c>
      <c r="I34" s="716">
        <f>_xlfn.XLOOKUP(C34,Diadema!$C$55:$C$176,Diadema!$J$55:$J$176)</f>
        <v>46143</v>
      </c>
      <c r="J34" s="224">
        <f ca="1">INDEX(Diadema!$AR$55:$AR$176, MATCH(C34, Diadema!$C$55:$C$176, 0))</f>
        <v>14585.235000000001</v>
      </c>
      <c r="K34" s="224" cm="1">
        <f t="array" aca="1" ref="K34" ca="1">INDEX(Diadema!$AR$55:$AR$176, MATCH(C34, Diadema!$C$55:$C$176, 0) + 1)</f>
        <v>11274.224968243983</v>
      </c>
      <c r="L34" s="224">
        <f>INDEX(Diadema!$AK$55:$AK$176, MATCH(C34, Diadema!$C$55:$C$176, 0))</f>
        <v>38893.96</v>
      </c>
      <c r="M34" s="224"/>
      <c r="N34" s="224"/>
      <c r="O34" s="224"/>
      <c r="P34" s="224"/>
      <c r="Q34">
        <v>31</v>
      </c>
      <c r="R34" s="253">
        <f t="shared" si="7"/>
        <v>400000</v>
      </c>
      <c r="S34" t="str">
        <f t="shared" si="1"/>
        <v>02 - TANQUE DE DECAPAGEM</v>
      </c>
      <c r="T34" t="str">
        <f t="shared" si="2"/>
        <v>Anchieta</v>
      </c>
      <c r="U34" s="253">
        <f t="shared" si="8"/>
        <v>200000</v>
      </c>
      <c r="V34" s="224">
        <f t="shared" ca="1" si="9"/>
        <v>66666.666666666672</v>
      </c>
      <c r="W34" s="224" t="str">
        <f t="shared" ca="1" si="10"/>
        <v/>
      </c>
      <c r="X34" t="str">
        <f t="shared" si="3"/>
        <v>⏳ Em Execução</v>
      </c>
      <c r="Y34" s="716">
        <f t="shared" si="4"/>
        <v>46218</v>
      </c>
      <c r="Z34" t="str">
        <f t="shared" si="5"/>
        <v/>
      </c>
    </row>
    <row r="35" spans="1:26" x14ac:dyDescent="0.3">
      <c r="A35">
        <v>32</v>
      </c>
      <c r="B35" s="224">
        <f>IFERROR(LARGE(Diadema!$I$55:$I$176,A35)," ")</f>
        <v>39996</v>
      </c>
      <c r="C35" t="str">
        <f>IFERROR(
   HYPERLINK(
      INDEX(Diadema!$D$55:$D$176,
             MATCH(B35,Diadema!$I$55:$I$176,0)
      ),
      INDEX(Diadema!$C$55:$C$176,
             MATCH(B35,Diadema!$I$55:$I$176,0)
      )
   ),
   ""
)</f>
        <v>14 - REDUÇÃO DE MP DA000518Z (Anchieta) Código DD - VB000324Z</v>
      </c>
      <c r="D35" s="719">
        <f t="shared" si="6"/>
        <v>8.5808841108294866E-3</v>
      </c>
      <c r="E35" s="339">
        <f t="shared" si="11"/>
        <v>0.94231217497467112</v>
      </c>
      <c r="F35" t="str">
        <f t="shared" si="0"/>
        <v>Diadema</v>
      </c>
      <c r="G35" s="224" t="str">
        <f>_xlfn.XLOOKUP(C35,Diadema!$C$55:$C$176,Diadema!$O$55:$O$176)</f>
        <v>✓ Concluído</v>
      </c>
      <c r="H35" s="224" t="str">
        <f>_xlfn.XLOOKUP(C35,Diadema!$C$55:$C$176,Diadema!$M$55:$M$176," ")</f>
        <v>OK</v>
      </c>
      <c r="I35" s="716">
        <f>_xlfn.XLOOKUP(C35,Diadema!$C$55:$C$176,Diadema!$J$55:$J$176)</f>
        <v>46054</v>
      </c>
      <c r="J35" s="224">
        <f ca="1">INDEX(Diadema!$AR$55:$AR$176, MATCH(C35, Diadema!$C$55:$C$176, 0))</f>
        <v>25634.690221729801</v>
      </c>
      <c r="K35" s="224" cm="1">
        <f t="array" aca="1" ref="K35" ca="1">INDEX(Diadema!$AR$55:$AR$176, MATCH(C35, Diadema!$C$55:$C$176, 0) + 1)</f>
        <v>31364.078207856248</v>
      </c>
      <c r="L35" s="224">
        <f>INDEX(Diadema!$AK$55:$AK$176, MATCH(C35, Diadema!$C$55:$C$176, 0))</f>
        <v>46996.932073171294</v>
      </c>
      <c r="M35" s="224"/>
      <c r="N35" s="224"/>
      <c r="O35" s="224"/>
      <c r="P35" s="224"/>
      <c r="Q35">
        <v>32</v>
      </c>
      <c r="R35" s="253">
        <f t="shared" si="7"/>
        <v>390000.00300000003</v>
      </c>
      <c r="S35" t="str">
        <f t="shared" si="1"/>
        <v>36 - Venda Robos</v>
      </c>
      <c r="T35" t="str">
        <f t="shared" si="2"/>
        <v>Jarinu</v>
      </c>
      <c r="U35" s="253">
        <f t="shared" si="8"/>
        <v>0</v>
      </c>
      <c r="V35" s="224">
        <f t="shared" ca="1" si="9"/>
        <v>390000.00300000003</v>
      </c>
      <c r="W35" s="224">
        <f t="shared" ca="1" si="10"/>
        <v>390000</v>
      </c>
      <c r="X35" t="str">
        <f t="shared" si="3"/>
        <v>✓ Concluído</v>
      </c>
      <c r="Y35" s="716">
        <f t="shared" si="4"/>
        <v>46023</v>
      </c>
      <c r="Z35" t="str">
        <f t="shared" si="5"/>
        <v>OK</v>
      </c>
    </row>
    <row r="36" spans="1:26" x14ac:dyDescent="0.3">
      <c r="A36">
        <v>33</v>
      </c>
      <c r="B36" s="224">
        <f>IFERROR(LARGE(Diadema!$I$55:$I$176,A36)," ")</f>
        <v>38583</v>
      </c>
      <c r="C36" t="str">
        <f>IFERROR(
   HYPERLINK(
      INDEX(Diadema!$D$55:$D$176,
             MATCH(B36,Diadema!$I$55:$I$176,0)
      ),
      INDEX(Diadema!$C$55:$C$176,
             MATCH(B36,Diadema!$I$55:$I$176,0)
      )
   ),
   ""
)</f>
        <v>12 - Aproveitamento de peças Obsoletas - A9583176540</v>
      </c>
      <c r="D36" s="719">
        <f t="shared" si="6"/>
        <v>8.2777340646098142E-3</v>
      </c>
      <c r="E36" s="339">
        <f t="shared" si="11"/>
        <v>0.95058990903928098</v>
      </c>
      <c r="F36" t="str">
        <f t="shared" si="0"/>
        <v>Diadema</v>
      </c>
      <c r="G36" s="224" t="str">
        <f>_xlfn.XLOOKUP(C36,Diadema!$C$55:$C$176,Diadema!$O$55:$O$176)</f>
        <v>✓ Concluído</v>
      </c>
      <c r="H36" s="224" t="str">
        <f>_xlfn.XLOOKUP(C36,Diadema!$C$55:$C$176,Diadema!$M$55:$M$176," ")</f>
        <v>OK</v>
      </c>
      <c r="I36" s="716">
        <f>_xlfn.XLOOKUP(C36,Diadema!$C$55:$C$176,Diadema!$J$55:$J$176)</f>
        <v>46023</v>
      </c>
      <c r="J36" s="224">
        <f ca="1">INDEX(Diadema!$AR$55:$AR$176, MATCH(C36, Diadema!$C$55:$C$176, 0))</f>
        <v>37746.6</v>
      </c>
      <c r="K36" s="224" cm="1">
        <f t="array" aca="1" ref="K36" ca="1">INDEX(Diadema!$AR$55:$AR$176, MATCH(C36, Diadema!$C$55:$C$176, 0) + 1)</f>
        <v>37746.6</v>
      </c>
      <c r="L36" s="224">
        <f>INDEX(Diadema!$AK$55:$AK$176, MATCH(C36, Diadema!$C$55:$C$176, 0))</f>
        <v>37746.6</v>
      </c>
      <c r="M36" s="224"/>
      <c r="N36" s="224"/>
      <c r="O36" s="224"/>
      <c r="P36" s="224"/>
      <c r="Q36">
        <v>33</v>
      </c>
      <c r="R36" s="253">
        <f t="shared" si="7"/>
        <v>372095</v>
      </c>
      <c r="S36" t="str">
        <f t="shared" ref="S36:S67" si="12">_xlfn.XLOOKUP(R36,B:B,C:C)</f>
        <v>Redução de custo Porca 73189 da curva A</v>
      </c>
      <c r="T36" t="str">
        <f t="shared" ref="T36:T67" si="13">_xlfn.XLOOKUP(S36,C:C,F:F)</f>
        <v>Compras</v>
      </c>
      <c r="U36" s="253">
        <f t="shared" si="8"/>
        <v>372095</v>
      </c>
      <c r="V36" s="224">
        <f t="shared" ca="1" si="9"/>
        <v>62015.833333333336</v>
      </c>
      <c r="W36" s="224" t="str">
        <f t="shared" ca="1" si="10"/>
        <v/>
      </c>
      <c r="X36" t="str">
        <f t="shared" ref="X36:X67" si="14">_xlfn.XLOOKUP(S36,C:C,G:G)</f>
        <v>✓ Concluído</v>
      </c>
      <c r="Y36" s="716">
        <f t="shared" ref="Y36:Y67" si="15">_xlfn.XLOOKUP(S36,C:C,I:I)</f>
        <v>46222</v>
      </c>
      <c r="Z36" t="str">
        <f t="shared" ref="Z36:Z67" si="16">IF(_xlfn.XLOOKUP(S36,C:C,H:H) = 0, "", _xlfn.XLOOKUP(S36,C:C,H:H))</f>
        <v/>
      </c>
    </row>
    <row r="37" spans="1:26" x14ac:dyDescent="0.3">
      <c r="A37">
        <v>34</v>
      </c>
      <c r="B37" s="224">
        <f>IFERROR(LARGE(Diadema!$I$55:$I$176,A37)," ")</f>
        <v>36000</v>
      </c>
      <c r="C37" t="str">
        <f>IFERROR(
   HYPERLINK(
      INDEX(Diadema!$D$55:$D$176,
             MATCH(B37,Diadema!$I$55:$I$176,0)
      ),
      INDEX(Diadema!$C$55:$C$176,
             MATCH(B37,Diadema!$I$55:$I$176,0)
      )
   ),
   ""
)</f>
        <v>22 - Aproveitamento de Retalho do corte laser - MB002316LA_MB003533LA_MB003673LC</v>
      </c>
      <c r="D37" s="719">
        <f t="shared" si="6"/>
        <v>7.7235680565521936E-3</v>
      </c>
      <c r="E37" s="339">
        <f t="shared" si="11"/>
        <v>0.95831347709583314</v>
      </c>
      <c r="F37" t="str">
        <f t="shared" si="0"/>
        <v>Diadema</v>
      </c>
      <c r="G37" s="224" t="str">
        <f>_xlfn.XLOOKUP(C37,Diadema!$C$55:$C$176,Diadema!$O$55:$O$176)</f>
        <v>✓ Concluído</v>
      </c>
      <c r="H37" s="224" t="str">
        <f>_xlfn.XLOOKUP(C37,Diadema!$C$55:$C$176,Diadema!$M$55:$M$176," ")</f>
        <v>Não Ok</v>
      </c>
      <c r="I37" s="716">
        <f>_xlfn.XLOOKUP(C37,Diadema!$C$55:$C$176,Diadema!$J$55:$J$176)</f>
        <v>0</v>
      </c>
      <c r="J37" s="224" t="str">
        <f ca="1">INDEX(Diadema!$AR$55:$AR$176, MATCH(C37, Diadema!$C$55:$C$176, 0))</f>
        <v/>
      </c>
      <c r="K37" s="224" t="str" cm="1">
        <f t="array" aca="1" ref="K37" ca="1">INDEX(Diadema!$AR$55:$AR$176, MATCH(C37, Diadema!$C$55:$C$176, 0) + 1)</f>
        <v/>
      </c>
      <c r="L37" s="224">
        <f>INDEX(Diadema!$AK$55:$AK$176, MATCH(C37, Diadema!$C$55:$C$176, 0))</f>
        <v>0</v>
      </c>
      <c r="M37" s="224"/>
      <c r="N37" s="224"/>
      <c r="O37" s="224"/>
      <c r="P37" s="224"/>
      <c r="Q37">
        <v>34</v>
      </c>
      <c r="R37" s="253">
        <f t="shared" ref="R37:R68" si="17">IFERROR(LARGE(B:B,Q37)," ")</f>
        <v>364573</v>
      </c>
      <c r="S37" t="str">
        <f t="shared" si="12"/>
        <v>Projeto DANA - Fornecimento MTL</v>
      </c>
      <c r="T37" t="str">
        <f t="shared" si="13"/>
        <v>Compras</v>
      </c>
      <c r="U37" s="253">
        <f t="shared" si="8"/>
        <v>364573</v>
      </c>
      <c r="V37" s="224" t="str">
        <f t="shared" ref="V37:V68" ca="1" si="18">IFERROR(_xlfn.XLOOKUP(S37,C:C,J:J), "")</f>
        <v/>
      </c>
      <c r="W37" s="224" t="str">
        <f t="shared" ref="W37:W68" ca="1" si="19">IFERROR(_xlfn.XLOOKUP(S37,C:C,K:K), "")</f>
        <v/>
      </c>
      <c r="X37" t="str">
        <f t="shared" si="14"/>
        <v>📝 Não iniciado</v>
      </c>
      <c r="Y37" s="716">
        <f t="shared" si="15"/>
        <v>46366</v>
      </c>
      <c r="Z37" t="str">
        <f t="shared" si="16"/>
        <v/>
      </c>
    </row>
    <row r="38" spans="1:26" x14ac:dyDescent="0.3">
      <c r="A38">
        <v>35</v>
      </c>
      <c r="B38" s="224">
        <f>IFERROR(LARGE(Diadema!$I$55:$I$176,A38)," ")</f>
        <v>33600</v>
      </c>
      <c r="C38" t="str">
        <f>IFERROR(
   HYPERLINK(
      INDEX(Diadema!$D$55:$D$176,
             MATCH(B38,Diadema!$I$55:$I$176,0)
      ),
      INDEX(Diadema!$C$55:$C$176,
             MATCH(B38,Diadema!$I$55:$I$176,0)
      )
   ),
   ""
)</f>
        <v>24 - KAIZEN - Redução de peso bruto_MB002289LA_MB002290LA_Rev00_Bruno Manachini</v>
      </c>
      <c r="D38" s="719">
        <f t="shared" si="6"/>
        <v>7.2086635194487138E-3</v>
      </c>
      <c r="E38" s="339">
        <f t="shared" si="11"/>
        <v>0.96552214061528185</v>
      </c>
      <c r="F38" t="str">
        <f t="shared" si="0"/>
        <v>Diadema</v>
      </c>
      <c r="G38" s="224" t="str">
        <f>_xlfn.XLOOKUP(C38,Diadema!$C$55:$C$176,Diadema!$O$55:$O$176)</f>
        <v>✓ Concluído</v>
      </c>
      <c r="H38" s="224" t="str">
        <f>_xlfn.XLOOKUP(C38,Diadema!$C$55:$C$176,Diadema!$M$55:$M$176," ")</f>
        <v>OK</v>
      </c>
      <c r="I38" s="716">
        <f>_xlfn.XLOOKUP(C38,Diadema!$C$55:$C$176,Diadema!$J$55:$J$176)</f>
        <v>46143</v>
      </c>
      <c r="J38" s="224">
        <f ca="1">INDEX(Diadema!$AR$55:$AR$176, MATCH(C38, Diadema!$C$55:$C$176, 0))</f>
        <v>11074.608749999999</v>
      </c>
      <c r="K38" s="224" cm="1">
        <f t="array" aca="1" ref="K38" ca="1">INDEX(Diadema!$AR$55:$AR$176, MATCH(C38, Diadema!$C$55:$C$176, 0) + 1)</f>
        <v>9809.1508793681278</v>
      </c>
      <c r="L38" s="224">
        <f>INDEX(Diadema!$AK$55:$AK$176, MATCH(C38, Diadema!$C$55:$C$176, 0))</f>
        <v>29532.29</v>
      </c>
      <c r="M38" s="224"/>
      <c r="N38" s="224"/>
      <c r="O38" s="224"/>
      <c r="P38" s="224"/>
      <c r="Q38">
        <v>35</v>
      </c>
      <c r="R38" s="253">
        <f t="shared" si="17"/>
        <v>359000</v>
      </c>
      <c r="S38" t="str">
        <f t="shared" si="12"/>
        <v>26 - Redução de gastos com HE</v>
      </c>
      <c r="T38" t="str">
        <f t="shared" si="13"/>
        <v>Jarinu</v>
      </c>
      <c r="U38" s="253">
        <f t="shared" si="8"/>
        <v>107700</v>
      </c>
      <c r="V38" s="224">
        <f t="shared" ca="1" si="18"/>
        <v>179500</v>
      </c>
      <c r="W38" s="224" t="str">
        <f t="shared" ca="1" si="19"/>
        <v/>
      </c>
      <c r="X38" t="str">
        <f t="shared" si="14"/>
        <v>✓ Concluído</v>
      </c>
      <c r="Y38" s="716">
        <f t="shared" si="15"/>
        <v>46082</v>
      </c>
      <c r="Z38" t="str">
        <f t="shared" si="16"/>
        <v/>
      </c>
    </row>
    <row r="39" spans="1:26" x14ac:dyDescent="0.3">
      <c r="A39">
        <v>36</v>
      </c>
      <c r="B39" s="224">
        <f>IFERROR(LARGE(Diadema!$I$55:$I$176,A39)," ")</f>
        <v>26400.00099</v>
      </c>
      <c r="C39" t="str">
        <f>IFERROR(
   HYPERLINK(
      INDEX(Diadema!$D$55:$D$176,
             MATCH(B39,Diadema!$I$55:$I$176,0)
      ),
      INDEX(Diadema!$C$55:$C$176,
             MATCH(B39,Diadema!$I$55:$I$176,0)
      )
   ),
   ""
)</f>
        <v>48 - REDUÇÃO DE MP BOZ0150HX1000</v>
      </c>
      <c r="D39" s="719">
        <f t="shared" si="6"/>
        <v>5.6639501205363969E-3</v>
      </c>
      <c r="E39" s="339">
        <f t="shared" si="11"/>
        <v>0.9711860907358183</v>
      </c>
      <c r="F39" t="str">
        <f t="shared" si="0"/>
        <v>Diadema</v>
      </c>
      <c r="G39" s="224" t="str">
        <f>_xlfn.XLOOKUP(C39,Diadema!$C$55:$C$176,Diadema!$O$55:$O$176)</f>
        <v>⏳ Em Execução</v>
      </c>
      <c r="H39" s="224" t="str">
        <f>_xlfn.XLOOKUP(C39,Diadema!$C$55:$C$176,Diadema!$M$55:$M$176," ")</f>
        <v>OK</v>
      </c>
      <c r="I39" s="716">
        <f>_xlfn.XLOOKUP(C39,Diadema!$C$55:$C$176,Diadema!$J$55:$J$176)</f>
        <v>46235</v>
      </c>
      <c r="J39" s="224" t="str">
        <f ca="1">INDEX(Diadema!$AR$55:$AR$176, MATCH(C39, Diadema!$C$55:$C$176, 0))</f>
        <v/>
      </c>
      <c r="K39" s="224" t="str" cm="1">
        <f t="array" aca="1" ref="K39" ca="1">INDEX(Diadema!$AR$55:$AR$176, MATCH(C39, Diadema!$C$55:$C$176, 0) + 1)</f>
        <v/>
      </c>
      <c r="L39" s="224">
        <f>INDEX(Diadema!$AK$55:$AK$176, MATCH(C39, Diadema!$C$55:$C$176, 0))</f>
        <v>43285.039999999994</v>
      </c>
      <c r="M39" s="224"/>
      <c r="N39" s="224"/>
      <c r="O39" s="224"/>
      <c r="P39" s="224"/>
      <c r="Q39">
        <v>36</v>
      </c>
      <c r="R39" s="253">
        <f t="shared" si="17"/>
        <v>353954</v>
      </c>
      <c r="S39" t="str">
        <f t="shared" si="12"/>
        <v>Recuperação de valores - Água</v>
      </c>
      <c r="T39" t="str">
        <f t="shared" si="13"/>
        <v>Compras</v>
      </c>
      <c r="U39" s="253">
        <f t="shared" si="8"/>
        <v>0</v>
      </c>
      <c r="V39" s="224" t="str">
        <f t="shared" ca="1" si="18"/>
        <v/>
      </c>
      <c r="W39" s="224" t="str">
        <f t="shared" ca="1" si="19"/>
        <v/>
      </c>
      <c r="X39" t="str">
        <f t="shared" si="14"/>
        <v>⏳ Em Execução</v>
      </c>
      <c r="Y39" s="716">
        <f t="shared" si="15"/>
        <v>46539</v>
      </c>
      <c r="Z39" t="str">
        <f t="shared" si="16"/>
        <v/>
      </c>
    </row>
    <row r="40" spans="1:26" x14ac:dyDescent="0.3">
      <c r="A40">
        <v>37</v>
      </c>
      <c r="B40" s="224">
        <f>IFERROR(LARGE(Diadema!$I$55:$I$176,A40)," ")</f>
        <v>26000</v>
      </c>
      <c r="C40" t="str">
        <f>IFERROR(
   HYPERLINK(
      INDEX(Diadema!$D$55:$D$176,
             MATCH(B40,Diadema!$I$55:$I$176,0)
      ),
      INDEX(Diadema!$C$55:$C$176,
             MATCH(B40,Diadema!$I$55:$I$176,0)
      )
   ),
   ""
)</f>
        <v>25 - KAIZEN - Redução de peso bruto_MB003601LA_Rev00_Bruno Manachini</v>
      </c>
      <c r="D40" s="719">
        <f t="shared" si="6"/>
        <v>5.578132485287695E-3</v>
      </c>
      <c r="E40" s="339">
        <f t="shared" si="11"/>
        <v>0.97676422322110601</v>
      </c>
      <c r="F40" t="str">
        <f t="shared" si="0"/>
        <v>Diadema</v>
      </c>
      <c r="G40" s="224" t="str">
        <f>_xlfn.XLOOKUP(C40,Diadema!$C$55:$C$176,Diadema!$O$55:$O$176)</f>
        <v>✓ Concluído</v>
      </c>
      <c r="H40" s="224" t="str">
        <f>_xlfn.XLOOKUP(C40,Diadema!$C$55:$C$176,Diadema!$M$55:$M$176," ")</f>
        <v>OK</v>
      </c>
      <c r="I40" s="716">
        <f>_xlfn.XLOOKUP(C40,Diadema!$C$55:$C$176,Diadema!$J$55:$J$176)</f>
        <v>46143</v>
      </c>
      <c r="J40" s="224">
        <f ca="1">INDEX(Diadema!$AR$55:$AR$176, MATCH(C40, Diadema!$C$55:$C$176, 0))</f>
        <v>6535.3537500000002</v>
      </c>
      <c r="K40" s="224" cm="1">
        <f t="array" aca="1" ref="K40" ca="1">INDEX(Diadema!$AR$55:$AR$176, MATCH(C40, Diadema!$C$55:$C$176, 0) + 1)</f>
        <v>6011.0914499999808</v>
      </c>
      <c r="L40" s="224">
        <f>INDEX(Diadema!$AK$55:$AK$176, MATCH(C40, Diadema!$C$55:$C$176, 0))</f>
        <v>17427.61</v>
      </c>
      <c r="M40" s="224"/>
      <c r="N40" s="224"/>
      <c r="O40" s="224"/>
      <c r="P40" s="224"/>
      <c r="Q40">
        <v>37</v>
      </c>
      <c r="R40" s="253">
        <f t="shared" si="17"/>
        <v>331600</v>
      </c>
      <c r="S40" t="str">
        <f t="shared" si="12"/>
        <v>01 - Redução de peso bruto DA000489A</v>
      </c>
      <c r="T40" t="str">
        <f t="shared" si="13"/>
        <v>Diadema</v>
      </c>
      <c r="U40" s="253">
        <f t="shared" si="8"/>
        <v>160178.29000000004</v>
      </c>
      <c r="V40" s="224">
        <f t="shared" ca="1" si="18"/>
        <v>80089.145000000004</v>
      </c>
      <c r="W40" s="224">
        <f t="shared" ca="1" si="19"/>
        <v>84365.272032240013</v>
      </c>
      <c r="X40" t="str">
        <f t="shared" si="14"/>
        <v>✓ Concluído</v>
      </c>
      <c r="Y40" s="716">
        <f t="shared" si="15"/>
        <v>46082</v>
      </c>
      <c r="Z40" t="str">
        <f t="shared" si="16"/>
        <v>OK</v>
      </c>
    </row>
    <row r="41" spans="1:26" x14ac:dyDescent="0.3">
      <c r="A41">
        <v>38</v>
      </c>
      <c r="B41" s="224">
        <f>IFERROR(LARGE(Diadema!$I$55:$I$176,A41)," ")</f>
        <v>24000.000899999999</v>
      </c>
      <c r="C41" t="str">
        <f>IFERROR(
   HYPERLINK(
      INDEX(Diadema!$D$55:$D$176,
             MATCH(B41,Diadema!$I$55:$I$176,0)
      ),
      INDEX(Diadema!$C$55:$C$176,
             MATCH(B41,Diadema!$I$55:$I$176,0)
      )
   ),
   ""
)</f>
        <v>03 - Otimização de processo - Cavalo Marinho</v>
      </c>
      <c r="D41" s="719">
        <f t="shared" si="6"/>
        <v>5.1490455641239972E-3</v>
      </c>
      <c r="E41" s="339">
        <f t="shared" si="11"/>
        <v>0.98191326878523</v>
      </c>
      <c r="F41" t="str">
        <f t="shared" si="0"/>
        <v>Diadema</v>
      </c>
      <c r="G41" s="224" t="str">
        <f>_xlfn.XLOOKUP(C41,Diadema!$C$55:$C$176,Diadema!$O$55:$O$176)</f>
        <v>✓ Concluído</v>
      </c>
      <c r="H41" s="224">
        <f>_xlfn.XLOOKUP(C41,Diadema!$C$55:$C$176,Diadema!$M$55:$M$176," ")</f>
        <v>0</v>
      </c>
      <c r="I41" s="716">
        <f>_xlfn.XLOOKUP(C41,Diadema!$C$55:$C$176,Diadema!$J$55:$J$176)</f>
        <v>46082</v>
      </c>
      <c r="J41" s="224">
        <f ca="1">INDEX(Diadema!$AR$55:$AR$176, MATCH(C41, Diadema!$C$55:$C$176, 0))</f>
        <v>12000.00045</v>
      </c>
      <c r="K41" s="224" t="str" cm="1">
        <f t="array" aca="1" ref="K41" ca="1">INDEX(Diadema!$AR$55:$AR$176, MATCH(C41, Diadema!$C$55:$C$176, 0) + 1)</f>
        <v/>
      </c>
      <c r="L41" s="224">
        <f>INDEX(Diadema!$AK$55:$AK$176, MATCH(C41, Diadema!$C$55:$C$176, 0))</f>
        <v>24000.000900000003</v>
      </c>
      <c r="M41" s="224"/>
      <c r="N41" s="224"/>
      <c r="O41" s="224"/>
      <c r="P41" s="224"/>
      <c r="Q41">
        <v>38</v>
      </c>
      <c r="R41" s="253">
        <f t="shared" si="17"/>
        <v>317391</v>
      </c>
      <c r="S41" t="str">
        <f t="shared" si="12"/>
        <v>Viabilizar itens Usiminas via Gonvarri-Full Service</v>
      </c>
      <c r="T41" t="str">
        <f t="shared" si="13"/>
        <v>Compras</v>
      </c>
      <c r="U41" s="253">
        <f t="shared" si="8"/>
        <v>317391</v>
      </c>
      <c r="V41" s="224">
        <f t="shared" ca="1" si="18"/>
        <v>158695.5</v>
      </c>
      <c r="W41" s="224" t="str">
        <f t="shared" ca="1" si="19"/>
        <v/>
      </c>
      <c r="X41" t="str">
        <f t="shared" si="14"/>
        <v>✓ Concluído</v>
      </c>
      <c r="Y41" s="716">
        <f t="shared" si="15"/>
        <v>46082</v>
      </c>
      <c r="Z41" t="str">
        <f t="shared" si="16"/>
        <v/>
      </c>
    </row>
    <row r="42" spans="1:26" x14ac:dyDescent="0.3">
      <c r="A42">
        <v>39</v>
      </c>
      <c r="B42" s="224">
        <f>IFERROR(LARGE(Diadema!$I$55:$I$176,A42)," ")</f>
        <v>16500</v>
      </c>
      <c r="C42" t="str">
        <f>IFERROR(
   HYPERLINK(
      INDEX(Diadema!$D$55:$D$176,
             MATCH(B42,Diadema!$I$55:$I$176,0)
      ),
      INDEX(Diadema!$C$55:$C$176,
             MATCH(B42,Diadema!$I$55:$I$176,0)
      )
   ),
   ""
)</f>
        <v xml:space="preserve"> 07 - Consumo de água</v>
      </c>
      <c r="D42" s="719">
        <f t="shared" si="6"/>
        <v>3.5399686925864219E-3</v>
      </c>
      <c r="E42" s="339">
        <f t="shared" si="11"/>
        <v>0.98545323747781643</v>
      </c>
      <c r="F42" t="str">
        <f t="shared" si="0"/>
        <v>Diadema</v>
      </c>
      <c r="G42" s="224" t="str">
        <f>_xlfn.XLOOKUP(C42,Diadema!$C$55:$C$176,Diadema!$O$55:$O$176)</f>
        <v>✓ Concluído</v>
      </c>
      <c r="H42" s="224">
        <f>_xlfn.XLOOKUP(C42,Diadema!$C$55:$C$176,Diadema!$M$55:$M$176," ")</f>
        <v>0</v>
      </c>
      <c r="I42" s="716">
        <f>_xlfn.XLOOKUP(C42,Diadema!$C$55:$C$176,Diadema!$J$55:$J$176)</f>
        <v>46143</v>
      </c>
      <c r="J42" s="224">
        <f ca="1">INDEX(Diadema!$AR$55:$AR$176, MATCH(C42, Diadema!$C$55:$C$176, 0))</f>
        <v>6187.5</v>
      </c>
      <c r="K42" s="224" t="str" cm="1">
        <f t="array" aca="1" ref="K42" ca="1">INDEX(Diadema!$AR$55:$AR$176, MATCH(C42, Diadema!$C$55:$C$176, 0) + 1)</f>
        <v/>
      </c>
      <c r="L42" s="224">
        <f>INDEX(Diadema!$AK$55:$AK$176, MATCH(C42, Diadema!$C$55:$C$176, 0))</f>
        <v>16500</v>
      </c>
      <c r="M42" s="224"/>
      <c r="N42" s="224"/>
      <c r="O42" s="224"/>
      <c r="P42" s="224"/>
      <c r="Q42">
        <v>39</v>
      </c>
      <c r="R42" s="253">
        <f t="shared" si="17"/>
        <v>308498</v>
      </c>
      <c r="S42" t="str">
        <f t="shared" si="12"/>
        <v>28 -  Redução consumo MTP aplicando tolerância mínima curva C</v>
      </c>
      <c r="T42" t="str">
        <f t="shared" si="13"/>
        <v>Jarinu</v>
      </c>
      <c r="U42" s="253">
        <f t="shared" si="8"/>
        <v>104738.03</v>
      </c>
      <c r="V42" s="224">
        <f t="shared" ca="1" si="18"/>
        <v>34912.676666666666</v>
      </c>
      <c r="W42" s="224" t="str">
        <f t="shared" ca="1" si="19"/>
        <v/>
      </c>
      <c r="X42" t="str">
        <f t="shared" si="14"/>
        <v>⏳ Em Execução</v>
      </c>
      <c r="Y42" s="716">
        <f t="shared" si="15"/>
        <v>46233</v>
      </c>
      <c r="Z42" t="str">
        <f t="shared" si="16"/>
        <v>OK</v>
      </c>
    </row>
    <row r="43" spans="1:26" x14ac:dyDescent="0.3">
      <c r="A43">
        <v>40</v>
      </c>
      <c r="B43" s="224">
        <f>IFERROR(LARGE(Diadema!$I$55:$I$176,A43)," ")</f>
        <v>14256</v>
      </c>
      <c r="C43" t="str">
        <f>IFERROR(
   HYPERLINK(
      INDEX(Diadema!$D$55:$D$176,
             MATCH(B43,Diadema!$I$55:$I$176,0)
      ),
      INDEX(Diadema!$C$55:$C$176,
             MATCH(B43,Diadema!$I$55:$I$176,0)
      )
   ),
   ""
)</f>
        <v>35 - Redução de Peso Bruto do item MB003597LA</v>
      </c>
      <c r="D43" s="719">
        <f t="shared" si="6"/>
        <v>3.0585329503946684E-3</v>
      </c>
      <c r="E43" s="339">
        <f t="shared" si="11"/>
        <v>0.98851177042821115</v>
      </c>
      <c r="F43" t="str">
        <f t="shared" si="0"/>
        <v>Diadema</v>
      </c>
      <c r="G43" s="224" t="str">
        <f>_xlfn.XLOOKUP(C43,Diadema!$C$55:$C$176,Diadema!$O$55:$O$176)</f>
        <v>✓ Concluído</v>
      </c>
      <c r="H43" s="224" t="str">
        <f>_xlfn.XLOOKUP(C43,Diadema!$C$55:$C$176,Diadema!$M$55:$M$176," ")</f>
        <v>OK</v>
      </c>
      <c r="I43" s="716">
        <f>_xlfn.XLOOKUP(C43,Diadema!$C$55:$C$176,Diadema!$J$55:$J$176)</f>
        <v>46082</v>
      </c>
      <c r="J43" s="224">
        <f ca="1">INDEX(Diadema!$AR$55:$AR$176, MATCH(C43, Diadema!$C$55:$C$176, 0))</f>
        <v>7170.5249999999996</v>
      </c>
      <c r="K43" s="224" cm="1">
        <f t="array" aca="1" ref="K43" ca="1">INDEX(Diadema!$AR$55:$AR$176, MATCH(C43, Diadema!$C$55:$C$176, 0) + 1)</f>
        <v>6770.261755117438</v>
      </c>
      <c r="L43" s="224">
        <f>INDEX(Diadema!$AK$55:$AK$176, MATCH(C43, Diadema!$C$55:$C$176, 0))</f>
        <v>14341.050000000001</v>
      </c>
      <c r="M43" s="224"/>
      <c r="N43" s="224"/>
      <c r="O43" s="224"/>
      <c r="P43" s="224"/>
      <c r="Q43">
        <v>40</v>
      </c>
      <c r="R43" s="253">
        <f t="shared" si="17"/>
        <v>306000</v>
      </c>
      <c r="S43" t="str">
        <f t="shared" si="12"/>
        <v>30 - Redução de Refugo</v>
      </c>
      <c r="T43" t="str">
        <f t="shared" si="13"/>
        <v>Jarinu</v>
      </c>
      <c r="U43" s="253">
        <f t="shared" si="8"/>
        <v>114750</v>
      </c>
      <c r="V43" s="224">
        <f t="shared" ca="1" si="18"/>
        <v>114750</v>
      </c>
      <c r="W43" s="224" t="str">
        <f t="shared" ca="1" si="19"/>
        <v/>
      </c>
      <c r="X43" t="str">
        <f t="shared" si="14"/>
        <v>⏳ Em Execução</v>
      </c>
      <c r="Y43" s="716">
        <f t="shared" si="15"/>
        <v>46143</v>
      </c>
      <c r="Z43" t="str">
        <f t="shared" si="16"/>
        <v>OK</v>
      </c>
    </row>
    <row r="44" spans="1:26" x14ac:dyDescent="0.3">
      <c r="A44">
        <v>41</v>
      </c>
      <c r="B44" s="224">
        <f>IFERROR(LARGE(Diadema!$I$55:$I$176,A44)," ")</f>
        <v>13608</v>
      </c>
      <c r="C44" t="str">
        <f>IFERROR(
   HYPERLINK(
      INDEX(Diadema!$D$55:$D$176,
             MATCH(B44,Diadema!$I$55:$I$176,0)
      ),
      INDEX(Diadema!$C$55:$C$176,
             MATCH(B44,Diadema!$I$55:$I$176,0)
      )
   ),
   ""
)</f>
        <v>33 - Redução de Peso Bruto do item MB003610LA</v>
      </c>
      <c r="D44" s="719">
        <f t="shared" si="6"/>
        <v>2.9195087253767291E-3</v>
      </c>
      <c r="E44" s="339">
        <f t="shared" si="11"/>
        <v>0.99143127915358786</v>
      </c>
      <c r="F44" t="str">
        <f t="shared" si="0"/>
        <v>Diadema</v>
      </c>
      <c r="G44" s="224" t="str">
        <f>_xlfn.XLOOKUP(C44,Diadema!$C$55:$C$176,Diadema!$O$55:$O$176)</f>
        <v>✓ Concluído</v>
      </c>
      <c r="H44" s="224" t="str">
        <f>_xlfn.XLOOKUP(C44,Diadema!$C$55:$C$176,Diadema!$M$55:$M$176," ")</f>
        <v>OK</v>
      </c>
      <c r="I44" s="716">
        <f>_xlfn.XLOOKUP(C44,Diadema!$C$55:$C$176,Diadema!$J$55:$J$176)</f>
        <v>46082</v>
      </c>
      <c r="J44" s="224">
        <f ca="1">INDEX(Diadema!$AR$55:$AR$176, MATCH(C44, Diadema!$C$55:$C$176, 0))</f>
        <v>5611.72</v>
      </c>
      <c r="K44" s="224" cm="1">
        <f t="array" aca="1" ref="K44" ca="1">INDEX(Diadema!$AR$55:$AR$176, MATCH(C44, Diadema!$C$55:$C$176, 0) + 1)</f>
        <v>5323.1352569422743</v>
      </c>
      <c r="L44" s="224">
        <f>INDEX(Diadema!$AK$55:$AK$176, MATCH(C44, Diadema!$C$55:$C$176, 0))</f>
        <v>11223.44</v>
      </c>
      <c r="M44" s="224"/>
      <c r="N44" s="224"/>
      <c r="O44" s="224"/>
      <c r="P44" s="224"/>
      <c r="Q44">
        <v>41</v>
      </c>
      <c r="R44" s="253">
        <f t="shared" si="17"/>
        <v>301000</v>
      </c>
      <c r="S44" t="str">
        <f t="shared" si="12"/>
        <v>32 - Empilhadeiras Elétricas</v>
      </c>
      <c r="T44" t="str">
        <f t="shared" si="13"/>
        <v>Jarinu</v>
      </c>
      <c r="U44" s="253">
        <f t="shared" si="8"/>
        <v>53448.612000000008</v>
      </c>
      <c r="V44" s="224" t="str">
        <f t="shared" ca="1" si="18"/>
        <v/>
      </c>
      <c r="W44" s="224" t="str">
        <f t="shared" ca="1" si="19"/>
        <v/>
      </c>
      <c r="X44" t="str">
        <f t="shared" si="14"/>
        <v>⏳ Em Execução</v>
      </c>
      <c r="Y44" s="716">
        <f t="shared" si="15"/>
        <v>46235</v>
      </c>
      <c r="Z44" t="str">
        <f t="shared" si="16"/>
        <v>OK</v>
      </c>
    </row>
    <row r="45" spans="1:26" x14ac:dyDescent="0.3">
      <c r="A45">
        <v>42</v>
      </c>
      <c r="B45" s="224">
        <f>IFERROR(LARGE(Diadema!$I$55:$I$176,A45)," ")</f>
        <v>9078</v>
      </c>
      <c r="C45" t="str">
        <f>IFERROR(
   HYPERLINK(
      INDEX(Diadema!$D$55:$D$176,
             MATCH(B45,Diadema!$I$55:$I$176,0)
      ),
      INDEX(Diadema!$C$55:$C$176,
             MATCH(B45,Diadema!$I$55:$I$176,0)
      )
   ),
   ""
)</f>
        <v>09 - Taxa de Esgoto</v>
      </c>
      <c r="D45" s="719">
        <f t="shared" si="6"/>
        <v>1.9476264115939116E-3</v>
      </c>
      <c r="E45" s="339">
        <f t="shared" si="11"/>
        <v>0.99337890556518182</v>
      </c>
      <c r="F45" t="str">
        <f t="shared" si="0"/>
        <v>Diadema</v>
      </c>
      <c r="G45" s="224" t="str">
        <f>_xlfn.XLOOKUP(C45,Diadema!$C$55:$C$176,Diadema!$O$55:$O$176)</f>
        <v>⏳ Em Execução</v>
      </c>
      <c r="H45" s="224">
        <f>_xlfn.XLOOKUP(C45,Diadema!$C$55:$C$176,Diadema!$M$55:$M$176," ")</f>
        <v>0</v>
      </c>
      <c r="I45" s="716">
        <f>_xlfn.XLOOKUP(C45,Diadema!$C$55:$C$176,Diadema!$J$55:$J$176)</f>
        <v>46235</v>
      </c>
      <c r="J45" s="224" t="str">
        <f ca="1">INDEX(Diadema!$AR$55:$AR$176, MATCH(C45, Diadema!$C$55:$C$176, 0))</f>
        <v/>
      </c>
      <c r="K45" s="224" t="str" cm="1">
        <f t="array" aca="1" ref="K45" ca="1">INDEX(Diadema!$AR$55:$AR$176, MATCH(C45, Diadema!$C$55:$C$176, 0) + 1)</f>
        <v/>
      </c>
      <c r="L45" s="224">
        <f>INDEX(Diadema!$AK$55:$AK$176, MATCH(C45, Diadema!$C$55:$C$176, 0))</f>
        <v>9078</v>
      </c>
      <c r="M45" s="224"/>
      <c r="N45" s="224"/>
      <c r="O45" s="224"/>
      <c r="P45" s="224"/>
      <c r="Q45">
        <v>42</v>
      </c>
      <c r="R45" s="253">
        <f t="shared" si="17"/>
        <v>300000.00099999999</v>
      </c>
      <c r="S45" t="str">
        <f t="shared" si="12"/>
        <v xml:space="preserve">17 - Consumo de água </v>
      </c>
      <c r="T45" t="str">
        <f t="shared" si="13"/>
        <v>Ferraz</v>
      </c>
      <c r="U45" s="253">
        <f t="shared" si="8"/>
        <v>76753.75</v>
      </c>
      <c r="V45" s="224">
        <f t="shared" ca="1" si="18"/>
        <v>179092.08333333334</v>
      </c>
      <c r="W45" s="224">
        <f t="shared" ca="1" si="19"/>
        <v>45098</v>
      </c>
      <c r="X45" t="str">
        <f t="shared" si="14"/>
        <v>✓ Concluído</v>
      </c>
      <c r="Y45" s="716">
        <f t="shared" si="15"/>
        <v>46023</v>
      </c>
      <c r="Z45" t="str">
        <f t="shared" si="16"/>
        <v>OK</v>
      </c>
    </row>
    <row r="46" spans="1:26" x14ac:dyDescent="0.3">
      <c r="A46">
        <v>43</v>
      </c>
      <c r="B46" s="224">
        <f>IFERROR(LARGE(Diadema!$I$55:$I$176,A46)," ")</f>
        <v>4840</v>
      </c>
      <c r="C46" t="str">
        <f>IFERROR(
   HYPERLINK(
      INDEX(Diadema!$D$55:$D$176,
             MATCH(B46,Diadema!$I$55:$I$176,0)
      ),
      INDEX(Diadema!$C$55:$C$176,
             MATCH(B46,Diadema!$I$55:$I$176,0)
      )
   ),
   ""
)</f>
        <v>46 - AGUA DESMINERALIZADA</v>
      </c>
      <c r="D46" s="719">
        <f t="shared" si="6"/>
        <v>1.0383908164920172E-3</v>
      </c>
      <c r="E46" s="339">
        <f t="shared" si="11"/>
        <v>0.99441729638167387</v>
      </c>
      <c r="F46" t="str">
        <f t="shared" si="0"/>
        <v>Diadema</v>
      </c>
      <c r="G46" s="224" t="str">
        <f>_xlfn.XLOOKUP(C46,Diadema!$C$55:$C$176,Diadema!$O$55:$O$176)</f>
        <v>✓ Concluído</v>
      </c>
      <c r="H46" s="224">
        <f>_xlfn.XLOOKUP(C46,Diadema!$C$55:$C$176,Diadema!$M$55:$M$176," ")</f>
        <v>0</v>
      </c>
      <c r="I46" s="716">
        <f>_xlfn.XLOOKUP(C46,Diadema!$C$55:$C$176,Diadema!$J$55:$J$176)</f>
        <v>46113</v>
      </c>
      <c r="J46" s="224">
        <f ca="1">INDEX(Diadema!$AR$55:$AR$176, MATCH(C46, Diadema!$C$55:$C$176, 0))</f>
        <v>2151.1111111111113</v>
      </c>
      <c r="K46" s="224" t="str" cm="1">
        <f t="array" aca="1" ref="K46" ca="1">INDEX(Diadema!$AR$55:$AR$176, MATCH(C46, Diadema!$C$55:$C$176, 0) + 1)</f>
        <v/>
      </c>
      <c r="L46" s="224">
        <f>INDEX(Diadema!$AK$55:$AK$176, MATCH(C46, Diadema!$C$55:$C$176, 0))</f>
        <v>4840</v>
      </c>
      <c r="M46" s="224"/>
      <c r="N46" s="224"/>
      <c r="O46" s="224"/>
      <c r="P46" s="224"/>
      <c r="Q46">
        <v>43</v>
      </c>
      <c r="R46" s="253">
        <f t="shared" si="17"/>
        <v>300000.00008899998</v>
      </c>
      <c r="S46" t="str">
        <f t="shared" si="12"/>
        <v>21 - Redução de MOD CSR61014</v>
      </c>
      <c r="T46" t="str">
        <f t="shared" si="13"/>
        <v>Jarinu</v>
      </c>
      <c r="U46" s="253">
        <f t="shared" si="8"/>
        <v>81818.181842454534</v>
      </c>
      <c r="V46" s="224">
        <f t="shared" ca="1" si="18"/>
        <v>163636.3636849091</v>
      </c>
      <c r="W46" s="224" t="str">
        <f t="shared" ca="1" si="19"/>
        <v/>
      </c>
      <c r="X46" t="str">
        <f t="shared" si="14"/>
        <v>✓ Concluído</v>
      </c>
      <c r="Y46" s="716">
        <f t="shared" si="15"/>
        <v>46054</v>
      </c>
      <c r="Z46" t="str">
        <f t="shared" si="16"/>
        <v/>
      </c>
    </row>
    <row r="47" spans="1:26" x14ac:dyDescent="0.3">
      <c r="A47">
        <v>44</v>
      </c>
      <c r="B47" s="224">
        <f>IFERROR(LARGE(Diadema!$I$55:$I$176,A47)," ")</f>
        <v>4200.0006659999999</v>
      </c>
      <c r="C47" t="str">
        <f>IFERROR(
   HYPERLINK(
      INDEX(Diadema!$D$55:$D$176,
             MATCH(B47,Diadema!$I$55:$I$176,0)
      ),
      INDEX(Diadema!$C$55:$C$176,
             MATCH(B47,Diadema!$I$55:$I$176,0)
      )
   ),
   ""
)</f>
        <v>28 - DA000487Z_DA000488Z - STC Scania P</v>
      </c>
      <c r="D47" s="719">
        <f t="shared" si="6"/>
        <v>9.0108308281709824E-4</v>
      </c>
      <c r="E47" s="339">
        <f t="shared" si="11"/>
        <v>0.99531837946449098</v>
      </c>
      <c r="F47" t="str">
        <f t="shared" si="0"/>
        <v>Diadema</v>
      </c>
      <c r="G47" s="224" t="str">
        <f>_xlfn.XLOOKUP(C47,Diadema!$C$55:$C$176,Diadema!$O$55:$O$176)</f>
        <v>✓ Concluído</v>
      </c>
      <c r="H47" s="224" t="str">
        <f>_xlfn.XLOOKUP(C47,Diadema!$C$55:$C$176,Diadema!$M$55:$M$176," ")</f>
        <v>Não Ok</v>
      </c>
      <c r="I47" s="716">
        <f>_xlfn.XLOOKUP(C47,Diadema!$C$55:$C$176,Diadema!$J$55:$J$176)</f>
        <v>46174</v>
      </c>
      <c r="J47" s="224">
        <f ca="1">INDEX(Diadema!$AR$55:$AR$176, MATCH(C47, Diadema!$C$55:$C$176, 0))</f>
        <v>1200.0001902857143</v>
      </c>
      <c r="K47" s="224" t="str" cm="1">
        <f t="array" aca="1" ref="K47" ca="1">INDEX(Diadema!$AR$55:$AR$176, MATCH(C47, Diadema!$C$55:$C$176, 0) + 1)</f>
        <v/>
      </c>
      <c r="L47" s="224">
        <f>INDEX(Diadema!$AK$55:$AK$176, MATCH(C47, Diadema!$C$55:$C$176, 0))</f>
        <v>4200.0006659999999</v>
      </c>
      <c r="M47" s="224"/>
      <c r="N47" s="224"/>
      <c r="O47" s="224"/>
      <c r="P47" s="224"/>
      <c r="Q47">
        <v>44</v>
      </c>
      <c r="R47" s="253">
        <f t="shared" si="17"/>
        <v>300000</v>
      </c>
      <c r="S47" t="str">
        <f t="shared" si="12"/>
        <v>22 - Redução de MOD CSR61015</v>
      </c>
      <c r="T47" t="str">
        <f t="shared" si="13"/>
        <v>Jarinu</v>
      </c>
      <c r="U47" s="253">
        <f t="shared" si="8"/>
        <v>81818.181818181823</v>
      </c>
      <c r="V47" s="224">
        <f t="shared" ca="1" si="18"/>
        <v>163636.36363636362</v>
      </c>
      <c r="W47" s="224" t="str">
        <f t="shared" ca="1" si="19"/>
        <v/>
      </c>
      <c r="X47" t="str">
        <f t="shared" si="14"/>
        <v>✓ Concluído</v>
      </c>
      <c r="Y47" s="716">
        <f t="shared" si="15"/>
        <v>46054</v>
      </c>
      <c r="Z47" t="str">
        <f t="shared" si="16"/>
        <v/>
      </c>
    </row>
    <row r="48" spans="1:26" x14ac:dyDescent="0.3">
      <c r="A48">
        <v>45</v>
      </c>
      <c r="B48" s="224">
        <f>IFERROR(LARGE(Diadema!$I$55:$I$176,A48)," ")</f>
        <v>4200</v>
      </c>
      <c r="C48" t="str">
        <f>IFERROR(
   HYPERLINK(
      INDEX(Diadema!$D$55:$D$176,
             MATCH(B48,Diadema!$I$55:$I$176,0)
      ),
      INDEX(Diadema!$C$55:$C$176,
             MATCH(B48,Diadema!$I$55:$I$176,0)
      )
   ),
   ""
)</f>
        <v>38 - Redução de Peso Bruto do item SV000205LB</v>
      </c>
      <c r="D48" s="719">
        <f t="shared" si="6"/>
        <v>9.0108293993108922E-4</v>
      </c>
      <c r="E48" s="339">
        <f t="shared" si="11"/>
        <v>0.99621946240442205</v>
      </c>
      <c r="F48" t="str">
        <f t="shared" si="0"/>
        <v>Diadema</v>
      </c>
      <c r="G48" s="224" t="str">
        <f>_xlfn.XLOOKUP(C48,Diadema!$C$55:$C$176,Diadema!$O$55:$O$176)</f>
        <v>✓ Concluído</v>
      </c>
      <c r="H48" s="224" t="str">
        <f>_xlfn.XLOOKUP(C48,Diadema!$C$55:$C$176,Diadema!$M$55:$M$176," ")</f>
        <v>OK</v>
      </c>
      <c r="I48" s="716">
        <f>_xlfn.XLOOKUP(C48,Diadema!$C$55:$C$176,Diadema!$J$55:$J$176)</f>
        <v>46082</v>
      </c>
      <c r="J48" s="224">
        <f ca="1">INDEX(Diadema!$AR$55:$AR$176, MATCH(C48, Diadema!$C$55:$C$176, 0))</f>
        <v>1773.42</v>
      </c>
      <c r="K48" s="224" cm="1">
        <f t="array" aca="1" ref="K48" ca="1">INDEX(Diadema!$AR$55:$AR$176, MATCH(C48, Diadema!$C$55:$C$176, 0) + 1)</f>
        <v>2542.9240818315002</v>
      </c>
      <c r="L48" s="224">
        <f>INDEX(Diadema!$AK$55:$AK$176, MATCH(C48, Diadema!$C$55:$C$176, 0))</f>
        <v>3546.8400000000006</v>
      </c>
      <c r="M48" s="224"/>
      <c r="N48" s="224"/>
      <c r="O48" s="224"/>
      <c r="P48" s="224"/>
      <c r="Q48">
        <v>45</v>
      </c>
      <c r="R48" s="253">
        <f t="shared" si="17"/>
        <v>296000</v>
      </c>
      <c r="S48" t="str">
        <f t="shared" si="12"/>
        <v>27-Redução no tempo de setup na Linha Schuler.</v>
      </c>
      <c r="T48" t="str">
        <f t="shared" si="13"/>
        <v>São leopoldo</v>
      </c>
      <c r="U48" s="253">
        <f t="shared" si="8"/>
        <v>296000</v>
      </c>
      <c r="V48" s="224" t="str">
        <f t="shared" ca="1" si="18"/>
        <v/>
      </c>
      <c r="W48" s="224" t="str">
        <f t="shared" ca="1" si="19"/>
        <v/>
      </c>
      <c r="X48" t="str">
        <f t="shared" si="14"/>
        <v>⏳ Em Execução</v>
      </c>
      <c r="Y48" s="716">
        <f t="shared" si="15"/>
        <v>46296</v>
      </c>
      <c r="Z48" t="str">
        <f t="shared" si="16"/>
        <v/>
      </c>
    </row>
    <row r="49" spans="1:26" x14ac:dyDescent="0.3">
      <c r="A49">
        <v>46</v>
      </c>
      <c r="B49" s="224">
        <f>IFERROR(LARGE(Diadema!$I$55:$I$176,A49)," ")</f>
        <v>3279.77</v>
      </c>
      <c r="C49" t="str">
        <f>IFERROR(
   HYPERLINK(
      INDEX(Diadema!$D$55:$D$176,
             MATCH(B49,Diadema!$I$55:$I$176,0)
      ),
      INDEX(Diadema!$C$55:$C$176,
             MATCH(B49,Diadema!$I$55:$I$176,0)
      )
   ),
   ""
)</f>
        <v>15 - Kaizem - Botões BI - MANUAL</v>
      </c>
      <c r="D49" s="719">
        <f t="shared" si="6"/>
        <v>7.0365352235661634E-4</v>
      </c>
      <c r="E49" s="339">
        <f t="shared" ref="E49:E63" si="20">IFERROR(D49+E48," ")</f>
        <v>0.99692311592677862</v>
      </c>
      <c r="F49" t="str">
        <f t="shared" si="0"/>
        <v>Diadema</v>
      </c>
      <c r="G49" s="224" t="str">
        <f>_xlfn.XLOOKUP(C49,Diadema!$C$55:$C$176,Diadema!$O$55:$O$176)</f>
        <v>✓ Concluído</v>
      </c>
      <c r="H49" s="224" t="str">
        <f>_xlfn.XLOOKUP(C49,Diadema!$C$55:$C$176,Diadema!$M$55:$M$176," ")</f>
        <v>OK</v>
      </c>
      <c r="I49" s="716">
        <f>_xlfn.XLOOKUP(C49,Diadema!$C$55:$C$176,Diadema!$J$55:$J$176)</f>
        <v>46023</v>
      </c>
      <c r="J49" s="224">
        <f ca="1">INDEX(Diadema!$AR$55:$AR$176, MATCH(C49, Diadema!$C$55:$C$176, 0))</f>
        <v>3656.94</v>
      </c>
      <c r="K49" s="224"/>
      <c r="L49" s="224">
        <f>INDEX(Diadema!$AK$55:$AK$176, MATCH(C49, Diadema!$C$55:$C$176, 0))</f>
        <v>3656.94</v>
      </c>
      <c r="M49" s="224"/>
      <c r="N49" s="224"/>
      <c r="O49" s="224"/>
      <c r="P49" s="224"/>
      <c r="Q49">
        <v>46</v>
      </c>
      <c r="R49" s="253">
        <f t="shared" si="17"/>
        <v>288000.00300000003</v>
      </c>
      <c r="S49" t="str">
        <f t="shared" si="12"/>
        <v>06 - Produtividade</v>
      </c>
      <c r="T49" t="str">
        <f t="shared" si="13"/>
        <v>Diadema</v>
      </c>
      <c r="U49" s="253">
        <f t="shared" si="8"/>
        <v>189414</v>
      </c>
      <c r="V49" s="224">
        <f t="shared" ca="1" si="18"/>
        <v>71030.25</v>
      </c>
      <c r="W49" s="224">
        <f t="shared" ca="1" si="19"/>
        <v>17242</v>
      </c>
      <c r="X49" t="str">
        <f t="shared" si="14"/>
        <v>✓ Concluído</v>
      </c>
      <c r="Y49" s="716">
        <f t="shared" si="15"/>
        <v>46143</v>
      </c>
      <c r="Z49" t="str">
        <f t="shared" si="16"/>
        <v>OK</v>
      </c>
    </row>
    <row r="50" spans="1:26" x14ac:dyDescent="0.3">
      <c r="A50">
        <v>47</v>
      </c>
      <c r="B50" s="224">
        <f>IFERROR(LARGE(Diadema!$I$55:$I$176,A50)," ")</f>
        <v>3262</v>
      </c>
      <c r="C50" t="str">
        <f>IFERROR(
   HYPERLINK(
      INDEX(Diadema!$D$55:$D$176,
             MATCH(B50,Diadema!$I$55:$I$176,0)
      ),
      INDEX(Diadema!$C$55:$C$176,
             MATCH(B50,Diadema!$I$55:$I$176,0)
      )
   ),
   ""
)</f>
        <v>34 - Redução de Peso Bruto do item MB003554LA</v>
      </c>
      <c r="D50" s="719">
        <f t="shared" si="6"/>
        <v>6.9984108334647933E-4</v>
      </c>
      <c r="E50" s="339">
        <f t="shared" si="20"/>
        <v>0.99762295701012516</v>
      </c>
      <c r="F50" t="str">
        <f t="shared" si="0"/>
        <v>Diadema</v>
      </c>
      <c r="G50" s="224" t="str">
        <f>_xlfn.XLOOKUP(C50,Diadema!$C$55:$C$176,Diadema!$O$55:$O$176)</f>
        <v>✓ Concluído</v>
      </c>
      <c r="H50" s="224" t="str">
        <f>_xlfn.XLOOKUP(C50,Diadema!$C$55:$C$176,Diadema!$M$55:$M$176," ")</f>
        <v>OK</v>
      </c>
      <c r="I50" s="716">
        <f>_xlfn.XLOOKUP(C50,Diadema!$C$55:$C$176,Diadema!$J$55:$J$176)</f>
        <v>46082</v>
      </c>
      <c r="J50" s="224">
        <f ca="1">INDEX(Diadema!$AR$55:$AR$176, MATCH(C50, Diadema!$C$55:$C$176, 0))</f>
        <v>1193.5350000000001</v>
      </c>
      <c r="K50" s="224"/>
      <c r="L50" s="224">
        <f>INDEX(Diadema!$AK$55:$AK$176, MATCH(C50, Diadema!$C$55:$C$176, 0))</f>
        <v>2387.0700000000002</v>
      </c>
      <c r="M50" s="224"/>
      <c r="N50" s="224"/>
      <c r="O50" s="224"/>
      <c r="P50" s="224"/>
      <c r="Q50">
        <v>47</v>
      </c>
      <c r="R50" s="253">
        <f t="shared" si="17"/>
        <v>288000.00009897997</v>
      </c>
      <c r="S50" t="str">
        <f t="shared" si="12"/>
        <v>26 - Redução_de_MP - DJ000059Z_DJ000060Z</v>
      </c>
      <c r="T50" t="str">
        <f t="shared" si="13"/>
        <v>Diadema</v>
      </c>
      <c r="U50" s="253">
        <f t="shared" si="8"/>
        <v>175018.01999999996</v>
      </c>
      <c r="V50" s="224">
        <f t="shared" ca="1" si="18"/>
        <v>65631.757499999992</v>
      </c>
      <c r="W50" s="224">
        <f t="shared" ca="1" si="19"/>
        <v>51802.779346892305</v>
      </c>
      <c r="X50" t="str">
        <f t="shared" si="14"/>
        <v>✓ Concluído</v>
      </c>
      <c r="Y50" s="716">
        <f t="shared" si="15"/>
        <v>46143</v>
      </c>
      <c r="Z50" t="str">
        <f t="shared" si="16"/>
        <v>OK</v>
      </c>
    </row>
    <row r="51" spans="1:26" x14ac:dyDescent="0.3">
      <c r="A51">
        <v>48</v>
      </c>
      <c r="B51" s="224">
        <f>IFERROR(LARGE(Diadema!$I$55:$I$176,A51)," ")</f>
        <v>2928</v>
      </c>
      <c r="C51" t="str">
        <f>IFERROR(
   HYPERLINK(
      INDEX(Diadema!$D$55:$D$176,
             MATCH(B51,Diadema!$I$55:$I$176,0)
      ),
      INDEX(Diadema!$C$55:$C$176,
             MATCH(B51,Diadema!$I$55:$I$176,0)
      )
   ),
   ""
)</f>
        <v>10 - Padronização de arame de solda</v>
      </c>
      <c r="D51" s="719">
        <f t="shared" si="6"/>
        <v>6.281835352662451E-4</v>
      </c>
      <c r="E51" s="339">
        <f t="shared" si="20"/>
        <v>0.99825114054539144</v>
      </c>
      <c r="F51" t="str">
        <f t="shared" si="0"/>
        <v>Diadema</v>
      </c>
      <c r="G51" s="224" t="str">
        <f>_xlfn.XLOOKUP(C51,Diadema!$C$55:$C$176,Diadema!$O$55:$O$176)</f>
        <v>⏳ Em Execução</v>
      </c>
      <c r="H51" s="224">
        <f>_xlfn.XLOOKUP(C51,Diadema!$C$55:$C$176,Diadema!$M$55:$M$176," ")</f>
        <v>0</v>
      </c>
      <c r="I51" s="716">
        <f>_xlfn.XLOOKUP(C51,Diadema!$C$55:$C$176,Diadema!$J$55:$J$176)</f>
        <v>0</v>
      </c>
      <c r="J51" s="224" t="str">
        <f ca="1">INDEX(Diadema!$AR$55:$AR$176, MATCH(C51, Diadema!$C$55:$C$176, 0))</f>
        <v/>
      </c>
      <c r="K51" s="224"/>
      <c r="L51" s="224">
        <f>INDEX(Diadema!$AK$55:$AK$176, MATCH(C51, Diadema!$C$55:$C$176, 0))</f>
        <v>0</v>
      </c>
      <c r="M51" s="224"/>
      <c r="N51" s="224"/>
      <c r="O51" s="224"/>
      <c r="P51" s="224"/>
      <c r="Q51">
        <v>48</v>
      </c>
      <c r="R51" s="253">
        <f t="shared" si="17"/>
        <v>274259.52</v>
      </c>
      <c r="S51" t="str">
        <f t="shared" si="12"/>
        <v>Troca de fonte do arame de solda de Belgo para Gerdau</v>
      </c>
      <c r="T51" t="str">
        <f t="shared" si="13"/>
        <v>Compras</v>
      </c>
      <c r="U51" s="253">
        <f t="shared" si="8"/>
        <v>274259.52</v>
      </c>
      <c r="V51" s="224">
        <f t="shared" ca="1" si="18"/>
        <v>78359.862857142856</v>
      </c>
      <c r="W51" s="224" t="str">
        <f t="shared" ca="1" si="19"/>
        <v/>
      </c>
      <c r="X51" t="str">
        <f t="shared" si="14"/>
        <v>✓ Concluído</v>
      </c>
      <c r="Y51" s="716">
        <f t="shared" si="15"/>
        <v>46174</v>
      </c>
      <c r="Z51" t="str">
        <f t="shared" si="16"/>
        <v/>
      </c>
    </row>
    <row r="52" spans="1:26" x14ac:dyDescent="0.3">
      <c r="A52">
        <v>49</v>
      </c>
      <c r="B52" s="224">
        <f>IFERROR(LARGE(Diadema!$I$55:$I$176,A52)," ")</f>
        <v>2000</v>
      </c>
      <c r="C52" t="str">
        <f>IFERROR(
   HYPERLINK(
      INDEX(Diadema!$D$55:$D$176,
             MATCH(B52,Diadema!$I$55:$I$176,0)
      ),
      INDEX(Diadema!$C$55:$C$176,
             MATCH(B52,Diadema!$I$55:$I$176,0)
      )
   ),
   ""
)</f>
        <v>37 - Redução de Peso Bruto do item MB003673LD</v>
      </c>
      <c r="D52" s="719">
        <f t="shared" si="6"/>
        <v>4.2908711425289966E-4</v>
      </c>
      <c r="E52" s="339">
        <f t="shared" si="20"/>
        <v>0.99868022765964437</v>
      </c>
      <c r="F52" t="str">
        <f t="shared" si="0"/>
        <v>Diadema</v>
      </c>
      <c r="G52" s="224" t="str">
        <f>_xlfn.XLOOKUP(C52,Diadema!$C$55:$C$176,Diadema!$O$55:$O$176)</f>
        <v>✓ Concluído</v>
      </c>
      <c r="H52" s="224" t="str">
        <f>_xlfn.XLOOKUP(C52,Diadema!$C$55:$C$176,Diadema!$M$55:$M$176," ")</f>
        <v>OK</v>
      </c>
      <c r="I52" s="716">
        <f>_xlfn.XLOOKUP(C52,Diadema!$C$55:$C$176,Diadema!$J$55:$J$176)</f>
        <v>46082</v>
      </c>
      <c r="J52" s="224">
        <f ca="1">INDEX(Diadema!$AR$55:$AR$176, MATCH(C52, Diadema!$C$55:$C$176, 0))</f>
        <v>1120.9549999999999</v>
      </c>
      <c r="K52" s="224"/>
      <c r="L52" s="224">
        <f>INDEX(Diadema!$AK$55:$AK$176, MATCH(C52, Diadema!$C$55:$C$176, 0))</f>
        <v>2241.91</v>
      </c>
      <c r="M52" s="224"/>
      <c r="N52" s="224"/>
      <c r="O52" s="224"/>
      <c r="P52" s="224"/>
      <c r="Q52">
        <v>49</v>
      </c>
      <c r="R52" s="253">
        <f t="shared" si="17"/>
        <v>270000</v>
      </c>
      <c r="S52" t="str">
        <f t="shared" si="12"/>
        <v>23 - Redução do peso bruto VW000581Z / VW000582Z</v>
      </c>
      <c r="T52" t="str">
        <f t="shared" si="13"/>
        <v>Diadema</v>
      </c>
      <c r="U52" s="253">
        <f t="shared" si="8"/>
        <v>128107.04000000001</v>
      </c>
      <c r="V52" s="224" t="str">
        <f t="shared" ca="1" si="18"/>
        <v/>
      </c>
      <c r="W52" s="224" t="str">
        <f t="shared" ca="1" si="19"/>
        <v/>
      </c>
      <c r="X52" t="str">
        <f t="shared" si="14"/>
        <v>⏳ Em Execução</v>
      </c>
      <c r="Y52" s="716">
        <f t="shared" si="15"/>
        <v>46235</v>
      </c>
      <c r="Z52" t="str">
        <f t="shared" si="16"/>
        <v>OK</v>
      </c>
    </row>
    <row r="53" spans="1:26" x14ac:dyDescent="0.3">
      <c r="A53">
        <v>50</v>
      </c>
      <c r="B53" s="224">
        <f>IFERROR(LARGE(Diadema!$I$55:$I$176,A53)," ")</f>
        <v>1890</v>
      </c>
      <c r="C53" t="str">
        <f>IFERROR(
   HYPERLINK(
      INDEX(Diadema!$D$55:$D$176,
             MATCH(B53,Diadema!$I$55:$I$176,0)
      ),
      INDEX(Diadema!$C$55:$C$176,
             MATCH(B53,Diadema!$I$55:$I$176,0)
      )
   ),
   ""
)</f>
        <v>13 - Redução de Componente - 4065 de 6 para 4</v>
      </c>
      <c r="D53" s="719">
        <f t="shared" si="6"/>
        <v>4.0548732296899015E-4</v>
      </c>
      <c r="E53" s="339">
        <f t="shared" si="20"/>
        <v>0.99908571498261334</v>
      </c>
      <c r="F53" t="str">
        <f t="shared" si="0"/>
        <v>Diadema</v>
      </c>
      <c r="G53" s="224" t="str">
        <f>_xlfn.XLOOKUP(C53,Diadema!$C$55:$C$176,Diadema!$O$55:$O$176)</f>
        <v>✓ Concluído</v>
      </c>
      <c r="H53" s="224" t="str">
        <f>_xlfn.XLOOKUP(C53,Diadema!$C$55:$C$176,Diadema!$M$55:$M$176," ")</f>
        <v>Não Ok</v>
      </c>
      <c r="I53" s="716">
        <f>_xlfn.XLOOKUP(C53,Diadema!$C$55:$C$176,Diadema!$J$55:$J$176)</f>
        <v>46113</v>
      </c>
      <c r="J53" s="224">
        <f ca="1">INDEX(Diadema!$AR$55:$AR$176, MATCH(C53, Diadema!$C$55:$C$176, 0))</f>
        <v>840</v>
      </c>
      <c r="K53" s="224"/>
      <c r="L53" s="224">
        <f>INDEX(Diadema!$AK$55:$AK$176, MATCH(C53, Diadema!$C$55:$C$176, 0))</f>
        <v>1890</v>
      </c>
      <c r="M53" s="224"/>
      <c r="N53" s="224"/>
      <c r="O53" s="224"/>
      <c r="P53" s="224"/>
      <c r="Q53">
        <v>50</v>
      </c>
      <c r="R53" s="253">
        <f t="shared" si="17"/>
        <v>255939.20000000001</v>
      </c>
      <c r="S53" t="str">
        <f t="shared" si="12"/>
        <v>26-Aumento de produtividade na LINHA SCHULER</v>
      </c>
      <c r="T53" t="str">
        <f t="shared" si="13"/>
        <v>São leopoldo</v>
      </c>
      <c r="U53" s="253">
        <f t="shared" si="8"/>
        <v>255939.20000000001</v>
      </c>
      <c r="V53" s="224" t="str">
        <f t="shared" ca="1" si="18"/>
        <v/>
      </c>
      <c r="W53" s="224" t="str">
        <f t="shared" ca="1" si="19"/>
        <v/>
      </c>
      <c r="X53" t="str">
        <f t="shared" si="14"/>
        <v>⏳ Em Execução</v>
      </c>
      <c r="Y53" s="716">
        <f t="shared" si="15"/>
        <v>46296</v>
      </c>
      <c r="Z53" t="str">
        <f t="shared" si="16"/>
        <v/>
      </c>
    </row>
    <row r="54" spans="1:26" x14ac:dyDescent="0.3">
      <c r="A54">
        <v>51</v>
      </c>
      <c r="B54" s="224">
        <f>IFERROR(LARGE(Diadema!$I$55:$I$176,A54)," ")</f>
        <v>1800</v>
      </c>
      <c r="C54" t="str">
        <f>IFERROR(
   HYPERLINK(
      INDEX(Diadema!$D$55:$D$176,
             MATCH(B54,Diadema!$I$55:$I$176,0)
      ),
      INDEX(Diadema!$C$55:$C$176,
             MATCH(B54,Diadema!$I$55:$I$176,0)
      )
   ),
   ""
)</f>
        <v>39 - Redução de Peso Bruto do item VB000323LA</v>
      </c>
      <c r="D54" s="719">
        <f t="shared" si="6"/>
        <v>3.8617840282760969E-4</v>
      </c>
      <c r="E54" s="339">
        <f t="shared" si="20"/>
        <v>0.99947189338544096</v>
      </c>
      <c r="F54" t="str">
        <f t="shared" si="0"/>
        <v>Diadema</v>
      </c>
      <c r="G54" s="224" t="str">
        <f>_xlfn.XLOOKUP(C54,Diadema!$C$55:$C$176,Diadema!$O$55:$O$176)</f>
        <v>✓ Concluído</v>
      </c>
      <c r="H54" s="224" t="str">
        <f>_xlfn.XLOOKUP(C54,Diadema!$C$55:$C$176,Diadema!$M$55:$M$176," ")</f>
        <v>OK</v>
      </c>
      <c r="I54" s="716">
        <f>_xlfn.XLOOKUP(C54,Diadema!$C$55:$C$176,Diadema!$J$55:$J$176)</f>
        <v>46082</v>
      </c>
      <c r="J54" s="224">
        <f ca="1">INDEX(Diadema!$AR$55:$AR$176, MATCH(C54, Diadema!$C$55:$C$176, 0))</f>
        <v>792.43499999999995</v>
      </c>
      <c r="K54" s="224"/>
      <c r="L54" s="224">
        <f>INDEX(Diadema!$AK$55:$AK$176, MATCH(C54, Diadema!$C$55:$C$176, 0))</f>
        <v>1584.8700000000001</v>
      </c>
      <c r="M54" s="224"/>
      <c r="N54" s="224"/>
      <c r="O54" s="224"/>
      <c r="P54" s="224"/>
      <c r="Q54">
        <v>51</v>
      </c>
      <c r="R54" s="253">
        <f t="shared" si="17"/>
        <v>242000</v>
      </c>
      <c r="S54" t="str">
        <f t="shared" si="12"/>
        <v>27 - Transferência do processo Volvo da tampa de fogão - Metalsa</v>
      </c>
      <c r="T54" t="str">
        <f t="shared" si="13"/>
        <v>Ferraz</v>
      </c>
      <c r="U54" s="253">
        <f t="shared" si="8"/>
        <v>0</v>
      </c>
      <c r="V54" s="224" t="str">
        <f t="shared" ca="1" si="18"/>
        <v/>
      </c>
      <c r="W54" s="224" t="str">
        <f t="shared" ca="1" si="19"/>
        <v/>
      </c>
      <c r="X54" t="str">
        <f t="shared" si="14"/>
        <v>✓ Concluído</v>
      </c>
      <c r="Y54" s="716">
        <f t="shared" si="15"/>
        <v>46209</v>
      </c>
      <c r="Z54" t="str">
        <f t="shared" si="16"/>
        <v/>
      </c>
    </row>
    <row r="55" spans="1:26" x14ac:dyDescent="0.3">
      <c r="A55">
        <v>52</v>
      </c>
      <c r="B55" s="224">
        <f>IFERROR(LARGE(Diadema!$I$55:$I$176,A55)," ")</f>
        <v>1200</v>
      </c>
      <c r="C55" t="str">
        <f>IFERROR(
   HYPERLINK(
      INDEX(Diadema!$D$55:$D$176,
             MATCH(B55,Diadema!$I$55:$I$176,0)
      ),
      INDEX(Diadema!$C$55:$C$176,
             MATCH(B55,Diadema!$I$55:$I$176,0)
      )
   ),
   ""
)</f>
        <v>40 - Redução de Peso Bruto do item VW001138LA</v>
      </c>
      <c r="D55" s="719">
        <f t="shared" si="6"/>
        <v>2.5745226855173979E-4</v>
      </c>
      <c r="E55" s="339">
        <f t="shared" si="20"/>
        <v>0.99972934565399274</v>
      </c>
      <c r="F55" t="str">
        <f t="shared" si="0"/>
        <v>Diadema</v>
      </c>
      <c r="G55" s="224" t="str">
        <f>_xlfn.XLOOKUP(C55,Diadema!$C$55:$C$176,Diadema!$O$55:$O$176)</f>
        <v>✓ Concluído</v>
      </c>
      <c r="H55" s="224" t="str">
        <f>_xlfn.XLOOKUP(C55,Diadema!$C$55:$C$176,Diadema!$M$55:$M$176," ")</f>
        <v>OK</v>
      </c>
      <c r="I55" s="716">
        <f>_xlfn.XLOOKUP(C55,Diadema!$C$55:$C$176,Diadema!$J$55:$J$176)</f>
        <v>46082</v>
      </c>
      <c r="J55" s="224">
        <f ca="1">INDEX(Diadema!$AR$55:$AR$176, MATCH(C55, Diadema!$C$55:$C$176, 0))</f>
        <v>948.26</v>
      </c>
      <c r="K55" s="224"/>
      <c r="L55" s="224">
        <f>INDEX(Diadema!$AK$55:$AK$176, MATCH(C55, Diadema!$C$55:$C$176, 0))</f>
        <v>1896.5199999999998</v>
      </c>
      <c r="M55" s="224"/>
      <c r="N55" s="224"/>
      <c r="O55" s="224"/>
      <c r="P55" s="224"/>
      <c r="Q55">
        <v>52</v>
      </c>
      <c r="R55" s="253">
        <f t="shared" si="17"/>
        <v>236000</v>
      </c>
      <c r="S55" t="str">
        <f t="shared" si="12"/>
        <v>52 - Redução de MP - GM000458Z / GM000459Z</v>
      </c>
      <c r="T55" t="str">
        <f t="shared" si="13"/>
        <v>Diadema</v>
      </c>
      <c r="U55" s="253">
        <f t="shared" si="8"/>
        <v>77354.64</v>
      </c>
      <c r="V55" s="224">
        <f t="shared" ca="1" si="18"/>
        <v>22101.325714285715</v>
      </c>
      <c r="W55" s="224">
        <f t="shared" ca="1" si="19"/>
        <v>12498.573232819546</v>
      </c>
      <c r="X55" t="str">
        <f t="shared" si="14"/>
        <v>✓ Concluído</v>
      </c>
      <c r="Y55" s="716">
        <f t="shared" si="15"/>
        <v>46174</v>
      </c>
      <c r="Z55" t="str">
        <f t="shared" si="16"/>
        <v>OK</v>
      </c>
    </row>
    <row r="56" spans="1:26" x14ac:dyDescent="0.3">
      <c r="A56">
        <v>53</v>
      </c>
      <c r="B56" s="224">
        <f>IFERROR(LARGE(Diadema!$I$55:$I$176,A56)," ")</f>
        <v>630.00015099999996</v>
      </c>
      <c r="C56" t="str">
        <f>IFERROR(
   HYPERLINK(
      INDEX(Diadema!$D$55:$D$176,
             MATCH(B56,Diadema!$I$55:$I$176,0)
      ),
      INDEX(Diadema!$C$55:$C$176,
             MATCH(B56,Diadema!$I$55:$I$176,0)
      )
   ),
   ""
)</f>
        <v>32 - Redução de Peso Bruto do item MB003594LA</v>
      </c>
      <c r="D56" s="719">
        <f t="shared" si="6"/>
        <v>1.351624733857405E-4</v>
      </c>
      <c r="E56" s="339">
        <f t="shared" si="20"/>
        <v>0.99986450812737848</v>
      </c>
      <c r="F56" t="str">
        <f t="shared" si="0"/>
        <v>Diadema</v>
      </c>
      <c r="G56" s="224" t="str">
        <f>_xlfn.XLOOKUP(C56,Diadema!$C$55:$C$176,Diadema!$O$55:$O$176)</f>
        <v>✓ Concluído</v>
      </c>
      <c r="H56" s="224" t="str">
        <f>_xlfn.XLOOKUP(C56,Diadema!$C$55:$C$176,Diadema!$M$55:$M$176," ")</f>
        <v>OK</v>
      </c>
      <c r="I56" s="716">
        <f>_xlfn.XLOOKUP(C56,Diadema!$C$55:$C$176,Diadema!$J$55:$J$176)</f>
        <v>46082</v>
      </c>
      <c r="J56" s="224">
        <f ca="1">INDEX(Diadema!$AR$55:$AR$176, MATCH(C56, Diadema!$C$55:$C$176, 0))</f>
        <v>262.625</v>
      </c>
      <c r="K56" s="224"/>
      <c r="L56" s="224">
        <f>INDEX(Diadema!$AK$55:$AK$176, MATCH(C56, Diadema!$C$55:$C$176, 0))</f>
        <v>525.25</v>
      </c>
      <c r="M56" s="224"/>
      <c r="N56" s="224"/>
      <c r="O56" s="224"/>
      <c r="P56" s="224"/>
      <c r="Q56">
        <v>53</v>
      </c>
      <c r="R56" s="253">
        <f t="shared" si="17"/>
        <v>230000</v>
      </c>
      <c r="S56" t="str">
        <f t="shared" si="12"/>
        <v>44 - Mudança de fonte Usiminas para Arcelor</v>
      </c>
      <c r="T56" t="str">
        <f t="shared" si="13"/>
        <v>Diadema</v>
      </c>
      <c r="U56" s="253">
        <f t="shared" si="8"/>
        <v>115018</v>
      </c>
      <c r="V56" s="224">
        <f t="shared" ca="1" si="18"/>
        <v>19169.666666666668</v>
      </c>
      <c r="W56" s="224">
        <f t="shared" ca="1" si="19"/>
        <v>28959.052121999986</v>
      </c>
      <c r="X56" t="str">
        <f t="shared" si="14"/>
        <v>⏳ Em Execução</v>
      </c>
      <c r="Y56" s="716">
        <f t="shared" si="15"/>
        <v>46204</v>
      </c>
      <c r="Z56" t="str">
        <f t="shared" si="16"/>
        <v>OK</v>
      </c>
    </row>
    <row r="57" spans="1:26" x14ac:dyDescent="0.3">
      <c r="A57">
        <v>54</v>
      </c>
      <c r="B57" s="224">
        <f>IFERROR(LARGE(Diadema!$I$55:$I$176,A57)," ")</f>
        <v>630</v>
      </c>
      <c r="C57" t="str">
        <f>IFERROR(
   HYPERLINK(
      INDEX(Diadema!$D$55:$D$176,
             MATCH(B57,Diadema!$I$55:$I$176,0)
      ),
      INDEX(Diadema!$C$55:$C$176,
             MATCH(B57,Diadema!$I$55:$I$176,0)
      )
   ),
   ""
)</f>
        <v>36 - Redução de Peso Bruto do item MB003673LA</v>
      </c>
      <c r="D57" s="719">
        <f t="shared" si="6"/>
        <v>1.3516244098966338E-4</v>
      </c>
      <c r="E57" s="339">
        <f t="shared" si="20"/>
        <v>0.99999967056836814</v>
      </c>
      <c r="F57" t="str">
        <f t="shared" si="0"/>
        <v>Diadema</v>
      </c>
      <c r="G57" s="224" t="str">
        <f>_xlfn.XLOOKUP(C57,Diadema!$C$55:$C$176,Diadema!$O$55:$O$176)</f>
        <v>✓ Concluído</v>
      </c>
      <c r="H57" s="224" t="str">
        <f>_xlfn.XLOOKUP(C57,Diadema!$C$55:$C$176,Diadema!$M$55:$M$176," ")</f>
        <v>OK</v>
      </c>
      <c r="I57" s="716">
        <f>_xlfn.XLOOKUP(C57,Diadema!$C$55:$C$176,Diadema!$J$55:$J$176)</f>
        <v>46082</v>
      </c>
      <c r="J57" s="224">
        <f ca="1">INDEX(Diadema!$AR$55:$AR$176, MATCH(C57, Diadema!$C$55:$C$176, 0))</f>
        <v>317.85000000000002</v>
      </c>
      <c r="K57" s="224"/>
      <c r="L57" s="224">
        <f>INDEX(Diadema!$AK$55:$AK$176, MATCH(C57, Diadema!$C$55:$C$176, 0))</f>
        <v>635.70000000000005</v>
      </c>
      <c r="M57" s="224"/>
      <c r="N57" s="224"/>
      <c r="O57" s="224"/>
      <c r="P57" s="224"/>
      <c r="Q57">
        <v>54</v>
      </c>
      <c r="R57" s="253">
        <f t="shared" si="17"/>
        <v>228000</v>
      </c>
      <c r="S57" t="str">
        <f t="shared" si="12"/>
        <v>16 - Eficiência de MO na linha de Solda e Montagem</v>
      </c>
      <c r="T57" t="str">
        <f t="shared" si="13"/>
        <v>Diadema</v>
      </c>
      <c r="U57" s="253">
        <f t="shared" si="8"/>
        <v>152396</v>
      </c>
      <c r="V57" s="224">
        <f t="shared" ca="1" si="18"/>
        <v>76198</v>
      </c>
      <c r="W57" s="224">
        <f t="shared" ca="1" si="19"/>
        <v>72521</v>
      </c>
      <c r="X57" t="str">
        <f t="shared" si="14"/>
        <v>✓ Concluído</v>
      </c>
      <c r="Y57" s="716">
        <f t="shared" si="15"/>
        <v>46082</v>
      </c>
      <c r="Z57" t="str">
        <f t="shared" si="16"/>
        <v>OK</v>
      </c>
    </row>
    <row r="58" spans="1:26" x14ac:dyDescent="0.3">
      <c r="A58">
        <v>55</v>
      </c>
      <c r="B58" s="224">
        <f>IFERROR(LARGE(Diadema!$I$55:$I$176,A58)," ")</f>
        <v>1.5355000000000001</v>
      </c>
      <c r="C58" t="str">
        <f>IFERROR(
   HYPERLINK(
      INDEX(Diadema!$D$55:$D$176,
             MATCH(B58,Diadema!$I$55:$I$176,0)
      ),
      INDEX(Diadema!$C$55:$C$176,
             MATCH(B58,Diadema!$I$55:$I$176,0)
      )
   ),
   ""
)</f>
        <v>11 - Resourcing de DSL para DD</v>
      </c>
      <c r="D58" s="719">
        <f t="shared" si="6"/>
        <v>3.2943163196766372E-7</v>
      </c>
      <c r="E58" s="339">
        <f t="shared" si="20"/>
        <v>1</v>
      </c>
      <c r="F58" t="str">
        <f t="shared" si="0"/>
        <v>Diadema</v>
      </c>
      <c r="G58" s="224" t="str">
        <f>_xlfn.XLOOKUP(C58,Diadema!$C$55:$C$176,Diadema!$O$55:$O$176)</f>
        <v>✓ Concluído</v>
      </c>
      <c r="H58" s="224" t="str">
        <f>_xlfn.XLOOKUP(C58,Diadema!$C$55:$C$176,Diadema!$M$55:$M$176," ")</f>
        <v>Não Ok</v>
      </c>
      <c r="I58" s="716">
        <f>_xlfn.XLOOKUP(C58,Diadema!$C$55:$C$176,Diadema!$J$55:$J$176)</f>
        <v>46143</v>
      </c>
      <c r="J58" s="224" t="str">
        <f ca="1">INDEX(Diadema!$AR$55:$AR$176, MATCH(C58, Diadema!$C$55:$C$176, 0))</f>
        <v/>
      </c>
      <c r="K58" s="224"/>
      <c r="L58" s="224">
        <f>INDEX(Diadema!$AK$55:$AK$176, MATCH(C58, Diadema!$C$55:$C$176, 0))</f>
        <v>0</v>
      </c>
      <c r="M58" s="224"/>
      <c r="N58" s="224"/>
      <c r="O58" s="224"/>
      <c r="P58" s="224"/>
      <c r="Q58">
        <v>55</v>
      </c>
      <c r="R58" s="253">
        <f t="shared" si="17"/>
        <v>226617</v>
      </c>
      <c r="S58" t="str">
        <f t="shared" si="12"/>
        <v>MIGRAÇÃO ITENS CSN PARA ARCELOR MITTAL</v>
      </c>
      <c r="T58" t="str">
        <f t="shared" si="13"/>
        <v>Compras</v>
      </c>
      <c r="U58" s="253">
        <f t="shared" si="8"/>
        <v>226617</v>
      </c>
      <c r="V58" s="224" t="str">
        <f t="shared" ca="1" si="18"/>
        <v/>
      </c>
      <c r="W58" s="224" t="str">
        <f t="shared" ca="1" si="19"/>
        <v/>
      </c>
      <c r="X58" t="str">
        <f t="shared" si="14"/>
        <v>⏳ Em Execução</v>
      </c>
      <c r="Y58" s="716">
        <f t="shared" si="15"/>
        <v>46366</v>
      </c>
      <c r="Z58" t="str">
        <f t="shared" si="16"/>
        <v/>
      </c>
    </row>
    <row r="59" spans="1:26" x14ac:dyDescent="0.3">
      <c r="A59">
        <v>56</v>
      </c>
      <c r="B59" s="224" t="str">
        <f>IFERROR(LARGE(Diadema!$I$55:$I$176,A59)," ")</f>
        <v xml:space="preserve"> </v>
      </c>
      <c r="C59" t="str">
        <f>IFERROR(
   HYPERLINK(
      INDEX(Diadema!$D$55:$D$176,
             MATCH(B59,Diadema!$I$55:$I$176,0)
      ),
      INDEX(Diadema!$C$55:$C$176,
             MATCH(B59,Diadema!$I$55:$I$176,0)
      )
   ),
   ""
)</f>
        <v/>
      </c>
      <c r="D59" s="719" t="str">
        <f t="shared" si="6"/>
        <v xml:space="preserve"> </v>
      </c>
      <c r="E59" s="339" t="str">
        <f t="shared" si="20"/>
        <v xml:space="preserve"> </v>
      </c>
      <c r="F59" t="str">
        <f t="shared" si="0"/>
        <v>Diadema</v>
      </c>
      <c r="G59" s="224" t="e">
        <f>_xlfn.XLOOKUP(C59,Diadema!$C$55:$C$176,Diadema!$O$55:$O$176)</f>
        <v>#N/A</v>
      </c>
      <c r="H59" s="224" t="str">
        <f>_xlfn.XLOOKUP(C59,Diadema!$C$55:$C$176,Diadema!$M$55:$M$176," ")</f>
        <v xml:space="preserve"> </v>
      </c>
      <c r="I59" s="716" t="e">
        <f>_xlfn.XLOOKUP(C59,Diadema!$C$55:$C$176,Diadema!$J$55:$J$176)</f>
        <v>#N/A</v>
      </c>
      <c r="J59" s="224" t="e">
        <f>INDEX(Diadema!$AR$55:$AR$176, MATCH(C59, Diadema!$C$55:$C$176, 0))</f>
        <v>#N/A</v>
      </c>
      <c r="K59" s="224"/>
      <c r="L59" s="224"/>
      <c r="M59" s="224"/>
      <c r="N59" s="224"/>
      <c r="O59" s="224"/>
      <c r="P59" s="224"/>
      <c r="Q59">
        <v>56</v>
      </c>
      <c r="R59" s="253">
        <f t="shared" si="17"/>
        <v>223200</v>
      </c>
      <c r="S59" t="str">
        <f t="shared" si="12"/>
        <v>57 - AlmaCAM_Redução de Peso</v>
      </c>
      <c r="T59" t="str">
        <f t="shared" si="13"/>
        <v>Diadema</v>
      </c>
      <c r="U59" s="253">
        <f t="shared" si="8"/>
        <v>202515.94</v>
      </c>
      <c r="V59" s="224">
        <f t="shared" ca="1" si="18"/>
        <v>57861.697142857141</v>
      </c>
      <c r="W59" s="224">
        <f t="shared" ca="1" si="19"/>
        <v>27146.623922454113</v>
      </c>
      <c r="X59" t="str">
        <f t="shared" si="14"/>
        <v>✓ Concluído</v>
      </c>
      <c r="Y59" s="716">
        <f t="shared" si="15"/>
        <v>46174</v>
      </c>
      <c r="Z59" t="str">
        <f t="shared" si="16"/>
        <v>OK</v>
      </c>
    </row>
    <row r="60" spans="1:26" x14ac:dyDescent="0.3">
      <c r="A60">
        <v>57</v>
      </c>
      <c r="B60" s="224" t="str">
        <f>IFERROR(LARGE(Diadema!$I$55:$I$176,A60)," ")</f>
        <v xml:space="preserve"> </v>
      </c>
      <c r="C60" t="str">
        <f>IFERROR(
   HYPERLINK(
      INDEX(Diadema!$D$55:$D$176,
             MATCH(B60,Diadema!$I$55:$I$176,0)
      ),
      INDEX(Diadema!$C$55:$C$176,
             MATCH(B60,Diadema!$I$55:$I$176,0)
      )
   ),
   ""
)</f>
        <v/>
      </c>
      <c r="D60" s="719" t="str">
        <f t="shared" si="6"/>
        <v xml:space="preserve"> </v>
      </c>
      <c r="E60" s="339" t="str">
        <f t="shared" si="20"/>
        <v xml:space="preserve"> </v>
      </c>
      <c r="F60" t="str">
        <f t="shared" si="0"/>
        <v>Diadema</v>
      </c>
      <c r="G60" s="224" t="e">
        <f>_xlfn.XLOOKUP(C60,Diadema!$C$55:$C$176,Diadema!$O$55:$O$176)</f>
        <v>#N/A</v>
      </c>
      <c r="H60" s="224" t="str">
        <f>_xlfn.XLOOKUP(C60,Diadema!$C$55:$C$176,Diadema!$M$55:$M$176," ")</f>
        <v xml:space="preserve"> </v>
      </c>
      <c r="I60" s="716" t="e">
        <f>_xlfn.XLOOKUP(C60,Diadema!$C$55:$C$176,Diadema!$J$55:$J$176)</f>
        <v>#N/A</v>
      </c>
      <c r="J60" s="224" t="e">
        <f>INDEX(Diadema!$AR$55:$AR$176, MATCH(C60, Diadema!$C$55:$C$176, 0))</f>
        <v>#N/A</v>
      </c>
      <c r="K60" s="224"/>
      <c r="L60" s="224"/>
      <c r="M60" s="224"/>
      <c r="N60" s="224"/>
      <c r="O60" s="224"/>
      <c r="P60" s="224"/>
      <c r="Q60">
        <v>57</v>
      </c>
      <c r="R60" s="253">
        <f t="shared" si="17"/>
        <v>219761</v>
      </c>
      <c r="S60" t="str">
        <f t="shared" si="12"/>
        <v>Resourcing Maletas Man (Mercante para Cartec)</v>
      </c>
      <c r="T60" t="str">
        <f t="shared" si="13"/>
        <v>Compras</v>
      </c>
      <c r="U60" s="253">
        <f t="shared" si="8"/>
        <v>219761.00000000003</v>
      </c>
      <c r="V60" s="224">
        <f t="shared" ca="1" si="18"/>
        <v>109880.5</v>
      </c>
      <c r="W60" s="224" t="str">
        <f t="shared" ca="1" si="19"/>
        <v/>
      </c>
      <c r="X60" t="str">
        <f t="shared" si="14"/>
        <v>✓ Concluído</v>
      </c>
      <c r="Y60" s="716">
        <f t="shared" si="15"/>
        <v>46097</v>
      </c>
      <c r="Z60" t="str">
        <f t="shared" si="16"/>
        <v>OK</v>
      </c>
    </row>
    <row r="61" spans="1:26" x14ac:dyDescent="0.3">
      <c r="A61">
        <v>58</v>
      </c>
      <c r="B61" s="224" t="str">
        <f>IFERROR(LARGE(Diadema!$I$55:$I$176,A61)," ")</f>
        <v xml:space="preserve"> </v>
      </c>
      <c r="C61" t="str">
        <f>IFERROR(
   HYPERLINK(
      INDEX(Diadema!$D$55:$D$176,
             MATCH(B61,Diadema!$I$55:$I$176,0)
      ),
      INDEX(Diadema!$C$55:$C$176,
             MATCH(B61,Diadema!$I$55:$I$176,0)
      )
   ),
   ""
)</f>
        <v/>
      </c>
      <c r="D61" s="719" t="str">
        <f t="shared" si="6"/>
        <v xml:space="preserve"> </v>
      </c>
      <c r="E61" s="339" t="str">
        <f t="shared" si="20"/>
        <v xml:space="preserve"> </v>
      </c>
      <c r="F61" t="str">
        <f t="shared" si="0"/>
        <v>Diadema</v>
      </c>
      <c r="G61" s="224" t="e">
        <f>_xlfn.XLOOKUP(C61,Diadema!$C$55:$C$176,Diadema!$O$55:$O$176)</f>
        <v>#N/A</v>
      </c>
      <c r="H61" s="224" t="str">
        <f>_xlfn.XLOOKUP(C61,Diadema!$C$55:$C$176,Diadema!$M$55:$M$176," ")</f>
        <v xml:space="preserve"> </v>
      </c>
      <c r="I61" s="716" t="e">
        <f>_xlfn.XLOOKUP(C61,Diadema!$C$55:$C$176,Diadema!$J$55:$J$176)</f>
        <v>#N/A</v>
      </c>
      <c r="J61" s="224" t="e">
        <f>INDEX(Diadema!$AR$55:$AR$176, MATCH(C61, Diadema!$C$55:$C$176, 0))</f>
        <v>#N/A</v>
      </c>
      <c r="K61" s="224"/>
      <c r="L61" s="224"/>
      <c r="M61" s="224"/>
      <c r="N61" s="224"/>
      <c r="O61" s="224"/>
      <c r="P61" s="224"/>
      <c r="Q61">
        <v>58</v>
      </c>
      <c r="R61" s="253">
        <f t="shared" si="17"/>
        <v>218726.78</v>
      </c>
      <c r="S61" t="str">
        <f t="shared" si="12"/>
        <v>01 - Redução de Refugo</v>
      </c>
      <c r="T61" t="str">
        <f t="shared" si="13"/>
        <v>São leopoldo</v>
      </c>
      <c r="U61" s="253">
        <f t="shared" si="8"/>
        <v>59652.758181818179</v>
      </c>
      <c r="V61" s="224">
        <f t="shared" ca="1" si="18"/>
        <v>119305.51636363637</v>
      </c>
      <c r="W61" s="224">
        <f t="shared" ca="1" si="19"/>
        <v>186458.31</v>
      </c>
      <c r="X61" t="str">
        <f t="shared" si="14"/>
        <v>✓ Concluído</v>
      </c>
      <c r="Y61" s="716">
        <f t="shared" si="15"/>
        <v>46054</v>
      </c>
      <c r="Z61" t="str">
        <f t="shared" si="16"/>
        <v>OK</v>
      </c>
    </row>
    <row r="62" spans="1:26" x14ac:dyDescent="0.3">
      <c r="A62">
        <v>59</v>
      </c>
      <c r="B62" s="224" t="str">
        <f>IFERROR(LARGE(Diadema!$I$55:$I$176,A62)," ")</f>
        <v xml:space="preserve"> </v>
      </c>
      <c r="C62" t="str">
        <f>IFERROR(
   HYPERLINK(
      INDEX(Diadema!$D$55:$D$176,
             MATCH(B62,Diadema!$I$55:$I$176,0)
      ),
      INDEX(Diadema!$C$55:$C$176,
             MATCH(B62,Diadema!$I$55:$I$176,0)
      )
   ),
   ""
)</f>
        <v/>
      </c>
      <c r="D62" s="719" t="str">
        <f t="shared" si="6"/>
        <v xml:space="preserve"> </v>
      </c>
      <c r="E62" s="339" t="str">
        <f t="shared" si="20"/>
        <v xml:space="preserve"> </v>
      </c>
      <c r="F62" t="str">
        <f t="shared" si="0"/>
        <v>Diadema</v>
      </c>
      <c r="G62" s="224" t="e">
        <f>_xlfn.XLOOKUP(C62,Diadema!$C$55:$C$176,Diadema!$O$55:$O$176)</f>
        <v>#N/A</v>
      </c>
      <c r="H62" s="224" t="str">
        <f>_xlfn.XLOOKUP(C62,Diadema!$C$55:$C$176,Diadema!$M$55:$M$176," ")</f>
        <v xml:space="preserve"> </v>
      </c>
      <c r="I62" s="716" t="e">
        <f>_xlfn.XLOOKUP(C62,Diadema!$C$55:$C$176,Diadema!$J$55:$J$176)</f>
        <v>#N/A</v>
      </c>
      <c r="J62" s="224" t="e">
        <f>INDEX(Diadema!$AR$55:$AR$176, MATCH(C62, Diadema!$C$55:$C$176, 0))</f>
        <v>#N/A</v>
      </c>
      <c r="K62" s="224"/>
      <c r="L62" s="224"/>
      <c r="M62" s="224"/>
      <c r="N62" s="224"/>
      <c r="O62" s="224"/>
      <c r="P62" s="224"/>
      <c r="Q62">
        <v>59</v>
      </c>
      <c r="R62" s="253">
        <f t="shared" si="17"/>
        <v>214329</v>
      </c>
      <c r="S62" t="str">
        <f t="shared" si="12"/>
        <v>Redução Itens Mercedes</v>
      </c>
      <c r="T62" t="str">
        <f t="shared" si="13"/>
        <v>Compras</v>
      </c>
      <c r="U62" s="253">
        <f t="shared" si="8"/>
        <v>214329.00000000003</v>
      </c>
      <c r="V62" s="224">
        <f t="shared" ca="1" si="18"/>
        <v>95257.333333333328</v>
      </c>
      <c r="W62" s="224" t="str">
        <f t="shared" ca="1" si="19"/>
        <v/>
      </c>
      <c r="X62" t="str">
        <f t="shared" si="14"/>
        <v>✓ Concluído</v>
      </c>
      <c r="Y62" s="716">
        <f t="shared" si="15"/>
        <v>46113</v>
      </c>
      <c r="Z62" t="str">
        <f t="shared" si="16"/>
        <v/>
      </c>
    </row>
    <row r="63" spans="1:26" x14ac:dyDescent="0.3">
      <c r="A63">
        <v>60</v>
      </c>
      <c r="B63" s="224" t="str">
        <f>IFERROR(LARGE(Diadema!$I$55:$I$176,A63)," ")</f>
        <v xml:space="preserve"> </v>
      </c>
      <c r="C63" t="str">
        <f>IFERROR(
   HYPERLINK(
      INDEX(Diadema!$D$55:$D$176,
             MATCH(B63,Diadema!$I$55:$I$176,0)
      ),
      INDEX(Diadema!$C$55:$C$176,
             MATCH(B63,Diadema!$I$55:$I$176,0)
      )
   ),
   ""
)</f>
        <v/>
      </c>
      <c r="D63" s="719" t="str">
        <f t="shared" si="6"/>
        <v xml:space="preserve"> </v>
      </c>
      <c r="E63" s="339" t="str">
        <f t="shared" si="20"/>
        <v xml:space="preserve"> </v>
      </c>
      <c r="F63" t="str">
        <f t="shared" si="0"/>
        <v>Diadema</v>
      </c>
      <c r="G63" s="224" t="e">
        <f>_xlfn.XLOOKUP(C63,Diadema!$C$55:$C$176,Diadema!$O$55:$O$176)</f>
        <v>#N/A</v>
      </c>
      <c r="H63" s="224" t="str">
        <f>_xlfn.XLOOKUP(C63,Diadema!$C$55:$C$176,Diadema!$M$55:$M$176," ")</f>
        <v xml:space="preserve"> </v>
      </c>
      <c r="I63" s="716" t="e">
        <f>_xlfn.XLOOKUP(C63,Diadema!$C$55:$C$176,Diadema!$J$55:$J$176)</f>
        <v>#N/A</v>
      </c>
      <c r="J63" s="224" t="e">
        <f>INDEX(Diadema!$AR$55:$AR$176, MATCH(C63, Diadema!$C$55:$C$176, 0))</f>
        <v>#N/A</v>
      </c>
      <c r="K63" s="224"/>
      <c r="L63" s="224"/>
      <c r="M63" s="224"/>
      <c r="N63" s="224"/>
      <c r="O63" s="224"/>
      <c r="P63" s="224"/>
      <c r="Q63">
        <v>60</v>
      </c>
      <c r="R63" s="253">
        <f t="shared" si="17"/>
        <v>210000</v>
      </c>
      <c r="S63" t="str">
        <f t="shared" si="12"/>
        <v>42 - Aluguel de Compressor</v>
      </c>
      <c r="T63" t="str">
        <f t="shared" si="13"/>
        <v>Diadema</v>
      </c>
      <c r="U63" s="253">
        <f t="shared" si="8"/>
        <v>122500</v>
      </c>
      <c r="V63" s="224">
        <f t="shared" ca="1" si="18"/>
        <v>35000</v>
      </c>
      <c r="W63" s="224">
        <f t="shared" ca="1" si="19"/>
        <v>35000</v>
      </c>
      <c r="X63" t="str">
        <f t="shared" si="14"/>
        <v>✓ Concluído</v>
      </c>
      <c r="Y63" s="716">
        <f t="shared" si="15"/>
        <v>46174</v>
      </c>
      <c r="Z63" t="str">
        <f t="shared" si="16"/>
        <v>OK</v>
      </c>
    </row>
    <row r="64" spans="1:26" x14ac:dyDescent="0.3">
      <c r="B64" s="224"/>
      <c r="D64" s="719"/>
      <c r="G64" s="224"/>
      <c r="H64" s="224"/>
      <c r="I64" s="224"/>
      <c r="J64" s="224"/>
      <c r="K64" s="224"/>
      <c r="L64" s="224"/>
      <c r="M64" s="224"/>
      <c r="N64" s="224"/>
      <c r="O64" s="224"/>
      <c r="P64" s="224"/>
      <c r="Q64">
        <v>61</v>
      </c>
      <c r="R64" s="253">
        <f t="shared" si="17"/>
        <v>200000.15646540001</v>
      </c>
      <c r="S64" t="str">
        <f t="shared" si="12"/>
        <v xml:space="preserve">35 - Redução de hora exta </v>
      </c>
      <c r="T64" t="str">
        <f t="shared" si="13"/>
        <v>Ferraz</v>
      </c>
      <c r="U64" s="253">
        <f t="shared" si="8"/>
        <v>0</v>
      </c>
      <c r="V64" s="224" t="str">
        <f t="shared" ca="1" si="18"/>
        <v/>
      </c>
      <c r="W64" s="224" t="str">
        <f t="shared" ca="1" si="19"/>
        <v/>
      </c>
      <c r="X64">
        <f t="shared" si="14"/>
        <v>0</v>
      </c>
      <c r="Y64" s="716">
        <f t="shared" si="15"/>
        <v>0</v>
      </c>
      <c r="Z64" t="str">
        <f t="shared" si="16"/>
        <v/>
      </c>
    </row>
    <row r="65" spans="1:26" x14ac:dyDescent="0.3">
      <c r="B65" s="224"/>
      <c r="D65" s="719"/>
      <c r="G65" s="224"/>
      <c r="H65" s="224"/>
      <c r="I65" s="224"/>
      <c r="J65" s="224"/>
      <c r="K65" s="224"/>
      <c r="L65" s="224"/>
      <c r="M65" s="224"/>
      <c r="N65" s="224"/>
      <c r="O65" s="224"/>
      <c r="P65" s="224"/>
      <c r="Q65">
        <v>62</v>
      </c>
      <c r="R65" s="253">
        <f t="shared" si="17"/>
        <v>200000.00399999999</v>
      </c>
      <c r="S65" t="str">
        <f t="shared" si="12"/>
        <v xml:space="preserve">10 - Consumo de energia elétrica: vazamentos de ar </v>
      </c>
      <c r="T65" t="str">
        <f t="shared" si="13"/>
        <v>Ferraz</v>
      </c>
      <c r="U65" s="253">
        <f t="shared" si="8"/>
        <v>54545.455636363637</v>
      </c>
      <c r="V65" s="224">
        <f t="shared" ca="1" si="18"/>
        <v>109090.91127272727</v>
      </c>
      <c r="W65" s="224" t="str">
        <f t="shared" ca="1" si="19"/>
        <v/>
      </c>
      <c r="X65" t="str">
        <f t="shared" si="14"/>
        <v>⏳ Em Execução</v>
      </c>
      <c r="Y65" s="716">
        <f t="shared" si="15"/>
        <v>46054</v>
      </c>
      <c r="Z65" t="str">
        <f t="shared" si="16"/>
        <v/>
      </c>
    </row>
    <row r="66" spans="1:26" x14ac:dyDescent="0.3">
      <c r="B66" s="224"/>
      <c r="D66" s="719"/>
      <c r="G66" s="224"/>
      <c r="H66" s="224"/>
      <c r="I66" s="224"/>
      <c r="J66" s="224"/>
      <c r="K66" s="224"/>
      <c r="L66" s="224"/>
      <c r="M66" s="224"/>
      <c r="N66" s="224"/>
      <c r="O66" s="224"/>
      <c r="P66" s="224"/>
      <c r="Q66">
        <v>63</v>
      </c>
      <c r="R66" s="253">
        <f t="shared" si="17"/>
        <v>200000.00200000001</v>
      </c>
      <c r="S66" t="str">
        <f t="shared" si="12"/>
        <v>12 - Sistema hidráulico 3500T</v>
      </c>
      <c r="T66" t="str">
        <f t="shared" si="13"/>
        <v>Ferraz</v>
      </c>
      <c r="U66" s="253">
        <f t="shared" si="8"/>
        <v>120000.00120000001</v>
      </c>
      <c r="V66" s="224" t="str">
        <f t="shared" ca="1" si="18"/>
        <v/>
      </c>
      <c r="W66" s="224" t="str">
        <f t="shared" ca="1" si="19"/>
        <v/>
      </c>
      <c r="X66" t="str">
        <f t="shared" si="14"/>
        <v>⏳ Em Execução</v>
      </c>
      <c r="Y66" s="716">
        <f t="shared" si="15"/>
        <v>46265</v>
      </c>
      <c r="Z66" t="str">
        <f t="shared" si="16"/>
        <v/>
      </c>
    </row>
    <row r="67" spans="1:26" x14ac:dyDescent="0.3">
      <c r="B67" s="224"/>
      <c r="D67" s="719"/>
      <c r="L67" s="224"/>
      <c r="M67" s="224"/>
      <c r="N67" s="224"/>
      <c r="O67" s="224"/>
      <c r="P67" s="224"/>
      <c r="Q67">
        <v>64</v>
      </c>
      <c r="R67" s="253">
        <f t="shared" si="17"/>
        <v>195000</v>
      </c>
      <c r="S67" t="str">
        <f t="shared" si="12"/>
        <v>09 - Critério para descarte de consumíveis</v>
      </c>
      <c r="T67" t="str">
        <f t="shared" si="13"/>
        <v>Ferraz</v>
      </c>
      <c r="U67" s="253">
        <f t="shared" si="8"/>
        <v>117000</v>
      </c>
      <c r="V67" s="224" t="str">
        <f t="shared" ca="1" si="18"/>
        <v/>
      </c>
      <c r="W67" s="224" t="str">
        <f t="shared" ca="1" si="19"/>
        <v/>
      </c>
      <c r="X67" t="str">
        <f t="shared" si="14"/>
        <v>⏳ Em Execução</v>
      </c>
      <c r="Y67" s="716">
        <f t="shared" si="15"/>
        <v>46241</v>
      </c>
      <c r="Z67" t="str">
        <f t="shared" si="16"/>
        <v>Não Ok</v>
      </c>
    </row>
    <row r="68" spans="1:26" ht="14.85" customHeight="1" x14ac:dyDescent="0.3">
      <c r="A68" s="252" t="s">
        <v>24</v>
      </c>
      <c r="B68" s="252"/>
      <c r="C68" s="252"/>
      <c r="D68" s="718"/>
      <c r="E68" s="718"/>
      <c r="J68" s="2216" t="s">
        <v>2711</v>
      </c>
      <c r="K68" s="2216"/>
      <c r="L68" s="224"/>
      <c r="M68" s="224"/>
      <c r="N68" s="224"/>
      <c r="O68" s="224"/>
      <c r="P68" s="224"/>
      <c r="Q68">
        <v>65</v>
      </c>
      <c r="R68" s="253">
        <f t="shared" si="17"/>
        <v>189797</v>
      </c>
      <c r="S68" t="str">
        <f t="shared" ref="S68:S99" si="21">_xlfn.XLOOKUP(R68,B:B,C:C)</f>
        <v>Negociação Mercante (Laser)</v>
      </c>
      <c r="T68" t="str">
        <f t="shared" ref="T68:T99" si="22">_xlfn.XLOOKUP(S68,C:C,F:F)</f>
        <v>Compras</v>
      </c>
      <c r="U68" s="253">
        <f t="shared" si="8"/>
        <v>189797</v>
      </c>
      <c r="V68" s="224" t="str">
        <f t="shared" ca="1" si="18"/>
        <v/>
      </c>
      <c r="W68" s="224" t="str">
        <f t="shared" ca="1" si="19"/>
        <v/>
      </c>
      <c r="X68" t="str">
        <f t="shared" ref="X68:X99" si="23">_xlfn.XLOOKUP(S68,C:C,G:G)</f>
        <v>⏳ Em Execução</v>
      </c>
      <c r="Y68" s="716">
        <f t="shared" ref="Y68:Y99" si="24">_xlfn.XLOOKUP(S68,C:C,I:I)</f>
        <v>46293</v>
      </c>
      <c r="Z68" t="str">
        <f t="shared" ref="Z68:Z99" si="25">IF(_xlfn.XLOOKUP(S68,C:C,H:H) = 0, "", _xlfn.XLOOKUP(S68,C:C,H:H))</f>
        <v/>
      </c>
    </row>
    <row r="69" spans="1:26" ht="14.85" customHeight="1" x14ac:dyDescent="0.3">
      <c r="A69" s="252"/>
      <c r="B69" s="252"/>
      <c r="C69" s="252"/>
      <c r="D69" s="718"/>
      <c r="E69" s="718"/>
      <c r="J69" s="552" t="s">
        <v>116</v>
      </c>
      <c r="K69" s="552" t="s">
        <v>117</v>
      </c>
      <c r="L69" s="224"/>
      <c r="M69" s="224"/>
      <c r="N69" s="224"/>
      <c r="O69" s="224"/>
      <c r="P69" s="224"/>
      <c r="Q69">
        <v>66</v>
      </c>
      <c r="R69" s="253">
        <f t="shared" ref="R69:R100" si="26">IFERROR(LARGE(B:B,Q69)," ")</f>
        <v>189200</v>
      </c>
      <c r="S69" t="str">
        <f t="shared" si="21"/>
        <v>47 - REDUÇÃO DE MP DJ000079Z – 80Z</v>
      </c>
      <c r="T69" t="str">
        <f t="shared" si="22"/>
        <v>Diadema</v>
      </c>
      <c r="U69" s="253">
        <f t="shared" ref="U69:U132" si="27">_xlfn.XLOOKUP(S69,C:C,L:L)</f>
        <v>70963.59</v>
      </c>
      <c r="V69" s="224" t="str">
        <f t="shared" ref="V69:V100" ca="1" si="28">IFERROR(_xlfn.XLOOKUP(S69,C:C,J:J), "")</f>
        <v/>
      </c>
      <c r="W69" s="224" t="str">
        <f t="shared" ref="W69:W100" ca="1" si="29">IFERROR(_xlfn.XLOOKUP(S69,C:C,K:K), "")</f>
        <v/>
      </c>
      <c r="X69" t="str">
        <f t="shared" si="23"/>
        <v>⏳ Em Execução</v>
      </c>
      <c r="Y69" s="716">
        <f t="shared" si="24"/>
        <v>46235</v>
      </c>
      <c r="Z69" t="str">
        <f t="shared" si="25"/>
        <v>OK</v>
      </c>
    </row>
    <row r="70" spans="1:26" x14ac:dyDescent="0.3">
      <c r="A70" cm="1">
        <f t="array" ref="A70:A109">_xlfn.SEQUENCE(40)</f>
        <v>1</v>
      </c>
      <c r="B70" s="224">
        <f>MAX(Jarinu!$I$55:$I$144)</f>
        <v>1063359</v>
      </c>
      <c r="C70" t="str">
        <f>IFERROR(INDEX(
    Jarinu!$C$55:$C$144,
    MATCH(
        B70,
        Jarinu!$I$55:$I$144,
        0
    )
), " ")</f>
        <v>06 - Redução consumo MTP aplicando tolerância mínima</v>
      </c>
      <c r="D70" s="719">
        <f>IFERROR(B70/SUM($B$70:$B$109)," ")</f>
        <v>0.19047914981558689</v>
      </c>
      <c r="E70" s="339">
        <f>D70</f>
        <v>0.19047914981558689</v>
      </c>
      <c r="F70" t="str">
        <f t="shared" ref="F70:F99" si="30">$A$68</f>
        <v>Jarinu</v>
      </c>
      <c r="G70" t="str">
        <f>_xlfn.XLOOKUP(C70,Jarinu!$C$55:$C$144,Jarinu!$O$55:$O$144)</f>
        <v>⏳ Em Execução</v>
      </c>
      <c r="H70" t="str">
        <f>_xlfn.XLOOKUP(C70,Jarinu!$C$55:$C$144,Jarinu!$M$55:$M$144," ")</f>
        <v>OK</v>
      </c>
      <c r="I70" s="716">
        <f>_xlfn.XLOOKUP(C70,Jarinu!$C$55:$C$144,Jarinu!$J$55:$J$144)</f>
        <v>46296</v>
      </c>
      <c r="J70" s="224" t="str">
        <f ca="1">INDEX(Jarinu!$AR$55:$AR$144, MATCH(C70, Jarinu!$C$55:$C$144, 0))</f>
        <v/>
      </c>
      <c r="K70" s="224" t="str" cm="1">
        <f t="array" aca="1" ref="K70" ca="1">INDEX(Jarinu!$AR$55:$AR$144, MATCH(C70, Jarinu!$C$55:$C$144, 0)+1)</f>
        <v/>
      </c>
      <c r="L70" s="224">
        <f>INDEX(Jarinu!$AJ$55:$AJ$144, MATCH(C70, Jarinu!$C$55:$C$144, 0))</f>
        <v>1145830.24</v>
      </c>
      <c r="M70" s="224"/>
      <c r="N70" s="224"/>
      <c r="O70" s="224"/>
      <c r="P70" s="224"/>
      <c r="Q70">
        <v>67</v>
      </c>
      <c r="R70" s="253">
        <f t="shared" si="26"/>
        <v>177479.64</v>
      </c>
      <c r="S70" t="str">
        <f t="shared" si="21"/>
        <v>16 - TROCA DA FROTA DE EMPILHADEIRAS</v>
      </c>
      <c r="T70" t="str">
        <f t="shared" si="22"/>
        <v>Anchieta</v>
      </c>
      <c r="U70" s="253">
        <f t="shared" si="27"/>
        <v>41209.83</v>
      </c>
      <c r="V70" s="224" t="str">
        <f t="shared" ca="1" si="28"/>
        <v/>
      </c>
      <c r="W70" s="224" t="str">
        <f t="shared" ca="1" si="29"/>
        <v/>
      </c>
      <c r="X70" t="str">
        <f t="shared" si="23"/>
        <v>⏳ Em Execução</v>
      </c>
      <c r="Y70" s="716">
        <f t="shared" si="24"/>
        <v>46266</v>
      </c>
      <c r="Z70" t="str">
        <f t="shared" si="25"/>
        <v>OK</v>
      </c>
    </row>
    <row r="71" spans="1:26" x14ac:dyDescent="0.3">
      <c r="A71">
        <v>2</v>
      </c>
      <c r="B71" s="224">
        <f>IFERROR(LARGE(Jarinu!$I$55:$I$144,A71)," ")</f>
        <v>560000</v>
      </c>
      <c r="C71" t="str">
        <f>IFERROR(INDEX(
    Jarinu!$C$55:$C$144,
    MATCH(
        B71,
        Jarinu!$I$55:$I$144,
        0
    )
), " ")</f>
        <v>01 - Desenvolver célula de solda para soldar porcas</v>
      </c>
      <c r="D71" s="719">
        <f t="shared" ref="D71:D109" si="31">IFERROR(B71/SUM($B$70:$B$109)," ")</f>
        <v>0.10031261680836731</v>
      </c>
      <c r="E71" s="339">
        <f>IFERROR(D71+E70," ")</f>
        <v>0.29079176662395423</v>
      </c>
      <c r="F71" t="str">
        <f t="shared" si="30"/>
        <v>Jarinu</v>
      </c>
      <c r="G71" t="str">
        <f>_xlfn.XLOOKUP(C71,Jarinu!$C$55:$C$144,Jarinu!$O$55:$O$144)</f>
        <v>⏳ Em Execução</v>
      </c>
      <c r="H71">
        <f>_xlfn.XLOOKUP(C71,Jarinu!$C$55:$C$144,Jarinu!$M$55:$M$144," ")</f>
        <v>0</v>
      </c>
      <c r="I71" s="716">
        <f>_xlfn.XLOOKUP(C71,Jarinu!$C$55:$C$144,Jarinu!$J$55:$J$144)</f>
        <v>46388</v>
      </c>
      <c r="J71" s="224" t="str">
        <f ca="1">INDEX(Jarinu!$AR$55:$AR$144, MATCH(C71, Jarinu!$C$55:$C$144, 0))</f>
        <v/>
      </c>
      <c r="K71" s="224" t="str" cm="1">
        <f t="array" aca="1" ref="K71" ca="1">INDEX(Jarinu!$AR$55:$AR$144, MATCH(C71, Jarinu!$C$55:$C$144, 0)+1)</f>
        <v/>
      </c>
      <c r="L71" s="224">
        <f>INDEX(Jarinu!$AJ$55:$AJ$144, MATCH(C71, Jarinu!$C$55:$C$144, 0))</f>
        <v>0</v>
      </c>
      <c r="M71" s="224"/>
      <c r="N71" s="224"/>
      <c r="O71" s="224"/>
      <c r="P71" s="224"/>
      <c r="Q71">
        <v>68</v>
      </c>
      <c r="R71" s="253">
        <f t="shared" si="26"/>
        <v>171002</v>
      </c>
      <c r="S71" t="str">
        <f t="shared" si="21"/>
        <v>Troca de fonte fita zebrada e etiqueta litografada</v>
      </c>
      <c r="T71" t="str">
        <f t="shared" si="22"/>
        <v>Compras</v>
      </c>
      <c r="U71" s="253">
        <f t="shared" si="27"/>
        <v>0</v>
      </c>
      <c r="V71" s="224" t="str">
        <f t="shared" ca="1" si="28"/>
        <v/>
      </c>
      <c r="W71" s="224" t="str">
        <f t="shared" ca="1" si="29"/>
        <v/>
      </c>
      <c r="X71" t="str">
        <f t="shared" si="23"/>
        <v>⏳ Em Execução</v>
      </c>
      <c r="Y71" s="716">
        <f t="shared" si="24"/>
        <v>46433</v>
      </c>
      <c r="Z71" t="str">
        <f t="shared" si="25"/>
        <v/>
      </c>
    </row>
    <row r="72" spans="1:26" x14ac:dyDescent="0.3">
      <c r="A72">
        <v>3</v>
      </c>
      <c r="B72" s="224">
        <f>IFERROR(LARGE(Jarinu!$I$55:$I$144,A72)," ")</f>
        <v>513721</v>
      </c>
      <c r="C72" t="str">
        <f>IFERROR(INDEX(
    Jarinu!$C$55:$C$144,
    MATCH(
        B72,
        Jarinu!$I$55:$I$144,
        0
    )
), " ")</f>
        <v>03 - Redução de consumo de MP dos blanks com a técnica de corte Wave</v>
      </c>
      <c r="D72" s="719">
        <f t="shared" si="31"/>
        <v>9.2022674677520122E-2</v>
      </c>
      <c r="E72" s="339">
        <f t="shared" ref="E72:E99" si="32">IFERROR(D72+E71," ")</f>
        <v>0.38281444130147435</v>
      </c>
      <c r="F72" t="str">
        <f t="shared" si="30"/>
        <v>Jarinu</v>
      </c>
      <c r="G72" t="str">
        <f>_xlfn.XLOOKUP(C72,Jarinu!$C$55:$C$144,Jarinu!$O$55:$O$144)</f>
        <v>⏳ Em Execução</v>
      </c>
      <c r="H72">
        <f>_xlfn.XLOOKUP(C72,Jarinu!$C$55:$C$144,Jarinu!$M$55:$M$144," ")</f>
        <v>0</v>
      </c>
      <c r="I72" s="716">
        <f>_xlfn.XLOOKUP(C72,Jarinu!$C$55:$C$144,Jarinu!$J$55:$J$144)</f>
        <v>46266</v>
      </c>
      <c r="J72" s="224" t="str">
        <f ca="1">INDEX(Jarinu!$AR$55:$AR$144, MATCH(C72, Jarinu!$C$55:$C$144, 0))</f>
        <v/>
      </c>
      <c r="K72" s="224" t="str" cm="1">
        <f t="array" aca="1" ref="K72" ca="1">INDEX(Jarinu!$AR$55:$AR$144, MATCH(C72, Jarinu!$C$55:$C$144, 0)+1)</f>
        <v/>
      </c>
      <c r="L72" s="224">
        <f>INDEX(Jarinu!$AJ$55:$AJ$144, MATCH(C72, Jarinu!$C$55:$C$144, 0))</f>
        <v>385290.75</v>
      </c>
      <c r="M72" s="224"/>
      <c r="N72" s="224"/>
      <c r="O72" s="224"/>
      <c r="P72" s="224"/>
      <c r="Q72">
        <v>69</v>
      </c>
      <c r="R72" s="253">
        <f t="shared" si="26"/>
        <v>165000</v>
      </c>
      <c r="S72" t="str">
        <f t="shared" si="21"/>
        <v xml:space="preserve">13 - Transferência Hasenclaver para o plasma </v>
      </c>
      <c r="T72" t="str">
        <f t="shared" si="22"/>
        <v>Ferraz</v>
      </c>
      <c r="U72" s="253">
        <f t="shared" si="27"/>
        <v>0</v>
      </c>
      <c r="V72" s="224" t="str">
        <f t="shared" ca="1" si="28"/>
        <v/>
      </c>
      <c r="W72" s="224" t="str">
        <f t="shared" ca="1" si="29"/>
        <v/>
      </c>
      <c r="X72" t="str">
        <f t="shared" si="23"/>
        <v>⏳ Em Execução</v>
      </c>
      <c r="Y72" s="716">
        <f t="shared" si="24"/>
        <v>0</v>
      </c>
      <c r="Z72" t="str">
        <f t="shared" si="25"/>
        <v>Não Ok</v>
      </c>
    </row>
    <row r="73" spans="1:26" x14ac:dyDescent="0.3">
      <c r="A73">
        <v>4</v>
      </c>
      <c r="B73" s="224">
        <f>IFERROR(LARGE(Jarinu!$I$55:$I$144,A73)," ")</f>
        <v>435138</v>
      </c>
      <c r="C73" t="str">
        <f>IFERROR(INDEX(
    Jarinu!$C$55:$C$144,
    MATCH(
        B73,
        Jarinu!$I$55:$I$144,
        0
    )
), " ")</f>
        <v>27 - Redução consumo MTP aplicando tolerância mínima curva B</v>
      </c>
      <c r="D73" s="719">
        <f t="shared" si="31"/>
        <v>7.7946127594213099E-2</v>
      </c>
      <c r="E73" s="339">
        <f t="shared" si="32"/>
        <v>0.46076056889568745</v>
      </c>
      <c r="F73" t="str">
        <f t="shared" si="30"/>
        <v>Jarinu</v>
      </c>
      <c r="G73" t="str">
        <f>_xlfn.XLOOKUP(C73,Jarinu!$C$55:$C$144,Jarinu!$O$55:$O$144)</f>
        <v>⏳ Em Execução</v>
      </c>
      <c r="H73" t="str">
        <f>_xlfn.XLOOKUP(C73,Jarinu!$C$55:$C$144,Jarinu!$M$55:$M$144," ")</f>
        <v>OK</v>
      </c>
      <c r="I73" s="716">
        <f>_xlfn.XLOOKUP(C73,Jarinu!$C$55:$C$144,Jarinu!$J$55:$J$144)</f>
        <v>46233</v>
      </c>
      <c r="J73" s="224">
        <f ca="1">INDEX(Jarinu!$AR$55:$AR$144, MATCH(C73, Jarinu!$C$55:$C$144, 0))</f>
        <v>73777.17833333333</v>
      </c>
      <c r="K73" s="224" t="str" cm="1">
        <f t="array" aca="1" ref="K73" ca="1">INDEX(Jarinu!$AR$55:$AR$144, MATCH(C73, Jarinu!$C$55:$C$144, 0)+1)</f>
        <v/>
      </c>
      <c r="L73" s="224">
        <f>INDEX(Jarinu!$AJ$55:$AJ$144, MATCH(C73, Jarinu!$C$55:$C$144, 0))</f>
        <v>221331.53499999997</v>
      </c>
      <c r="M73" s="224"/>
      <c r="N73" s="224"/>
      <c r="O73" s="224"/>
      <c r="P73" s="224"/>
      <c r="Q73">
        <v>70</v>
      </c>
      <c r="R73" s="253">
        <f t="shared" si="26"/>
        <v>158990</v>
      </c>
      <c r="S73" t="str">
        <f t="shared" si="21"/>
        <v>Redução de custo Abrasivos Curva A Ferraz</v>
      </c>
      <c r="T73" t="str">
        <f t="shared" si="22"/>
        <v>Compras</v>
      </c>
      <c r="U73" s="253">
        <f t="shared" si="27"/>
        <v>199999.99999999997</v>
      </c>
      <c r="V73" s="224">
        <f t="shared" ca="1" si="28"/>
        <v>116666.66666666669</v>
      </c>
      <c r="W73" s="224" t="str">
        <f t="shared" ca="1" si="29"/>
        <v/>
      </c>
      <c r="X73" t="str">
        <f t="shared" si="23"/>
        <v>✓ Concluído</v>
      </c>
      <c r="Y73" s="716">
        <f t="shared" si="24"/>
        <v>46048</v>
      </c>
      <c r="Z73" t="str">
        <f t="shared" si="25"/>
        <v>OK</v>
      </c>
    </row>
    <row r="74" spans="1:26" x14ac:dyDescent="0.3">
      <c r="A74">
        <v>5</v>
      </c>
      <c r="B74" s="224">
        <f>IFERROR(LARGE(Jarinu!$I$55:$I$144,A74)," ")</f>
        <v>390000.00300000003</v>
      </c>
      <c r="C74" t="str">
        <f>IFERROR(INDEX(
    Jarinu!$C$55:$C$144,
    MATCH(
        B74,
        Jarinu!$I$55:$I$144,
        0
    )
), " ")</f>
        <v>36 - Venda Robos</v>
      </c>
      <c r="D74" s="719">
        <f t="shared" si="31"/>
        <v>6.9860572957501976E-2</v>
      </c>
      <c r="E74" s="339">
        <f t="shared" si="32"/>
        <v>0.53062114185318943</v>
      </c>
      <c r="F74" t="str">
        <f t="shared" si="30"/>
        <v>Jarinu</v>
      </c>
      <c r="G74" t="str">
        <f>_xlfn.XLOOKUP(C74,Jarinu!$C$55:$C$144,Jarinu!$O$55:$O$144)</f>
        <v>✓ Concluído</v>
      </c>
      <c r="H74" t="str">
        <f>_xlfn.XLOOKUP(C74,Jarinu!$C$55:$C$144,Jarinu!$M$55:$M$144," ")</f>
        <v>OK</v>
      </c>
      <c r="I74" s="716">
        <f>_xlfn.XLOOKUP(C74,Jarinu!$C$55:$C$144,Jarinu!$J$55:$J$144)</f>
        <v>46023</v>
      </c>
      <c r="J74" s="224">
        <f ca="1">INDEX(Jarinu!$AR$55:$AR$144, MATCH(C74, Jarinu!$C$55:$C$144, 0))</f>
        <v>390000.00300000003</v>
      </c>
      <c r="K74" s="224" cm="1">
        <f t="array" aca="1" ref="K74" ca="1">INDEX(Jarinu!$AR$55:$AR$144, MATCH(C74, Jarinu!$C$55:$C$144, 0)+1)</f>
        <v>390000</v>
      </c>
      <c r="L74" s="224">
        <f>INDEX(Jarinu!$AJ$55:$AJ$144, MATCH(C74, Jarinu!$C$55:$C$144, 0))</f>
        <v>0</v>
      </c>
      <c r="M74" s="224"/>
      <c r="N74" s="224"/>
      <c r="O74" s="224"/>
      <c r="P74" s="224"/>
      <c r="Q74">
        <v>71</v>
      </c>
      <c r="R74" s="253">
        <f t="shared" si="26"/>
        <v>155799</v>
      </c>
      <c r="S74" t="str">
        <f t="shared" si="21"/>
        <v>Resourcing Hasmman para Metalac</v>
      </c>
      <c r="T74" t="str">
        <f t="shared" si="22"/>
        <v>Compras</v>
      </c>
      <c r="U74" s="253">
        <f t="shared" si="27"/>
        <v>154937.00000000003</v>
      </c>
      <c r="V74" s="224">
        <f t="shared" ca="1" si="28"/>
        <v>84511.090909090912</v>
      </c>
      <c r="W74" s="224">
        <f t="shared" ca="1" si="29"/>
        <v>63944.37074916</v>
      </c>
      <c r="X74" t="str">
        <f t="shared" si="23"/>
        <v>✓ Concluído</v>
      </c>
      <c r="Y74" s="716">
        <f t="shared" si="24"/>
        <v>46072</v>
      </c>
      <c r="Z74" t="str">
        <f t="shared" si="25"/>
        <v>OK</v>
      </c>
    </row>
    <row r="75" spans="1:26" x14ac:dyDescent="0.3">
      <c r="A75">
        <v>6</v>
      </c>
      <c r="B75" s="224">
        <f>IFERROR(LARGE(Jarinu!$I$55:$I$144,A75)," ")</f>
        <v>359000</v>
      </c>
      <c r="C75" t="str">
        <f>IFERROR(INDEX(
    Jarinu!$C$55:$C$144,
    MATCH(
        B75,
        Jarinu!$I$55:$I$144,
        0
    )
), " ")</f>
        <v>26 - Redução de gastos com HE</v>
      </c>
      <c r="D75" s="719">
        <f t="shared" si="31"/>
        <v>6.4307552561078327E-2</v>
      </c>
      <c r="E75" s="339">
        <f t="shared" si="32"/>
        <v>0.59492869441426777</v>
      </c>
      <c r="F75" t="str">
        <f t="shared" si="30"/>
        <v>Jarinu</v>
      </c>
      <c r="G75" t="str">
        <f>_xlfn.XLOOKUP(C75,Jarinu!$C$55:$C$144,Jarinu!$O$55:$O$144)</f>
        <v>✓ Concluído</v>
      </c>
      <c r="H75">
        <f>_xlfn.XLOOKUP(C75,Jarinu!$C$55:$C$144,Jarinu!$M$55:$M$144," ")</f>
        <v>0</v>
      </c>
      <c r="I75" s="716">
        <f>_xlfn.XLOOKUP(C75,Jarinu!$C$55:$C$144,Jarinu!$J$55:$J$144)</f>
        <v>46082</v>
      </c>
      <c r="J75" s="224">
        <f ca="1">INDEX(Jarinu!$AR$55:$AR$144, MATCH(C75, Jarinu!$C$55:$C$144, 0))</f>
        <v>179500</v>
      </c>
      <c r="K75" s="224" t="str" cm="1">
        <f t="array" aca="1" ref="K75" ca="1">INDEX(Jarinu!$AR$55:$AR$144, MATCH(C75, Jarinu!$C$55:$C$144, 0)+1)</f>
        <v/>
      </c>
      <c r="L75" s="224">
        <f>INDEX(Jarinu!$AJ$55:$AJ$144, MATCH(C75, Jarinu!$C$55:$C$144, 0))</f>
        <v>107700</v>
      </c>
      <c r="M75" s="224"/>
      <c r="N75" s="224"/>
      <c r="O75" s="224"/>
      <c r="P75" s="224"/>
      <c r="Q75">
        <v>72</v>
      </c>
      <c r="R75" s="253">
        <f t="shared" si="26"/>
        <v>150000.00090000001</v>
      </c>
      <c r="S75" t="str">
        <f t="shared" si="21"/>
        <v>14 - Consumo de EPI's</v>
      </c>
      <c r="T75" t="str">
        <f t="shared" si="22"/>
        <v>Ferraz</v>
      </c>
      <c r="U75" s="253">
        <f t="shared" si="27"/>
        <v>30921.5</v>
      </c>
      <c r="V75" s="224">
        <f t="shared" ca="1" si="28"/>
        <v>72150.166666666657</v>
      </c>
      <c r="W75" s="224">
        <f t="shared" ca="1" si="29"/>
        <v>105134.24000000002</v>
      </c>
      <c r="X75" t="str">
        <f t="shared" si="23"/>
        <v>✓ Concluído</v>
      </c>
      <c r="Y75" s="716">
        <f t="shared" si="24"/>
        <v>46023</v>
      </c>
      <c r="Z75" t="str">
        <f t="shared" si="25"/>
        <v>OK</v>
      </c>
    </row>
    <row r="76" spans="1:26" x14ac:dyDescent="0.3">
      <c r="A76">
        <v>7</v>
      </c>
      <c r="B76" s="224">
        <f>IFERROR(LARGE(Jarinu!$I$55:$I$144,A76)," ")</f>
        <v>308498</v>
      </c>
      <c r="C76" t="str">
        <f>IFERROR(INDEX(
    Jarinu!$C$55:$C$144,
    MATCH(
        B76,
        Jarinu!$I$55:$I$144,
        0
    )
), " ")</f>
        <v>28 -  Redução consumo MTP aplicando tolerância mínima curva C</v>
      </c>
      <c r="D76" s="719">
        <f t="shared" si="31"/>
        <v>5.5261145821692323E-2</v>
      </c>
      <c r="E76" s="339">
        <f t="shared" si="32"/>
        <v>0.65018984023596005</v>
      </c>
      <c r="F76" t="str">
        <f t="shared" si="30"/>
        <v>Jarinu</v>
      </c>
      <c r="G76" t="str">
        <f>_xlfn.XLOOKUP(C76,Jarinu!$C$55:$C$144,Jarinu!$O$55:$O$144)</f>
        <v>⏳ Em Execução</v>
      </c>
      <c r="H76" t="str">
        <f>_xlfn.XLOOKUP(C76,Jarinu!$C$55:$C$144,Jarinu!$M$55:$M$144," ")</f>
        <v>OK</v>
      </c>
      <c r="I76" s="716">
        <f>_xlfn.XLOOKUP(C76,Jarinu!$C$55:$C$144,Jarinu!$J$55:$J$144)</f>
        <v>46233</v>
      </c>
      <c r="J76" s="224">
        <f ca="1">INDEX(Jarinu!$AR$55:$AR$144, MATCH(C76, Jarinu!$C$55:$C$144, 0))</f>
        <v>34912.676666666666</v>
      </c>
      <c r="K76" s="224" t="str" cm="1">
        <f t="array" aca="1" ref="K76" ca="1">INDEX(Jarinu!$AR$55:$AR$144, MATCH(C76, Jarinu!$C$55:$C$144, 0)+1)</f>
        <v/>
      </c>
      <c r="L76" s="224">
        <f>INDEX(Jarinu!$AJ$55:$AJ$144, MATCH(C76, Jarinu!$C$55:$C$144, 0))</f>
        <v>104738.03</v>
      </c>
      <c r="M76" s="224"/>
      <c r="N76" s="224"/>
      <c r="O76" s="224"/>
      <c r="P76" s="224"/>
      <c r="Q76">
        <v>73</v>
      </c>
      <c r="R76" s="253">
        <f t="shared" si="26"/>
        <v>135000</v>
      </c>
      <c r="S76" t="str">
        <f t="shared" si="21"/>
        <v>03 - PRODUTOS QUÍMICOS KTL</v>
      </c>
      <c r="T76" t="str">
        <f t="shared" si="22"/>
        <v>Anchieta</v>
      </c>
      <c r="U76" s="253">
        <f t="shared" si="27"/>
        <v>33966.657375000003</v>
      </c>
      <c r="V76" s="224">
        <f t="shared" ca="1" si="28"/>
        <v>67933.314750000005</v>
      </c>
      <c r="W76" s="224">
        <f t="shared" ca="1" si="29"/>
        <v>226234.58900000001</v>
      </c>
      <c r="X76" t="str">
        <f t="shared" si="23"/>
        <v>✓ Concluído</v>
      </c>
      <c r="Y76" s="716">
        <f t="shared" si="24"/>
        <v>46054</v>
      </c>
      <c r="Z76" t="str">
        <f t="shared" si="25"/>
        <v>OK</v>
      </c>
    </row>
    <row r="77" spans="1:26" x14ac:dyDescent="0.3">
      <c r="A77">
        <v>8</v>
      </c>
      <c r="B77" s="224">
        <f>IFERROR(LARGE(Jarinu!$I$55:$I$144,A77)," ")</f>
        <v>306000</v>
      </c>
      <c r="C77" t="str">
        <f>IFERROR(INDEX(
    Jarinu!$C$55:$C$144,
    MATCH(
        B77,
        Jarinu!$I$55:$I$144,
        0
    )
), " ")</f>
        <v>30 - Redução de Refugo</v>
      </c>
      <c r="D77" s="719">
        <f t="shared" si="31"/>
        <v>5.4813679898857853E-2</v>
      </c>
      <c r="E77" s="339">
        <f t="shared" si="32"/>
        <v>0.70500352013481793</v>
      </c>
      <c r="F77" t="str">
        <f t="shared" si="30"/>
        <v>Jarinu</v>
      </c>
      <c r="G77" t="str">
        <f>_xlfn.XLOOKUP(C77,Jarinu!$C$55:$C$144,Jarinu!$O$55:$O$144)</f>
        <v>⏳ Em Execução</v>
      </c>
      <c r="H77" t="str">
        <f>_xlfn.XLOOKUP(C77,Jarinu!$C$55:$C$144,Jarinu!$M$55:$M$144," ")</f>
        <v>OK</v>
      </c>
      <c r="I77" s="716">
        <f>_xlfn.XLOOKUP(C77,Jarinu!$C$55:$C$144,Jarinu!$J$55:$J$144)</f>
        <v>46143</v>
      </c>
      <c r="J77" s="224">
        <f ca="1">INDEX(Jarinu!$AR$55:$AR$144, MATCH(C77, Jarinu!$C$55:$C$144, 0))</f>
        <v>114750</v>
      </c>
      <c r="K77" s="224" t="str" cm="1">
        <f t="array" aca="1" ref="K77" ca="1">INDEX(Jarinu!$AR$55:$AR$144, MATCH(C77, Jarinu!$C$55:$C$144, 0)+1)</f>
        <v/>
      </c>
      <c r="L77" s="224">
        <f>INDEX(Jarinu!$AJ$55:$AJ$144, MATCH(C77, Jarinu!$C$55:$C$144, 0))</f>
        <v>114750</v>
      </c>
      <c r="M77" s="224"/>
      <c r="N77" s="224"/>
      <c r="O77" s="224"/>
      <c r="P77" s="224"/>
      <c r="Q77">
        <v>74</v>
      </c>
      <c r="R77" s="253">
        <f t="shared" si="26"/>
        <v>130748</v>
      </c>
      <c r="S77" t="str">
        <f t="shared" si="21"/>
        <v>Testes e troca do fornecedor de insumos de usinagem</v>
      </c>
      <c r="T77" t="str">
        <f t="shared" si="22"/>
        <v>Compras</v>
      </c>
      <c r="U77" s="253">
        <f t="shared" si="27"/>
        <v>130748</v>
      </c>
      <c r="V77" s="224" t="str">
        <f t="shared" ca="1" si="28"/>
        <v/>
      </c>
      <c r="W77" s="224" t="str">
        <f t="shared" ca="1" si="29"/>
        <v/>
      </c>
      <c r="X77" t="str">
        <f t="shared" si="23"/>
        <v>⏳ Em Execução</v>
      </c>
      <c r="Y77" s="716">
        <f t="shared" si="24"/>
        <v>46296</v>
      </c>
      <c r="Z77" t="str">
        <f t="shared" si="25"/>
        <v/>
      </c>
    </row>
    <row r="78" spans="1:26" x14ac:dyDescent="0.3">
      <c r="A78">
        <v>9</v>
      </c>
      <c r="B78" s="224">
        <f>IFERROR(LARGE(Jarinu!$I$55:$I$144,A78)," ")</f>
        <v>301000</v>
      </c>
      <c r="C78" t="str">
        <f>IFERROR(INDEX(
    Jarinu!$C$55:$C$144,
    MATCH(
        B78,
        Jarinu!$I$55:$I$144,
        0
    )
), " ")</f>
        <v>32 - Empilhadeiras Elétricas</v>
      </c>
      <c r="D78" s="719">
        <f t="shared" si="31"/>
        <v>5.3918031534497431E-2</v>
      </c>
      <c r="E78" s="339">
        <f t="shared" si="32"/>
        <v>0.75892155166931541</v>
      </c>
      <c r="F78" t="str">
        <f t="shared" si="30"/>
        <v>Jarinu</v>
      </c>
      <c r="G78" t="str">
        <f>_xlfn.XLOOKUP(C78,Jarinu!$C$55:$C$144,Jarinu!$O$55:$O$144)</f>
        <v>⏳ Em Execução</v>
      </c>
      <c r="H78" t="str">
        <f>_xlfn.XLOOKUP(C78,Jarinu!$C$55:$C$144,Jarinu!$M$55:$M$144," ")</f>
        <v>OK</v>
      </c>
      <c r="I78" s="716">
        <f>_xlfn.XLOOKUP(C78,Jarinu!$C$55:$C$144,Jarinu!$J$55:$J$144)</f>
        <v>46235</v>
      </c>
      <c r="J78" s="224" t="str">
        <f ca="1">INDEX(Jarinu!$AR$55:$AR$144, MATCH(C78, Jarinu!$C$55:$C$144, 0))</f>
        <v/>
      </c>
      <c r="K78" s="224" t="str" cm="1">
        <f t="array" aca="1" ref="K78" ca="1">INDEX(Jarinu!$AR$55:$AR$144, MATCH(C78, Jarinu!$C$55:$C$144, 0)+1)</f>
        <v/>
      </c>
      <c r="L78" s="224">
        <f>INDEX(Jarinu!$AJ$55:$AJ$144, MATCH(C78, Jarinu!$C$55:$C$144, 0))</f>
        <v>53448.612000000008</v>
      </c>
      <c r="M78" s="224"/>
      <c r="N78" s="224"/>
      <c r="O78" s="224"/>
      <c r="P78" s="224"/>
      <c r="Q78">
        <v>75</v>
      </c>
      <c r="R78" s="253">
        <f t="shared" si="26"/>
        <v>130308</v>
      </c>
      <c r="S78" t="str">
        <f t="shared" si="21"/>
        <v>MIGRAÇÃO ITENS USIMINAS PARA ARCELOR</v>
      </c>
      <c r="T78" t="str">
        <f t="shared" si="22"/>
        <v>Compras</v>
      </c>
      <c r="U78" s="253">
        <f t="shared" si="27"/>
        <v>130308</v>
      </c>
      <c r="V78" s="224" t="str">
        <f t="shared" ca="1" si="28"/>
        <v/>
      </c>
      <c r="W78" s="224" t="str">
        <f t="shared" ca="1" si="29"/>
        <v/>
      </c>
      <c r="X78" t="str">
        <f t="shared" si="23"/>
        <v>✓ Concluído</v>
      </c>
      <c r="Y78" s="716">
        <f t="shared" si="24"/>
        <v>46235</v>
      </c>
      <c r="Z78" t="str">
        <f t="shared" si="25"/>
        <v/>
      </c>
    </row>
    <row r="79" spans="1:26" x14ac:dyDescent="0.3">
      <c r="A79">
        <v>10</v>
      </c>
      <c r="B79" s="224">
        <f>IFERROR(LARGE(Jarinu!$I$55:$I$144,A79)," ")</f>
        <v>300000.00008899998</v>
      </c>
      <c r="C79" t="str">
        <f>IFERROR(INDEX(
    Jarinu!$C$55:$C$144,
    MATCH(
        B79,
        Jarinu!$I$55:$I$144,
        0
    )
), " ")</f>
        <v>21 - Redução de MOD CSR61014</v>
      </c>
      <c r="D79" s="719">
        <f t="shared" si="31"/>
        <v>5.3738901877567885E-2</v>
      </c>
      <c r="E79" s="339">
        <f t="shared" si="32"/>
        <v>0.81266045354688332</v>
      </c>
      <c r="F79" t="str">
        <f t="shared" si="30"/>
        <v>Jarinu</v>
      </c>
      <c r="G79" t="str">
        <f>_xlfn.XLOOKUP(C79,Jarinu!$C$55:$C$144,Jarinu!$O$55:$O$144)</f>
        <v>✓ Concluído</v>
      </c>
      <c r="H79">
        <f>_xlfn.XLOOKUP(C79,Jarinu!$C$55:$C$144,Jarinu!$M$55:$M$144," ")</f>
        <v>0</v>
      </c>
      <c r="I79" s="716">
        <f>_xlfn.XLOOKUP(C79,Jarinu!$C$55:$C$144,Jarinu!$J$55:$J$144)</f>
        <v>46054</v>
      </c>
      <c r="J79" s="224">
        <f ca="1">INDEX(Jarinu!$AR$55:$AR$144, MATCH(C79, Jarinu!$C$55:$C$144, 0))</f>
        <v>163636.3636849091</v>
      </c>
      <c r="K79" s="224" t="str" cm="1">
        <f t="array" aca="1" ref="K79" ca="1">INDEX(Jarinu!$AR$55:$AR$144, MATCH(C79, Jarinu!$C$55:$C$144, 0)+1)</f>
        <v/>
      </c>
      <c r="L79" s="224">
        <f>INDEX(Jarinu!$AJ$55:$AJ$144, MATCH(C79, Jarinu!$C$55:$C$144, 0))</f>
        <v>81818.181842454534</v>
      </c>
      <c r="M79" s="224"/>
      <c r="N79" s="224"/>
      <c r="O79" s="224"/>
      <c r="P79" s="224"/>
      <c r="Q79">
        <v>76</v>
      </c>
      <c r="R79" s="253">
        <f t="shared" si="26"/>
        <v>126386</v>
      </c>
      <c r="S79" t="str">
        <f t="shared" si="21"/>
        <v>Troca fornecedor decapagem gancheiras Ferraz</v>
      </c>
      <c r="T79" t="str">
        <f t="shared" si="22"/>
        <v>Compras</v>
      </c>
      <c r="U79" s="253">
        <f t="shared" si="27"/>
        <v>98909.800000000017</v>
      </c>
      <c r="V79" s="224">
        <f t="shared" ca="1" si="28"/>
        <v>53950.80000000001</v>
      </c>
      <c r="W79" s="224">
        <f t="shared" ca="1" si="29"/>
        <v>822.6</v>
      </c>
      <c r="X79" t="str">
        <f t="shared" si="23"/>
        <v>✓ Concluído</v>
      </c>
      <c r="Y79" s="716">
        <f t="shared" si="24"/>
        <v>46071</v>
      </c>
      <c r="Z79" t="str">
        <f t="shared" si="25"/>
        <v>OK</v>
      </c>
    </row>
    <row r="80" spans="1:26" x14ac:dyDescent="0.3">
      <c r="A80">
        <v>11</v>
      </c>
      <c r="B80" s="224">
        <f>IFERROR(LARGE(Jarinu!$I$55:$I$144,A80)," ")</f>
        <v>300000</v>
      </c>
      <c r="C80" t="str">
        <f>IFERROR(INDEX(
    Jarinu!$C$55:$C$144,
    MATCH(
        B80,
        Jarinu!$I$55:$I$144,
        0
    )
), " ")</f>
        <v>22 - Redução de MOD CSR61015</v>
      </c>
      <c r="D80" s="719">
        <f t="shared" si="31"/>
        <v>5.3738901861625346E-2</v>
      </c>
      <c r="E80" s="339">
        <f t="shared" si="32"/>
        <v>0.86639935540850865</v>
      </c>
      <c r="F80" t="str">
        <f t="shared" si="30"/>
        <v>Jarinu</v>
      </c>
      <c r="G80" t="str">
        <f>_xlfn.XLOOKUP(C80,Jarinu!$C$55:$C$144,Jarinu!$O$55:$O$144)</f>
        <v>✓ Concluído</v>
      </c>
      <c r="H80">
        <f>_xlfn.XLOOKUP(C80,Jarinu!$C$55:$C$144,Jarinu!$M$55:$M$144," ")</f>
        <v>0</v>
      </c>
      <c r="I80" s="716">
        <f>_xlfn.XLOOKUP(C80,Jarinu!$C$55:$C$144,Jarinu!$J$55:$J$144)</f>
        <v>46054</v>
      </c>
      <c r="J80" s="224">
        <f ca="1">INDEX(Jarinu!$AR$55:$AR$144, MATCH(C80, Jarinu!$C$55:$C$144, 0))</f>
        <v>163636.36363636362</v>
      </c>
      <c r="K80" s="224" t="str" cm="1">
        <f t="array" aca="1" ref="K80" ca="1">INDEX(Jarinu!$AR$55:$AR$144, MATCH(C80, Jarinu!$C$55:$C$144, 0)+1)</f>
        <v/>
      </c>
      <c r="L80" s="224">
        <f>INDEX(Jarinu!$AJ$55:$AJ$144, MATCH(C80, Jarinu!$C$55:$C$144, 0))</f>
        <v>81818.181818181823</v>
      </c>
      <c r="M80" s="224"/>
      <c r="N80" s="224"/>
      <c r="O80" s="224"/>
      <c r="P80" s="224"/>
      <c r="Q80">
        <v>77</v>
      </c>
      <c r="R80" s="253">
        <f t="shared" si="26"/>
        <v>120860.88</v>
      </c>
      <c r="S80" t="str">
        <f t="shared" si="21"/>
        <v>14- Redução de gastos com energia elétrica.</v>
      </c>
      <c r="T80" t="str">
        <f t="shared" si="22"/>
        <v>São leopoldo</v>
      </c>
      <c r="U80" s="253">
        <f t="shared" si="27"/>
        <v>72516.527999999991</v>
      </c>
      <c r="V80" s="224" t="str">
        <f t="shared" ca="1" si="28"/>
        <v/>
      </c>
      <c r="W80" s="224" t="str">
        <f t="shared" ca="1" si="29"/>
        <v/>
      </c>
      <c r="X80" t="str">
        <f t="shared" si="23"/>
        <v>✓ Concluído</v>
      </c>
      <c r="Y80" s="716">
        <f t="shared" si="24"/>
        <v>46237</v>
      </c>
      <c r="Z80" t="str">
        <f t="shared" si="25"/>
        <v/>
      </c>
    </row>
    <row r="81" spans="1:26" x14ac:dyDescent="0.3">
      <c r="A81">
        <v>12</v>
      </c>
      <c r="B81" s="224">
        <f>IFERROR(LARGE(Jarinu!$I$55:$I$144,A81)," ")</f>
        <v>102967</v>
      </c>
      <c r="C81" t="str">
        <f>IFERROR(INDEX(
    Jarinu!$C$55:$C$144,
    MATCH(
        B81,
        Jarinu!$I$55:$I$144,
        0
    )
), " ")</f>
        <v>19 - Redução da largura da bobina mãe do Curvão</v>
      </c>
      <c r="D81" s="719">
        <f t="shared" si="31"/>
        <v>1.8444445026619922E-2</v>
      </c>
      <c r="E81" s="339">
        <f t="shared" si="32"/>
        <v>0.88484380043512856</v>
      </c>
      <c r="F81" t="str">
        <f t="shared" si="30"/>
        <v>Jarinu</v>
      </c>
      <c r="G81" t="str">
        <f>_xlfn.XLOOKUP(C81,Jarinu!$C$55:$C$144,Jarinu!$O$55:$O$144)</f>
        <v>⏳ Em Execução</v>
      </c>
      <c r="H81" t="str">
        <f>_xlfn.XLOOKUP(C81,Jarinu!$C$55:$C$144,Jarinu!$M$55:$M$144," ")</f>
        <v>Não Ok</v>
      </c>
      <c r="I81" s="716">
        <f>_xlfn.XLOOKUP(C81,Jarinu!$C$55:$C$144,Jarinu!$J$55:$J$144)</f>
        <v>46357</v>
      </c>
      <c r="J81" s="224" t="str">
        <f ca="1">INDEX(Jarinu!$AR$55:$AR$144, MATCH(C81, Jarinu!$C$55:$C$144, 0))</f>
        <v/>
      </c>
      <c r="K81" s="224" t="str" cm="1">
        <f t="array" aca="1" ref="K81" ca="1">INDEX(Jarinu!$AR$55:$AR$144, MATCH(C81, Jarinu!$C$55:$C$144, 0)+1)</f>
        <v/>
      </c>
      <c r="L81" s="224">
        <f>INDEX(Jarinu!$AJ$55:$AJ$144, MATCH(C81, Jarinu!$C$55:$C$144, 0))</f>
        <v>0</v>
      </c>
      <c r="M81" s="224"/>
      <c r="N81" s="224"/>
      <c r="O81" s="224"/>
      <c r="P81" s="224"/>
      <c r="Q81">
        <v>78</v>
      </c>
      <c r="R81" s="253">
        <f t="shared" si="26"/>
        <v>115000</v>
      </c>
      <c r="S81" t="str">
        <f t="shared" si="21"/>
        <v>30 - DA000491Z_DE000492Z - STC Scania G_</v>
      </c>
      <c r="T81" t="str">
        <f t="shared" si="22"/>
        <v>Diadema</v>
      </c>
      <c r="U81" s="253">
        <f t="shared" si="27"/>
        <v>39111.769999999997</v>
      </c>
      <c r="V81" s="224" t="str">
        <f t="shared" ca="1" si="28"/>
        <v/>
      </c>
      <c r="W81" s="224" t="str">
        <f t="shared" ca="1" si="29"/>
        <v/>
      </c>
      <c r="X81" t="str">
        <f t="shared" si="23"/>
        <v>⏳ Em Execução</v>
      </c>
      <c r="Y81" s="716">
        <f t="shared" si="24"/>
        <v>46235</v>
      </c>
      <c r="Z81" t="str">
        <f t="shared" si="25"/>
        <v>OK</v>
      </c>
    </row>
    <row r="82" spans="1:26" x14ac:dyDescent="0.3">
      <c r="A82">
        <v>13</v>
      </c>
      <c r="B82" s="224">
        <f>IFERROR(LARGE(Jarinu!$I$55:$I$144,A82)," ")</f>
        <v>91444</v>
      </c>
      <c r="C82" t="str">
        <f>IFERROR(INDEX(
    Jarinu!$C$55:$C$144,
    MATCH(
        B82,
        Jarinu!$I$55:$I$144,
        0
    )
), " ")</f>
        <v xml:space="preserve">05 - Aplicar borda aparadas nas bobinas </v>
      </c>
      <c r="D82" s="719">
        <f t="shared" si="31"/>
        <v>1.6380333806114894E-2</v>
      </c>
      <c r="E82" s="339">
        <f t="shared" si="32"/>
        <v>0.90122413424124348</v>
      </c>
      <c r="F82" t="str">
        <f t="shared" si="30"/>
        <v>Jarinu</v>
      </c>
      <c r="G82" t="str">
        <f>_xlfn.XLOOKUP(C82,Jarinu!$C$55:$C$144,Jarinu!$O$55:$O$144)</f>
        <v>⏳ Em Execução</v>
      </c>
      <c r="H82" t="str">
        <f>_xlfn.XLOOKUP(C82,Jarinu!$C$55:$C$144,Jarinu!$M$55:$M$144," ")</f>
        <v>Não Ok</v>
      </c>
      <c r="I82" s="716">
        <f>_xlfn.XLOOKUP(C82,Jarinu!$C$55:$C$144,Jarinu!$J$55:$J$144)</f>
        <v>46235</v>
      </c>
      <c r="J82" s="224" t="str">
        <f ca="1">INDEX(Jarinu!$AR$55:$AR$144, MATCH(C82, Jarinu!$C$55:$C$144, 0))</f>
        <v/>
      </c>
      <c r="K82" s="224" t="str" cm="1">
        <f t="array" aca="1" ref="K82" ca="1">INDEX(Jarinu!$AR$55:$AR$144, MATCH(C82, Jarinu!$C$55:$C$144, 0)+1)</f>
        <v/>
      </c>
      <c r="L82" s="224">
        <f>INDEX(Jarinu!$AJ$55:$AJ$144, MATCH(C82, Jarinu!$C$55:$C$144, 0))</f>
        <v>54866.399999999994</v>
      </c>
      <c r="M82" s="224"/>
      <c r="N82" s="224"/>
      <c r="O82" s="224"/>
      <c r="P82" s="224"/>
      <c r="Q82">
        <v>79</v>
      </c>
      <c r="R82" s="253">
        <f t="shared" si="26"/>
        <v>112000</v>
      </c>
      <c r="S82" t="str">
        <f t="shared" si="21"/>
        <v>Resourcing Pino Esférico GM Lipos p/ Maxdel</v>
      </c>
      <c r="T82" t="str">
        <f t="shared" si="22"/>
        <v>Compras</v>
      </c>
      <c r="U82" s="253">
        <f t="shared" si="27"/>
        <v>112000</v>
      </c>
      <c r="V82" s="224" t="str">
        <f t="shared" ca="1" si="28"/>
        <v/>
      </c>
      <c r="W82" s="224" t="str">
        <f t="shared" ca="1" si="29"/>
        <v/>
      </c>
      <c r="X82" t="str">
        <f t="shared" si="23"/>
        <v>⏳ Em Execução</v>
      </c>
      <c r="Y82" s="716">
        <f t="shared" si="24"/>
        <v>46371</v>
      </c>
      <c r="Z82" t="str">
        <f t="shared" si="25"/>
        <v/>
      </c>
    </row>
    <row r="83" spans="1:26" x14ac:dyDescent="0.3">
      <c r="A83">
        <v>14</v>
      </c>
      <c r="B83" s="224">
        <f>IFERROR(LARGE(Jarinu!$I$55:$I$144,A83)," ")</f>
        <v>90850</v>
      </c>
      <c r="C83" t="str">
        <f>IFERROR(INDEX(
    Jarinu!$C$55:$C$144,
    MATCH(
        B83,
        Jarinu!$I$55:$I$144,
        0
    )
), " ")</f>
        <v>24 - Redução de consumo de MTP China 1 porca (-10 mm)</v>
      </c>
      <c r="D83" s="719">
        <f t="shared" si="31"/>
        <v>1.6273930780428877E-2</v>
      </c>
      <c r="E83" s="339">
        <f t="shared" si="32"/>
        <v>0.9174980650216723</v>
      </c>
      <c r="F83" t="str">
        <f t="shared" si="30"/>
        <v>Jarinu</v>
      </c>
      <c r="G83" t="str">
        <f>_xlfn.XLOOKUP(C83,Jarinu!$C$55:$C$144,Jarinu!$O$55:$O$144)</f>
        <v>⏳ Em Execução</v>
      </c>
      <c r="H83" t="str">
        <f>_xlfn.XLOOKUP(C83,Jarinu!$C$55:$C$144,Jarinu!$M$55:$M$144," ")</f>
        <v>OK</v>
      </c>
      <c r="I83" s="716">
        <f>_xlfn.XLOOKUP(C83,Jarinu!$C$55:$C$144,Jarinu!$J$55:$J$144)</f>
        <v>46235</v>
      </c>
      <c r="J83" s="224" t="str">
        <f ca="1">INDEX(Jarinu!$AR$55:$AR$144, MATCH(C83, Jarinu!$C$55:$C$144, 0))</f>
        <v/>
      </c>
      <c r="K83" s="224" t="str" cm="1">
        <f t="array" aca="1" ref="K83" ca="1">INDEX(Jarinu!$AR$55:$AR$144, MATCH(C83, Jarinu!$C$55:$C$144, 0)+1)</f>
        <v/>
      </c>
      <c r="L83" s="224">
        <f>INDEX(Jarinu!$AJ$55:$AJ$144, MATCH(C83, Jarinu!$C$55:$C$144, 0))</f>
        <v>99530.111999999994</v>
      </c>
      <c r="M83" s="224"/>
      <c r="N83" s="224"/>
      <c r="O83" s="224"/>
      <c r="P83" s="224"/>
      <c r="Q83">
        <v>80</v>
      </c>
      <c r="R83" s="253">
        <f t="shared" si="26"/>
        <v>110000</v>
      </c>
      <c r="S83" t="str">
        <f t="shared" si="21"/>
        <v>06- Troca do fornecedor de tubo do Capo CNH CN-13</v>
      </c>
      <c r="T83" t="str">
        <f t="shared" si="22"/>
        <v>São leopoldo</v>
      </c>
      <c r="U83" s="253">
        <f t="shared" si="27"/>
        <v>110000</v>
      </c>
      <c r="V83" s="224" t="str">
        <f t="shared" ca="1" si="28"/>
        <v/>
      </c>
      <c r="W83" s="224" t="str">
        <f t="shared" ca="1" si="29"/>
        <v/>
      </c>
      <c r="X83" t="str">
        <f t="shared" si="23"/>
        <v>⏳ Em Execução</v>
      </c>
      <c r="Y83" s="716">
        <f t="shared" si="24"/>
        <v>46300</v>
      </c>
      <c r="Z83" t="str">
        <f t="shared" si="25"/>
        <v/>
      </c>
    </row>
    <row r="84" spans="1:26" x14ac:dyDescent="0.3">
      <c r="A84">
        <v>15</v>
      </c>
      <c r="B84" s="224">
        <f>IFERROR(LARGE(Jarinu!$I$55:$I$144,A84)," ")</f>
        <v>75733</v>
      </c>
      <c r="C84" t="str">
        <f>IFERROR(INDEX(
    Jarinu!$C$55:$C$144,
    MATCH(
        B84,
        Jarinu!$I$55:$I$144,
        0
    )
), " ")</f>
        <v>04 - Redução da largura dos slitters</v>
      </c>
      <c r="D84" s="719">
        <f t="shared" si="31"/>
        <v>1.3566027515621575E-2</v>
      </c>
      <c r="E84" s="339">
        <f t="shared" si="32"/>
        <v>0.93106409253729383</v>
      </c>
      <c r="F84" t="str">
        <f t="shared" si="30"/>
        <v>Jarinu</v>
      </c>
      <c r="G84" t="str">
        <f>_xlfn.XLOOKUP(C84,Jarinu!$C$55:$C$144,Jarinu!$O$55:$O$144)</f>
        <v>⏳ Em Execução</v>
      </c>
      <c r="H84">
        <f>_xlfn.XLOOKUP(C84,Jarinu!$C$55:$C$144,Jarinu!$M$55:$M$144," ")</f>
        <v>0</v>
      </c>
      <c r="I84" s="716">
        <f>_xlfn.XLOOKUP(C84,Jarinu!$C$55:$C$144,Jarinu!$J$55:$J$144)</f>
        <v>46357</v>
      </c>
      <c r="J84" s="224" t="str">
        <f ca="1">INDEX(Jarinu!$AR$55:$AR$144, MATCH(C84, Jarinu!$C$55:$C$144, 0))</f>
        <v/>
      </c>
      <c r="K84" s="224" t="str" cm="1">
        <f t="array" aca="1" ref="K84" ca="1">INDEX(Jarinu!$AR$55:$AR$144, MATCH(C84, Jarinu!$C$55:$C$144, 0)+1)</f>
        <v/>
      </c>
      <c r="L84" s="224">
        <f>INDEX(Jarinu!$AJ$55:$AJ$144, MATCH(C84, Jarinu!$C$55:$C$144, 0))</f>
        <v>75733</v>
      </c>
      <c r="M84" s="224"/>
      <c r="N84" s="224"/>
      <c r="O84" s="224"/>
      <c r="P84" s="224"/>
      <c r="Q84">
        <v>81</v>
      </c>
      <c r="R84" s="253">
        <f t="shared" si="26"/>
        <v>106763.16</v>
      </c>
      <c r="S84" t="str">
        <f t="shared" si="21"/>
        <v>02 - Redução na quantidade de lâmpadas acessa, na produção</v>
      </c>
      <c r="T84" t="str">
        <f t="shared" si="22"/>
        <v>Diadema</v>
      </c>
      <c r="U84" s="253">
        <f t="shared" si="27"/>
        <v>106763.16</v>
      </c>
      <c r="V84" s="224">
        <f t="shared" ca="1" si="28"/>
        <v>58234.45090909092</v>
      </c>
      <c r="W84" s="224" t="str">
        <f t="shared" ca="1" si="29"/>
        <v/>
      </c>
      <c r="X84" t="str">
        <f t="shared" si="23"/>
        <v>✓ Concluído</v>
      </c>
      <c r="Y84" s="716">
        <f t="shared" si="24"/>
        <v>46054</v>
      </c>
      <c r="Z84" t="str">
        <f t="shared" si="25"/>
        <v/>
      </c>
    </row>
    <row r="85" spans="1:26" x14ac:dyDescent="0.3">
      <c r="A85">
        <v>16</v>
      </c>
      <c r="B85" s="224">
        <f>IFERROR(LARGE(Jarinu!$I$55:$I$144,A85)," ")</f>
        <v>74000</v>
      </c>
      <c r="C85" t="str">
        <f>IFERROR(INDEX(
    Jarinu!$C$55:$C$144,
    MATCH(
        B85,
        Jarinu!$I$55:$I$144,
        0
    )
), " ")</f>
        <v>40 - Redução de disperdicio bobina.</v>
      </c>
      <c r="D85" s="719">
        <f t="shared" si="31"/>
        <v>1.3255595792534252E-2</v>
      </c>
      <c r="E85" s="339">
        <f t="shared" si="32"/>
        <v>0.94431968832982804</v>
      </c>
      <c r="F85" t="str">
        <f t="shared" si="30"/>
        <v>Jarinu</v>
      </c>
      <c r="G85" t="str">
        <f>_xlfn.XLOOKUP(C85,Jarinu!$C$55:$C$144,Jarinu!$O$55:$O$144)</f>
        <v>⏳ Em Execução</v>
      </c>
      <c r="H85">
        <f>_xlfn.XLOOKUP(C85,Jarinu!$C$55:$C$144,Jarinu!$M$55:$M$144," ")</f>
        <v>0</v>
      </c>
      <c r="I85" s="716">
        <f>_xlfn.XLOOKUP(C85,Jarinu!$C$55:$C$144,Jarinu!$J$55:$J$144)</f>
        <v>46266</v>
      </c>
      <c r="J85" s="224" t="str">
        <f ca="1">INDEX(Jarinu!$AR$55:$AR$144, MATCH(C85, Jarinu!$C$55:$C$144, 0))</f>
        <v/>
      </c>
      <c r="K85" s="224" t="str" cm="1">
        <f t="array" aca="1" ref="K85" ca="1">INDEX(Jarinu!$AR$55:$AR$144, MATCH(C85, Jarinu!$C$55:$C$144, 0)+1)</f>
        <v/>
      </c>
      <c r="L85" s="224">
        <f>INDEX(Jarinu!$AJ$55:$AJ$144, MATCH(C85, Jarinu!$C$55:$C$144, 0))</f>
        <v>55500</v>
      </c>
      <c r="M85" s="224"/>
      <c r="N85" s="224"/>
      <c r="O85" s="224"/>
      <c r="P85" s="224"/>
      <c r="Q85">
        <v>82</v>
      </c>
      <c r="R85" s="253">
        <f t="shared" si="26"/>
        <v>106000</v>
      </c>
      <c r="S85" t="str">
        <f t="shared" si="21"/>
        <v>45 - Redução de MP GM000409Z</v>
      </c>
      <c r="T85" t="str">
        <f t="shared" si="22"/>
        <v>Diadema</v>
      </c>
      <c r="U85" s="253">
        <f t="shared" si="27"/>
        <v>99381.260000000009</v>
      </c>
      <c r="V85" s="224">
        <f t="shared" ca="1" si="28"/>
        <v>44169.448888888888</v>
      </c>
      <c r="W85" s="224">
        <f t="shared" ca="1" si="29"/>
        <v>76638.269723999692</v>
      </c>
      <c r="X85" t="str">
        <f t="shared" si="23"/>
        <v>✓ Concluído</v>
      </c>
      <c r="Y85" s="716">
        <f t="shared" si="24"/>
        <v>46136</v>
      </c>
      <c r="Z85" t="str">
        <f t="shared" si="25"/>
        <v>OK</v>
      </c>
    </row>
    <row r="86" spans="1:26" x14ac:dyDescent="0.3">
      <c r="A86">
        <v>17</v>
      </c>
      <c r="B86" s="224">
        <f>IFERROR(LARGE(Jarinu!$I$55:$I$144,A86)," ")</f>
        <v>50000</v>
      </c>
      <c r="C86" t="str">
        <f>IFERROR(INDEX(
    Jarinu!$C$55:$C$144,
    MATCH(
        B86,
        Jarinu!$I$55:$I$144,
        0
    )
), " ")</f>
        <v>34 - Iluminação em LED</v>
      </c>
      <c r="D86" s="719">
        <f t="shared" si="31"/>
        <v>8.9564836436042249E-3</v>
      </c>
      <c r="E86" s="339">
        <f t="shared" si="32"/>
        <v>0.95327617197343228</v>
      </c>
      <c r="F86" t="str">
        <f t="shared" si="30"/>
        <v>Jarinu</v>
      </c>
      <c r="G86" t="str">
        <f>_xlfn.XLOOKUP(C86,Jarinu!$C$55:$C$144,Jarinu!$O$55:$O$144)</f>
        <v>⏳ Em Execução</v>
      </c>
      <c r="H86">
        <f>_xlfn.XLOOKUP(C86,Jarinu!$C$55:$C$144,Jarinu!$M$55:$M$144," ")</f>
        <v>0</v>
      </c>
      <c r="I86" s="716">
        <f>_xlfn.XLOOKUP(C86,Jarinu!$C$55:$C$144,Jarinu!$J$55:$J$144)</f>
        <v>46264</v>
      </c>
      <c r="J86" s="224" t="str">
        <f ca="1">INDEX(Jarinu!$AR$55:$AR$144, MATCH(C86, Jarinu!$C$55:$C$144, 0))</f>
        <v/>
      </c>
      <c r="K86" s="224" t="str" cm="1">
        <f t="array" aca="1" ref="K86" ca="1">INDEX(Jarinu!$AR$55:$AR$144, MATCH(C86, Jarinu!$C$55:$C$144, 0)+1)</f>
        <v/>
      </c>
      <c r="L86" s="224">
        <f>INDEX(Jarinu!$AJ$55:$AJ$144, MATCH(C86, Jarinu!$C$55:$C$144, 0))</f>
        <v>30000</v>
      </c>
      <c r="M86" s="224"/>
      <c r="N86" s="224"/>
      <c r="O86" s="224"/>
      <c r="P86" s="224"/>
      <c r="Q86">
        <v>83</v>
      </c>
      <c r="R86" s="253">
        <f t="shared" si="26"/>
        <v>102967</v>
      </c>
      <c r="S86" t="str">
        <f t="shared" si="21"/>
        <v>19 - Redução da largura da bobina mãe do Curvão</v>
      </c>
      <c r="T86" t="str">
        <f t="shared" si="22"/>
        <v>Jarinu</v>
      </c>
      <c r="U86" s="253">
        <f t="shared" si="27"/>
        <v>0</v>
      </c>
      <c r="V86" s="224" t="str">
        <f t="shared" ca="1" si="28"/>
        <v/>
      </c>
      <c r="W86" s="224" t="str">
        <f t="shared" ca="1" si="29"/>
        <v/>
      </c>
      <c r="X86" t="str">
        <f t="shared" si="23"/>
        <v>⏳ Em Execução</v>
      </c>
      <c r="Y86" s="716">
        <f t="shared" si="24"/>
        <v>46357</v>
      </c>
      <c r="Z86" t="str">
        <f t="shared" si="25"/>
        <v>Não Ok</v>
      </c>
    </row>
    <row r="87" spans="1:26" x14ac:dyDescent="0.3">
      <c r="A87">
        <v>18</v>
      </c>
      <c r="B87" s="224">
        <f>IFERROR(LARGE(Jarinu!$I$55:$I$144,A87)," ")</f>
        <v>47086</v>
      </c>
      <c r="C87" t="str">
        <f>IFERROR(INDEX(
    Jarinu!$C$55:$C$144,
    MATCH(
        B87,
        Jarinu!$I$55:$I$144,
        0
    )
), " ")</f>
        <v>25 - Redução de consumo de MTP China 2 porca (-10 mm)</v>
      </c>
      <c r="D87" s="719">
        <f t="shared" si="31"/>
        <v>8.4344997768549708E-3</v>
      </c>
      <c r="E87" s="339">
        <f t="shared" si="32"/>
        <v>0.96171067175028724</v>
      </c>
      <c r="F87" t="str">
        <f t="shared" si="30"/>
        <v>Jarinu</v>
      </c>
      <c r="G87" t="str">
        <f>_xlfn.XLOOKUP(C87,Jarinu!$C$55:$C$144,Jarinu!$O$55:$O$144)</f>
        <v>⏳ Em Execução</v>
      </c>
      <c r="H87" t="str">
        <f>_xlfn.XLOOKUP(C87,Jarinu!$C$55:$C$144,Jarinu!$M$55:$M$144," ")</f>
        <v>OK</v>
      </c>
      <c r="I87" s="716">
        <f>_xlfn.XLOOKUP(C87,Jarinu!$C$55:$C$144,Jarinu!$J$55:$J$144)</f>
        <v>46235</v>
      </c>
      <c r="J87" s="224" t="str">
        <f ca="1">INDEX(Jarinu!$AR$55:$AR$144, MATCH(C87, Jarinu!$C$55:$C$144, 0))</f>
        <v/>
      </c>
      <c r="K87" s="224" t="str" cm="1">
        <f t="array" aca="1" ref="K87" ca="1">INDEX(Jarinu!$AR$55:$AR$144, MATCH(C87, Jarinu!$C$55:$C$144, 0)+1)</f>
        <v/>
      </c>
      <c r="L87" s="224">
        <f>INDEX(Jarinu!$AJ$55:$AJ$144, MATCH(C87, Jarinu!$C$55:$C$144, 0))</f>
        <v>36590.466</v>
      </c>
      <c r="M87" s="224"/>
      <c r="N87" s="224"/>
      <c r="O87" s="224"/>
      <c r="P87" s="224"/>
      <c r="Q87">
        <v>84</v>
      </c>
      <c r="R87" s="253">
        <f t="shared" si="26"/>
        <v>101100</v>
      </c>
      <c r="S87" t="str">
        <f t="shared" si="21"/>
        <v>Estudo de viabilidade lixadeiras</v>
      </c>
      <c r="T87" t="str">
        <f t="shared" si="22"/>
        <v>Compras</v>
      </c>
      <c r="U87" s="253">
        <f t="shared" si="27"/>
        <v>101100</v>
      </c>
      <c r="V87" s="224">
        <f t="shared" ca="1" si="28"/>
        <v>58975</v>
      </c>
      <c r="W87" s="224" t="str">
        <f t="shared" ca="1" si="29"/>
        <v/>
      </c>
      <c r="X87" t="str">
        <f t="shared" si="23"/>
        <v>⏳ Em Execução</v>
      </c>
      <c r="Y87" s="716">
        <f t="shared" si="24"/>
        <v>46023</v>
      </c>
      <c r="Z87" t="str">
        <f t="shared" si="25"/>
        <v/>
      </c>
    </row>
    <row r="88" spans="1:26" x14ac:dyDescent="0.3">
      <c r="A88">
        <v>19</v>
      </c>
      <c r="B88" s="224">
        <f>IFERROR(LARGE(Jarinu!$I$55:$I$144,A88)," ")</f>
        <v>44856</v>
      </c>
      <c r="C88" t="str">
        <f>IFERROR(INDEX(
    Jarinu!$C$55:$C$144,
    MATCH(
        B88,
        Jarinu!$I$55:$I$144,
        0
    )
), " ")</f>
        <v xml:space="preserve">38 - Venda de sucata </v>
      </c>
      <c r="D88" s="719">
        <f t="shared" si="31"/>
        <v>8.035040606350222E-3</v>
      </c>
      <c r="E88" s="339">
        <f t="shared" si="32"/>
        <v>0.96974571235663742</v>
      </c>
      <c r="F88" t="str">
        <f t="shared" si="30"/>
        <v>Jarinu</v>
      </c>
      <c r="G88" t="str">
        <f>_xlfn.XLOOKUP(C88,Jarinu!$C$55:$C$144,Jarinu!$O$55:$O$144)</f>
        <v>⏳ Em Execução</v>
      </c>
      <c r="H88" t="str">
        <f>_xlfn.XLOOKUP(C88,Jarinu!$C$55:$C$144,Jarinu!$M$55:$M$144," ")</f>
        <v>OK</v>
      </c>
      <c r="I88" s="716">
        <f>_xlfn.XLOOKUP(C88,Jarinu!$C$55:$C$144,Jarinu!$J$55:$J$144)</f>
        <v>46174</v>
      </c>
      <c r="J88" s="224">
        <f ca="1">INDEX(Jarinu!$AR$55:$AR$144, MATCH(C88, Jarinu!$C$55:$C$144, 0))</f>
        <v>44836</v>
      </c>
      <c r="K88" s="224" cm="1">
        <f t="array" aca="1" ref="K88" ca="1">INDEX(Jarinu!$AR$55:$AR$144, MATCH(C88, Jarinu!$C$55:$C$144, 0)+1)</f>
        <v>62700</v>
      </c>
      <c r="L88" s="224">
        <f>INDEX(Jarinu!$AJ$55:$AJ$144, MATCH(C88, Jarinu!$C$55:$C$144, 0))</f>
        <v>0</v>
      </c>
      <c r="M88" s="224"/>
      <c r="N88" s="224"/>
      <c r="O88" s="224"/>
      <c r="P88" s="224"/>
      <c r="Q88">
        <v>85</v>
      </c>
      <c r="R88" s="253">
        <f t="shared" si="26"/>
        <v>100871</v>
      </c>
      <c r="S88" t="str">
        <f t="shared" si="21"/>
        <v>Negociação Boellhoff
85290 - PORCA QUADRADA SOLDA PROJEÇÃO - M5</v>
      </c>
      <c r="T88" t="str">
        <f t="shared" si="22"/>
        <v>Compras</v>
      </c>
      <c r="U88" s="253">
        <f t="shared" si="27"/>
        <v>100871</v>
      </c>
      <c r="V88" s="224" t="str">
        <f t="shared" ca="1" si="28"/>
        <v/>
      </c>
      <c r="W88" s="224" t="str">
        <f t="shared" ca="1" si="29"/>
        <v/>
      </c>
      <c r="X88" t="str">
        <f t="shared" si="23"/>
        <v>⏳ Em Execução</v>
      </c>
      <c r="Y88" s="716">
        <f t="shared" si="24"/>
        <v>46282</v>
      </c>
      <c r="Z88" t="str">
        <f t="shared" si="25"/>
        <v/>
      </c>
    </row>
    <row r="89" spans="1:26" x14ac:dyDescent="0.3">
      <c r="A89">
        <v>20</v>
      </c>
      <c r="B89" s="224">
        <f>IFERROR(LARGE(Jarinu!$I$55:$I$144,A89)," ")</f>
        <v>40000.00088</v>
      </c>
      <c r="C89" t="str">
        <f>IFERROR(INDEX(
    Jarinu!$C$55:$C$144,
    MATCH(
        B89,
        Jarinu!$I$55:$I$144,
        0
    )
), " ")</f>
        <v>39 - Venda de sucata de cobre</v>
      </c>
      <c r="D89" s="719">
        <f t="shared" si="31"/>
        <v>7.165187072517492E-3</v>
      </c>
      <c r="E89" s="339">
        <f t="shared" si="32"/>
        <v>0.97691089942915488</v>
      </c>
      <c r="F89" t="str">
        <f t="shared" si="30"/>
        <v>Jarinu</v>
      </c>
      <c r="G89" t="str">
        <f>_xlfn.XLOOKUP(C89,Jarinu!$C$55:$C$144,Jarinu!$O$55:$O$144)</f>
        <v>⏳ Em Execução</v>
      </c>
      <c r="H89">
        <f>_xlfn.XLOOKUP(C89,Jarinu!$C$55:$C$144,Jarinu!$M$55:$M$144," ")</f>
        <v>0</v>
      </c>
      <c r="I89" s="716">
        <f>_xlfn.XLOOKUP(C89,Jarinu!$C$55:$C$144,Jarinu!$J$55:$J$144)</f>
        <v>46235</v>
      </c>
      <c r="J89" s="224" t="str">
        <f ca="1">INDEX(Jarinu!$AR$55:$AR$144, MATCH(C89, Jarinu!$C$55:$C$144, 0))</f>
        <v/>
      </c>
      <c r="K89" s="224" t="str" cm="1">
        <f t="array" aca="1" ref="K89" ca="1">INDEX(Jarinu!$AR$55:$AR$144, MATCH(C89, Jarinu!$C$55:$C$144, 0)+1)</f>
        <v/>
      </c>
      <c r="L89" s="224">
        <f>INDEX(Jarinu!$AJ$55:$AJ$144, MATCH(C89, Jarinu!$C$55:$C$144, 0))</f>
        <v>24000.000527999997</v>
      </c>
      <c r="M89" s="224"/>
      <c r="N89" s="224"/>
      <c r="O89" s="224"/>
      <c r="P89" s="224"/>
      <c r="Q89">
        <v>86</v>
      </c>
      <c r="R89" s="253">
        <f t="shared" si="26"/>
        <v>100000.0001</v>
      </c>
      <c r="S89" t="str">
        <f t="shared" si="21"/>
        <v>04 - GÁS</v>
      </c>
      <c r="T89" t="str">
        <f t="shared" si="22"/>
        <v>Anchieta</v>
      </c>
      <c r="U89" s="253">
        <f t="shared" si="27"/>
        <v>63274.572499999995</v>
      </c>
      <c r="V89" s="224">
        <f t="shared" ca="1" si="28"/>
        <v>84366.096666666665</v>
      </c>
      <c r="W89" s="224">
        <f t="shared" ca="1" si="29"/>
        <v>12258.22</v>
      </c>
      <c r="X89" t="str">
        <f t="shared" si="23"/>
        <v>⏳ Em Execução</v>
      </c>
      <c r="Y89" s="716">
        <f t="shared" si="24"/>
        <v>46113</v>
      </c>
      <c r="Z89" t="str">
        <f t="shared" si="25"/>
        <v>OK</v>
      </c>
    </row>
    <row r="90" spans="1:26" x14ac:dyDescent="0.3">
      <c r="A90">
        <v>21</v>
      </c>
      <c r="B90" s="224">
        <f>IFERROR(LARGE(Jarinu!$I$55:$I$144,A90)," ")</f>
        <v>34645</v>
      </c>
      <c r="C90" t="str">
        <f>IFERROR(INDEX(
    Jarinu!$C$55:$C$144,
    MATCH(
        B90,
        Jarinu!$I$55:$I$144,
        0
    )
), " ")</f>
        <v>15 - Redução de consumo no slitter dos itens VW000950AA/951AA</v>
      </c>
      <c r="D90" s="719">
        <f t="shared" si="31"/>
        <v>6.2059475166533675E-3</v>
      </c>
      <c r="E90" s="339">
        <f t="shared" si="32"/>
        <v>0.98311684694580825</v>
      </c>
      <c r="F90" t="str">
        <f t="shared" si="30"/>
        <v>Jarinu</v>
      </c>
      <c r="G90" t="str">
        <f>_xlfn.XLOOKUP(C90,Jarinu!$C$55:$C$144,Jarinu!$O$55:$O$144)</f>
        <v>⏳ Em Execução</v>
      </c>
      <c r="H90" t="str">
        <f>_xlfn.XLOOKUP(C90,Jarinu!$C$55:$C$144,Jarinu!$M$55:$M$144," ")</f>
        <v>OK</v>
      </c>
      <c r="I90" s="716">
        <f>_xlfn.XLOOKUP(C90,Jarinu!$C$55:$C$144,Jarinu!$J$55:$J$144)</f>
        <v>46357</v>
      </c>
      <c r="J90" s="224" t="str">
        <f ca="1">INDEX(Jarinu!$AR$55:$AR$144, MATCH(C90, Jarinu!$C$55:$C$144, 0))</f>
        <v/>
      </c>
      <c r="K90" s="224" t="str" cm="1">
        <f t="array" aca="1" ref="K90" ca="1">INDEX(Jarinu!$AR$55:$AR$144, MATCH(C90, Jarinu!$C$55:$C$144, 0)+1)</f>
        <v/>
      </c>
      <c r="L90" s="224">
        <f>INDEX(Jarinu!$AJ$55:$AJ$144, MATCH(C90, Jarinu!$C$55:$C$144, 0))</f>
        <v>7874.7116666666661</v>
      </c>
      <c r="M90" s="224"/>
      <c r="N90" s="224"/>
      <c r="O90" s="224"/>
      <c r="P90" s="224"/>
      <c r="Q90">
        <v>87</v>
      </c>
      <c r="R90" s="253">
        <f t="shared" si="26"/>
        <v>100000</v>
      </c>
      <c r="S90" t="str">
        <f t="shared" si="21"/>
        <v>30 - Redução de hora extra - Manutenção</v>
      </c>
      <c r="T90" t="str">
        <f t="shared" si="22"/>
        <v>Ferraz</v>
      </c>
      <c r="U90" s="253">
        <f t="shared" si="27"/>
        <v>0</v>
      </c>
      <c r="V90" s="224" t="str">
        <f t="shared" ca="1" si="28"/>
        <v/>
      </c>
      <c r="W90" s="224" t="str">
        <f t="shared" ca="1" si="29"/>
        <v/>
      </c>
      <c r="X90">
        <f t="shared" si="23"/>
        <v>0</v>
      </c>
      <c r="Y90" s="716">
        <f t="shared" si="24"/>
        <v>46265</v>
      </c>
      <c r="Z90" t="str">
        <f t="shared" si="25"/>
        <v/>
      </c>
    </row>
    <row r="91" spans="1:26" x14ac:dyDescent="0.3">
      <c r="A91">
        <v>22</v>
      </c>
      <c r="B91" s="224">
        <f>IFERROR(LARGE(Jarinu!$I$55:$I$144,A91)," ")</f>
        <v>30000</v>
      </c>
      <c r="C91" t="str">
        <f>IFERROR(INDEX(
    Jarinu!$C$55:$C$144,
    MATCH(
        B91,
        Jarinu!$I$55:$I$144,
        0
    )
), " ")</f>
        <v>02 - Aumentar a produtividade da estamparia atraves da implementação lote econômico e multiplos de MTP</v>
      </c>
      <c r="D91" s="719">
        <f t="shared" si="31"/>
        <v>5.3738901861625343E-3</v>
      </c>
      <c r="E91" s="339">
        <f t="shared" si="32"/>
        <v>0.98849073713197078</v>
      </c>
      <c r="F91" t="str">
        <f t="shared" si="30"/>
        <v>Jarinu</v>
      </c>
      <c r="G91" t="str">
        <f>_xlfn.XLOOKUP(C91,Jarinu!$C$55:$C$144,Jarinu!$O$55:$O$144)</f>
        <v>⏳ Em Execução</v>
      </c>
      <c r="H91">
        <f>_xlfn.XLOOKUP(C91,Jarinu!$C$55:$C$144,Jarinu!$M$55:$M$144," ")</f>
        <v>0</v>
      </c>
      <c r="I91" s="716">
        <f>_xlfn.XLOOKUP(C91,Jarinu!$C$55:$C$144,Jarinu!$J$55:$J$144)</f>
        <v>46266</v>
      </c>
      <c r="J91" s="224" t="str">
        <f ca="1">INDEX(Jarinu!$AR$55:$AR$144, MATCH(C91, Jarinu!$C$55:$C$144, 0))</f>
        <v/>
      </c>
      <c r="K91" s="224" t="str" cm="1">
        <f t="array" aca="1" ref="K91" ca="1">INDEX(Jarinu!$AR$55:$AR$144, MATCH(C91, Jarinu!$C$55:$C$144, 0)+1)</f>
        <v/>
      </c>
      <c r="L91" s="224">
        <f>INDEX(Jarinu!$AJ$55:$AJ$144, MATCH(C91, Jarinu!$C$55:$C$144, 0))</f>
        <v>22500</v>
      </c>
      <c r="M91" s="224"/>
      <c r="N91" s="224"/>
      <c r="O91" s="224"/>
      <c r="P91" s="224"/>
      <c r="Q91">
        <v>88</v>
      </c>
      <c r="R91" s="253">
        <f t="shared" si="26"/>
        <v>99600</v>
      </c>
      <c r="S91" t="str">
        <f t="shared" si="21"/>
        <v>Locação de Compressores</v>
      </c>
      <c r="T91" t="str">
        <f t="shared" si="22"/>
        <v>Compras</v>
      </c>
      <c r="U91" s="253">
        <f t="shared" si="27"/>
        <v>99600.000000000015</v>
      </c>
      <c r="V91" s="224">
        <f t="shared" ca="1" si="28"/>
        <v>28457.142857142859</v>
      </c>
      <c r="W91" s="224" t="str">
        <f t="shared" ca="1" si="29"/>
        <v/>
      </c>
      <c r="X91" t="str">
        <f t="shared" si="23"/>
        <v>⏳ Em Execução</v>
      </c>
      <c r="Y91" s="716">
        <f t="shared" si="24"/>
        <v>46174</v>
      </c>
      <c r="Z91" t="str">
        <f t="shared" si="25"/>
        <v/>
      </c>
    </row>
    <row r="92" spans="1:26" x14ac:dyDescent="0.3">
      <c r="A92">
        <v>23</v>
      </c>
      <c r="B92" s="224">
        <f>IFERROR(LARGE(Jarinu!$I$55:$I$144,A92)," ")</f>
        <v>24120</v>
      </c>
      <c r="C92" t="str">
        <f>IFERROR(INDEX(
    Jarinu!$C$55:$C$144,
    MATCH(
        B92,
        Jarinu!$I$55:$I$144,
        0
    )
), " ")</f>
        <v>14 - Redução de consumo no passo do blank dos itens VW000950AA/951AA</v>
      </c>
      <c r="D92" s="719">
        <f t="shared" si="31"/>
        <v>4.3206077096746781E-3</v>
      </c>
      <c r="E92" s="339">
        <f t="shared" si="32"/>
        <v>0.99281134484164546</v>
      </c>
      <c r="F92" t="str">
        <f t="shared" si="30"/>
        <v>Jarinu</v>
      </c>
      <c r="G92" t="str">
        <f>_xlfn.XLOOKUP(C92,Jarinu!$C$55:$C$144,Jarinu!$O$55:$O$144)</f>
        <v>✓ Concluído</v>
      </c>
      <c r="H92" t="str">
        <f>_xlfn.XLOOKUP(C92,Jarinu!$C$55:$C$144,Jarinu!$M$55:$M$144," ")</f>
        <v>OK</v>
      </c>
      <c r="I92" s="716">
        <f>_xlfn.XLOOKUP(C92,Jarinu!$C$55:$C$144,Jarinu!$J$55:$J$144)</f>
        <v>46204</v>
      </c>
      <c r="J92" s="224">
        <f ca="1">INDEX(Jarinu!$AR$55:$AR$144, MATCH(C92, Jarinu!$C$55:$C$144, 0))</f>
        <v>4276.9350000000004</v>
      </c>
      <c r="K92" s="224" cm="1">
        <f t="array" aca="1" ref="K92" ca="1">INDEX(Jarinu!$AR$55:$AR$144, MATCH(C92, Jarinu!$C$55:$C$144, 0)+1)</f>
        <v>4110.9371626224101</v>
      </c>
      <c r="L92" s="224">
        <f>INDEX(Jarinu!$AJ$55:$AJ$144, MATCH(C92, Jarinu!$C$55:$C$144, 0))</f>
        <v>12830.805</v>
      </c>
      <c r="M92" s="224"/>
      <c r="N92" s="224"/>
      <c r="O92" s="224"/>
      <c r="P92" s="224"/>
      <c r="Q92">
        <v>89</v>
      </c>
      <c r="R92" s="253">
        <f t="shared" si="26"/>
        <v>96000</v>
      </c>
      <c r="S92" t="str">
        <f t="shared" si="21"/>
        <v>43 - Automação Boomerang</v>
      </c>
      <c r="T92" t="str">
        <f t="shared" si="22"/>
        <v>Diadema</v>
      </c>
      <c r="U92" s="253">
        <f t="shared" si="27"/>
        <v>43105</v>
      </c>
      <c r="V92" s="224" t="str">
        <f t="shared" ca="1" si="28"/>
        <v/>
      </c>
      <c r="W92" s="224" t="str">
        <f t="shared" ca="1" si="29"/>
        <v/>
      </c>
      <c r="X92" t="str">
        <f t="shared" si="23"/>
        <v>⏳ Em Execução</v>
      </c>
      <c r="Y92" s="716">
        <f t="shared" si="24"/>
        <v>46235</v>
      </c>
      <c r="Z92" t="str">
        <f t="shared" si="25"/>
        <v>OK</v>
      </c>
    </row>
    <row r="93" spans="1:26" x14ac:dyDescent="0.3">
      <c r="A93">
        <v>24</v>
      </c>
      <c r="B93" s="224">
        <f>IFERROR(LARGE(Jarinu!$I$55:$I$144,A93)," ")</f>
        <v>19309</v>
      </c>
      <c r="C93" t="str">
        <f>IFERROR(INDEX(
    Jarinu!$C$55:$C$144,
    MATCH(
        B93,
        Jarinu!$I$55:$I$144,
        0
    )
), " ")</f>
        <v>23 - Redução do consumo de MTP VW000938AB (- 3 mm no passo)</v>
      </c>
      <c r="D93" s="719">
        <f t="shared" si="31"/>
        <v>3.4588148534870793E-3</v>
      </c>
      <c r="E93" s="339">
        <f t="shared" si="32"/>
        <v>0.99627015969513255</v>
      </c>
      <c r="F93" t="str">
        <f t="shared" si="30"/>
        <v>Jarinu</v>
      </c>
      <c r="G93" t="str">
        <f>_xlfn.XLOOKUP(C93,Jarinu!$C$55:$C$144,Jarinu!$O$55:$O$144)</f>
        <v>✓ Concluído</v>
      </c>
      <c r="H93" t="str">
        <f>_xlfn.XLOOKUP(C93,Jarinu!$C$55:$C$144,Jarinu!$M$55:$M$144," ")</f>
        <v>OK</v>
      </c>
      <c r="I93" s="716">
        <f>_xlfn.XLOOKUP(C93,Jarinu!$C$55:$C$144,Jarinu!$J$55:$J$144)</f>
        <v>46113</v>
      </c>
      <c r="J93" s="224">
        <f ca="1">INDEX(Jarinu!$AR$55:$AR$144, MATCH(C93, Jarinu!$C$55:$C$144, 0))</f>
        <v>7062.0226666666667</v>
      </c>
      <c r="K93" s="224" cm="1">
        <f t="array" aca="1" ref="K93" ca="1">INDEX(Jarinu!$AR$55:$AR$144, MATCH(C93, Jarinu!$C$55:$C$144, 0)+1)</f>
        <v>6254.5117253472336</v>
      </c>
      <c r="L93" s="224">
        <f>INDEX(Jarinu!$AJ$55:$AJ$144, MATCH(C93, Jarinu!$C$55:$C$144, 0))</f>
        <v>5296.5169999999998</v>
      </c>
      <c r="M93" s="224"/>
      <c r="N93" s="224"/>
      <c r="O93" s="224"/>
      <c r="P93" s="224"/>
      <c r="Q93">
        <v>90</v>
      </c>
      <c r="R93" s="253">
        <f t="shared" si="26"/>
        <v>96000</v>
      </c>
      <c r="S93" t="str">
        <f t="shared" si="21"/>
        <v>43 - Automação Boomerang</v>
      </c>
      <c r="T93" t="str">
        <f t="shared" si="22"/>
        <v>Diadema</v>
      </c>
      <c r="U93" s="253">
        <f t="shared" si="27"/>
        <v>43105</v>
      </c>
      <c r="V93" s="224" t="str">
        <f t="shared" ca="1" si="28"/>
        <v/>
      </c>
      <c r="W93" s="224" t="str">
        <f t="shared" ca="1" si="29"/>
        <v/>
      </c>
      <c r="X93" t="str">
        <f t="shared" si="23"/>
        <v>⏳ Em Execução</v>
      </c>
      <c r="Y93" s="716">
        <f t="shared" si="24"/>
        <v>46235</v>
      </c>
      <c r="Z93" t="str">
        <f t="shared" si="25"/>
        <v>OK</v>
      </c>
    </row>
    <row r="94" spans="1:26" x14ac:dyDescent="0.3">
      <c r="A94">
        <v>25</v>
      </c>
      <c r="B94" s="224">
        <f>IFERROR(LARGE(Jarinu!$I$55:$I$144,A94)," ")</f>
        <v>9639</v>
      </c>
      <c r="C94" t="str">
        <f>IFERROR(INDEX(
    Jarinu!$C$55:$C$144,
    MATCH(
        B94,
        Jarinu!$I$55:$I$144,
        0
    )
), " ")</f>
        <v>29 - Redução do consumo MTP no passo do Blank VW000942AB / 943AB -5MM</v>
      </c>
      <c r="D94" s="719">
        <f t="shared" si="31"/>
        <v>1.7266309168140223E-3</v>
      </c>
      <c r="E94" s="339">
        <f t="shared" si="32"/>
        <v>0.99799679061194657</v>
      </c>
      <c r="F94" t="str">
        <f t="shared" si="30"/>
        <v>Jarinu</v>
      </c>
      <c r="G94" t="str">
        <f>_xlfn.XLOOKUP(C94,Jarinu!$C$55:$C$144,Jarinu!$O$55:$O$144)</f>
        <v>⏳ Em Execução</v>
      </c>
      <c r="H94" t="str">
        <f>_xlfn.XLOOKUP(C94,Jarinu!$C$55:$C$144,Jarinu!$M$55:$M$144," ")</f>
        <v>OK</v>
      </c>
      <c r="I94" s="716">
        <f>_xlfn.XLOOKUP(C94,Jarinu!$C$55:$C$144,Jarinu!$J$55:$J$144)</f>
        <v>46264</v>
      </c>
      <c r="J94" s="224" t="str">
        <f ca="1">INDEX(Jarinu!$AR$55:$AR$144, MATCH(C94, Jarinu!$C$55:$C$144, 0))</f>
        <v/>
      </c>
      <c r="K94" s="224" t="str" cm="1">
        <f t="array" aca="1" ref="K94" ca="1">INDEX(Jarinu!$AR$55:$AR$144, MATCH(C94, Jarinu!$C$55:$C$144, 0)+1)</f>
        <v/>
      </c>
      <c r="L94" s="224">
        <f>INDEX(Jarinu!$AJ$55:$AJ$144, MATCH(C94, Jarinu!$C$55:$C$144, 0))</f>
        <v>13562.826000000001</v>
      </c>
      <c r="M94" s="224"/>
      <c r="N94" s="224"/>
      <c r="O94" s="224"/>
      <c r="P94" s="224"/>
      <c r="Q94">
        <v>91</v>
      </c>
      <c r="R94" s="253">
        <f t="shared" si="26"/>
        <v>92802.55</v>
      </c>
      <c r="S94" t="str">
        <f t="shared" si="21"/>
        <v>04 -  REDUÇÃO DE PESO BRUTO DD000502/503Z</v>
      </c>
      <c r="T94" t="str">
        <f t="shared" si="22"/>
        <v>São leopoldo</v>
      </c>
      <c r="U94" s="253">
        <f t="shared" si="27"/>
        <v>52246.754999999997</v>
      </c>
      <c r="V94" s="224" t="str">
        <f t="shared" ca="1" si="28"/>
        <v/>
      </c>
      <c r="W94" s="224" t="str">
        <f t="shared" ca="1" si="29"/>
        <v/>
      </c>
      <c r="X94" t="str">
        <f t="shared" si="23"/>
        <v>✓ Concluído</v>
      </c>
      <c r="Y94" s="716">
        <f t="shared" si="24"/>
        <v>46266</v>
      </c>
      <c r="Z94" t="str">
        <f t="shared" si="25"/>
        <v>OK</v>
      </c>
    </row>
    <row r="95" spans="1:26" x14ac:dyDescent="0.3">
      <c r="A95">
        <v>26</v>
      </c>
      <c r="B95" s="224">
        <f>IFERROR(LARGE(Jarinu!$I$55:$I$144,A95)," ")</f>
        <v>2500</v>
      </c>
      <c r="C95" t="str">
        <f>IFERROR(INDEX(
    Jarinu!$C$55:$C$144,
    MATCH(
        B95,
        Jarinu!$I$55:$I$144,
        0
    )
), " ")</f>
        <v>33- Rollout impressora Administrativo</v>
      </c>
      <c r="D95" s="719">
        <f t="shared" si="31"/>
        <v>4.4782418218021122E-4</v>
      </c>
      <c r="E95" s="339">
        <f t="shared" si="32"/>
        <v>0.99844461479412683</v>
      </c>
      <c r="F95" t="str">
        <f t="shared" si="30"/>
        <v>Jarinu</v>
      </c>
      <c r="G95" t="str">
        <f>_xlfn.XLOOKUP(C95,Jarinu!$C$55:$C$144,Jarinu!$O$55:$O$144)</f>
        <v>⏳ Em Execução</v>
      </c>
      <c r="H95">
        <f>_xlfn.XLOOKUP(C95,Jarinu!$C$55:$C$144,Jarinu!$M$55:$M$144," ")</f>
        <v>0</v>
      </c>
      <c r="I95" s="716">
        <f>_xlfn.XLOOKUP(C95,Jarinu!$C$55:$C$144,Jarinu!$J$55:$J$144)</f>
        <v>46235</v>
      </c>
      <c r="J95" s="224" t="str">
        <f ca="1">INDEX(Jarinu!$AR$55:$AR$144, MATCH(C95, Jarinu!$C$55:$C$144, 0))</f>
        <v/>
      </c>
      <c r="K95" s="224" t="str" cm="1">
        <f t="array" aca="1" ref="K95" ca="1">INDEX(Jarinu!$AR$55:$AR$144, MATCH(C95, Jarinu!$C$55:$C$144, 0)+1)</f>
        <v/>
      </c>
      <c r="L95" s="224">
        <f>INDEX(Jarinu!$AJ$55:$AJ$144, MATCH(C95, Jarinu!$C$55:$C$144, 0))</f>
        <v>1500</v>
      </c>
      <c r="M95" s="224"/>
      <c r="N95" s="224"/>
      <c r="O95" s="224"/>
      <c r="P95" s="224"/>
      <c r="Q95">
        <v>92</v>
      </c>
      <c r="R95" s="253">
        <f t="shared" si="26"/>
        <v>92500</v>
      </c>
      <c r="S95" t="str">
        <f t="shared" si="21"/>
        <v>50 - Suporte da lanterna MB003681</v>
      </c>
      <c r="T95" t="str">
        <f t="shared" si="22"/>
        <v>Diadema</v>
      </c>
      <c r="U95" s="253">
        <f t="shared" si="27"/>
        <v>153302.58000000002</v>
      </c>
      <c r="V95" s="224">
        <f t="shared" ca="1" si="28"/>
        <v>43800.737142857142</v>
      </c>
      <c r="W95" s="224" t="str">
        <f t="shared" ca="1" si="29"/>
        <v/>
      </c>
      <c r="X95" t="str">
        <f t="shared" si="23"/>
        <v>⏳ Em Execução</v>
      </c>
      <c r="Y95" s="716">
        <f t="shared" si="24"/>
        <v>46174</v>
      </c>
      <c r="Z95" t="str">
        <f t="shared" si="25"/>
        <v>OK</v>
      </c>
    </row>
    <row r="96" spans="1:26" x14ac:dyDescent="0.3">
      <c r="A96">
        <v>27</v>
      </c>
      <c r="B96" s="224">
        <f>IFERROR(LARGE(Jarinu!$I$55:$I$144,A96)," ")</f>
        <v>1459</v>
      </c>
      <c r="C96" t="str">
        <f>IFERROR(INDEX(
    Jarinu!$C$55:$C$144,
    MATCH(
        B96,
        Jarinu!$I$55:$I$144,
        0
    )
), " ")</f>
        <v>07 - Balanceamento de carga máquina entre a prensa Gutmnan / Minster</v>
      </c>
      <c r="D96" s="719">
        <f t="shared" si="31"/>
        <v>2.6135019272037127E-4</v>
      </c>
      <c r="E96" s="339">
        <f t="shared" si="32"/>
        <v>0.99870596498684716</v>
      </c>
      <c r="F96" t="str">
        <f t="shared" si="30"/>
        <v>Jarinu</v>
      </c>
      <c r="G96" t="str">
        <f>_xlfn.XLOOKUP(C96,Jarinu!$C$55:$C$144,Jarinu!$O$55:$O$144)</f>
        <v>✓ Concluído</v>
      </c>
      <c r="H96">
        <f>_xlfn.XLOOKUP(C96,Jarinu!$C$55:$C$144,Jarinu!$M$55:$M$144," ")</f>
        <v>0</v>
      </c>
      <c r="I96" s="716">
        <f>_xlfn.XLOOKUP(C96,Jarinu!$C$55:$C$144,Jarinu!$J$55:$J$144)</f>
        <v>46235</v>
      </c>
      <c r="J96" s="224" t="str">
        <f ca="1">INDEX(Jarinu!$AR$55:$AR$144, MATCH(C96, Jarinu!$C$55:$C$144, 0))</f>
        <v/>
      </c>
      <c r="K96" s="224" t="str" cm="1">
        <f t="array" aca="1" ref="K96" ca="1">INDEX(Jarinu!$AR$55:$AR$144, MATCH(C96, Jarinu!$C$55:$C$144, 0)+1)</f>
        <v/>
      </c>
      <c r="L96" s="224">
        <f>INDEX(Jarinu!$AJ$55:$AJ$144, MATCH(C96, Jarinu!$C$55:$C$144, 0))</f>
        <v>875.40000000000009</v>
      </c>
      <c r="M96" s="224"/>
      <c r="N96" s="224"/>
      <c r="O96" s="224"/>
      <c r="P96" s="224"/>
      <c r="Q96">
        <v>93</v>
      </c>
      <c r="R96" s="253">
        <f t="shared" si="26"/>
        <v>91444</v>
      </c>
      <c r="S96" t="str">
        <f t="shared" si="21"/>
        <v xml:space="preserve">05 - Aplicar borda aparadas nas bobinas </v>
      </c>
      <c r="T96" t="str">
        <f t="shared" si="22"/>
        <v>Jarinu</v>
      </c>
      <c r="U96" s="253">
        <f t="shared" si="27"/>
        <v>54866.399999999994</v>
      </c>
      <c r="V96" s="224" t="str">
        <f t="shared" ca="1" si="28"/>
        <v/>
      </c>
      <c r="W96" s="224" t="str">
        <f t="shared" ca="1" si="29"/>
        <v/>
      </c>
      <c r="X96" t="str">
        <f t="shared" si="23"/>
        <v>⏳ Em Execução</v>
      </c>
      <c r="Y96" s="716">
        <f t="shared" si="24"/>
        <v>46235</v>
      </c>
      <c r="Z96" t="str">
        <f t="shared" si="25"/>
        <v>Não Ok</v>
      </c>
    </row>
    <row r="97" spans="1:26" x14ac:dyDescent="0.3">
      <c r="A97">
        <v>28</v>
      </c>
      <c r="B97" s="224">
        <f>IFERROR(LARGE(Jarinu!$I$55:$I$144,A97)," ")</f>
        <v>1224</v>
      </c>
      <c r="C97" t="str">
        <f>IFERROR(INDEX(
    Jarinu!$C$55:$C$144,
    MATCH(
        B97,
        Jarinu!$I$55:$I$144,
        0
    )
), " ")</f>
        <v>31 - Redução impressora Backup</v>
      </c>
      <c r="D97" s="719">
        <f t="shared" si="31"/>
        <v>2.1925471959543142E-4</v>
      </c>
      <c r="E97" s="339">
        <f t="shared" si="32"/>
        <v>0.99892521970644255</v>
      </c>
      <c r="F97" t="str">
        <f t="shared" si="30"/>
        <v>Jarinu</v>
      </c>
      <c r="G97" t="str">
        <f>_xlfn.XLOOKUP(C97,Jarinu!$C$55:$C$144,Jarinu!$O$55:$O$144)</f>
        <v>✓ Concluído</v>
      </c>
      <c r="H97" t="str">
        <f>_xlfn.XLOOKUP(C97,Jarinu!$C$55:$C$144,Jarinu!$M$55:$M$144," ")</f>
        <v>OK</v>
      </c>
      <c r="I97" s="716">
        <f>_xlfn.XLOOKUP(C97,Jarinu!$C$55:$C$144,Jarinu!$J$55:$J$144)</f>
        <v>46113</v>
      </c>
      <c r="J97" s="224">
        <f ca="1">INDEX(Jarinu!$AR$55:$AR$144, MATCH(C97, Jarinu!$C$55:$C$144, 0))</f>
        <v>544</v>
      </c>
      <c r="K97" s="224" cm="1">
        <f t="array" aca="1" ref="K97" ca="1">INDEX(Jarinu!$AR$55:$AR$144, MATCH(C97, Jarinu!$C$55:$C$144, 0)+1)</f>
        <v>442</v>
      </c>
      <c r="L97" s="224">
        <f>INDEX(Jarinu!$AJ$55:$AJ$144, MATCH(C97, Jarinu!$C$55:$C$144, 0))</f>
        <v>408</v>
      </c>
      <c r="M97" s="224"/>
      <c r="N97" s="224"/>
      <c r="O97" s="224"/>
      <c r="P97" s="224"/>
      <c r="Q97">
        <v>94</v>
      </c>
      <c r="R97" s="253">
        <f t="shared" si="26"/>
        <v>91200</v>
      </c>
      <c r="S97" t="str">
        <f t="shared" si="21"/>
        <v>56 -Redução de Peso Bruto do item SV001141LA / SV001142LA</v>
      </c>
      <c r="T97" t="str">
        <f t="shared" si="22"/>
        <v>Diadema</v>
      </c>
      <c r="U97" s="253">
        <f t="shared" si="27"/>
        <v>24530.27</v>
      </c>
      <c r="V97" s="224">
        <f t="shared" ca="1" si="28"/>
        <v>4088.3783333333336</v>
      </c>
      <c r="W97" s="224">
        <f t="shared" ca="1" si="29"/>
        <v>3614.0313599999999</v>
      </c>
      <c r="X97" t="str">
        <f t="shared" si="23"/>
        <v>✓ Concluído</v>
      </c>
      <c r="Y97" s="716">
        <f t="shared" si="24"/>
        <v>46204</v>
      </c>
      <c r="Z97" t="str">
        <f t="shared" si="25"/>
        <v>OK</v>
      </c>
    </row>
    <row r="98" spans="1:26" x14ac:dyDescent="0.3">
      <c r="A98">
        <v>29</v>
      </c>
      <c r="B98" s="224">
        <f>IFERROR(LARGE(Jarinu!$I$55:$I$144,A98)," ")</f>
        <v>1000.0045897</v>
      </c>
      <c r="C98" t="str">
        <f>IFERROR(INDEX(
    Jarinu!$C$55:$C$144,
    MATCH(
        B98,
        Jarinu!$I$55:$I$144,
        0
    )
), " ")</f>
        <v>12 - Aumento do OEE do equipamento ISGEC</v>
      </c>
      <c r="D98" s="719">
        <f t="shared" si="31"/>
        <v>1.7913049502354408E-4</v>
      </c>
      <c r="E98" s="339">
        <f t="shared" si="32"/>
        <v>0.99910435020146604</v>
      </c>
      <c r="F98" t="str">
        <f t="shared" si="30"/>
        <v>Jarinu</v>
      </c>
      <c r="G98" t="str">
        <f>_xlfn.XLOOKUP(C98,Jarinu!$C$55:$C$144,Jarinu!$O$55:$O$144)</f>
        <v>⏳ Em Execução</v>
      </c>
      <c r="H98">
        <f>_xlfn.XLOOKUP(C98,Jarinu!$C$55:$C$144,Jarinu!$M$55:$M$144," ")</f>
        <v>0</v>
      </c>
      <c r="I98" s="716">
        <f>_xlfn.XLOOKUP(C98,Jarinu!$C$55:$C$144,Jarinu!$J$55:$J$144)</f>
        <v>46296</v>
      </c>
      <c r="J98" s="224" t="str">
        <f ca="1">INDEX(Jarinu!$AR$55:$AR$144, MATCH(C98, Jarinu!$C$55:$C$144, 0))</f>
        <v/>
      </c>
      <c r="K98" s="224" t="str" cm="1">
        <f t="array" aca="1" ref="K98" ca="1">INDEX(Jarinu!$AR$55:$AR$144, MATCH(C98, Jarinu!$C$55:$C$144, 0)+1)</f>
        <v/>
      </c>
      <c r="L98" s="224">
        <f>INDEX(Jarinu!$AJ$55:$AJ$144, MATCH(C98, Jarinu!$C$55:$C$144, 0))</f>
        <v>1000.0045897</v>
      </c>
      <c r="M98" s="224"/>
      <c r="N98" s="224"/>
      <c r="O98" s="224"/>
      <c r="P98" s="224"/>
      <c r="Q98">
        <v>95</v>
      </c>
      <c r="R98" s="253">
        <f t="shared" si="26"/>
        <v>90850</v>
      </c>
      <c r="S98" t="str">
        <f t="shared" si="21"/>
        <v>24 - Redução de consumo de MTP China 1 porca (-10 mm)</v>
      </c>
      <c r="T98" t="str">
        <f t="shared" si="22"/>
        <v>Jarinu</v>
      </c>
      <c r="U98" s="253">
        <f t="shared" si="27"/>
        <v>99530.111999999994</v>
      </c>
      <c r="V98" s="224" t="str">
        <f t="shared" ca="1" si="28"/>
        <v/>
      </c>
      <c r="W98" s="224" t="str">
        <f t="shared" ca="1" si="29"/>
        <v/>
      </c>
      <c r="X98" t="str">
        <f t="shared" si="23"/>
        <v>⏳ Em Execução</v>
      </c>
      <c r="Y98" s="716">
        <f t="shared" si="24"/>
        <v>46235</v>
      </c>
      <c r="Z98" t="str">
        <f t="shared" si="25"/>
        <v>OK</v>
      </c>
    </row>
    <row r="99" spans="1:26" x14ac:dyDescent="0.3">
      <c r="A99">
        <v>30</v>
      </c>
      <c r="B99" s="224">
        <f>IFERROR(LARGE(Jarinu!$I$55:$I$144,A99)," ")</f>
        <v>1000.00415646</v>
      </c>
      <c r="C99" t="str">
        <f>IFERROR(INDEX(
    Jarinu!$C$55:$C$144,
    MATCH(
        B99,
        Jarinu!$I$55:$I$144,
        0
    )
), " ")</f>
        <v>11 - Aumento de performance dos itens estampados nas prensas Gutmmans</v>
      </c>
      <c r="D99" s="719">
        <f t="shared" si="31"/>
        <v>1.791304174174046E-4</v>
      </c>
      <c r="E99" s="339">
        <f t="shared" si="32"/>
        <v>0.99928348061888339</v>
      </c>
      <c r="F99" t="str">
        <f t="shared" si="30"/>
        <v>Jarinu</v>
      </c>
      <c r="G99" t="str">
        <f>_xlfn.XLOOKUP(C99,Jarinu!$C$55:$C$144,Jarinu!$O$55:$O$144)</f>
        <v>📝 Não iniciado</v>
      </c>
      <c r="H99">
        <f>_xlfn.XLOOKUP(C99,Jarinu!$C$55:$C$144,Jarinu!$M$55:$M$144," ")</f>
        <v>0</v>
      </c>
      <c r="I99" s="716">
        <f>_xlfn.XLOOKUP(C99,Jarinu!$C$55:$C$144,Jarinu!$J$55:$J$144)</f>
        <v>46296</v>
      </c>
      <c r="J99" s="224" t="str">
        <f ca="1">INDEX(Jarinu!$AR$55:$AR$144, MATCH(C99, Jarinu!$C$55:$C$144, 0))</f>
        <v/>
      </c>
      <c r="K99" s="224" t="str" cm="1">
        <f t="array" aca="1" ref="K99" ca="1">INDEX(Jarinu!$AR$55:$AR$144, MATCH(C99, Jarinu!$C$55:$C$144, 0)+1)</f>
        <v/>
      </c>
      <c r="L99" s="224">
        <f>INDEX(Jarinu!$AJ$55:$AJ$144, MATCH(C99, Jarinu!$C$55:$C$144, 0))</f>
        <v>1000.0041564599999</v>
      </c>
      <c r="M99" s="224"/>
      <c r="N99" s="224"/>
      <c r="O99" s="224"/>
      <c r="P99" s="224"/>
      <c r="Q99">
        <v>96</v>
      </c>
      <c r="R99" s="253">
        <f t="shared" si="26"/>
        <v>90000.000000098997</v>
      </c>
      <c r="S99" t="str">
        <f t="shared" si="21"/>
        <v>27 - DA000459AA - STC Volvo_</v>
      </c>
      <c r="T99" t="str">
        <f t="shared" si="22"/>
        <v>Diadema</v>
      </c>
      <c r="U99" s="253">
        <f t="shared" si="27"/>
        <v>41632.629999999997</v>
      </c>
      <c r="V99" s="224">
        <f t="shared" ca="1" si="28"/>
        <v>11895.037142857142</v>
      </c>
      <c r="W99" s="224">
        <f t="shared" ca="1" si="29"/>
        <v>11219.737999999988</v>
      </c>
      <c r="X99" t="str">
        <f t="shared" si="23"/>
        <v>✓ Concluído</v>
      </c>
      <c r="Y99" s="716">
        <f t="shared" si="24"/>
        <v>46174</v>
      </c>
      <c r="Z99" t="str">
        <f t="shared" si="25"/>
        <v>OK</v>
      </c>
    </row>
    <row r="100" spans="1:26" x14ac:dyDescent="0.3">
      <c r="A100">
        <v>31</v>
      </c>
      <c r="B100" s="224">
        <f>IFERROR(LARGE(Jarinu!$I$55:$I$144,A100)," ")</f>
        <v>1000.002654</v>
      </c>
      <c r="C100" t="str">
        <f>IFERROR(INDEX(
    Jarinu!$C$55:$C$144,
    MATCH(
        B100,
        Jarinu!$I$55:$I$144,
        0
    )
), " ")</f>
        <v>10 - Aumento de performance dos itens estampados na prensa Isgec</v>
      </c>
      <c r="D100" s="719">
        <f t="shared" si="31"/>
        <v>1.7913014828223629E-4</v>
      </c>
      <c r="E100" s="339">
        <f t="shared" ref="E100:E109" si="33">IFERROR(D100+E99," ")</f>
        <v>0.99946261076716558</v>
      </c>
      <c r="F100" t="str">
        <f t="shared" ref="F100:F109" si="34">$A$68</f>
        <v>Jarinu</v>
      </c>
      <c r="G100" t="str">
        <f>_xlfn.XLOOKUP(C100,Jarinu!$C$55:$C$144,Jarinu!$O$55:$O$144)</f>
        <v>📝 Não iniciado</v>
      </c>
      <c r="H100">
        <f>_xlfn.XLOOKUP(C100,Jarinu!$C$55:$C$144,Jarinu!$M$55:$M$144," ")</f>
        <v>0</v>
      </c>
      <c r="I100" s="716">
        <f>_xlfn.XLOOKUP(C100,Jarinu!$C$55:$C$144,Jarinu!$J$55:$J$144)</f>
        <v>46296</v>
      </c>
      <c r="J100" s="224" t="str">
        <f ca="1">INDEX(Jarinu!$AR$55:$AR$144, MATCH(C100, Jarinu!$C$55:$C$144, 0))</f>
        <v/>
      </c>
      <c r="K100" s="224" t="str" cm="1">
        <f t="array" aca="1" ref="K100" ca="1">INDEX(Jarinu!$AR$55:$AR$144, MATCH(C100, Jarinu!$C$55:$C$144, 0)+1)</f>
        <v/>
      </c>
      <c r="L100" s="224">
        <f>INDEX(Jarinu!$AJ$55:$AJ$144, MATCH(C100, Jarinu!$C$55:$C$144, 0))</f>
        <v>1000.0026540000001</v>
      </c>
      <c r="M100" s="224"/>
      <c r="N100" s="224"/>
      <c r="O100" s="224"/>
      <c r="P100" s="224"/>
      <c r="Q100">
        <v>97</v>
      </c>
      <c r="R100" s="253">
        <f t="shared" si="26"/>
        <v>90000</v>
      </c>
      <c r="S100" t="str">
        <f t="shared" ref="S100:S131" si="35">_xlfn.XLOOKUP(R100,B:B,C:C)</f>
        <v>15 - Enclausuramento do jato granalha</v>
      </c>
      <c r="T100" t="str">
        <f t="shared" ref="T100:T131" si="36">_xlfn.XLOOKUP(S100,C:C,F:F)</f>
        <v>Ferraz</v>
      </c>
      <c r="U100" s="253">
        <f t="shared" si="27"/>
        <v>0</v>
      </c>
      <c r="V100" s="224" t="str">
        <f t="shared" ca="1" si="28"/>
        <v/>
      </c>
      <c r="W100" s="224" t="str">
        <f t="shared" ca="1" si="29"/>
        <v/>
      </c>
      <c r="X100" t="str">
        <f t="shared" ref="X100:X131" si="37">_xlfn.XLOOKUP(S100,C:C,G:G)</f>
        <v>📝 Não iniciado</v>
      </c>
      <c r="Y100" s="716">
        <f t="shared" ref="Y100:Y131" si="38">_xlfn.XLOOKUP(S100,C:C,I:I)</f>
        <v>0</v>
      </c>
      <c r="Z100" t="str">
        <f t="shared" ref="Z100:Z131" si="39">IF(_xlfn.XLOOKUP(S100,C:C,H:H) = 0, "", _xlfn.XLOOKUP(S100,C:C,H:H))</f>
        <v/>
      </c>
    </row>
    <row r="101" spans="1:26" x14ac:dyDescent="0.3">
      <c r="A101">
        <v>32</v>
      </c>
      <c r="B101" s="224">
        <f>IFERROR(LARGE(Jarinu!$I$55:$I$144,A101)," ")</f>
        <v>1000.0009635599999</v>
      </c>
      <c r="C101" t="str">
        <f>IFERROR(INDEX(
    Jarinu!$C$55:$C$144,
    MATCH(
        B101,
        Jarinu!$I$55:$I$144,
        0
    )
), " ")</f>
        <v>09 - Aumento de performance dos itens estampados na prensa Minster</v>
      </c>
      <c r="D101" s="719">
        <f t="shared" si="31"/>
        <v>1.7912984547427207E-4</v>
      </c>
      <c r="E101" s="339">
        <f t="shared" si="33"/>
        <v>0.99964174061263988</v>
      </c>
      <c r="F101" t="str">
        <f t="shared" si="34"/>
        <v>Jarinu</v>
      </c>
      <c r="G101" t="str">
        <f>_xlfn.XLOOKUP(C101,Jarinu!$C$55:$C$144,Jarinu!$O$55:$O$144)</f>
        <v>📝 Não iniciado</v>
      </c>
      <c r="H101">
        <f>_xlfn.XLOOKUP(C101,Jarinu!$C$55:$C$144,Jarinu!$M$55:$M$144," ")</f>
        <v>0</v>
      </c>
      <c r="I101" s="716">
        <f>_xlfn.XLOOKUP(C101,Jarinu!$C$55:$C$144,Jarinu!$J$55:$J$144)</f>
        <v>46296</v>
      </c>
      <c r="J101" s="224" t="str">
        <f ca="1">INDEX(Jarinu!$AR$55:$AR$144, MATCH(C101, Jarinu!$C$55:$C$144, 0))</f>
        <v/>
      </c>
      <c r="K101" s="224" t="str" cm="1">
        <f t="array" aca="1" ref="K101" ca="1">INDEX(Jarinu!$AR$55:$AR$144, MATCH(C101, Jarinu!$C$55:$C$144, 0)+1)</f>
        <v/>
      </c>
      <c r="L101" s="224">
        <f>INDEX(Jarinu!$AJ$55:$AJ$144, MATCH(C101, Jarinu!$C$55:$C$144, 0))</f>
        <v>1000.0009635599999</v>
      </c>
      <c r="M101" s="224"/>
      <c r="N101" s="224"/>
      <c r="O101" s="224"/>
      <c r="P101" s="224"/>
      <c r="Q101">
        <v>98</v>
      </c>
      <c r="R101" s="253">
        <f t="shared" ref="R101:R132" si="40">IFERROR(LARGE(B:B,Q101)," ")</f>
        <v>83880.740000000005</v>
      </c>
      <c r="S101" t="str">
        <f t="shared" si="35"/>
        <v>BID Poliuretano Expansivo</v>
      </c>
      <c r="T101" t="str">
        <f t="shared" si="36"/>
        <v>Compras</v>
      </c>
      <c r="U101" s="253">
        <f t="shared" si="27"/>
        <v>83880.740000000005</v>
      </c>
      <c r="V101" s="224" t="str">
        <f t="shared" ref="V101:V132" ca="1" si="41">IFERROR(_xlfn.XLOOKUP(S101,C:C,J:J), "")</f>
        <v/>
      </c>
      <c r="W101" s="224" t="str">
        <f t="shared" ref="W101:W132" ca="1" si="42">IFERROR(_xlfn.XLOOKUP(S101,C:C,K:K), "")</f>
        <v/>
      </c>
      <c r="X101" t="str">
        <f t="shared" si="37"/>
        <v>⏳ Em Execução</v>
      </c>
      <c r="Y101" s="716">
        <f t="shared" si="38"/>
        <v>46266</v>
      </c>
      <c r="Z101" t="str">
        <f t="shared" si="39"/>
        <v/>
      </c>
    </row>
    <row r="102" spans="1:26" x14ac:dyDescent="0.3">
      <c r="A102">
        <v>33</v>
      </c>
      <c r="B102" s="224">
        <f>IFERROR(LARGE(Jarinu!$I$55:$I$144,A102)," ")</f>
        <v>1000.00023232</v>
      </c>
      <c r="C102" t="str">
        <f>IFERROR(INDEX(
    Jarinu!$C$55:$C$144,
    MATCH(
        B102,
        Jarinu!$I$55:$I$144,
        0
    )
), " ")</f>
        <v>35 - Redução do consumo MTP no passo do Blank VW000942AA -15MM</v>
      </c>
      <c r="D102" s="719">
        <f t="shared" si="31"/>
        <v>1.791297144874901E-4</v>
      </c>
      <c r="E102" s="339">
        <f t="shared" si="33"/>
        <v>0.99982087032712741</v>
      </c>
      <c r="F102" t="str">
        <f t="shared" si="34"/>
        <v>Jarinu</v>
      </c>
      <c r="G102" t="str">
        <f>_xlfn.XLOOKUP(C102,Jarinu!$C$55:$C$144,Jarinu!$O$55:$O$144)</f>
        <v>⏳ Em Execução</v>
      </c>
      <c r="H102">
        <f>_xlfn.XLOOKUP(C102,Jarinu!$C$55:$C$144,Jarinu!$M$55:$M$144," ")</f>
        <v>0</v>
      </c>
      <c r="I102" s="716">
        <f>_xlfn.XLOOKUP(C102,Jarinu!$C$55:$C$144,Jarinu!$J$55:$J$144)</f>
        <v>46235</v>
      </c>
      <c r="J102" s="224" t="str">
        <f ca="1">INDEX(Jarinu!$AR$55:$AR$144, MATCH(C102, Jarinu!$C$55:$C$144, 0))</f>
        <v/>
      </c>
      <c r="K102" s="224" t="str" cm="1">
        <f t="array" aca="1" ref="K102" ca="1">INDEX(Jarinu!$AR$55:$AR$144, MATCH(C102, Jarinu!$C$55:$C$144, 0)+1)</f>
        <v/>
      </c>
      <c r="L102" s="224">
        <f>INDEX(Jarinu!$AJ$55:$AJ$144, MATCH(C102, Jarinu!$C$55:$C$144, 0))</f>
        <v>600.00013939200005</v>
      </c>
      <c r="M102" s="224"/>
      <c r="N102" s="224"/>
      <c r="O102" s="224"/>
      <c r="P102" s="224"/>
      <c r="Q102">
        <v>99</v>
      </c>
      <c r="R102" s="253">
        <f t="shared" si="40"/>
        <v>82981.320000000007</v>
      </c>
      <c r="S102" t="str">
        <f t="shared" si="35"/>
        <v>13- Redução do custo mensal de empilhadeira locada (LOCAPEX).</v>
      </c>
      <c r="T102" t="str">
        <f t="shared" si="36"/>
        <v>São leopoldo</v>
      </c>
      <c r="U102" s="253">
        <f t="shared" si="27"/>
        <v>18440.293333333331</v>
      </c>
      <c r="V102" s="224">
        <f t="shared" ca="1" si="41"/>
        <v>24587.057777777776</v>
      </c>
      <c r="W102" s="224">
        <f t="shared" ca="1" si="42"/>
        <v>23795.34</v>
      </c>
      <c r="X102" t="str">
        <f t="shared" si="37"/>
        <v>✓ Concluído</v>
      </c>
      <c r="Y102" s="716">
        <f t="shared" si="38"/>
        <v>46113</v>
      </c>
      <c r="Z102" t="str">
        <f t="shared" si="39"/>
        <v>OK</v>
      </c>
    </row>
    <row r="103" spans="1:26" x14ac:dyDescent="0.3">
      <c r="A103">
        <v>34</v>
      </c>
      <c r="B103" s="224">
        <f>IFERROR(LARGE(Jarinu!$I$55:$I$144,A103)," ")</f>
        <v>1000</v>
      </c>
      <c r="C103" t="str">
        <f>IFERROR(INDEX(
    Jarinu!$C$55:$C$144,
    MATCH(
        B103,
        Jarinu!$I$55:$I$144,
        0
    )
), " ")</f>
        <v>41 - Redução de largura bobinas.</v>
      </c>
      <c r="D103" s="719">
        <f t="shared" si="31"/>
        <v>1.7912967287208448E-4</v>
      </c>
      <c r="E103" s="339">
        <f t="shared" si="33"/>
        <v>0.99999999999999944</v>
      </c>
      <c r="F103" t="str">
        <f t="shared" si="34"/>
        <v>Jarinu</v>
      </c>
      <c r="G103" t="str">
        <f>_xlfn.XLOOKUP(C103,Jarinu!$C$55:$C$144,Jarinu!$O$55:$O$144)</f>
        <v>⏳ Em Execução</v>
      </c>
      <c r="H103">
        <f>_xlfn.XLOOKUP(C103,Jarinu!$C$55:$C$144,Jarinu!$M$55:$M$144," ")</f>
        <v>0</v>
      </c>
      <c r="I103" s="716">
        <f>_xlfn.XLOOKUP(C103,Jarinu!$C$55:$C$144,Jarinu!$J$55:$J$144)</f>
        <v>46266</v>
      </c>
      <c r="J103" s="224" t="str">
        <f ca="1">INDEX(Jarinu!$AR$55:$AR$144, MATCH(C103, Jarinu!$C$55:$C$144, 0))</f>
        <v/>
      </c>
      <c r="K103" s="224" t="str" cm="1">
        <f t="array" aca="1" ref="K103" ca="1">INDEX(Jarinu!$AR$55:$AR$144, MATCH(C103, Jarinu!$C$55:$C$144, 0)+1)</f>
        <v/>
      </c>
      <c r="L103" s="224">
        <f>INDEX(Jarinu!$AJ$55:$AJ$144, MATCH(C103, Jarinu!$C$55:$C$144, 0))</f>
        <v>750</v>
      </c>
      <c r="M103" s="224"/>
      <c r="N103" s="224"/>
      <c r="O103" s="224"/>
      <c r="P103" s="224"/>
      <c r="Q103">
        <v>100</v>
      </c>
      <c r="R103" s="253">
        <f t="shared" si="40"/>
        <v>75733</v>
      </c>
      <c r="S103" t="str">
        <f t="shared" si="35"/>
        <v>04 - Redução da largura dos slitters</v>
      </c>
      <c r="T103" t="str">
        <f t="shared" si="36"/>
        <v>Jarinu</v>
      </c>
      <c r="U103" s="253">
        <f t="shared" si="27"/>
        <v>75733</v>
      </c>
      <c r="V103" s="224" t="str">
        <f t="shared" ca="1" si="41"/>
        <v/>
      </c>
      <c r="W103" s="224" t="str">
        <f t="shared" ca="1" si="42"/>
        <v/>
      </c>
      <c r="X103" t="str">
        <f t="shared" si="37"/>
        <v>⏳ Em Execução</v>
      </c>
      <c r="Y103" s="716">
        <f t="shared" si="38"/>
        <v>46357</v>
      </c>
      <c r="Z103" t="str">
        <f t="shared" si="39"/>
        <v/>
      </c>
    </row>
    <row r="104" spans="1:26" x14ac:dyDescent="0.3">
      <c r="A104">
        <v>35</v>
      </c>
      <c r="B104" s="224" t="str">
        <f>IFERROR(LARGE(Jarinu!$I$55:$I$144,A104)," ")</f>
        <v xml:space="preserve"> </v>
      </c>
      <c r="C104" t="str">
        <f>IFERROR(INDEX(
    Jarinu!$C$55:$C$144,
    MATCH(
        B104,
        Jarinu!$I$55:$I$144,
        0
    )
), " ")</f>
        <v xml:space="preserve"> </v>
      </c>
      <c r="D104" s="719" t="str">
        <f t="shared" si="31"/>
        <v xml:space="preserve"> </v>
      </c>
      <c r="E104" s="339" t="str">
        <f t="shared" si="33"/>
        <v xml:space="preserve"> </v>
      </c>
      <c r="F104" t="str">
        <f t="shared" si="34"/>
        <v>Jarinu</v>
      </c>
      <c r="G104" t="e">
        <f>_xlfn.XLOOKUP(C104,Jarinu!$C$55:$C$144,Jarinu!$O$55:$O$144)</f>
        <v>#N/A</v>
      </c>
      <c r="H104" t="str">
        <f>_xlfn.XLOOKUP(C104,Jarinu!$C$55:$C$144,Jarinu!$M$55:$M$144," ")</f>
        <v xml:space="preserve"> </v>
      </c>
      <c r="I104" s="716" t="e">
        <f>_xlfn.XLOOKUP(C104,Jarinu!$C$55:$C$144,Jarinu!$J$55:$J$144)</f>
        <v>#N/A</v>
      </c>
      <c r="J104" s="224" t="e">
        <f>INDEX(Jarinu!$AR$55:$AR$144, MATCH(C104, Jarinu!$C$55:$C$144, 0))</f>
        <v>#N/A</v>
      </c>
      <c r="K104" s="224" t="e" cm="1">
        <f t="array" ref="K104">INDEX(Jarinu!$AR$55:$AR$144, MATCH(C104, Jarinu!$C$55:$C$144, 0)+1)</f>
        <v>#N/A</v>
      </c>
      <c r="L104" s="224" t="e">
        <f>INDEX(Jarinu!$AJ$55:$AJ$144, MATCH(C104, Jarinu!$C$55:$C$144, 0))</f>
        <v>#N/A</v>
      </c>
      <c r="M104" s="224"/>
      <c r="N104" s="224"/>
      <c r="O104" s="224"/>
      <c r="P104" s="224"/>
      <c r="Q104">
        <v>101</v>
      </c>
      <c r="R104" s="253">
        <f t="shared" si="40"/>
        <v>74000</v>
      </c>
      <c r="S104" t="str">
        <f t="shared" si="35"/>
        <v>40 - Redução de disperdicio bobina.</v>
      </c>
      <c r="T104" t="str">
        <f t="shared" si="36"/>
        <v>Jarinu</v>
      </c>
      <c r="U104" s="253">
        <f t="shared" si="27"/>
        <v>55500</v>
      </c>
      <c r="V104" s="224" t="str">
        <f t="shared" ca="1" si="41"/>
        <v/>
      </c>
      <c r="W104" s="224" t="str">
        <f t="shared" ca="1" si="42"/>
        <v/>
      </c>
      <c r="X104" t="str">
        <f t="shared" si="37"/>
        <v>⏳ Em Execução</v>
      </c>
      <c r="Y104" s="716">
        <f t="shared" si="38"/>
        <v>46266</v>
      </c>
      <c r="Z104" t="str">
        <f t="shared" si="39"/>
        <v/>
      </c>
    </row>
    <row r="105" spans="1:26" x14ac:dyDescent="0.3">
      <c r="A105">
        <v>36</v>
      </c>
      <c r="B105" s="224" t="str">
        <f>IFERROR(LARGE(Jarinu!$I$55:$I$144,A105)," ")</f>
        <v xml:space="preserve"> </v>
      </c>
      <c r="C105" t="str">
        <f>IFERROR(INDEX(
    Jarinu!$C$55:$C$144,
    MATCH(
        B105,
        Jarinu!$I$55:$I$144,
        0
    )
), " ")</f>
        <v xml:space="preserve"> </v>
      </c>
      <c r="D105" s="719" t="str">
        <f t="shared" si="31"/>
        <v xml:space="preserve"> </v>
      </c>
      <c r="E105" s="339" t="str">
        <f t="shared" si="33"/>
        <v xml:space="preserve"> </v>
      </c>
      <c r="F105" t="str">
        <f t="shared" si="34"/>
        <v>Jarinu</v>
      </c>
      <c r="G105" t="e">
        <f>_xlfn.XLOOKUP(C105,Jarinu!$C$55:$C$144,Jarinu!$O$55:$O$144)</f>
        <v>#N/A</v>
      </c>
      <c r="H105" t="str">
        <f>_xlfn.XLOOKUP(C105,Jarinu!$C$55:$C$144,Jarinu!$M$55:$M$144," ")</f>
        <v xml:space="preserve"> </v>
      </c>
      <c r="I105" s="716" t="e">
        <f>_xlfn.XLOOKUP(C105,Jarinu!$C$55:$C$144,Jarinu!$J$55:$J$144)</f>
        <v>#N/A</v>
      </c>
      <c r="J105" s="224" t="e">
        <f>INDEX(Jarinu!$AR$55:$AR$144, MATCH(C105, Jarinu!$C$55:$C$144, 0))</f>
        <v>#N/A</v>
      </c>
      <c r="K105" s="224" t="e" cm="1">
        <f t="array" ref="K105">INDEX(Jarinu!$AR$55:$AR$144, MATCH(C105, Jarinu!$C$55:$C$144, 0)+1)</f>
        <v>#N/A</v>
      </c>
      <c r="L105" s="224" t="e">
        <f>INDEX(Jarinu!$AJ$55:$AJ$144, MATCH(C105, Jarinu!$C$55:$C$144, 0))</f>
        <v>#N/A</v>
      </c>
      <c r="M105" s="224"/>
      <c r="N105" s="224"/>
      <c r="O105" s="224"/>
      <c r="P105" s="224"/>
      <c r="Q105">
        <v>102</v>
      </c>
      <c r="R105" s="253">
        <f t="shared" si="40"/>
        <v>72408</v>
      </c>
      <c r="S105" t="str">
        <f t="shared" si="35"/>
        <v>Modalidade Tarifária</v>
      </c>
      <c r="T105" t="str">
        <f t="shared" si="36"/>
        <v>Compras</v>
      </c>
      <c r="U105" s="253">
        <f t="shared" si="27"/>
        <v>72408.000000000015</v>
      </c>
      <c r="V105" s="224">
        <f t="shared" ca="1" si="41"/>
        <v>36204</v>
      </c>
      <c r="W105" s="224" t="str">
        <f t="shared" ca="1" si="42"/>
        <v/>
      </c>
      <c r="X105" t="str">
        <f t="shared" si="37"/>
        <v>✓ Concluído</v>
      </c>
      <c r="Y105" s="716">
        <f t="shared" si="38"/>
        <v>46111</v>
      </c>
      <c r="Z105" t="str">
        <f t="shared" si="39"/>
        <v/>
      </c>
    </row>
    <row r="106" spans="1:26" x14ac:dyDescent="0.3">
      <c r="A106">
        <v>37</v>
      </c>
      <c r="B106" s="224" t="str">
        <f>IFERROR(LARGE(Jarinu!$I$55:$I$144,A106)," ")</f>
        <v xml:space="preserve"> </v>
      </c>
      <c r="C106" t="str">
        <f>IFERROR(INDEX(
    Jarinu!$C$55:$C$144,
    MATCH(
        B106,
        Jarinu!$I$55:$I$144,
        0
    )
), " ")</f>
        <v xml:space="preserve"> </v>
      </c>
      <c r="D106" s="719" t="str">
        <f t="shared" si="31"/>
        <v xml:space="preserve"> </v>
      </c>
      <c r="E106" s="339" t="str">
        <f t="shared" si="33"/>
        <v xml:space="preserve"> </v>
      </c>
      <c r="F106" t="str">
        <f t="shared" si="34"/>
        <v>Jarinu</v>
      </c>
      <c r="G106" t="e">
        <f>_xlfn.XLOOKUP(C106,Jarinu!$C$55:$C$144,Jarinu!$O$55:$O$144)</f>
        <v>#N/A</v>
      </c>
      <c r="H106" t="str">
        <f>_xlfn.XLOOKUP(C106,Jarinu!$C$55:$C$144,Jarinu!$M$55:$M$144," ")</f>
        <v xml:space="preserve"> </v>
      </c>
      <c r="I106" s="716" t="e">
        <f>_xlfn.XLOOKUP(C106,Jarinu!$C$55:$C$144,Jarinu!$J$55:$J$144)</f>
        <v>#N/A</v>
      </c>
      <c r="J106" s="224" t="e">
        <f>INDEX(Jarinu!$AR$55:$AR$144, MATCH(C106, Jarinu!$C$55:$C$144, 0))</f>
        <v>#N/A</v>
      </c>
      <c r="K106" s="224" t="e" cm="1">
        <f t="array" ref="K106">INDEX(Jarinu!$AR$55:$AR$144, MATCH(C106, Jarinu!$C$55:$C$144, 0)+1)</f>
        <v>#N/A</v>
      </c>
      <c r="L106" s="224" t="e">
        <f>INDEX(Jarinu!$AJ$55:$AJ$144, MATCH(C106, Jarinu!$C$55:$C$144, 0))</f>
        <v>#N/A</v>
      </c>
      <c r="M106" s="224"/>
      <c r="N106" s="224"/>
      <c r="O106" s="224"/>
      <c r="P106" s="224"/>
      <c r="Q106">
        <v>103</v>
      </c>
      <c r="R106" s="253">
        <f t="shared" si="40"/>
        <v>69600</v>
      </c>
      <c r="S106" t="str">
        <f t="shared" si="35"/>
        <v xml:space="preserve">23 - Devolução das máquinas de solda alugadas </v>
      </c>
      <c r="T106" t="str">
        <f t="shared" si="36"/>
        <v>Ferraz</v>
      </c>
      <c r="U106" s="253">
        <f t="shared" si="27"/>
        <v>34800</v>
      </c>
      <c r="V106" s="224">
        <f t="shared" ca="1" si="41"/>
        <v>11600</v>
      </c>
      <c r="W106" s="224" t="str">
        <f t="shared" ca="1" si="42"/>
        <v/>
      </c>
      <c r="X106" t="str">
        <f t="shared" si="37"/>
        <v>✓ Concluído</v>
      </c>
      <c r="Y106" s="716">
        <f t="shared" si="38"/>
        <v>46204</v>
      </c>
      <c r="Z106" t="str">
        <f t="shared" si="39"/>
        <v/>
      </c>
    </row>
    <row r="107" spans="1:26" x14ac:dyDescent="0.3">
      <c r="A107">
        <v>38</v>
      </c>
      <c r="B107" s="224" t="str">
        <f>IFERROR(LARGE(Jarinu!$I$55:$I$144,A107)," ")</f>
        <v xml:space="preserve"> </v>
      </c>
      <c r="C107" t="str">
        <f>IFERROR(INDEX(
    Jarinu!$C$55:$C$144,
    MATCH(
        B107,
        Jarinu!$I$55:$I$144,
        0
    )
), " ")</f>
        <v xml:space="preserve"> </v>
      </c>
      <c r="D107" s="719" t="str">
        <f t="shared" si="31"/>
        <v xml:space="preserve"> </v>
      </c>
      <c r="E107" s="339" t="str">
        <f t="shared" si="33"/>
        <v xml:space="preserve"> </v>
      </c>
      <c r="F107" t="str">
        <f t="shared" si="34"/>
        <v>Jarinu</v>
      </c>
      <c r="G107" t="e">
        <f>_xlfn.XLOOKUP(C107,Jarinu!$C$55:$C$144,Jarinu!$O$55:$O$144)</f>
        <v>#N/A</v>
      </c>
      <c r="H107" t="str">
        <f>_xlfn.XLOOKUP(C107,Jarinu!$C$55:$C$144,Jarinu!$M$55:$M$144," ")</f>
        <v xml:space="preserve"> </v>
      </c>
      <c r="I107" s="716" t="e">
        <f>_xlfn.XLOOKUP(C107,Jarinu!$C$55:$C$144,Jarinu!$J$55:$J$144)</f>
        <v>#N/A</v>
      </c>
      <c r="J107" s="224" t="e">
        <f>INDEX(Jarinu!$AR$55:$AR$144, MATCH(C107, Jarinu!$C$55:$C$144, 0))</f>
        <v>#N/A</v>
      </c>
      <c r="K107" s="224" t="e" cm="1">
        <f t="array" ref="K107">INDEX(Jarinu!$AR$55:$AR$144, MATCH(C107, Jarinu!$C$55:$C$144, 0)+1)</f>
        <v>#N/A</v>
      </c>
      <c r="L107" s="224" t="e">
        <f>INDEX(Jarinu!$AJ$55:$AJ$144, MATCH(C107, Jarinu!$C$55:$C$144, 0))</f>
        <v>#N/A</v>
      </c>
      <c r="M107" s="224"/>
      <c r="N107" s="224"/>
      <c r="O107" s="224"/>
      <c r="P107" s="224"/>
      <c r="Q107">
        <v>104</v>
      </c>
      <c r="R107" s="253">
        <f t="shared" si="40"/>
        <v>68000</v>
      </c>
      <c r="S107" t="str">
        <f t="shared" si="35"/>
        <v>05 - Empilhadeira - Diadema</v>
      </c>
      <c r="T107" t="str">
        <f t="shared" si="36"/>
        <v>Diadema</v>
      </c>
      <c r="U107" s="253">
        <f t="shared" si="27"/>
        <v>56610.759999999995</v>
      </c>
      <c r="V107" s="224">
        <f t="shared" ca="1" si="41"/>
        <v>28305.38</v>
      </c>
      <c r="W107" s="224">
        <f t="shared" ca="1" si="42"/>
        <v>25732.162500000013</v>
      </c>
      <c r="X107" t="str">
        <f t="shared" si="37"/>
        <v>✓ Concluído</v>
      </c>
      <c r="Y107" s="716">
        <f t="shared" si="38"/>
        <v>46082</v>
      </c>
      <c r="Z107" t="str">
        <f t="shared" si="39"/>
        <v>OK</v>
      </c>
    </row>
    <row r="108" spans="1:26" x14ac:dyDescent="0.3">
      <c r="A108">
        <v>39</v>
      </c>
      <c r="B108" s="224" t="str">
        <f>IFERROR(LARGE(Jarinu!$I$55:$I$144,A108)," ")</f>
        <v xml:space="preserve"> </v>
      </c>
      <c r="C108" t="str">
        <f>IFERROR(INDEX(
    Jarinu!$C$55:$C$144,
    MATCH(
        B108,
        Jarinu!$I$55:$I$144,
        0
    )
), " ")</f>
        <v xml:space="preserve"> </v>
      </c>
      <c r="D108" s="719" t="str">
        <f t="shared" si="31"/>
        <v xml:space="preserve"> </v>
      </c>
      <c r="E108" s="339" t="str">
        <f t="shared" si="33"/>
        <v xml:space="preserve"> </v>
      </c>
      <c r="F108" t="str">
        <f t="shared" si="34"/>
        <v>Jarinu</v>
      </c>
      <c r="G108" t="e">
        <f>_xlfn.XLOOKUP(C108,Jarinu!$C$55:$C$144,Jarinu!$O$55:$O$144)</f>
        <v>#N/A</v>
      </c>
      <c r="H108" t="str">
        <f>_xlfn.XLOOKUP(C108,Jarinu!$C$55:$C$144,Jarinu!$M$55:$M$144," ")</f>
        <v xml:space="preserve"> </v>
      </c>
      <c r="I108" s="716" t="e">
        <f>_xlfn.XLOOKUP(C108,Jarinu!$C$55:$C$144,Jarinu!$J$55:$J$144)</f>
        <v>#N/A</v>
      </c>
      <c r="J108" s="224" t="e">
        <f>INDEX(Jarinu!$AR$55:$AR$144, MATCH(C108, Jarinu!$C$55:$C$144, 0))</f>
        <v>#N/A</v>
      </c>
      <c r="K108" s="224" t="e" cm="1">
        <f t="array" ref="K108">INDEX(Jarinu!$AR$55:$AR$144, MATCH(C108, Jarinu!$C$55:$C$144, 0)+1)</f>
        <v>#N/A</v>
      </c>
      <c r="L108" s="224" t="e">
        <f>INDEX(Jarinu!$AJ$55:$AJ$144, MATCH(C108, Jarinu!$C$55:$C$144, 0))</f>
        <v>#N/A</v>
      </c>
      <c r="M108" s="224"/>
      <c r="N108" s="224"/>
      <c r="O108" s="224"/>
      <c r="P108" s="224"/>
      <c r="Q108">
        <v>105</v>
      </c>
      <c r="R108" s="253">
        <f t="shared" si="40"/>
        <v>65000</v>
      </c>
      <c r="S108" t="str">
        <f t="shared" si="35"/>
        <v>05 - REDUÇÃO DE FRETE</v>
      </c>
      <c r="T108" t="str">
        <f t="shared" si="36"/>
        <v>Anchieta</v>
      </c>
      <c r="U108" s="253">
        <f t="shared" si="27"/>
        <v>17727.272727272728</v>
      </c>
      <c r="V108" s="224">
        <f t="shared" ca="1" si="41"/>
        <v>35454.545454545456</v>
      </c>
      <c r="W108" s="224" t="str">
        <f t="shared" ca="1" si="42"/>
        <v/>
      </c>
      <c r="X108" t="str">
        <f t="shared" si="37"/>
        <v>⏳ Em Execução</v>
      </c>
      <c r="Y108" s="716">
        <f t="shared" si="38"/>
        <v>46054</v>
      </c>
      <c r="Z108" t="str">
        <f t="shared" si="39"/>
        <v/>
      </c>
    </row>
    <row r="109" spans="1:26" x14ac:dyDescent="0.3">
      <c r="A109">
        <v>40</v>
      </c>
      <c r="B109" s="224" t="str">
        <f>IFERROR(LARGE(Jarinu!$I$55:$I$144,A109)," ")</f>
        <v xml:space="preserve"> </v>
      </c>
      <c r="C109" t="str">
        <f>IFERROR(INDEX(
    Jarinu!$C$55:$C$144,
    MATCH(
        B109,
        Jarinu!$I$55:$I$144,
        0
    )
), " ")</f>
        <v xml:space="preserve"> </v>
      </c>
      <c r="D109" s="719" t="str">
        <f t="shared" si="31"/>
        <v xml:space="preserve"> </v>
      </c>
      <c r="E109" s="339" t="str">
        <f t="shared" si="33"/>
        <v xml:space="preserve"> </v>
      </c>
      <c r="F109" t="str">
        <f t="shared" si="34"/>
        <v>Jarinu</v>
      </c>
      <c r="G109" t="e">
        <f>_xlfn.XLOOKUP(C109,Jarinu!$C$55:$C$144,Jarinu!$O$55:$O$144)</f>
        <v>#N/A</v>
      </c>
      <c r="H109" t="str">
        <f>_xlfn.XLOOKUP(C109,Jarinu!$C$55:$C$144,Jarinu!$M$55:$M$144," ")</f>
        <v xml:space="preserve"> </v>
      </c>
      <c r="I109" s="716" t="e">
        <f>_xlfn.XLOOKUP(C109,Jarinu!$C$55:$C$144,Jarinu!$J$55:$J$144)</f>
        <v>#N/A</v>
      </c>
      <c r="J109" s="224" t="e">
        <f>INDEX(Jarinu!$AR$55:$AR$144, MATCH(C109, Jarinu!$C$55:$C$144, 0))</f>
        <v>#N/A</v>
      </c>
      <c r="K109" s="224" t="e" cm="1">
        <f t="array" ref="K109">INDEX(Jarinu!$AR$55:$AR$144, MATCH(C109, Jarinu!$C$55:$C$144, 0)+1)</f>
        <v>#N/A</v>
      </c>
      <c r="L109" s="224" t="e">
        <f>INDEX(Jarinu!$AJ$55:$AJ$144, MATCH(C109, Jarinu!$C$55:$C$144, 0))</f>
        <v>#N/A</v>
      </c>
      <c r="M109" s="224"/>
      <c r="N109" s="224"/>
      <c r="O109" s="224"/>
      <c r="P109" s="224"/>
      <c r="Q109">
        <v>106</v>
      </c>
      <c r="R109" s="253">
        <f t="shared" si="40"/>
        <v>64554.69</v>
      </c>
      <c r="S109" t="str">
        <f t="shared" si="35"/>
        <v>41 - Redução de Peso Bruto do item SV001141LA</v>
      </c>
      <c r="T109" t="str">
        <f t="shared" si="36"/>
        <v>Diadema</v>
      </c>
      <c r="U109" s="253">
        <f t="shared" si="27"/>
        <v>41104.57</v>
      </c>
      <c r="V109" s="224">
        <f t="shared" ca="1" si="41"/>
        <v>20552.285000000003</v>
      </c>
      <c r="W109" s="224">
        <f t="shared" ca="1" si="42"/>
        <v>23365.017324000008</v>
      </c>
      <c r="X109" t="str">
        <f t="shared" si="37"/>
        <v>✓ Concluído</v>
      </c>
      <c r="Y109" s="716">
        <f t="shared" si="38"/>
        <v>46082</v>
      </c>
      <c r="Z109" t="str">
        <f t="shared" si="39"/>
        <v>OK</v>
      </c>
    </row>
    <row r="110" spans="1:26" x14ac:dyDescent="0.3">
      <c r="B110" s="224"/>
      <c r="D110" s="719"/>
      <c r="J110" s="224"/>
      <c r="K110" s="224"/>
      <c r="L110" s="224"/>
      <c r="M110" s="224"/>
      <c r="N110" s="224"/>
      <c r="O110" s="224"/>
      <c r="P110" s="224"/>
      <c r="Q110">
        <v>107</v>
      </c>
      <c r="R110" s="253">
        <f t="shared" si="40"/>
        <v>63600</v>
      </c>
      <c r="S110" t="str">
        <f t="shared" si="35"/>
        <v>49 - REDUÇÃO DE MP GM000408Z / GM000409Z</v>
      </c>
      <c r="T110" t="str">
        <f t="shared" si="36"/>
        <v>Diadema</v>
      </c>
      <c r="U110" s="253">
        <f t="shared" si="27"/>
        <v>63600</v>
      </c>
      <c r="V110" s="224" t="str">
        <f t="shared" ca="1" si="41"/>
        <v/>
      </c>
      <c r="W110" s="224" t="str">
        <f t="shared" ca="1" si="42"/>
        <v/>
      </c>
      <c r="X110" t="str">
        <f t="shared" si="37"/>
        <v>⏳ Em Execução</v>
      </c>
      <c r="Y110" s="716">
        <f t="shared" si="38"/>
        <v>46266</v>
      </c>
      <c r="Z110" t="str">
        <f t="shared" si="39"/>
        <v/>
      </c>
    </row>
    <row r="111" spans="1:26" x14ac:dyDescent="0.3">
      <c r="B111" s="224"/>
      <c r="D111" s="719"/>
      <c r="J111" s="224"/>
      <c r="K111" s="224"/>
      <c r="L111" s="224"/>
      <c r="M111" s="224"/>
      <c r="N111" s="224"/>
      <c r="O111" s="224"/>
      <c r="P111" s="224"/>
      <c r="Q111">
        <v>108</v>
      </c>
      <c r="R111" s="253">
        <f t="shared" si="40"/>
        <v>61965.48</v>
      </c>
      <c r="S111" t="str">
        <f t="shared" si="35"/>
        <v>Destinação Borra Plasma Ferraz</v>
      </c>
      <c r="T111" t="str">
        <f t="shared" si="36"/>
        <v>Compras</v>
      </c>
      <c r="U111" s="253">
        <f t="shared" si="27"/>
        <v>61965.479999999996</v>
      </c>
      <c r="V111" s="224">
        <f t="shared" ca="1" si="41"/>
        <v>23237.055</v>
      </c>
      <c r="W111" s="224" t="str">
        <f t="shared" ca="1" si="42"/>
        <v/>
      </c>
      <c r="X111" t="str">
        <f t="shared" si="37"/>
        <v>✓ Concluído</v>
      </c>
      <c r="Y111" s="716">
        <f t="shared" si="38"/>
        <v>46143</v>
      </c>
      <c r="Z111" t="str">
        <f t="shared" si="39"/>
        <v/>
      </c>
    </row>
    <row r="112" spans="1:26" x14ac:dyDescent="0.3">
      <c r="B112" s="224"/>
      <c r="D112" s="719"/>
      <c r="L112" s="224"/>
      <c r="M112" s="224"/>
      <c r="N112" s="224"/>
      <c r="O112" s="224"/>
      <c r="P112" s="224"/>
      <c r="Q112">
        <v>109</v>
      </c>
      <c r="R112" s="253">
        <f t="shared" si="40"/>
        <v>60231.6</v>
      </c>
      <c r="S112" t="str">
        <f t="shared" si="35"/>
        <v>Substituição Plano Médico - São Leopoldo</v>
      </c>
      <c r="T112" t="str">
        <f t="shared" si="36"/>
        <v>Compras</v>
      </c>
      <c r="U112" s="253">
        <f t="shared" si="27"/>
        <v>60231.6</v>
      </c>
      <c r="V112" s="224" t="str">
        <f t="shared" ca="1" si="41"/>
        <v/>
      </c>
      <c r="W112" s="224" t="str">
        <f t="shared" ca="1" si="42"/>
        <v/>
      </c>
      <c r="X112" t="str">
        <f t="shared" si="37"/>
        <v>⏳ Em Execução</v>
      </c>
      <c r="Y112" s="716">
        <f t="shared" si="38"/>
        <v>46327</v>
      </c>
      <c r="Z112" t="str">
        <f t="shared" si="39"/>
        <v/>
      </c>
    </row>
    <row r="113" spans="1:26" ht="14.85" customHeight="1" x14ac:dyDescent="0.3">
      <c r="A113" s="252" t="s">
        <v>22</v>
      </c>
      <c r="B113" s="252"/>
      <c r="C113" s="252"/>
      <c r="D113" s="718"/>
      <c r="E113" s="718"/>
      <c r="L113" s="224"/>
      <c r="M113" s="224"/>
      <c r="N113" s="224"/>
      <c r="O113" s="224"/>
      <c r="P113" s="224"/>
      <c r="Q113">
        <v>110</v>
      </c>
      <c r="R113" s="253">
        <f t="shared" si="40"/>
        <v>60000.008000000002</v>
      </c>
      <c r="S113" t="str">
        <f t="shared" si="35"/>
        <v>20 - Limpador de grelha</v>
      </c>
      <c r="T113" t="str">
        <f t="shared" si="36"/>
        <v>Ferraz</v>
      </c>
      <c r="U113" s="253">
        <f t="shared" si="27"/>
        <v>16512.86</v>
      </c>
      <c r="V113" s="224">
        <f t="shared" ca="1" si="41"/>
        <v>5504.2866666666669</v>
      </c>
      <c r="W113" s="224" t="str">
        <f t="shared" ca="1" si="42"/>
        <v/>
      </c>
      <c r="X113" t="str">
        <f t="shared" si="37"/>
        <v>✓ Concluído</v>
      </c>
      <c r="Y113" s="716">
        <f t="shared" si="38"/>
        <v>46204</v>
      </c>
      <c r="Z113" t="str">
        <f t="shared" si="39"/>
        <v>OK</v>
      </c>
    </row>
    <row r="114" spans="1:26" ht="14.85" customHeight="1" x14ac:dyDescent="0.3">
      <c r="A114" s="252"/>
      <c r="B114" s="252"/>
      <c r="C114" s="252"/>
      <c r="D114" s="718"/>
      <c r="E114" s="718"/>
      <c r="J114" s="2216" t="s">
        <v>2711</v>
      </c>
      <c r="K114" s="2216"/>
      <c r="L114" s="224"/>
      <c r="M114" s="224"/>
      <c r="N114" s="224"/>
      <c r="O114" s="224"/>
      <c r="P114" s="224"/>
      <c r="Q114">
        <v>111</v>
      </c>
      <c r="R114" s="253">
        <f t="shared" si="40"/>
        <v>60000.000008800002</v>
      </c>
      <c r="S114" t="str">
        <f t="shared" si="35"/>
        <v>54 - Redução de MP - VW000585Z_586Z (20mm no passo)</v>
      </c>
      <c r="T114" t="str">
        <f t="shared" si="36"/>
        <v>Diadema</v>
      </c>
      <c r="U114" s="253">
        <f t="shared" si="27"/>
        <v>60000.000008800002</v>
      </c>
      <c r="V114" s="224" t="str">
        <f t="shared" ca="1" si="41"/>
        <v/>
      </c>
      <c r="W114" s="224" t="str">
        <f t="shared" ca="1" si="42"/>
        <v/>
      </c>
      <c r="X114" t="str">
        <f t="shared" si="37"/>
        <v>⏳ Em Execução</v>
      </c>
      <c r="Y114" s="716">
        <f t="shared" si="38"/>
        <v>46266</v>
      </c>
      <c r="Z114" t="str">
        <f t="shared" si="39"/>
        <v>Não Ok</v>
      </c>
    </row>
    <row r="115" spans="1:26" x14ac:dyDescent="0.3">
      <c r="F115" t="str">
        <f t="shared" ref="F115:F145" si="43">$A$113</f>
        <v>Ferraz</v>
      </c>
      <c r="J115" s="552" t="s">
        <v>116</v>
      </c>
      <c r="K115" s="552" t="s">
        <v>117</v>
      </c>
      <c r="L115" s="224"/>
      <c r="M115" s="224"/>
      <c r="N115" s="224"/>
      <c r="O115" s="224"/>
      <c r="P115" s="224"/>
      <c r="Q115">
        <v>112</v>
      </c>
      <c r="R115" s="253">
        <f t="shared" si="40"/>
        <v>60000</v>
      </c>
      <c r="S115" t="str">
        <f t="shared" si="35"/>
        <v>55 -  Redução de MP - GM000378Z / GM000379Z</v>
      </c>
      <c r="T115" t="str">
        <f t="shared" si="36"/>
        <v>Diadema</v>
      </c>
      <c r="U115" s="253">
        <f t="shared" si="27"/>
        <v>37697.32</v>
      </c>
      <c r="V115" s="224" t="str">
        <f t="shared" ca="1" si="41"/>
        <v/>
      </c>
      <c r="W115" s="224" t="str">
        <f t="shared" ca="1" si="42"/>
        <v/>
      </c>
      <c r="X115" t="str">
        <f t="shared" si="37"/>
        <v>⏳ Em Execução</v>
      </c>
      <c r="Y115" s="716">
        <f t="shared" si="38"/>
        <v>46235</v>
      </c>
      <c r="Z115" t="str">
        <f t="shared" si="39"/>
        <v>OK</v>
      </c>
    </row>
    <row r="116" spans="1:26" x14ac:dyDescent="0.3">
      <c r="A116" cm="1">
        <f t="array" ref="A116:A145">_xlfn.SEQUENCE(30)</f>
        <v>1</v>
      </c>
      <c r="B116" s="224">
        <f>MAX(Ferraz!$I$55:$I$144)</f>
        <v>3000000</v>
      </c>
      <c r="C116" t="str">
        <f>IFERROR(INDEX(
    Ferraz!$C$55:$C$144,
    MATCH(
        B116,
        Ferraz!$I$55:$I$144,
        0
    )
), " ")</f>
        <v>01 - Clientes com baixa margem de contribuição.</v>
      </c>
      <c r="D116" s="719">
        <f t="shared" ref="D116:D137" si="44">IFERROR(B116/SUM($B$116:$B$145)," ")</f>
        <v>0.21718670542224652</v>
      </c>
      <c r="E116" s="339">
        <f>D116</f>
        <v>0.21718670542224652</v>
      </c>
      <c r="F116" t="str">
        <f t="shared" si="43"/>
        <v>Ferraz</v>
      </c>
      <c r="G116" t="str">
        <f>_xlfn.XLOOKUP(C116,Ferraz!$C$55:$C$144,Ferraz!$O$55:$O$144)</f>
        <v>⏳ Em Execução</v>
      </c>
      <c r="H116">
        <f>_xlfn.XLOOKUP(Pareto!C116,Ferraz!$C$55:$C$144,Ferraz!$M$55:$M$144," ")</f>
        <v>0</v>
      </c>
      <c r="I116" s="716">
        <f>_xlfn.XLOOKUP(C116,Ferraz!$C$55:$C$144,Ferraz!$J$55:$J$144)</f>
        <v>0</v>
      </c>
      <c r="J116" s="224" t="str">
        <f>INDEX(Ferraz!$AR$55:$AR$144, MATCH(C116, Ferraz!$C$55:$C$144, 0))</f>
        <v xml:space="preserve"> </v>
      </c>
      <c r="K116" s="224" t="str" cm="1">
        <f t="array" aca="1" ref="K116" ca="1">INDEX(Ferraz!$AR$55:$AR$144, MATCH(C116, Ferraz!$C$55:$C$144, 0)+1)</f>
        <v/>
      </c>
      <c r="L116" s="224">
        <f>INDEX(Ferraz!$AJ$55:$AJ$144, MATCH(C116, Ferraz!$C$55:$C$144, 0))</f>
        <v>0</v>
      </c>
      <c r="M116" s="224"/>
      <c r="N116" s="224"/>
      <c r="O116" s="224"/>
      <c r="P116" s="224"/>
      <c r="Q116">
        <v>113</v>
      </c>
      <c r="R116" s="253">
        <f t="shared" si="40"/>
        <v>59800</v>
      </c>
      <c r="S116" t="str">
        <f t="shared" si="35"/>
        <v>31 - Comunização da chapa CHQ0475ED12502650</v>
      </c>
      <c r="T116" t="str">
        <f t="shared" si="36"/>
        <v>Diadema</v>
      </c>
      <c r="U116" s="253">
        <f t="shared" si="27"/>
        <v>114604.43</v>
      </c>
      <c r="V116" s="224">
        <f t="shared" ca="1" si="41"/>
        <v>42976.661249999997</v>
      </c>
      <c r="W116" s="224">
        <f t="shared" ca="1" si="42"/>
        <v>40335.03043738514</v>
      </c>
      <c r="X116" t="str">
        <f t="shared" si="37"/>
        <v>✓ Concluído</v>
      </c>
      <c r="Y116" s="716">
        <f t="shared" si="38"/>
        <v>46143</v>
      </c>
      <c r="Z116" t="str">
        <f t="shared" si="39"/>
        <v>OK</v>
      </c>
    </row>
    <row r="117" spans="1:26" x14ac:dyDescent="0.3">
      <c r="A117">
        <v>2</v>
      </c>
      <c r="B117" s="224">
        <f>IFERROR(LARGE(Ferraz!$I$55:$I$144,A117)," ")</f>
        <v>1540000</v>
      </c>
      <c r="C117" t="str">
        <f>IFERROR(INDEX(
    Ferraz!$C$55:$C$144,
    MATCH(
        B117,
        Ferraz!$I$55:$I$144,
        0
    )
), " ")</f>
        <v>34 - Redução dos gastos de manutenção com monitoramento do Tractian</v>
      </c>
      <c r="D117" s="719">
        <f t="shared" si="44"/>
        <v>0.11148917545008655</v>
      </c>
      <c r="E117" s="339">
        <f>IFERROR(D117+E116," ")</f>
        <v>0.32867588087233307</v>
      </c>
      <c r="F117" t="str">
        <f t="shared" si="43"/>
        <v>Ferraz</v>
      </c>
      <c r="G117">
        <f>_xlfn.XLOOKUP(C117,Ferraz!$C$55:$C$144,Ferraz!$O$55:$O$144)</f>
        <v>0</v>
      </c>
      <c r="H117">
        <f>_xlfn.XLOOKUP(Pareto!C117,Ferraz!$C$55:$C$144,Ferraz!$M$55:$M$144," ")</f>
        <v>0</v>
      </c>
      <c r="I117" s="716">
        <f>_xlfn.XLOOKUP(C117,Ferraz!$C$55:$C$144,Ferraz!$J$55:$J$144)</f>
        <v>46265</v>
      </c>
      <c r="J117" s="224" t="str">
        <f ca="1">INDEX(Ferraz!$AR$55:$AR$144, MATCH(C117, Ferraz!$C$55:$C$144, 0))</f>
        <v/>
      </c>
      <c r="K117" s="224" t="str" cm="1">
        <f t="array" aca="1" ref="K117" ca="1">INDEX(Ferraz!$AR$55:$AR$144, MATCH(C117, Ferraz!$C$55:$C$144, 0)+1)</f>
        <v/>
      </c>
      <c r="L117" s="224">
        <f>INDEX(Ferraz!$AJ$55:$AJ$144, MATCH(C117, Ferraz!$C$55:$C$144, 0))</f>
        <v>924000</v>
      </c>
      <c r="M117" s="224"/>
      <c r="N117" s="224"/>
      <c r="O117" s="224"/>
      <c r="P117" s="224"/>
      <c r="Q117">
        <v>114</v>
      </c>
      <c r="R117" s="253">
        <f t="shared" si="40"/>
        <v>56826</v>
      </c>
      <c r="S117" t="str">
        <f t="shared" si="35"/>
        <v>21 - Kaizen_Redução de peso bruto MB003537LA_MB003538LA</v>
      </c>
      <c r="T117" t="str">
        <f t="shared" si="36"/>
        <v>Diadema</v>
      </c>
      <c r="U117" s="253">
        <f t="shared" si="27"/>
        <v>37365.58</v>
      </c>
      <c r="V117" s="224">
        <f t="shared" ca="1" si="41"/>
        <v>18682.79</v>
      </c>
      <c r="W117" s="224">
        <f t="shared" ca="1" si="42"/>
        <v>18873.367845683777</v>
      </c>
      <c r="X117" t="str">
        <f t="shared" si="37"/>
        <v>✓ Concluído</v>
      </c>
      <c r="Y117" s="716">
        <f t="shared" si="38"/>
        <v>46082</v>
      </c>
      <c r="Z117" t="str">
        <f t="shared" si="39"/>
        <v>OK</v>
      </c>
    </row>
    <row r="118" spans="1:26" x14ac:dyDescent="0.3">
      <c r="A118">
        <v>3</v>
      </c>
      <c r="B118" s="224">
        <f>IFERROR(LARGE(Ferraz!$I$55:$I$144,A118)," ")</f>
        <v>1000000</v>
      </c>
      <c r="C118" t="str">
        <f>IFERROR(INDEX(
    Ferraz!$C$55:$C$144,
    MATCH(
        B118,
        Ferraz!$I$55:$I$144,
        0
    )
), " ")</f>
        <v xml:space="preserve">05 - Nitrogênio da máquina laser </v>
      </c>
      <c r="D118" s="719">
        <f t="shared" si="44"/>
        <v>7.239556847408217E-2</v>
      </c>
      <c r="E118" s="339">
        <f t="shared" ref="E118:E145" si="45">IFERROR(D118+E117," ")</f>
        <v>0.40107144934641525</v>
      </c>
      <c r="F118" t="str">
        <f t="shared" si="43"/>
        <v>Ferraz</v>
      </c>
      <c r="G118" t="str">
        <f>_xlfn.XLOOKUP(C118,Ferraz!$C$55:$C$144,Ferraz!$O$55:$O$144)</f>
        <v>⏳ Em Execução</v>
      </c>
      <c r="H118" t="str">
        <f>_xlfn.XLOOKUP(Pareto!C118,Ferraz!$C$55:$C$144,Ferraz!$M$55:$M$144," ")</f>
        <v>OK</v>
      </c>
      <c r="I118" s="716">
        <f>_xlfn.XLOOKUP(C118,Ferraz!$C$55:$C$144,Ferraz!$J$55:$J$144)</f>
        <v>46325</v>
      </c>
      <c r="J118" s="224" t="str">
        <f ca="1">INDEX(Ferraz!$AR$55:$AR$144, MATCH(C118, Ferraz!$C$55:$C$144, 0))</f>
        <v/>
      </c>
      <c r="K118" s="224" t="str" cm="1">
        <f t="array" aca="1" ref="K118" ca="1">INDEX(Ferraz!$AR$55:$AR$144, MATCH(C118, Ferraz!$C$55:$C$144, 0)+1)</f>
        <v/>
      </c>
      <c r="L118" s="224">
        <f>INDEX(Ferraz!$AJ$55:$AJ$144, MATCH(C118, Ferraz!$C$55:$C$144, 0))</f>
        <v>240000</v>
      </c>
      <c r="M118" s="224"/>
      <c r="N118" s="224"/>
      <c r="O118" s="224"/>
      <c r="P118" s="224"/>
      <c r="Q118">
        <v>115</v>
      </c>
      <c r="R118" s="253">
        <f t="shared" si="40"/>
        <v>54000</v>
      </c>
      <c r="S118" t="str">
        <f t="shared" si="35"/>
        <v>19 - Kaizen Facão. DA000481Z - PRODUTIVIDADE</v>
      </c>
      <c r="T118" t="str">
        <f t="shared" si="36"/>
        <v>Diadema</v>
      </c>
      <c r="U118" s="253">
        <f t="shared" si="27"/>
        <v>54000</v>
      </c>
      <c r="V118" s="224">
        <f t="shared" ca="1" si="41"/>
        <v>27000</v>
      </c>
      <c r="W118" s="224" t="str">
        <f t="shared" ca="1" si="42"/>
        <v/>
      </c>
      <c r="X118" t="str">
        <f t="shared" si="37"/>
        <v>✓ Concluído</v>
      </c>
      <c r="Y118" s="716">
        <f t="shared" si="38"/>
        <v>46082</v>
      </c>
      <c r="Z118" t="str">
        <f t="shared" si="39"/>
        <v/>
      </c>
    </row>
    <row r="119" spans="1:26" x14ac:dyDescent="0.3">
      <c r="A119">
        <v>4</v>
      </c>
      <c r="B119" s="224">
        <f>IFERROR(LARGE(Ferraz!$I$55:$I$144,A119)," ")</f>
        <v>900000</v>
      </c>
      <c r="C119" t="str">
        <f>IFERROR(INDEX(
    Ferraz!$C$55:$C$144,
    MATCH(
        B119,
        Ferraz!$I$55:$I$144,
        0
    )
), " ")</f>
        <v xml:space="preserve">03 - Consumo de desmoldante </v>
      </c>
      <c r="D119" s="719">
        <f t="shared" si="44"/>
        <v>6.5156011626673963E-2</v>
      </c>
      <c r="E119" s="339">
        <f t="shared" si="45"/>
        <v>0.4662274609730892</v>
      </c>
      <c r="F119" t="str">
        <f t="shared" si="43"/>
        <v>Ferraz</v>
      </c>
      <c r="G119" t="str">
        <f>_xlfn.XLOOKUP(C119,Ferraz!$C$55:$C$144,Ferraz!$O$55:$O$144)</f>
        <v>✓ Concluído</v>
      </c>
      <c r="H119" t="str">
        <f>_xlfn.XLOOKUP(Pareto!C119,Ferraz!$C$55:$C$144,Ferraz!$M$55:$M$144," ")</f>
        <v>OK</v>
      </c>
      <c r="I119" s="716">
        <f>_xlfn.XLOOKUP(C119,Ferraz!$C$55:$C$144,Ferraz!$J$55:$J$144)</f>
        <v>46023</v>
      </c>
      <c r="J119" s="224">
        <f ca="1">INDEX(Ferraz!$AR$55:$AR$144, MATCH(C119, Ferraz!$C$55:$C$144, 0))</f>
        <v>294724.82666666666</v>
      </c>
      <c r="K119" s="224" cm="1">
        <f t="array" aca="1" ref="K119" ca="1">INDEX(Ferraz!$AR$55:$AR$144, MATCH(C119, Ferraz!$C$55:$C$144, 0)+1)</f>
        <v>525129.73</v>
      </c>
      <c r="L119" s="224">
        <f>INDEX(Ferraz!$AJ$55:$AJ$144, MATCH(C119, Ferraz!$C$55:$C$144, 0))</f>
        <v>126310.64000000001</v>
      </c>
      <c r="M119" s="224"/>
      <c r="N119" s="224"/>
      <c r="O119" s="224"/>
      <c r="P119" s="224"/>
      <c r="Q119">
        <v>116</v>
      </c>
      <c r="R119" s="253">
        <f t="shared" si="40"/>
        <v>51864.28</v>
      </c>
      <c r="S119" t="str">
        <f t="shared" si="35"/>
        <v>Redução MP Viga Banana</v>
      </c>
      <c r="T119" t="str">
        <f t="shared" si="36"/>
        <v>Compras</v>
      </c>
      <c r="U119" s="253">
        <f t="shared" si="27"/>
        <v>86933</v>
      </c>
      <c r="V119" s="224">
        <f t="shared" ca="1" si="41"/>
        <v>47418</v>
      </c>
      <c r="W119" s="224">
        <f t="shared" ca="1" si="42"/>
        <v>24738.13075764</v>
      </c>
      <c r="X119" t="str">
        <f t="shared" si="37"/>
        <v>✓ Concluído</v>
      </c>
      <c r="Y119" s="716">
        <f t="shared" si="38"/>
        <v>46066</v>
      </c>
      <c r="Z119" t="str">
        <f t="shared" si="39"/>
        <v>OK</v>
      </c>
    </row>
    <row r="120" spans="1:26" x14ac:dyDescent="0.3">
      <c r="A120">
        <v>5</v>
      </c>
      <c r="B120" s="224">
        <f>IFERROR(LARGE(Ferraz!$I$55:$I$144,A120)," ")</f>
        <v>900000</v>
      </c>
      <c r="C120" t="str">
        <f>IFERROR(INDEX(
    Ferraz!$C$55:$C$144,
    MATCH(
        B120,
        Ferraz!$I$55:$I$144,
        0
    )
), " ")</f>
        <v xml:space="preserve">03 - Consumo de desmoldante </v>
      </c>
      <c r="D120" s="719">
        <f t="shared" si="44"/>
        <v>6.5156011626673963E-2</v>
      </c>
      <c r="E120" s="339">
        <f t="shared" si="45"/>
        <v>0.53138347259976315</v>
      </c>
      <c r="F120" t="str">
        <f t="shared" si="43"/>
        <v>Ferraz</v>
      </c>
      <c r="G120" t="str">
        <f>_xlfn.XLOOKUP(C120,Ferraz!$C$55:$C$144,Ferraz!$O$55:$O$144)</f>
        <v>✓ Concluído</v>
      </c>
      <c r="H120" t="str">
        <f>_xlfn.XLOOKUP(Pareto!C120,Ferraz!$C$55:$C$144,Ferraz!$M$55:$M$144," ")</f>
        <v>OK</v>
      </c>
      <c r="I120" s="716">
        <f>_xlfn.XLOOKUP(C120,Ferraz!$C$55:$C$144,Ferraz!$J$55:$J$144)</f>
        <v>46023</v>
      </c>
      <c r="J120" s="224">
        <f ca="1">INDEX(Ferraz!$AR$55:$AR$144, MATCH(C120, Ferraz!$C$55:$C$144, 0))</f>
        <v>294724.82666666666</v>
      </c>
      <c r="K120" s="224" cm="1">
        <f t="array" aca="1" ref="K120" ca="1">INDEX(Ferraz!$AR$55:$AR$144, MATCH(C120, Ferraz!$C$55:$C$144, 0)+1)</f>
        <v>525129.73</v>
      </c>
      <c r="L120" s="224">
        <f>INDEX(Ferraz!$AJ$55:$AJ$144, MATCH(C120, Ferraz!$C$55:$C$144, 0))</f>
        <v>126310.64000000001</v>
      </c>
      <c r="M120" s="224"/>
      <c r="N120" s="224"/>
      <c r="O120" s="224"/>
      <c r="P120" s="224"/>
      <c r="Q120">
        <v>117</v>
      </c>
      <c r="R120" s="253">
        <f t="shared" si="40"/>
        <v>51480</v>
      </c>
      <c r="S120" t="str">
        <f t="shared" si="35"/>
        <v>17 - MB003537LB_MB003538LB</v>
      </c>
      <c r="T120" t="str">
        <f t="shared" si="36"/>
        <v>Diadema</v>
      </c>
      <c r="U120" s="253">
        <f t="shared" si="27"/>
        <v>33838.06</v>
      </c>
      <c r="V120" s="224">
        <f t="shared" ca="1" si="41"/>
        <v>16919.03</v>
      </c>
      <c r="W120" s="224">
        <f t="shared" ca="1" si="42"/>
        <v>17091.616335776573</v>
      </c>
      <c r="X120" t="str">
        <f t="shared" si="37"/>
        <v>✓ Concluído</v>
      </c>
      <c r="Y120" s="716">
        <f t="shared" si="38"/>
        <v>46082</v>
      </c>
      <c r="Z120" t="str">
        <f t="shared" si="39"/>
        <v>OK</v>
      </c>
    </row>
    <row r="121" spans="1:26" x14ac:dyDescent="0.3">
      <c r="A121">
        <v>6</v>
      </c>
      <c r="B121" s="224">
        <f>IFERROR(LARGE(Ferraz!$I$55:$I$144,A121)," ")</f>
        <v>800000</v>
      </c>
      <c r="C121" t="str">
        <f>IFERROR(INDEX(
    Ferraz!$C$55:$C$144,
    MATCH(
        B121,
        Ferraz!$I$55:$I$144,
        0
    )
), " ")</f>
        <v xml:space="preserve">33 - Venda de sucata </v>
      </c>
      <c r="D121" s="719">
        <f t="shared" si="44"/>
        <v>5.7916454779265741E-2</v>
      </c>
      <c r="E121" s="339">
        <f t="shared" si="45"/>
        <v>0.58929992737902892</v>
      </c>
      <c r="F121" t="str">
        <f t="shared" si="43"/>
        <v>Ferraz</v>
      </c>
      <c r="G121">
        <f>_xlfn.XLOOKUP(C121,Ferraz!$C$55:$C$144,Ferraz!$O$55:$O$144)</f>
        <v>0</v>
      </c>
      <c r="H121">
        <f>_xlfn.XLOOKUP(Pareto!C121,Ferraz!$C$55:$C$144,Ferraz!$M$55:$M$144," ")</f>
        <v>0</v>
      </c>
      <c r="I121" s="716">
        <f>_xlfn.XLOOKUP(C121,Ferraz!$C$55:$C$144,Ferraz!$J$55:$J$144)</f>
        <v>0</v>
      </c>
      <c r="J121" s="224" t="str">
        <f ca="1">INDEX(Ferraz!$AR$55:$AR$144, MATCH(C121, Ferraz!$C$55:$C$144, 0))</f>
        <v/>
      </c>
      <c r="K121" s="224" t="str" cm="1">
        <f t="array" aca="1" ref="K121" ca="1">INDEX(Ferraz!$AR$55:$AR$144, MATCH(C121, Ferraz!$C$55:$C$144, 0)+1)</f>
        <v/>
      </c>
      <c r="L121" s="224">
        <f>INDEX(Ferraz!$AJ$55:$AJ$144, MATCH(C121, Ferraz!$C$55:$C$144, 0))</f>
        <v>0</v>
      </c>
      <c r="M121" s="224"/>
      <c r="N121" s="224"/>
      <c r="O121" s="224"/>
      <c r="P121" s="224"/>
      <c r="Q121">
        <v>118</v>
      </c>
      <c r="R121" s="253">
        <f t="shared" si="40"/>
        <v>51000</v>
      </c>
      <c r="S121" t="str">
        <f t="shared" si="35"/>
        <v>06 - CONSUMO DE TINTA PÓ</v>
      </c>
      <c r="T121" t="str">
        <f t="shared" si="36"/>
        <v>Anchieta</v>
      </c>
      <c r="U121" s="253">
        <f t="shared" si="27"/>
        <v>30600</v>
      </c>
      <c r="V121" s="224" t="str">
        <f t="shared" ca="1" si="41"/>
        <v/>
      </c>
      <c r="W121" s="224" t="str">
        <f t="shared" ca="1" si="42"/>
        <v/>
      </c>
      <c r="X121" t="str">
        <f t="shared" si="37"/>
        <v>⏳ Em Execução</v>
      </c>
      <c r="Y121" s="716">
        <f t="shared" si="38"/>
        <v>46235</v>
      </c>
      <c r="Z121" t="str">
        <f t="shared" si="39"/>
        <v/>
      </c>
    </row>
    <row r="122" spans="1:26" x14ac:dyDescent="0.3">
      <c r="A122">
        <v>7</v>
      </c>
      <c r="B122" s="224">
        <f>IFERROR(LARGE(Ferraz!$I$55:$I$144,A122)," ")</f>
        <v>600000.00089999998</v>
      </c>
      <c r="C122" t="str">
        <f>IFERROR(INDEX(
    Ferraz!$C$55:$C$144,
    MATCH(
        B122,
        Ferraz!$I$55:$I$144,
        0
    )
), " ")</f>
        <v xml:space="preserve">06 - Reaproveitamento de lixas </v>
      </c>
      <c r="D122" s="719">
        <f t="shared" si="44"/>
        <v>4.3437341149605312E-2</v>
      </c>
      <c r="E122" s="339">
        <f t="shared" si="45"/>
        <v>0.63273726852863421</v>
      </c>
      <c r="F122" t="str">
        <f t="shared" si="43"/>
        <v>Ferraz</v>
      </c>
      <c r="G122" t="str">
        <f>_xlfn.XLOOKUP(C122,Ferraz!$C$55:$C$144,Ferraz!$O$55:$O$144)</f>
        <v>✓ Concluído</v>
      </c>
      <c r="H122" t="str">
        <f>_xlfn.XLOOKUP(Pareto!C122,Ferraz!$C$55:$C$144,Ferraz!$M$55:$M$144," ")</f>
        <v>OK</v>
      </c>
      <c r="I122" s="716">
        <f>_xlfn.XLOOKUP(C122,Ferraz!$C$55:$C$144,Ferraz!$J$55:$J$144)</f>
        <v>46023</v>
      </c>
      <c r="J122" s="224">
        <f ca="1">INDEX(Ferraz!$AR$55:$AR$144, MATCH(C122, Ferraz!$C$55:$C$144, 0))</f>
        <v>354235.30333333334</v>
      </c>
      <c r="K122" s="224" cm="1">
        <f t="array" aca="1" ref="K122" ca="1">INDEX(Ferraz!$AR$55:$AR$144, MATCH(C122, Ferraz!$C$55:$C$144, 0)+1)</f>
        <v>276395.48</v>
      </c>
      <c r="L122" s="224">
        <f>INDEX(Ferraz!$AJ$55:$AJ$144, MATCH(C122, Ferraz!$C$55:$C$144, 0))</f>
        <v>151815.13</v>
      </c>
      <c r="M122" s="224"/>
      <c r="N122" s="224"/>
      <c r="O122" s="224"/>
      <c r="P122" s="224"/>
      <c r="Q122">
        <v>119</v>
      </c>
      <c r="R122" s="253">
        <f t="shared" si="40"/>
        <v>50000</v>
      </c>
      <c r="S122" t="str">
        <f t="shared" si="35"/>
        <v>34 - Iluminação em LED</v>
      </c>
      <c r="T122" t="str">
        <f t="shared" si="36"/>
        <v>Jarinu</v>
      </c>
      <c r="U122" s="253">
        <f t="shared" si="27"/>
        <v>30000</v>
      </c>
      <c r="V122" s="224" t="str">
        <f t="shared" ca="1" si="41"/>
        <v/>
      </c>
      <c r="W122" s="224" t="str">
        <f t="shared" ca="1" si="42"/>
        <v/>
      </c>
      <c r="X122" t="str">
        <f t="shared" si="37"/>
        <v>⏳ Em Execução</v>
      </c>
      <c r="Y122" s="716">
        <f t="shared" si="38"/>
        <v>46264</v>
      </c>
      <c r="Z122" t="str">
        <f t="shared" si="39"/>
        <v/>
      </c>
    </row>
    <row r="123" spans="1:26" x14ac:dyDescent="0.3">
      <c r="A123">
        <v>8</v>
      </c>
      <c r="B123" s="224">
        <f>IFERROR(LARGE(Ferraz!$I$55:$I$144,A123)," ")</f>
        <v>600000</v>
      </c>
      <c r="C123" t="str">
        <f>IFERROR(INDEX(
    Ferraz!$C$55:$C$144,
    MATCH(
        B123,
        Ferraz!$I$55:$I$144,
        0
    )
), " ")</f>
        <v xml:space="preserve">31 - Redução da nota de débitos de clientes </v>
      </c>
      <c r="D123" s="719">
        <f t="shared" si="44"/>
        <v>4.3437341084449306E-2</v>
      </c>
      <c r="E123" s="339">
        <f t="shared" si="45"/>
        <v>0.67617460961308351</v>
      </c>
      <c r="F123" t="str">
        <f t="shared" si="43"/>
        <v>Ferraz</v>
      </c>
      <c r="G123">
        <f>_xlfn.XLOOKUP(C123,Ferraz!$C$55:$C$144,Ferraz!$O$55:$O$144)</f>
        <v>0</v>
      </c>
      <c r="H123">
        <f>_xlfn.XLOOKUP(Pareto!C123,Ferraz!$C$55:$C$144,Ferraz!$M$55:$M$144," ")</f>
        <v>0</v>
      </c>
      <c r="I123" s="716">
        <f>_xlfn.XLOOKUP(C123,Ferraz!$C$55:$C$144,Ferraz!$J$55:$J$144)</f>
        <v>46265</v>
      </c>
      <c r="J123" s="224" t="str">
        <f ca="1">INDEX(Ferraz!$AR$55:$AR$144, MATCH(C123, Ferraz!$C$55:$C$144, 0))</f>
        <v/>
      </c>
      <c r="K123" s="224" t="str" cm="1">
        <f t="array" aca="1" ref="K123" ca="1">INDEX(Ferraz!$AR$55:$AR$144, MATCH(C123, Ferraz!$C$55:$C$144, 0)+1)</f>
        <v/>
      </c>
      <c r="L123" s="224">
        <f>INDEX(Ferraz!$AJ$55:$AJ$144, MATCH(C123, Ferraz!$C$55:$C$144, 0))</f>
        <v>360000</v>
      </c>
      <c r="M123" s="224"/>
      <c r="N123" s="224"/>
      <c r="O123" s="224"/>
      <c r="P123" s="224"/>
      <c r="Q123">
        <v>120</v>
      </c>
      <c r="R123" s="253">
        <f t="shared" si="40"/>
        <v>50000</v>
      </c>
      <c r="S123" t="str">
        <f t="shared" si="35"/>
        <v>34 - Iluminação em LED</v>
      </c>
      <c r="T123" t="str">
        <f t="shared" si="36"/>
        <v>Jarinu</v>
      </c>
      <c r="U123" s="253">
        <f t="shared" si="27"/>
        <v>30000</v>
      </c>
      <c r="V123" s="224" t="str">
        <f t="shared" ca="1" si="41"/>
        <v/>
      </c>
      <c r="W123" s="224" t="str">
        <f t="shared" ca="1" si="42"/>
        <v/>
      </c>
      <c r="X123" t="str">
        <f t="shared" si="37"/>
        <v>⏳ Em Execução</v>
      </c>
      <c r="Y123" s="716">
        <f t="shared" si="38"/>
        <v>46264</v>
      </c>
      <c r="Z123" t="str">
        <f t="shared" si="39"/>
        <v/>
      </c>
    </row>
    <row r="124" spans="1:26" x14ac:dyDescent="0.3">
      <c r="A124">
        <v>9</v>
      </c>
      <c r="B124" s="224">
        <f>IFERROR(LARGE(Ferraz!$I$55:$I$144,A124)," ")</f>
        <v>600000</v>
      </c>
      <c r="C124" t="str">
        <f>IFERROR(INDEX(
    Ferraz!$C$55:$C$144,
    MATCH(
        B124,
        Ferraz!$I$55:$I$144,
        0
    )
), " ")</f>
        <v xml:space="preserve">31 - Redução da nota de débitos de clientes </v>
      </c>
      <c r="D124" s="719">
        <f t="shared" si="44"/>
        <v>4.3437341084449306E-2</v>
      </c>
      <c r="E124" s="339">
        <f t="shared" si="45"/>
        <v>0.71961195069753281</v>
      </c>
      <c r="F124" t="str">
        <f t="shared" si="43"/>
        <v>Ferraz</v>
      </c>
      <c r="G124">
        <f>_xlfn.XLOOKUP(C124,Ferraz!$C$55:$C$144,Ferraz!$O$55:$O$144)</f>
        <v>0</v>
      </c>
      <c r="H124">
        <f>_xlfn.XLOOKUP(Pareto!C124,Ferraz!$C$55:$C$144,Ferraz!$M$55:$M$144," ")</f>
        <v>0</v>
      </c>
      <c r="I124" s="716">
        <f>_xlfn.XLOOKUP(C124,Ferraz!$C$55:$C$144,Ferraz!$J$55:$J$144)</f>
        <v>46265</v>
      </c>
      <c r="J124" s="224" t="str">
        <f ca="1">INDEX(Ferraz!$AR$55:$AR$144, MATCH(C124, Ferraz!$C$55:$C$144, 0))</f>
        <v/>
      </c>
      <c r="K124" s="224" t="str" cm="1">
        <f t="array" aca="1" ref="K124" ca="1">INDEX(Ferraz!$AR$55:$AR$144, MATCH(C124, Ferraz!$C$55:$C$144, 0)+1)</f>
        <v/>
      </c>
      <c r="L124" s="224">
        <f>INDEX(Ferraz!$AJ$55:$AJ$144, MATCH(C124, Ferraz!$C$55:$C$144, 0))</f>
        <v>360000</v>
      </c>
      <c r="M124" s="224"/>
      <c r="N124" s="224"/>
      <c r="O124" s="224"/>
      <c r="P124" s="224"/>
      <c r="Q124">
        <v>121</v>
      </c>
      <c r="R124" s="253">
        <f t="shared" si="40"/>
        <v>49053</v>
      </c>
      <c r="S124" t="str">
        <f t="shared" si="35"/>
        <v>Negociação TCC00690/691</v>
      </c>
      <c r="T124" t="str">
        <f t="shared" si="36"/>
        <v>Compras</v>
      </c>
      <c r="U124" s="253">
        <f t="shared" si="27"/>
        <v>49053</v>
      </c>
      <c r="V124" s="224">
        <f t="shared" ca="1" si="41"/>
        <v>14015.142857142857</v>
      </c>
      <c r="W124" s="224" t="str">
        <f t="shared" ca="1" si="42"/>
        <v/>
      </c>
      <c r="X124" t="str">
        <f t="shared" si="37"/>
        <v>✓ Concluído</v>
      </c>
      <c r="Y124" s="716">
        <f t="shared" si="38"/>
        <v>46196</v>
      </c>
      <c r="Z124" t="str">
        <f t="shared" si="39"/>
        <v/>
      </c>
    </row>
    <row r="125" spans="1:26" x14ac:dyDescent="0.3">
      <c r="A125">
        <v>10</v>
      </c>
      <c r="B125" s="224">
        <f>IFERROR(LARGE(Ferraz!$I$55:$I$144,A125)," ")</f>
        <v>500000.000654654</v>
      </c>
      <c r="C125" t="str">
        <f>IFERROR(INDEX(
    Ferraz!$C$55:$C$144,
    MATCH(
        B125,
        Ferraz!$I$55:$I$144,
        0
    )
), " ")</f>
        <v xml:space="preserve">29 - Aproveitamento de ponta de bobina - MP </v>
      </c>
      <c r="D125" s="719">
        <f t="shared" si="44"/>
        <v>3.6197784284435132E-2</v>
      </c>
      <c r="E125" s="339">
        <f t="shared" si="45"/>
        <v>0.75580973498196791</v>
      </c>
      <c r="F125" t="str">
        <f t="shared" si="43"/>
        <v>Ferraz</v>
      </c>
      <c r="G125">
        <f>_xlfn.XLOOKUP(C125,Ferraz!$C$55:$C$144,Ferraz!$O$55:$O$144)</f>
        <v>0</v>
      </c>
      <c r="H125">
        <f>_xlfn.XLOOKUP(Pareto!C125,Ferraz!$C$55:$C$144,Ferraz!$M$55:$M$144," ")</f>
        <v>0</v>
      </c>
      <c r="I125" s="716">
        <f>_xlfn.XLOOKUP(C125,Ferraz!$C$55:$C$144,Ferraz!$J$55:$J$144)</f>
        <v>0</v>
      </c>
      <c r="J125" s="224" t="str">
        <f ca="1">INDEX(Ferraz!$AR$55:$AR$144, MATCH(C125, Ferraz!$C$55:$C$144, 0))</f>
        <v/>
      </c>
      <c r="K125" s="224" t="str" cm="1">
        <f t="array" aca="1" ref="K125" ca="1">INDEX(Ferraz!$AR$55:$AR$144, MATCH(C125, Ferraz!$C$55:$C$144, 0)+1)</f>
        <v/>
      </c>
      <c r="L125" s="224">
        <f>INDEX(Ferraz!$AJ$55:$AJ$144, MATCH(C125, Ferraz!$C$55:$C$144, 0))</f>
        <v>0</v>
      </c>
      <c r="M125" s="224"/>
      <c r="N125" s="224"/>
      <c r="O125" s="224"/>
      <c r="P125" s="224"/>
      <c r="Q125">
        <v>122</v>
      </c>
      <c r="R125" s="253">
        <f t="shared" si="40"/>
        <v>48787</v>
      </c>
      <c r="S125" t="str">
        <f t="shared" si="35"/>
        <v>Unificação óleos utilizados nas plantas</v>
      </c>
      <c r="T125" t="str">
        <f t="shared" si="36"/>
        <v>Compras</v>
      </c>
      <c r="U125" s="253">
        <f t="shared" si="27"/>
        <v>0</v>
      </c>
      <c r="V125" s="224" t="str">
        <f t="shared" ca="1" si="41"/>
        <v/>
      </c>
      <c r="W125" s="224" t="str">
        <f t="shared" ca="1" si="42"/>
        <v/>
      </c>
      <c r="X125" t="str">
        <f t="shared" si="37"/>
        <v>⏳ Em Execução</v>
      </c>
      <c r="Y125" s="716">
        <f t="shared" si="38"/>
        <v>46433</v>
      </c>
      <c r="Z125" t="str">
        <f t="shared" si="39"/>
        <v/>
      </c>
    </row>
    <row r="126" spans="1:26" x14ac:dyDescent="0.3">
      <c r="A126">
        <v>11</v>
      </c>
      <c r="B126" s="224">
        <f>IFERROR(LARGE(Ferraz!$I$55:$I$144,A126)," ")</f>
        <v>450000</v>
      </c>
      <c r="C126" t="str">
        <f>IFERROR(INDEX(
    Ferraz!$C$55:$C$144,
    MATCH(
        B126,
        Ferraz!$I$55:$I$144,
        0
    )
), " ")</f>
        <v xml:space="preserve">04 - Redução dos retrabalhos </v>
      </c>
      <c r="D126" s="719">
        <f t="shared" si="44"/>
        <v>3.2578005813336981E-2</v>
      </c>
      <c r="E126" s="339">
        <f t="shared" si="45"/>
        <v>0.78838774079530494</v>
      </c>
      <c r="F126" t="str">
        <f t="shared" si="43"/>
        <v>Ferraz</v>
      </c>
      <c r="G126" t="str">
        <f>_xlfn.XLOOKUP(C126,Ferraz!$C$55:$C$144,Ferraz!$O$55:$O$144)</f>
        <v>✓ Concluído</v>
      </c>
      <c r="H126">
        <f>_xlfn.XLOOKUP(Pareto!C126,Ferraz!$C$55:$C$144,Ferraz!$M$55:$M$144," ")</f>
        <v>0</v>
      </c>
      <c r="I126" s="716">
        <f>_xlfn.XLOOKUP(C126,Ferraz!$C$55:$C$144,Ferraz!$J$55:$J$144)</f>
        <v>46171</v>
      </c>
      <c r="J126" s="224">
        <f ca="1">INDEX(Ferraz!$AR$55:$AR$144, MATCH(C126, Ferraz!$C$55:$C$144, 0))</f>
        <v>168750</v>
      </c>
      <c r="K126" s="224" t="str" cm="1">
        <f t="array" aca="1" ref="K126" ca="1">INDEX(Ferraz!$AR$55:$AR$144, MATCH(C126, Ferraz!$C$55:$C$144, 0)+1)</f>
        <v/>
      </c>
      <c r="L126" s="224">
        <f>INDEX(Ferraz!$AJ$55:$AJ$144, MATCH(C126, Ferraz!$C$55:$C$144, 0))</f>
        <v>168750</v>
      </c>
      <c r="M126" s="224"/>
      <c r="N126" s="224"/>
      <c r="O126" s="224"/>
      <c r="P126" s="224"/>
      <c r="Q126">
        <v>123</v>
      </c>
      <c r="R126" s="253">
        <f t="shared" si="40"/>
        <v>48730.19</v>
      </c>
      <c r="S126" t="str">
        <f t="shared" si="35"/>
        <v xml:space="preserve">10 -  REDUÇÃO DE PESO BRUTO DD000504/505Z
</v>
      </c>
      <c r="T126" t="str">
        <f t="shared" si="36"/>
        <v>São leopoldo</v>
      </c>
      <c r="U126" s="253">
        <f t="shared" si="27"/>
        <v>22803.036</v>
      </c>
      <c r="V126" s="224" t="str">
        <f t="shared" ca="1" si="41"/>
        <v/>
      </c>
      <c r="W126" s="224" t="str">
        <f t="shared" ca="1" si="42"/>
        <v/>
      </c>
      <c r="X126" t="str">
        <f t="shared" si="37"/>
        <v>✓ Concluído</v>
      </c>
      <c r="Y126" s="716">
        <f t="shared" si="38"/>
        <v>46239</v>
      </c>
      <c r="Z126" t="str">
        <f t="shared" si="39"/>
        <v>OK</v>
      </c>
    </row>
    <row r="127" spans="1:26" x14ac:dyDescent="0.3">
      <c r="A127">
        <v>12</v>
      </c>
      <c r="B127" s="224">
        <f>IFERROR(LARGE(Ferraz!$I$55:$I$144,A127)," ")</f>
        <v>442000</v>
      </c>
      <c r="C127" t="str">
        <f>IFERROR(INDEX(
    Ferraz!$C$55:$C$144,
    MATCH(
        B127,
        Ferraz!$I$55:$I$144,
        0
    )
), " ")</f>
        <v>26 - Redução da MO do processo do Crossmember Scania</v>
      </c>
      <c r="D127" s="719">
        <f t="shared" si="44"/>
        <v>3.1998841265544323E-2</v>
      </c>
      <c r="E127" s="339">
        <f t="shared" si="45"/>
        <v>0.82038658206084925</v>
      </c>
      <c r="F127" t="str">
        <f t="shared" si="43"/>
        <v>Ferraz</v>
      </c>
      <c r="G127" t="str">
        <f>_xlfn.XLOOKUP(C127,Ferraz!$C$55:$C$144,Ferraz!$O$55:$O$144)</f>
        <v>✓ Concluído</v>
      </c>
      <c r="H127" t="str">
        <f>_xlfn.XLOOKUP(Pareto!C127,Ferraz!$C$55:$C$144,Ferraz!$M$55:$M$144," ")</f>
        <v>OK</v>
      </c>
      <c r="I127" s="716">
        <f>_xlfn.XLOOKUP(C127,Ferraz!$C$55:$C$144,Ferraz!$J$55:$J$144)</f>
        <v>46209</v>
      </c>
      <c r="J127" s="224" t="str">
        <f ca="1">INDEX(Ferraz!$AR$55:$AR$144, MATCH(C127, Ferraz!$C$55:$C$144, 0))</f>
        <v/>
      </c>
      <c r="K127" s="224" t="str" cm="1">
        <f t="array" aca="1" ref="K127" ca="1">INDEX(Ferraz!$AR$55:$AR$144, MATCH(C127, Ferraz!$C$55:$C$144, 0)+1)</f>
        <v/>
      </c>
      <c r="L127" s="224">
        <f>INDEX(Ferraz!$AJ$55:$AJ$144, MATCH(C127, Ferraz!$C$55:$C$144, 0))</f>
        <v>0</v>
      </c>
      <c r="M127" s="224"/>
      <c r="N127" s="224"/>
      <c r="O127" s="224"/>
      <c r="P127" s="224"/>
      <c r="Q127">
        <v>124</v>
      </c>
      <c r="R127" s="253">
        <f t="shared" si="40"/>
        <v>47086</v>
      </c>
      <c r="S127" t="str">
        <f t="shared" si="35"/>
        <v>25 - Redução de consumo de MTP China 2 porca (-10 mm)</v>
      </c>
      <c r="T127" t="str">
        <f t="shared" si="36"/>
        <v>Jarinu</v>
      </c>
      <c r="U127" s="253">
        <f t="shared" si="27"/>
        <v>36590.466</v>
      </c>
      <c r="V127" s="224" t="str">
        <f t="shared" ca="1" si="41"/>
        <v/>
      </c>
      <c r="W127" s="224" t="str">
        <f t="shared" ca="1" si="42"/>
        <v/>
      </c>
      <c r="X127" t="str">
        <f t="shared" si="37"/>
        <v>⏳ Em Execução</v>
      </c>
      <c r="Y127" s="716">
        <f t="shared" si="38"/>
        <v>46235</v>
      </c>
      <c r="Z127" t="str">
        <f t="shared" si="39"/>
        <v>OK</v>
      </c>
    </row>
    <row r="128" spans="1:26" x14ac:dyDescent="0.3">
      <c r="A128">
        <v>13</v>
      </c>
      <c r="B128" s="224">
        <f>IFERROR(LARGE(Ferraz!$I$55:$I$144,A128)," ")</f>
        <v>400000.00089999998</v>
      </c>
      <c r="C128" t="str">
        <f>IFERROR(INDEX(
    Ferraz!$C$55:$C$144,
    MATCH(
        B128,
        Ferraz!$I$55:$I$144,
        0
    )
), " ")</f>
        <v xml:space="preserve">07 - Consumo de gás </v>
      </c>
      <c r="D128" s="719">
        <f t="shared" si="44"/>
        <v>2.895822745478888E-2</v>
      </c>
      <c r="E128" s="339">
        <f t="shared" si="45"/>
        <v>0.84934480951563818</v>
      </c>
      <c r="F128" t="str">
        <f t="shared" si="43"/>
        <v>Ferraz</v>
      </c>
      <c r="G128" t="str">
        <f>_xlfn.XLOOKUP(C128,Ferraz!$C$55:$C$144,Ferraz!$O$55:$O$144)</f>
        <v>✓ Concluído</v>
      </c>
      <c r="H128" t="str">
        <f>_xlfn.XLOOKUP(Pareto!C128,Ferraz!$C$55:$C$144,Ferraz!$M$55:$M$144," ")</f>
        <v>OK</v>
      </c>
      <c r="I128" s="716">
        <f>_xlfn.XLOOKUP(C128,Ferraz!$C$55:$C$144,Ferraz!$J$55:$J$144)</f>
        <v>46023</v>
      </c>
      <c r="J128" s="224">
        <f ca="1">INDEX(Ferraz!$AR$55:$AR$144, MATCH(C128, Ferraz!$C$55:$C$144, 0))</f>
        <v>236469.91666666663</v>
      </c>
      <c r="K128" s="224" cm="1">
        <f t="array" aca="1" ref="K128" ca="1">INDEX(Ferraz!$AR$55:$AR$144, MATCH(C128, Ferraz!$C$55:$C$144, 0)+1)</f>
        <v>413825.56999999995</v>
      </c>
      <c r="L128" s="224">
        <f>INDEX(Ferraz!$AJ$55:$AJ$144, MATCH(C128, Ferraz!$C$55:$C$144, 0))</f>
        <v>101344.25</v>
      </c>
      <c r="M128" s="224"/>
      <c r="N128" s="224"/>
      <c r="O128" s="224"/>
      <c r="P128" s="224"/>
      <c r="Q128">
        <v>125</v>
      </c>
      <c r="R128" s="253">
        <f t="shared" si="40"/>
        <v>46282.32</v>
      </c>
      <c r="S128" t="str">
        <f t="shared" si="35"/>
        <v xml:space="preserve">15-  REDUÇÃO DE PESO BRUTO DD000507z
</v>
      </c>
      <c r="T128" t="str">
        <f t="shared" si="36"/>
        <v>São leopoldo</v>
      </c>
      <c r="U128" s="253">
        <f t="shared" si="27"/>
        <v>46282.32</v>
      </c>
      <c r="V128" s="224" t="str">
        <f t="shared" ca="1" si="41"/>
        <v/>
      </c>
      <c r="W128" s="224" t="str">
        <f t="shared" ca="1" si="42"/>
        <v/>
      </c>
      <c r="X128" t="str">
        <f t="shared" si="37"/>
        <v>⏳ Em Execução</v>
      </c>
      <c r="Y128" s="716">
        <f t="shared" si="38"/>
        <v>46327</v>
      </c>
      <c r="Z128" t="str">
        <f t="shared" si="39"/>
        <v/>
      </c>
    </row>
    <row r="129" spans="1:26" x14ac:dyDescent="0.3">
      <c r="A129">
        <v>14</v>
      </c>
      <c r="B129" s="224">
        <f>IFERROR(LARGE(Ferraz!$I$55:$I$144,A129)," ")</f>
        <v>300000.00099999999</v>
      </c>
      <c r="C129" t="str">
        <f>IFERROR(INDEX(
    Ferraz!$C$55:$C$144,
    MATCH(
        B129,
        Ferraz!$I$55:$I$144,
        0
    )
), " ")</f>
        <v xml:space="preserve">17 - Consumo de água </v>
      </c>
      <c r="D129" s="719">
        <f t="shared" si="44"/>
        <v>2.1718670614620218E-2</v>
      </c>
      <c r="E129" s="339">
        <f t="shared" si="45"/>
        <v>0.87106348013025836</v>
      </c>
      <c r="F129" t="str">
        <f t="shared" si="43"/>
        <v>Ferraz</v>
      </c>
      <c r="G129" t="str">
        <f>_xlfn.XLOOKUP(C129,Ferraz!$C$55:$C$144,Ferraz!$O$55:$O$144)</f>
        <v>✓ Concluído</v>
      </c>
      <c r="H129" t="str">
        <f>_xlfn.XLOOKUP(Pareto!C129,Ferraz!$C$55:$C$144,Ferraz!$M$55:$M$144," ")</f>
        <v>OK</v>
      </c>
      <c r="I129" s="716">
        <f>_xlfn.XLOOKUP(C129,Ferraz!$C$55:$C$144,Ferraz!$J$55:$J$144)</f>
        <v>46023</v>
      </c>
      <c r="J129" s="224">
        <f ca="1">INDEX(Ferraz!$AR$55:$AR$144, MATCH(C129, Ferraz!$C$55:$C$144, 0))</f>
        <v>179092.08333333334</v>
      </c>
      <c r="K129" s="224" cm="1">
        <f t="array" aca="1" ref="K129" ca="1">INDEX(Ferraz!$AR$55:$AR$144, MATCH(C129, Ferraz!$C$55:$C$144, 0)+1)</f>
        <v>45098</v>
      </c>
      <c r="L129" s="224">
        <f>INDEX(Ferraz!$AJ$55:$AJ$144, MATCH(C129, Ferraz!$C$55:$C$144, 0))</f>
        <v>76753.75</v>
      </c>
      <c r="M129" s="224"/>
      <c r="N129" s="224"/>
      <c r="O129" s="224"/>
      <c r="P129" s="224"/>
      <c r="Q129">
        <v>126</v>
      </c>
      <c r="R129" s="253">
        <f t="shared" si="40"/>
        <v>46052</v>
      </c>
      <c r="S129" t="str">
        <f t="shared" si="35"/>
        <v>18 - Venda de Embalagens, ativos e sucatas</v>
      </c>
      <c r="T129" t="str">
        <f t="shared" si="36"/>
        <v>Diadema</v>
      </c>
      <c r="U129" s="253">
        <f t="shared" si="27"/>
        <v>46052</v>
      </c>
      <c r="V129" s="224">
        <f t="shared" ca="1" si="41"/>
        <v>46052</v>
      </c>
      <c r="W129" s="224">
        <f t="shared" ca="1" si="42"/>
        <v>46052</v>
      </c>
      <c r="X129" t="str">
        <f t="shared" si="37"/>
        <v>✓ Concluído</v>
      </c>
      <c r="Y129" s="716">
        <f t="shared" si="38"/>
        <v>0</v>
      </c>
      <c r="Z129" t="str">
        <f t="shared" si="39"/>
        <v>OK</v>
      </c>
    </row>
    <row r="130" spans="1:26" x14ac:dyDescent="0.3">
      <c r="A130">
        <v>15</v>
      </c>
      <c r="B130" s="224">
        <f>IFERROR(LARGE(Ferraz!$I$55:$I$144,A130)," ")</f>
        <v>242000</v>
      </c>
      <c r="C130" t="str">
        <f>IFERROR(INDEX(
    Ferraz!$C$55:$C$144,
    MATCH(
        B130,
        Ferraz!$I$55:$I$144,
        0
    )
), " ")</f>
        <v>27 - Transferência do processo Volvo da tampa de fogão - Metalsa</v>
      </c>
      <c r="D130" s="719">
        <f t="shared" si="44"/>
        <v>1.7519727570727887E-2</v>
      </c>
      <c r="E130" s="339">
        <f t="shared" si="45"/>
        <v>0.8885832077009862</v>
      </c>
      <c r="F130" t="str">
        <f t="shared" si="43"/>
        <v>Ferraz</v>
      </c>
      <c r="G130" t="str">
        <f>_xlfn.XLOOKUP(C130,Ferraz!$C$55:$C$144,Ferraz!$O$55:$O$144)</f>
        <v>✓ Concluído</v>
      </c>
      <c r="H130">
        <f>_xlfn.XLOOKUP(Pareto!C130,Ferraz!$C$55:$C$144,Ferraz!$M$55:$M$144," ")</f>
        <v>0</v>
      </c>
      <c r="I130" s="716">
        <f>_xlfn.XLOOKUP(C130,Ferraz!$C$55:$C$144,Ferraz!$J$55:$J$144)</f>
        <v>46209</v>
      </c>
      <c r="J130" s="224" t="str">
        <f ca="1">INDEX(Ferraz!$AR$55:$AR$144, MATCH(C130, Ferraz!$C$55:$C$144, 0))</f>
        <v/>
      </c>
      <c r="K130" s="224" t="str" cm="1">
        <f t="array" aca="1" ref="K130" ca="1">INDEX(Ferraz!$AR$55:$AR$144, MATCH(C130, Ferraz!$C$55:$C$144, 0)+1)</f>
        <v/>
      </c>
      <c r="L130" s="224">
        <f>INDEX(Ferraz!$AJ$55:$AJ$144, MATCH(C130, Ferraz!$C$55:$C$144, 0))</f>
        <v>0</v>
      </c>
      <c r="M130" s="224"/>
      <c r="N130" s="224"/>
      <c r="O130" s="224"/>
      <c r="P130" s="224"/>
      <c r="Q130">
        <v>127</v>
      </c>
      <c r="R130" s="253">
        <f t="shared" si="40"/>
        <v>45144</v>
      </c>
      <c r="S130" t="str">
        <f t="shared" si="35"/>
        <v>14 - REDUÇÃO DE CUSTO COM O PRODUTO KLUTHE</v>
      </c>
      <c r="T130" t="str">
        <f t="shared" si="36"/>
        <v>Anchieta</v>
      </c>
      <c r="U130" s="253">
        <f t="shared" si="27"/>
        <v>0</v>
      </c>
      <c r="V130" s="224" t="str">
        <f t="shared" ca="1" si="41"/>
        <v/>
      </c>
      <c r="W130" s="224" t="str">
        <f t="shared" ca="1" si="42"/>
        <v/>
      </c>
      <c r="X130" t="str">
        <f t="shared" si="37"/>
        <v>✓ Concluído</v>
      </c>
      <c r="Y130" s="716" t="str">
        <f t="shared" si="38"/>
        <v>abril</v>
      </c>
      <c r="Z130" t="str">
        <f t="shared" si="39"/>
        <v/>
      </c>
    </row>
    <row r="131" spans="1:26" x14ac:dyDescent="0.3">
      <c r="A131">
        <v>16</v>
      </c>
      <c r="B131" s="224">
        <f>IFERROR(LARGE(Ferraz!$I$55:$I$144,A131)," ")</f>
        <v>200000.15646540001</v>
      </c>
      <c r="C131" t="str">
        <f>IFERROR(INDEX(
    Ferraz!$C$55:$C$144,
    MATCH(
        B131,
        Ferraz!$I$55:$I$144,
        0
    )
), " ")</f>
        <v xml:space="preserve">35 - Redução de hora exta </v>
      </c>
      <c r="D131" s="719">
        <f t="shared" si="44"/>
        <v>1.4479125022218015E-2</v>
      </c>
      <c r="E131" s="339">
        <f t="shared" si="45"/>
        <v>0.90306233272320424</v>
      </c>
      <c r="F131" t="str">
        <f t="shared" si="43"/>
        <v>Ferraz</v>
      </c>
      <c r="G131">
        <f>_xlfn.XLOOKUP(C131,Ferraz!$C$55:$C$144,Ferraz!$O$55:$O$144)</f>
        <v>0</v>
      </c>
      <c r="H131">
        <f>_xlfn.XLOOKUP(Pareto!C131,Ferraz!$C$55:$C$144,Ferraz!$M$55:$M$144," ")</f>
        <v>0</v>
      </c>
      <c r="I131" s="716">
        <f>_xlfn.XLOOKUP(C131,Ferraz!$C$55:$C$144,Ferraz!$J$55:$J$144)</f>
        <v>0</v>
      </c>
      <c r="J131" s="224" t="str">
        <f ca="1">INDEX(Ferraz!$AR$55:$AR$144, MATCH(C131, Ferraz!$C$55:$C$144, 0))</f>
        <v/>
      </c>
      <c r="K131" s="224" t="str" cm="1">
        <f t="array" aca="1" ref="K131" ca="1">INDEX(Ferraz!$AR$55:$AR$144, MATCH(C131, Ferraz!$C$55:$C$144, 0)+1)</f>
        <v/>
      </c>
      <c r="L131" s="224">
        <f>INDEX(Ferraz!$AJ$55:$AJ$144, MATCH(C131, Ferraz!$C$55:$C$144, 0))</f>
        <v>0</v>
      </c>
      <c r="M131" s="224"/>
      <c r="N131" s="224"/>
      <c r="O131" s="224"/>
      <c r="P131" s="224"/>
      <c r="Q131">
        <v>128</v>
      </c>
      <c r="R131" s="253">
        <f t="shared" si="40"/>
        <v>44856</v>
      </c>
      <c r="S131" t="str">
        <f t="shared" si="35"/>
        <v xml:space="preserve">38 - Venda de sucata </v>
      </c>
      <c r="T131" t="str">
        <f t="shared" si="36"/>
        <v>Jarinu</v>
      </c>
      <c r="U131" s="253">
        <f t="shared" si="27"/>
        <v>0</v>
      </c>
      <c r="V131" s="224">
        <f t="shared" ca="1" si="41"/>
        <v>44836</v>
      </c>
      <c r="W131" s="224">
        <f t="shared" ca="1" si="42"/>
        <v>62700</v>
      </c>
      <c r="X131" t="str">
        <f t="shared" si="37"/>
        <v>⏳ Em Execução</v>
      </c>
      <c r="Y131" s="716">
        <f t="shared" si="38"/>
        <v>46174</v>
      </c>
      <c r="Z131" t="str">
        <f t="shared" si="39"/>
        <v>OK</v>
      </c>
    </row>
    <row r="132" spans="1:26" x14ac:dyDescent="0.3">
      <c r="A132">
        <v>17</v>
      </c>
      <c r="B132" s="224">
        <f>IFERROR(LARGE(Ferraz!$I$55:$I$144,A132)," ")</f>
        <v>200000.00399999999</v>
      </c>
      <c r="C132" t="str">
        <f>IFERROR(INDEX(
    Ferraz!$C$55:$C$144,
    MATCH(
        B132,
        Ferraz!$I$55:$I$144,
        0
    )
), " ")</f>
        <v xml:space="preserve">10 - Consumo de energia elétrica: vazamentos de ar </v>
      </c>
      <c r="D132" s="719">
        <f t="shared" si="44"/>
        <v>1.4479113984398707E-2</v>
      </c>
      <c r="E132" s="339">
        <f t="shared" si="45"/>
        <v>0.91754144670760296</v>
      </c>
      <c r="F132" t="str">
        <f t="shared" si="43"/>
        <v>Ferraz</v>
      </c>
      <c r="G132" t="str">
        <f>_xlfn.XLOOKUP(C132,Ferraz!$C$55:$C$144,Ferraz!$O$55:$O$144)</f>
        <v>⏳ Em Execução</v>
      </c>
      <c r="H132">
        <f>_xlfn.XLOOKUP(Pareto!C132,Ferraz!$C$55:$C$144,Ferraz!$M$55:$M$144," ")</f>
        <v>0</v>
      </c>
      <c r="I132" s="716">
        <f>_xlfn.XLOOKUP(C132,Ferraz!$C$55:$C$144,Ferraz!$J$55:$J$144)</f>
        <v>46054</v>
      </c>
      <c r="J132" s="224">
        <f ca="1">INDEX(Ferraz!$AR$55:$AR$144, MATCH(C132, Ferraz!$C$55:$C$144, 0))</f>
        <v>109090.91127272727</v>
      </c>
      <c r="K132" s="224" t="str" cm="1">
        <f t="array" aca="1" ref="K132" ca="1">INDEX(Ferraz!$AR$55:$AR$144, MATCH(C132, Ferraz!$C$55:$C$144, 0)+1)</f>
        <v/>
      </c>
      <c r="L132" s="224">
        <f>INDEX(Ferraz!$AJ$55:$AJ$144, MATCH(C132, Ferraz!$C$55:$C$144, 0))</f>
        <v>54545.455636363637</v>
      </c>
      <c r="M132" s="224"/>
      <c r="N132" s="224"/>
      <c r="O132" s="224"/>
      <c r="P132" s="224"/>
      <c r="Q132">
        <v>129</v>
      </c>
      <c r="R132" s="253">
        <f t="shared" si="40"/>
        <v>44400</v>
      </c>
      <c r="S132" t="str">
        <f t="shared" ref="S132:S163" si="46">_xlfn.XLOOKUP(R132,B:B,C:C)</f>
        <v>08 - Redução de peso bruto MB002446LA / MB003670LA / MB003671LA</v>
      </c>
      <c r="T132" t="str">
        <f t="shared" ref="T132:T163" si="47">_xlfn.XLOOKUP(S132,C:C,F:F)</f>
        <v>Diadema</v>
      </c>
      <c r="U132" s="253">
        <f t="shared" si="27"/>
        <v>13137.64</v>
      </c>
      <c r="V132" s="224">
        <f t="shared" ca="1" si="41"/>
        <v>4926.6149999999998</v>
      </c>
      <c r="W132" s="224">
        <f t="shared" ca="1" si="42"/>
        <v>11080.218600000006</v>
      </c>
      <c r="X132" t="str">
        <f t="shared" ref="X132:X163" si="48">_xlfn.XLOOKUP(S132,C:C,G:G)</f>
        <v>✓ Concluído</v>
      </c>
      <c r="Y132" s="716">
        <f t="shared" ref="Y132:Y163" si="49">_xlfn.XLOOKUP(S132,C:C,I:I)</f>
        <v>46143</v>
      </c>
      <c r="Z132" t="str">
        <f t="shared" ref="Z132:Z163" si="50">IF(_xlfn.XLOOKUP(S132,C:C,H:H) = 0, "", _xlfn.XLOOKUP(S132,C:C,H:H))</f>
        <v>OK</v>
      </c>
    </row>
    <row r="133" spans="1:26" x14ac:dyDescent="0.3">
      <c r="A133">
        <v>18</v>
      </c>
      <c r="B133" s="224">
        <f>IFERROR(LARGE(Ferraz!$I$55:$I$144,A133)," ")</f>
        <v>200000.00200000001</v>
      </c>
      <c r="C133" t="str">
        <f>IFERROR(INDEX(
    Ferraz!$C$55:$C$144,
    MATCH(
        B133,
        Ferraz!$I$55:$I$144,
        0
    )
), " ")</f>
        <v>12 - Sistema hidráulico 3500T</v>
      </c>
      <c r="D133" s="719">
        <f t="shared" si="44"/>
        <v>1.4479113839607573E-2</v>
      </c>
      <c r="E133" s="339">
        <f t="shared" si="45"/>
        <v>0.9320205605472105</v>
      </c>
      <c r="F133" t="str">
        <f t="shared" si="43"/>
        <v>Ferraz</v>
      </c>
      <c r="G133" t="str">
        <f>_xlfn.XLOOKUP(C133,Ferraz!$C$55:$C$144,Ferraz!$O$55:$O$144)</f>
        <v>⏳ Em Execução</v>
      </c>
      <c r="H133">
        <f>_xlfn.XLOOKUP(Pareto!C133,Ferraz!$C$55:$C$144,Ferraz!$M$55:$M$144," ")</f>
        <v>0</v>
      </c>
      <c r="I133" s="716">
        <f>_xlfn.XLOOKUP(C133,Ferraz!$C$55:$C$144,Ferraz!$J$55:$J$144)</f>
        <v>46265</v>
      </c>
      <c r="J133" s="224" t="str">
        <f ca="1">INDEX(Ferraz!$AR$55:$AR$144, MATCH(C133, Ferraz!$C$55:$C$144, 0))</f>
        <v/>
      </c>
      <c r="K133" s="224" t="str" cm="1">
        <f t="array" aca="1" ref="K133" ca="1">INDEX(Ferraz!$AR$55:$AR$144, MATCH(C133, Ferraz!$C$55:$C$144, 0)+1)</f>
        <v/>
      </c>
      <c r="L133" s="224">
        <f>INDEX(Ferraz!$AJ$55:$AJ$144, MATCH(C133, Ferraz!$C$55:$C$144, 0))</f>
        <v>120000.00120000001</v>
      </c>
      <c r="M133" s="224"/>
      <c r="N133" s="224"/>
      <c r="O133" s="224"/>
      <c r="P133" s="224"/>
      <c r="Q133">
        <v>130</v>
      </c>
      <c r="R133" s="253">
        <f t="shared" ref="R133:R164" si="51">IFERROR(LARGE(B:B,Q133)," ")</f>
        <v>43500</v>
      </c>
      <c r="S133" t="str">
        <f t="shared" si="46"/>
        <v>Mudança de Modalidade Gerador Anchieta</v>
      </c>
      <c r="T133" t="str">
        <f t="shared" si="47"/>
        <v>Compras</v>
      </c>
      <c r="U133" s="253">
        <f t="shared" ref="U133:U175" si="52">_xlfn.XLOOKUP(S133,C:C,L:L)</f>
        <v>39476.28</v>
      </c>
      <c r="V133" s="224">
        <f t="shared" ref="V133:V164" ca="1" si="53">IFERROR(_xlfn.XLOOKUP(S133,C:C,J:J), "")</f>
        <v>23027.829999999998</v>
      </c>
      <c r="W133" s="224">
        <f t="shared" ref="W133:W164" ca="1" si="54">IFERROR(_xlfn.XLOOKUP(S133,C:C,K:K), "")</f>
        <v>19738.14</v>
      </c>
      <c r="X133" t="str">
        <f t="shared" si="48"/>
        <v>✓ Concluído</v>
      </c>
      <c r="Y133" s="716">
        <f t="shared" si="49"/>
        <v>46038</v>
      </c>
      <c r="Z133" t="str">
        <f t="shared" si="50"/>
        <v>OK</v>
      </c>
    </row>
    <row r="134" spans="1:26" x14ac:dyDescent="0.3">
      <c r="A134">
        <v>19</v>
      </c>
      <c r="B134" s="224">
        <f>IFERROR(LARGE(Ferraz!$I$55:$I$144,A134)," ")</f>
        <v>195000</v>
      </c>
      <c r="C134" t="str">
        <f>IFERROR(INDEX(
    Ferraz!$C$55:$C$144,
    MATCH(
        B134,
        Ferraz!$I$55:$I$144,
        0
    )
), " ")</f>
        <v>09 - Critério para descarte de consumíveis</v>
      </c>
      <c r="D134" s="719">
        <f t="shared" si="44"/>
        <v>1.4117135852446025E-2</v>
      </c>
      <c r="E134" s="339">
        <f t="shared" si="45"/>
        <v>0.9461376963996565</v>
      </c>
      <c r="F134" t="str">
        <f t="shared" si="43"/>
        <v>Ferraz</v>
      </c>
      <c r="G134" t="str">
        <f>_xlfn.XLOOKUP(C134,Ferraz!$C$55:$C$144,Ferraz!$O$55:$O$144)</f>
        <v>⏳ Em Execução</v>
      </c>
      <c r="H134" t="str">
        <f>_xlfn.XLOOKUP(Pareto!C134,Ferraz!$C$55:$C$144,Ferraz!$M$55:$M$144," ")</f>
        <v>Não Ok</v>
      </c>
      <c r="I134" s="716">
        <f>_xlfn.XLOOKUP(C134,Ferraz!$C$55:$C$144,Ferraz!$J$55:$J$144)</f>
        <v>46241</v>
      </c>
      <c r="J134" s="224" t="str">
        <f ca="1">INDEX(Ferraz!$AR$55:$AR$144, MATCH(C134, Ferraz!$C$55:$C$144, 0))</f>
        <v/>
      </c>
      <c r="K134" s="224" t="str" cm="1">
        <f t="array" aca="1" ref="K134" ca="1">INDEX(Ferraz!$AR$55:$AR$144, MATCH(C134, Ferraz!$C$55:$C$144, 0)+1)</f>
        <v/>
      </c>
      <c r="L134" s="224">
        <f>INDEX(Ferraz!$AJ$55:$AJ$144, MATCH(C134, Ferraz!$C$55:$C$144, 0))</f>
        <v>117000</v>
      </c>
      <c r="M134" s="224"/>
      <c r="N134" s="224"/>
      <c r="O134" s="224"/>
      <c r="P134" s="224"/>
      <c r="Q134">
        <v>131</v>
      </c>
      <c r="R134" s="253">
        <f t="shared" si="51"/>
        <v>42000</v>
      </c>
      <c r="S134" t="str">
        <f t="shared" si="46"/>
        <v>04 - Otimização de processo - Pulmão</v>
      </c>
      <c r="T134" t="str">
        <f t="shared" si="47"/>
        <v>Diadema</v>
      </c>
      <c r="U134" s="253">
        <f t="shared" si="52"/>
        <v>42000</v>
      </c>
      <c r="V134" s="224">
        <f t="shared" ca="1" si="53"/>
        <v>21000</v>
      </c>
      <c r="W134" s="224" t="str">
        <f t="shared" ca="1" si="54"/>
        <v/>
      </c>
      <c r="X134" t="str">
        <f t="shared" si="48"/>
        <v>✓ Concluído</v>
      </c>
      <c r="Y134" s="716">
        <f t="shared" si="49"/>
        <v>46082</v>
      </c>
      <c r="Z134" t="str">
        <f t="shared" si="50"/>
        <v/>
      </c>
    </row>
    <row r="135" spans="1:26" x14ac:dyDescent="0.3">
      <c r="A135">
        <v>20</v>
      </c>
      <c r="B135" s="224">
        <f>IFERROR(LARGE(Ferraz!$I$55:$I$144,A135)," ")</f>
        <v>165000</v>
      </c>
      <c r="C135" t="str">
        <f>IFERROR(INDEX(
    Ferraz!$C$55:$C$144,
    MATCH(
        B135,
        Ferraz!$I$55:$I$144,
        0
    )
), " ")</f>
        <v xml:space="preserve">13 - Transferência Hasenclaver para o plasma </v>
      </c>
      <c r="D135" s="719">
        <f t="shared" si="44"/>
        <v>1.1945268798223559E-2</v>
      </c>
      <c r="E135" s="339">
        <f t="shared" si="45"/>
        <v>0.95808296519788005</v>
      </c>
      <c r="F135" t="str">
        <f t="shared" si="43"/>
        <v>Ferraz</v>
      </c>
      <c r="G135" t="str">
        <f>_xlfn.XLOOKUP(C135,Ferraz!$C$55:$C$144,Ferraz!$O$55:$O$144)</f>
        <v>⏳ Em Execução</v>
      </c>
      <c r="H135" t="str">
        <f>_xlfn.XLOOKUP(Pareto!C135,Ferraz!$C$55:$C$144,Ferraz!$M$55:$M$144," ")</f>
        <v>Não Ok</v>
      </c>
      <c r="I135" s="716">
        <f>_xlfn.XLOOKUP(C135,Ferraz!$C$55:$C$144,Ferraz!$J$55:$J$144)</f>
        <v>0</v>
      </c>
      <c r="J135" s="224" t="str">
        <f ca="1">INDEX(Ferraz!$AR$55:$AR$144, MATCH(C135, Ferraz!$C$55:$C$144, 0))</f>
        <v/>
      </c>
      <c r="K135" s="224" t="str" cm="1">
        <f t="array" aca="1" ref="K135" ca="1">INDEX(Ferraz!$AR$55:$AR$144, MATCH(C135, Ferraz!$C$55:$C$144, 0)+1)</f>
        <v/>
      </c>
      <c r="L135" s="224">
        <f>INDEX(Ferraz!$AJ$55:$AJ$144, MATCH(C135, Ferraz!$C$55:$C$144, 0))</f>
        <v>0</v>
      </c>
      <c r="M135" s="224"/>
      <c r="N135" s="224"/>
      <c r="O135" s="224"/>
      <c r="P135" s="224"/>
      <c r="Q135">
        <v>132</v>
      </c>
      <c r="R135" s="253">
        <f t="shared" si="51"/>
        <v>40500</v>
      </c>
      <c r="S135" t="str">
        <f t="shared" si="46"/>
        <v>05 - Acabamento capo CN13</v>
      </c>
      <c r="T135" t="str">
        <f t="shared" si="47"/>
        <v>São leopoldo</v>
      </c>
      <c r="U135" s="253">
        <f t="shared" si="52"/>
        <v>20341.199999999997</v>
      </c>
      <c r="V135" s="224">
        <f t="shared" ca="1" si="53"/>
        <v>27121.599999999999</v>
      </c>
      <c r="W135" s="224">
        <f t="shared" ca="1" si="54"/>
        <v>20341.199999999997</v>
      </c>
      <c r="X135" t="str">
        <f t="shared" si="48"/>
        <v>✓ Concluído</v>
      </c>
      <c r="Y135" s="716">
        <f t="shared" si="49"/>
        <v>46113</v>
      </c>
      <c r="Z135" t="str">
        <f t="shared" si="50"/>
        <v>OK</v>
      </c>
    </row>
    <row r="136" spans="1:26" x14ac:dyDescent="0.3">
      <c r="A136">
        <v>21</v>
      </c>
      <c r="B136" s="224">
        <f>IFERROR(LARGE(Ferraz!$I$55:$I$144,A136)," ")</f>
        <v>150000.00090000001</v>
      </c>
      <c r="C136" t="str">
        <f>IFERROR(INDEX(
    Ferraz!$C$55:$C$144,
    MATCH(
        B136,
        Ferraz!$I$55:$I$144,
        0
    )
), " ")</f>
        <v>14 - Consumo de EPI's</v>
      </c>
      <c r="D136" s="719">
        <f t="shared" si="44"/>
        <v>1.0859335336268339E-2</v>
      </c>
      <c r="E136" s="339">
        <f t="shared" si="45"/>
        <v>0.96894230053414843</v>
      </c>
      <c r="F136" t="str">
        <f t="shared" si="43"/>
        <v>Ferraz</v>
      </c>
      <c r="G136" t="str">
        <f>_xlfn.XLOOKUP(C136,Ferraz!$C$55:$C$144,Ferraz!$O$55:$O$144)</f>
        <v>✓ Concluído</v>
      </c>
      <c r="H136" t="str">
        <f>_xlfn.XLOOKUP(Pareto!C136,Ferraz!$C$55:$C$144,Ferraz!$M$55:$M$144," ")</f>
        <v>OK</v>
      </c>
      <c r="I136" s="716">
        <f>_xlfn.XLOOKUP(C136,Ferraz!$C$55:$C$144,Ferraz!$J$55:$J$144)</f>
        <v>46023</v>
      </c>
      <c r="J136" s="224">
        <f ca="1">INDEX(Ferraz!$AR$55:$AR$144, MATCH(C136, Ferraz!$C$55:$C$144, 0))</f>
        <v>72150.166666666657</v>
      </c>
      <c r="K136" s="224" cm="1">
        <f t="array" aca="1" ref="K136" ca="1">INDEX(Ferraz!$AR$55:$AR$144, MATCH(C136, Ferraz!$C$55:$C$144, 0)+1)</f>
        <v>105134.24000000002</v>
      </c>
      <c r="L136" s="224">
        <f>INDEX(Ferraz!$AJ$55:$AJ$144, MATCH(C136, Ferraz!$C$55:$C$144, 0))</f>
        <v>30921.5</v>
      </c>
      <c r="M136" s="224"/>
      <c r="N136" s="224"/>
      <c r="O136" s="224"/>
      <c r="P136" s="224"/>
      <c r="Q136">
        <v>133</v>
      </c>
      <c r="R136" s="253">
        <f t="shared" si="51"/>
        <v>40400</v>
      </c>
      <c r="S136" t="str">
        <f t="shared" si="46"/>
        <v xml:space="preserve">24 - Aquisição do equipamento de ultrassom </v>
      </c>
      <c r="T136" t="str">
        <f t="shared" si="47"/>
        <v>Ferraz</v>
      </c>
      <c r="U136" s="253">
        <f t="shared" si="52"/>
        <v>24240</v>
      </c>
      <c r="V136" s="224" t="str">
        <f t="shared" ca="1" si="53"/>
        <v/>
      </c>
      <c r="W136" s="224" t="str">
        <f t="shared" ca="1" si="54"/>
        <v/>
      </c>
      <c r="X136" t="str">
        <f t="shared" si="48"/>
        <v>📝 Não iniciado</v>
      </c>
      <c r="Y136" s="716">
        <f t="shared" si="49"/>
        <v>46237</v>
      </c>
      <c r="Z136" t="str">
        <f t="shared" si="50"/>
        <v/>
      </c>
    </row>
    <row r="137" spans="1:26" x14ac:dyDescent="0.3">
      <c r="A137">
        <v>22</v>
      </c>
      <c r="B137" s="224">
        <f>IFERROR(LARGE(Ferraz!$I$55:$I$144,A137)," ")</f>
        <v>100000</v>
      </c>
      <c r="C137" t="str">
        <f>IFERROR(INDEX(
    Ferraz!$C$55:$C$144,
    MATCH(
        B137,
        Ferraz!$I$55:$I$144,
        0
    )
), " ")</f>
        <v>30 - Redução de hora extra - Manutenção</v>
      </c>
      <c r="D137" s="719">
        <f t="shared" si="44"/>
        <v>7.2395568474082177E-3</v>
      </c>
      <c r="E137" s="339">
        <f t="shared" si="45"/>
        <v>0.97618185738155661</v>
      </c>
      <c r="F137" t="str">
        <f t="shared" si="43"/>
        <v>Ferraz</v>
      </c>
      <c r="G137">
        <f>_xlfn.XLOOKUP(C137,Ferraz!$C$55:$C$144,Ferraz!$O$55:$O$144)</f>
        <v>0</v>
      </c>
      <c r="H137">
        <f>_xlfn.XLOOKUP(Pareto!C137,Ferraz!$C$55:$C$144,Ferraz!$M$55:$M$144," ")</f>
        <v>0</v>
      </c>
      <c r="I137" s="716">
        <f>_xlfn.XLOOKUP(C137,Ferraz!$C$55:$C$144,Ferraz!$J$55:$J$144)</f>
        <v>46265</v>
      </c>
      <c r="J137" s="224" t="str">
        <f ca="1">INDEX(Ferraz!$AR$55:$AR$144, MATCH(C137, Ferraz!$C$55:$C$144, 0))</f>
        <v/>
      </c>
      <c r="K137" s="224" t="str" cm="1">
        <f t="array" aca="1" ref="K137" ca="1">INDEX(Ferraz!$AR$55:$AR$144, MATCH(C137, Ferraz!$C$55:$C$144, 0)+1)</f>
        <v/>
      </c>
      <c r="L137" s="224">
        <f>INDEX(Ferraz!$AJ$55:$AJ$144, MATCH(C137, Ferraz!$C$55:$C$144, 0))</f>
        <v>0</v>
      </c>
      <c r="M137" s="224"/>
      <c r="N137" s="224"/>
      <c r="O137" s="224"/>
      <c r="P137" s="224"/>
      <c r="Q137">
        <v>134</v>
      </c>
      <c r="R137" s="253">
        <f t="shared" si="51"/>
        <v>40000.00088</v>
      </c>
      <c r="S137" t="str">
        <f t="shared" si="46"/>
        <v>39 - Venda de sucata de cobre</v>
      </c>
      <c r="T137" t="str">
        <f t="shared" si="47"/>
        <v>Jarinu</v>
      </c>
      <c r="U137" s="253">
        <f t="shared" si="52"/>
        <v>24000.000527999997</v>
      </c>
      <c r="V137" s="224" t="str">
        <f t="shared" ca="1" si="53"/>
        <v/>
      </c>
      <c r="W137" s="224" t="str">
        <f t="shared" ca="1" si="54"/>
        <v/>
      </c>
      <c r="X137" t="str">
        <f t="shared" si="48"/>
        <v>⏳ Em Execução</v>
      </c>
      <c r="Y137" s="716">
        <f t="shared" si="49"/>
        <v>46235</v>
      </c>
      <c r="Z137" t="str">
        <f t="shared" si="50"/>
        <v/>
      </c>
    </row>
    <row r="138" spans="1:26" x14ac:dyDescent="0.3">
      <c r="A138">
        <v>23</v>
      </c>
      <c r="B138" s="224">
        <f>IFERROR(LARGE(Ferraz!$I$55:$I$144,A138)," ")</f>
        <v>90000</v>
      </c>
      <c r="C138" t="str">
        <f>IFERROR(INDEX(
    Ferraz!$C$55:$C$144,
    MATCH(
        B138,
        Ferraz!$I$55:$I$144,
        0
    )
), " ")</f>
        <v>15 - Enclausuramento do jato granalha</v>
      </c>
      <c r="D138" s="719"/>
      <c r="E138" s="339">
        <f t="shared" si="45"/>
        <v>0.97618185738155661</v>
      </c>
      <c r="F138" t="str">
        <f t="shared" si="43"/>
        <v>Ferraz</v>
      </c>
      <c r="G138" t="str">
        <f>_xlfn.XLOOKUP(C138,Ferraz!$C$55:$C$144,Ferraz!$O$55:$O$144)</f>
        <v>📝 Não iniciado</v>
      </c>
      <c r="H138">
        <f>_xlfn.XLOOKUP(Pareto!C138,Ferraz!$C$55:$C$144,Ferraz!$M$55:$M$144," ")</f>
        <v>0</v>
      </c>
      <c r="I138" s="716">
        <f>_xlfn.XLOOKUP(C138,Ferraz!$C$55:$C$144,Ferraz!$J$55:$J$144)</f>
        <v>0</v>
      </c>
      <c r="J138" s="224" t="str">
        <f ca="1">INDEX(Ferraz!$AR$55:$AR$144, MATCH(C138, Ferraz!$C$55:$C$144, 0))</f>
        <v/>
      </c>
      <c r="K138" s="224" t="str" cm="1">
        <f t="array" aca="1" ref="K138" ca="1">INDEX(Ferraz!$AR$55:$AR$144, MATCH(C138, Ferraz!$C$55:$C$144, 0)+1)</f>
        <v/>
      </c>
      <c r="L138" s="224">
        <f>INDEX(Ferraz!$AJ$55:$AJ$144, MATCH(C138, Ferraz!$C$55:$C$144, 0))</f>
        <v>0</v>
      </c>
      <c r="M138" s="224"/>
      <c r="N138" s="224"/>
      <c r="O138" s="224"/>
      <c r="P138" s="224"/>
      <c r="Q138">
        <v>135</v>
      </c>
      <c r="R138" s="253">
        <f t="shared" si="51"/>
        <v>40000.000780000002</v>
      </c>
      <c r="S138" t="str">
        <f t="shared" si="46"/>
        <v>51 - Redução de MP - GM000402Z_403Z_Passo</v>
      </c>
      <c r="T138" t="str">
        <f t="shared" si="47"/>
        <v>Diadema</v>
      </c>
      <c r="U138" s="253">
        <f t="shared" si="52"/>
        <v>38893.96</v>
      </c>
      <c r="V138" s="224">
        <f t="shared" ca="1" si="53"/>
        <v>14585.235000000001</v>
      </c>
      <c r="W138" s="224">
        <f t="shared" ca="1" si="54"/>
        <v>11274.224968243983</v>
      </c>
      <c r="X138" t="str">
        <f t="shared" si="48"/>
        <v>✓ Concluído</v>
      </c>
      <c r="Y138" s="716">
        <f t="shared" si="49"/>
        <v>46143</v>
      </c>
      <c r="Z138" t="str">
        <f t="shared" si="50"/>
        <v>OK</v>
      </c>
    </row>
    <row r="139" spans="1:26" x14ac:dyDescent="0.3">
      <c r="A139">
        <v>24</v>
      </c>
      <c r="B139" s="224">
        <f>IFERROR(LARGE(Ferraz!$I$55:$I$144,A139)," ")</f>
        <v>69600</v>
      </c>
      <c r="C139" t="str">
        <f>IFERROR(INDEX(
    Ferraz!$C$55:$C$144,
    MATCH(
        B139,
        Ferraz!$I$55:$I$144,
        0
    )
), " ")</f>
        <v xml:space="preserve">23 - Devolução das máquinas de solda alugadas </v>
      </c>
      <c r="D139" s="719"/>
      <c r="E139" s="339">
        <f t="shared" si="45"/>
        <v>0.97618185738155661</v>
      </c>
      <c r="F139" t="str">
        <f t="shared" si="43"/>
        <v>Ferraz</v>
      </c>
      <c r="G139" t="str">
        <f>_xlfn.XLOOKUP(C139,Ferraz!$C$55:$C$144,Ferraz!$O$55:$O$144)</f>
        <v>✓ Concluído</v>
      </c>
      <c r="H139">
        <f>_xlfn.XLOOKUP(Pareto!C139,Ferraz!$C$55:$C$144,Ferraz!$M$55:$M$144," ")</f>
        <v>0</v>
      </c>
      <c r="I139" s="716">
        <f>_xlfn.XLOOKUP(C139,Ferraz!$C$55:$C$144,Ferraz!$J$55:$J$144)</f>
        <v>46204</v>
      </c>
      <c r="J139" s="224">
        <f ca="1">INDEX(Ferraz!$AR$55:$AR$144, MATCH(C139, Ferraz!$C$55:$C$144, 0))</f>
        <v>11600</v>
      </c>
      <c r="K139" s="224" t="str" cm="1">
        <f t="array" aca="1" ref="K139" ca="1">INDEX(Ferraz!$AR$55:$AR$144, MATCH(C139, Ferraz!$C$55:$C$144, 0)+1)</f>
        <v/>
      </c>
      <c r="L139" s="224">
        <f>INDEX(Ferraz!$AJ$55:$AJ$144, MATCH(C139, Ferraz!$C$55:$C$144, 0))</f>
        <v>34800</v>
      </c>
      <c r="M139" s="224"/>
      <c r="N139" s="224"/>
      <c r="O139" s="224"/>
      <c r="P139" s="224"/>
      <c r="Q139">
        <v>136</v>
      </c>
      <c r="R139" s="253">
        <f t="shared" si="51"/>
        <v>40000</v>
      </c>
      <c r="S139" t="str">
        <f t="shared" si="46"/>
        <v>03- Comunização de Materiais</v>
      </c>
      <c r="T139" t="str">
        <f t="shared" si="47"/>
        <v>São leopoldo</v>
      </c>
      <c r="U139" s="253">
        <f t="shared" si="52"/>
        <v>40000</v>
      </c>
      <c r="V139" s="224" t="str">
        <f t="shared" ca="1" si="53"/>
        <v/>
      </c>
      <c r="W139" s="224" t="str">
        <f t="shared" ca="1" si="54"/>
        <v/>
      </c>
      <c r="X139" t="str">
        <f t="shared" si="48"/>
        <v>⏳ Em Execução</v>
      </c>
      <c r="Y139" s="716">
        <f t="shared" si="49"/>
        <v>46327</v>
      </c>
      <c r="Z139" t="str">
        <f t="shared" si="50"/>
        <v/>
      </c>
    </row>
    <row r="140" spans="1:26" x14ac:dyDescent="0.3">
      <c r="A140">
        <v>25</v>
      </c>
      <c r="B140" s="224">
        <f>IFERROR(LARGE(Ferraz!$I$55:$I$144,A140)," ")</f>
        <v>60000.008000000002</v>
      </c>
      <c r="C140" t="str">
        <f>IFERROR(INDEX(
    Ferraz!$C$55:$C$144,
    MATCH(
        B140,
        Ferraz!$I$55:$I$144,
        0
    )
), " ")</f>
        <v>20 - Limpador de grelha</v>
      </c>
      <c r="D140" s="719"/>
      <c r="E140" s="339">
        <f t="shared" si="45"/>
        <v>0.97618185738155661</v>
      </c>
      <c r="F140" t="str">
        <f t="shared" si="43"/>
        <v>Ferraz</v>
      </c>
      <c r="G140" t="str">
        <f>_xlfn.XLOOKUP(C140,Ferraz!$C$55:$C$144,Ferraz!$O$55:$O$144)</f>
        <v>✓ Concluído</v>
      </c>
      <c r="H140" t="str">
        <f>_xlfn.XLOOKUP(Pareto!C140,Ferraz!$C$55:$C$144,Ferraz!$M$55:$M$144," ")</f>
        <v>OK</v>
      </c>
      <c r="I140" s="716">
        <f>_xlfn.XLOOKUP(C140,Ferraz!$C$55:$C$144,Ferraz!$J$55:$J$144)</f>
        <v>46204</v>
      </c>
      <c r="J140" s="224">
        <f ca="1">INDEX(Ferraz!$AR$55:$AR$144, MATCH(C140, Ferraz!$C$55:$C$144, 0))</f>
        <v>5504.2866666666669</v>
      </c>
      <c r="K140" s="224" t="str" cm="1">
        <f t="array" aca="1" ref="K140" ca="1">INDEX(Ferraz!$AR$55:$AR$144, MATCH(C140, Ferraz!$C$55:$C$144, 0)+1)</f>
        <v/>
      </c>
      <c r="L140" s="224">
        <f>INDEX(Ferraz!$AJ$55:$AJ$144, MATCH(C140, Ferraz!$C$55:$C$144, 0))</f>
        <v>16512.86</v>
      </c>
      <c r="M140" s="224"/>
      <c r="N140" s="224"/>
      <c r="O140" s="224"/>
      <c r="P140" s="224"/>
      <c r="Q140">
        <v>137</v>
      </c>
      <c r="R140" s="253">
        <f t="shared" si="51"/>
        <v>39996</v>
      </c>
      <c r="S140" t="str">
        <f t="shared" si="46"/>
        <v>14 - REDUÇÃO DE MP DA000518Z (Anchieta) Código DD - VB000324Z</v>
      </c>
      <c r="T140" t="str">
        <f t="shared" si="47"/>
        <v>Diadema</v>
      </c>
      <c r="U140" s="253">
        <f t="shared" si="52"/>
        <v>46996.932073171294</v>
      </c>
      <c r="V140" s="224">
        <f t="shared" ca="1" si="53"/>
        <v>25634.690221729801</v>
      </c>
      <c r="W140" s="224">
        <f t="shared" ca="1" si="54"/>
        <v>31364.078207856248</v>
      </c>
      <c r="X140" t="str">
        <f t="shared" si="48"/>
        <v>✓ Concluído</v>
      </c>
      <c r="Y140" s="716">
        <f t="shared" si="49"/>
        <v>46054</v>
      </c>
      <c r="Z140" t="str">
        <f t="shared" si="50"/>
        <v>OK</v>
      </c>
    </row>
    <row r="141" spans="1:26" x14ac:dyDescent="0.3">
      <c r="A141">
        <v>26</v>
      </c>
      <c r="B141" s="224">
        <f>IFERROR(LARGE(Ferraz!$I$55:$I$144,A141)," ")</f>
        <v>50000</v>
      </c>
      <c r="C141" t="str">
        <f>IFERROR(INDEX(
    Ferraz!$C$55:$C$144,
    MATCH(
        B141,
        Ferraz!$I$55:$I$144,
        0
    )
), " ")</f>
        <v xml:space="preserve">28 - Manutenção de lixadeiras </v>
      </c>
      <c r="D141" s="719"/>
      <c r="E141" s="339">
        <f t="shared" si="45"/>
        <v>0.97618185738155661</v>
      </c>
      <c r="F141" t="str">
        <f t="shared" si="43"/>
        <v>Ferraz</v>
      </c>
      <c r="G141">
        <f>_xlfn.XLOOKUP(C141,Ferraz!$C$55:$C$144,Ferraz!$O$55:$O$144)</f>
        <v>0</v>
      </c>
      <c r="H141">
        <f>_xlfn.XLOOKUP(Pareto!C141,Ferraz!$C$55:$C$144,Ferraz!$M$55:$M$144," ")</f>
        <v>0</v>
      </c>
      <c r="I141" s="716">
        <f>_xlfn.XLOOKUP(C141,Ferraz!$C$55:$C$144,Ferraz!$J$55:$J$144)</f>
        <v>46265</v>
      </c>
      <c r="J141" s="224" t="str">
        <f ca="1">INDEX(Ferraz!$AR$55:$AR$144, MATCH(C141, Ferraz!$C$55:$C$144, 0))</f>
        <v/>
      </c>
      <c r="K141" s="224" t="str" cm="1">
        <f t="array" aca="1" ref="K141" ca="1">INDEX(Ferraz!$AR$55:$AR$144, MATCH(C141, Ferraz!$C$55:$C$144, 0)+1)</f>
        <v/>
      </c>
      <c r="L141" s="224">
        <f>INDEX(Ferraz!$AJ$55:$AJ$144, MATCH(C141, Ferraz!$C$55:$C$144, 0))</f>
        <v>0</v>
      </c>
      <c r="M141" s="224"/>
      <c r="N141" s="224"/>
      <c r="O141" s="224"/>
      <c r="P141" s="224"/>
      <c r="Q141">
        <v>138</v>
      </c>
      <c r="R141" s="253">
        <f t="shared" si="51"/>
        <v>39383</v>
      </c>
      <c r="S141" t="str">
        <f t="shared" si="46"/>
        <v>Negociação Porca Bollhoff 15341 Saga</v>
      </c>
      <c r="T141" t="str">
        <f t="shared" si="47"/>
        <v>Compras</v>
      </c>
      <c r="U141" s="253">
        <f t="shared" si="52"/>
        <v>39383</v>
      </c>
      <c r="V141" s="224">
        <f t="shared" ca="1" si="53"/>
        <v>19691.5</v>
      </c>
      <c r="W141" s="224">
        <f t="shared" ca="1" si="54"/>
        <v>6833.58</v>
      </c>
      <c r="X141" t="str">
        <f t="shared" si="48"/>
        <v>✓ Concluído</v>
      </c>
      <c r="Y141" s="716">
        <f t="shared" si="49"/>
        <v>46101</v>
      </c>
      <c r="Z141" t="str">
        <f t="shared" si="50"/>
        <v>OK</v>
      </c>
    </row>
    <row r="142" spans="1:26" x14ac:dyDescent="0.3">
      <c r="A142">
        <v>27</v>
      </c>
      <c r="B142" s="224">
        <f>IFERROR(LARGE(Ferraz!$I$55:$I$144,A142)," ")</f>
        <v>40400</v>
      </c>
      <c r="C142" t="str">
        <f>IFERROR(INDEX(
    Ferraz!$C$55:$C$144,
    MATCH(
        B142,
        Ferraz!$I$55:$I$144,
        0
    )
), " ")</f>
        <v xml:space="preserve">24 - Aquisição do equipamento de ultrassom </v>
      </c>
      <c r="D142" s="719"/>
      <c r="E142" s="339">
        <f t="shared" si="45"/>
        <v>0.97618185738155661</v>
      </c>
      <c r="F142" t="str">
        <f t="shared" si="43"/>
        <v>Ferraz</v>
      </c>
      <c r="G142" t="str">
        <f>_xlfn.XLOOKUP(C142,Ferraz!$C$55:$C$144,Ferraz!$O$55:$O$144)</f>
        <v>📝 Não iniciado</v>
      </c>
      <c r="H142">
        <f>_xlfn.XLOOKUP(Pareto!C142,Ferraz!$C$55:$C$144,Ferraz!$M$55:$M$144," ")</f>
        <v>0</v>
      </c>
      <c r="I142" s="716">
        <f>_xlfn.XLOOKUP(C142,Ferraz!$C$55:$C$144,Ferraz!$J$55:$J$144)</f>
        <v>46237</v>
      </c>
      <c r="J142" s="224" t="str">
        <f ca="1">INDEX(Ferraz!$AR$55:$AR$144, MATCH(C142, Ferraz!$C$55:$C$144, 0))</f>
        <v/>
      </c>
      <c r="K142" s="224" t="str" cm="1">
        <f t="array" aca="1" ref="K142" ca="1">INDEX(Ferraz!$AR$55:$AR$144, MATCH(C142, Ferraz!$C$55:$C$144, 0)+1)</f>
        <v/>
      </c>
      <c r="L142" s="224">
        <f>INDEX(Ferraz!$AJ$55:$AJ$144, MATCH(C142, Ferraz!$C$55:$C$144, 0))</f>
        <v>24240</v>
      </c>
      <c r="M142" s="224"/>
      <c r="N142" s="224"/>
      <c r="O142" s="224"/>
      <c r="P142" s="224"/>
      <c r="Q142">
        <v>139</v>
      </c>
      <c r="R142" s="253">
        <f t="shared" si="51"/>
        <v>38583</v>
      </c>
      <c r="S142" t="str">
        <f t="shared" si="46"/>
        <v>12 - Aproveitamento de peças Obsoletas - A9583176540</v>
      </c>
      <c r="T142" t="str">
        <f t="shared" si="47"/>
        <v>Diadema</v>
      </c>
      <c r="U142" s="253">
        <f t="shared" si="52"/>
        <v>37746.6</v>
      </c>
      <c r="V142" s="224">
        <f t="shared" ca="1" si="53"/>
        <v>37746.6</v>
      </c>
      <c r="W142" s="224">
        <f t="shared" ca="1" si="54"/>
        <v>37746.6</v>
      </c>
      <c r="X142" t="str">
        <f t="shared" si="48"/>
        <v>✓ Concluído</v>
      </c>
      <c r="Y142" s="716">
        <f t="shared" si="49"/>
        <v>46023</v>
      </c>
      <c r="Z142" t="str">
        <f t="shared" si="50"/>
        <v>OK</v>
      </c>
    </row>
    <row r="143" spans="1:26" x14ac:dyDescent="0.3">
      <c r="A143">
        <v>28</v>
      </c>
      <c r="B143" s="224">
        <f>IFERROR(LARGE(Ferraz!$I$55:$I$144,A143)," ")</f>
        <v>12000</v>
      </c>
      <c r="C143" t="str">
        <f>IFERROR(INDEX(
    Ferraz!$C$55:$C$144,
    MATCH(
        B143,
        Ferraz!$I$55:$I$144,
        0
    )
), " ")</f>
        <v xml:space="preserve">22 - Tablet - Dobradeira </v>
      </c>
      <c r="D143" s="719"/>
      <c r="E143" s="339">
        <f t="shared" si="45"/>
        <v>0.97618185738155661</v>
      </c>
      <c r="F143" t="str">
        <f t="shared" si="43"/>
        <v>Ferraz</v>
      </c>
      <c r="G143" t="str">
        <f>_xlfn.XLOOKUP(C143,Ferraz!$C$55:$C$144,Ferraz!$O$55:$O$144)</f>
        <v>✓ Concluído</v>
      </c>
      <c r="H143" t="str">
        <f>_xlfn.XLOOKUP(Pareto!C143,Ferraz!$C$55:$C$144,Ferraz!$M$55:$M$144," ")</f>
        <v>Não Ok</v>
      </c>
      <c r="I143" s="716">
        <f>_xlfn.XLOOKUP(C143,Ferraz!$C$55:$C$144,Ferraz!$J$55:$J$144)</f>
        <v>46204</v>
      </c>
      <c r="J143" s="224">
        <f ca="1">INDEX(Ferraz!$AR$55:$AR$144, MATCH(C143, Ferraz!$C$55:$C$144, 0))</f>
        <v>2000</v>
      </c>
      <c r="K143" s="224" t="str" cm="1">
        <f t="array" aca="1" ref="K143" ca="1">INDEX(Ferraz!$AR$55:$AR$144, MATCH(C143, Ferraz!$C$55:$C$144, 0)+1)</f>
        <v/>
      </c>
      <c r="L143" s="224">
        <f>INDEX(Ferraz!$AJ$55:$AJ$144, MATCH(C143, Ferraz!$C$55:$C$144, 0))</f>
        <v>6000</v>
      </c>
      <c r="M143" s="224"/>
      <c r="N143" s="224"/>
      <c r="O143" s="224"/>
      <c r="P143" s="224"/>
      <c r="Q143">
        <v>140</v>
      </c>
      <c r="R143" s="253">
        <f t="shared" si="51"/>
        <v>38422</v>
      </c>
      <c r="S143" t="str">
        <f t="shared" si="46"/>
        <v>BID Corporativo Punções</v>
      </c>
      <c r="T143" t="str">
        <f t="shared" si="47"/>
        <v>Compras</v>
      </c>
      <c r="U143" s="253">
        <f t="shared" si="52"/>
        <v>38422</v>
      </c>
      <c r="V143" s="224" t="str">
        <f t="shared" ca="1" si="53"/>
        <v/>
      </c>
      <c r="W143" s="224" t="str">
        <f t="shared" ca="1" si="54"/>
        <v/>
      </c>
      <c r="X143" t="str">
        <f t="shared" si="48"/>
        <v>✓ Concluído</v>
      </c>
      <c r="Y143" s="716">
        <f t="shared" si="49"/>
        <v>46235</v>
      </c>
      <c r="Z143" t="str">
        <f t="shared" si="50"/>
        <v/>
      </c>
    </row>
    <row r="144" spans="1:26" x14ac:dyDescent="0.3">
      <c r="A144">
        <v>29</v>
      </c>
      <c r="B144" s="224">
        <f>IFERROR(LARGE(Ferraz!$I$55:$I$144,A144)," ")</f>
        <v>7000.0001561649997</v>
      </c>
      <c r="C144" t="str">
        <f>IFERROR(INDEX(
    Ferraz!$C$55:$C$144,
    MATCH(
        B144,
        Ferraz!$I$55:$I$144,
        0
    )
), " ")</f>
        <v xml:space="preserve">02 - Eficiência dos planos de corte </v>
      </c>
      <c r="D144" s="719"/>
      <c r="E144" s="339">
        <f t="shared" si="45"/>
        <v>0.97618185738155661</v>
      </c>
      <c r="F144" t="str">
        <f t="shared" si="43"/>
        <v>Ferraz</v>
      </c>
      <c r="G144" t="str">
        <f>_xlfn.XLOOKUP(C144,Ferraz!$C$55:$C$144,Ferraz!$O$55:$O$144)</f>
        <v>✓ Concluído</v>
      </c>
      <c r="H144" t="str">
        <f>_xlfn.XLOOKUP(Pareto!C144,Ferraz!$C$55:$C$144,Ferraz!$M$55:$M$144," ")</f>
        <v>OK</v>
      </c>
      <c r="I144" s="716">
        <f>_xlfn.XLOOKUP(C144,Ferraz!$C$55:$C$144,Ferraz!$J$55:$J$144)</f>
        <v>46113</v>
      </c>
      <c r="J144" s="224">
        <f ca="1">INDEX(Ferraz!$AR$55:$AR$144, MATCH(C144, Ferraz!$C$55:$C$144, 0))</f>
        <v>3022.2222222222222</v>
      </c>
      <c r="K144" s="224" cm="1">
        <f t="array" aca="1" ref="K144" ca="1">INDEX(Ferraz!$AR$55:$AR$144, MATCH(C144, Ferraz!$C$55:$C$144, 0)+1)</f>
        <v>1882.6200000000001</v>
      </c>
      <c r="L144" s="224">
        <f>INDEX(Ferraz!$AJ$55:$AJ$144, MATCH(C144, Ferraz!$C$55:$C$144, 0))</f>
        <v>2266.6666666666665</v>
      </c>
      <c r="M144" s="224"/>
      <c r="N144" s="224"/>
      <c r="O144" s="224"/>
      <c r="P144" s="224"/>
      <c r="Q144">
        <v>141</v>
      </c>
      <c r="R144" s="253">
        <f t="shared" si="51"/>
        <v>37356.410000000003</v>
      </c>
      <c r="S144" t="str">
        <f t="shared" si="46"/>
        <v xml:space="preserve">02 -  REDUÇÃO DE PESO BRUTO DD000506Z
</v>
      </c>
      <c r="T144" t="str">
        <f t="shared" si="47"/>
        <v>São leopoldo</v>
      </c>
      <c r="U144" s="253">
        <f t="shared" si="52"/>
        <v>37356.410000000003</v>
      </c>
      <c r="V144" s="224" t="str">
        <f t="shared" ca="1" si="53"/>
        <v/>
      </c>
      <c r="W144" s="224" t="str">
        <f t="shared" ca="1" si="54"/>
        <v/>
      </c>
      <c r="X144" t="str">
        <f t="shared" si="48"/>
        <v>⏳ Em Execução</v>
      </c>
      <c r="Y144" s="716">
        <f t="shared" si="49"/>
        <v>46331</v>
      </c>
      <c r="Z144" t="str">
        <f t="shared" si="50"/>
        <v/>
      </c>
    </row>
    <row r="145" spans="1:26" x14ac:dyDescent="0.3">
      <c r="A145">
        <v>30</v>
      </c>
      <c r="B145" s="224" t="str">
        <f>IFERROR(LARGE(Ferraz!$I$55:$I$144,A145)," ")</f>
        <v xml:space="preserve"> </v>
      </c>
      <c r="C145" t="str">
        <f>IFERROR(INDEX(
    Ferraz!$C$55:$C$144,
    MATCH(
        B145,
        Ferraz!$I$55:$I$144,
        0
    )
), " ")</f>
        <v xml:space="preserve"> </v>
      </c>
      <c r="D145" s="719"/>
      <c r="E145" s="339">
        <f t="shared" si="45"/>
        <v>0.97618185738155661</v>
      </c>
      <c r="F145" t="str">
        <f t="shared" si="43"/>
        <v>Ferraz</v>
      </c>
      <c r="G145" t="e">
        <f>_xlfn.XLOOKUP(C145,Ferraz!$C$55:$C$144,Ferraz!$O$55:$O$144)</f>
        <v>#N/A</v>
      </c>
      <c r="H145" t="str">
        <f>_xlfn.XLOOKUP(Pareto!C145,Ferraz!$C$55:$C$144,Ferraz!$M$55:$M$144," ")</f>
        <v xml:space="preserve"> </v>
      </c>
      <c r="I145" s="716" t="e">
        <f>_xlfn.XLOOKUP(C145,Ferraz!$C$55:$C$144,Ferraz!$J$55:$J$144)</f>
        <v>#N/A</v>
      </c>
      <c r="J145" s="224" t="e">
        <f>INDEX(Ferraz!$AR$55:$AR$144, MATCH(C145, Ferraz!$C$55:$C$144, 0))</f>
        <v>#N/A</v>
      </c>
      <c r="K145" s="224" t="e" cm="1">
        <f t="array" ref="K145">INDEX(Ferraz!$AR$55:$AR$144, MATCH(C145, Ferraz!$C$55:$C$144, 0)+1)</f>
        <v>#N/A</v>
      </c>
      <c r="L145" s="224" t="e">
        <f>INDEX(Ferraz!$AJ$55:$AJ$144, MATCH(C145, Ferraz!$C$55:$C$144, 0))</f>
        <v>#N/A</v>
      </c>
      <c r="M145" s="224"/>
      <c r="N145" s="224"/>
      <c r="O145" s="224"/>
      <c r="P145" s="224"/>
      <c r="Q145">
        <v>142</v>
      </c>
      <c r="R145" s="253">
        <f t="shared" si="51"/>
        <v>36000</v>
      </c>
      <c r="S145" t="str">
        <f t="shared" si="46"/>
        <v>22 - Aproveitamento de Retalho do corte laser - MB002316LA_MB003533LA_MB003673LC</v>
      </c>
      <c r="T145" t="str">
        <f t="shared" si="47"/>
        <v>Diadema</v>
      </c>
      <c r="U145" s="253">
        <f t="shared" si="52"/>
        <v>0</v>
      </c>
      <c r="V145" s="224" t="str">
        <f t="shared" ca="1" si="53"/>
        <v/>
      </c>
      <c r="W145" s="224" t="str">
        <f t="shared" ca="1" si="54"/>
        <v/>
      </c>
      <c r="X145" t="str">
        <f t="shared" si="48"/>
        <v>✓ Concluído</v>
      </c>
      <c r="Y145" s="716">
        <f t="shared" si="49"/>
        <v>0</v>
      </c>
      <c r="Z145" t="str">
        <f t="shared" si="50"/>
        <v>Não Ok</v>
      </c>
    </row>
    <row r="146" spans="1:26" x14ac:dyDescent="0.3">
      <c r="L146" s="224" t="e">
        <f>INDEX(Ferraz!$AJ$55:$AJ$144, MATCH(C146, Ferraz!$C$55:$C$144, 0))</f>
        <v>#N/A</v>
      </c>
      <c r="M146" s="224"/>
      <c r="N146" s="224"/>
      <c r="O146" s="224"/>
      <c r="P146" s="224"/>
      <c r="Q146">
        <v>143</v>
      </c>
      <c r="R146" s="253">
        <f t="shared" si="51"/>
        <v>35000</v>
      </c>
      <c r="S146" t="str">
        <f t="shared" si="46"/>
        <v>Unificação itens de Distribuição Fixadores.</v>
      </c>
      <c r="T146" t="str">
        <f t="shared" si="47"/>
        <v>Compras</v>
      </c>
      <c r="U146" s="253">
        <f t="shared" si="52"/>
        <v>35000</v>
      </c>
      <c r="V146" s="224" t="str">
        <f t="shared" ca="1" si="53"/>
        <v/>
      </c>
      <c r="W146" s="224" t="str">
        <f t="shared" ca="1" si="54"/>
        <v/>
      </c>
      <c r="X146" t="str">
        <f t="shared" si="48"/>
        <v>⏳ Em Execução</v>
      </c>
      <c r="Y146" s="716">
        <f t="shared" si="49"/>
        <v>46366</v>
      </c>
      <c r="Z146" t="str">
        <f t="shared" si="50"/>
        <v/>
      </c>
    </row>
    <row r="147" spans="1:26" ht="14.85" customHeight="1" x14ac:dyDescent="0.3">
      <c r="A147" s="252" t="s">
        <v>124</v>
      </c>
      <c r="B147" s="252"/>
      <c r="C147" s="252"/>
      <c r="D147" s="718"/>
      <c r="E147" s="718"/>
      <c r="J147" s="2216" t="s">
        <v>2711</v>
      </c>
      <c r="K147" s="2216"/>
      <c r="L147" s="224" t="e">
        <f>INDEX(Ferraz!$AJ$55:$AJ$144, MATCH(C147, Ferraz!$C$55:$C$144, 0))</f>
        <v>#N/A</v>
      </c>
      <c r="M147" s="224"/>
      <c r="N147" s="224"/>
      <c r="O147" s="224"/>
      <c r="P147" s="224"/>
      <c r="Q147">
        <v>144</v>
      </c>
      <c r="R147" s="253">
        <f t="shared" si="51"/>
        <v>34645</v>
      </c>
      <c r="S147" t="str">
        <f t="shared" si="46"/>
        <v>15 - Redução de consumo no slitter dos itens VW000950AA/951AA</v>
      </c>
      <c r="T147" t="str">
        <f t="shared" si="47"/>
        <v>Jarinu</v>
      </c>
      <c r="U147" s="253">
        <f t="shared" si="52"/>
        <v>7874.7116666666661</v>
      </c>
      <c r="V147" s="224" t="str">
        <f t="shared" ca="1" si="53"/>
        <v/>
      </c>
      <c r="W147" s="224" t="str">
        <f t="shared" ca="1" si="54"/>
        <v/>
      </c>
      <c r="X147" t="str">
        <f t="shared" si="48"/>
        <v>⏳ Em Execução</v>
      </c>
      <c r="Y147" s="716">
        <f t="shared" si="49"/>
        <v>46357</v>
      </c>
      <c r="Z147" t="str">
        <f t="shared" si="50"/>
        <v>OK</v>
      </c>
    </row>
    <row r="148" spans="1:26" ht="14.85" customHeight="1" x14ac:dyDescent="0.3">
      <c r="A148" s="252"/>
      <c r="B148" s="252"/>
      <c r="C148" s="252"/>
      <c r="D148" s="718"/>
      <c r="E148" s="718"/>
      <c r="J148" s="552" t="s">
        <v>116</v>
      </c>
      <c r="K148" s="552" t="s">
        <v>117</v>
      </c>
      <c r="L148" s="224" t="e">
        <f>INDEX(Ferraz!$AJ$55:$AJ$144, MATCH(C148, Ferraz!$C$55:$C$144, 0))</f>
        <v>#N/A</v>
      </c>
      <c r="M148" s="224"/>
      <c r="N148" s="224"/>
      <c r="O148" s="224"/>
      <c r="P148" s="224"/>
      <c r="Q148">
        <v>145</v>
      </c>
      <c r="R148" s="253">
        <f t="shared" si="51"/>
        <v>33600</v>
      </c>
      <c r="S148" t="str">
        <f t="shared" si="46"/>
        <v>24 - KAIZEN - Redução de peso bruto_MB002289LA_MB002290LA_Rev00_Bruno Manachini</v>
      </c>
      <c r="T148" t="str">
        <f t="shared" si="47"/>
        <v>Diadema</v>
      </c>
      <c r="U148" s="253">
        <f t="shared" si="52"/>
        <v>29532.29</v>
      </c>
      <c r="V148" s="224">
        <f t="shared" ca="1" si="53"/>
        <v>11074.608749999999</v>
      </c>
      <c r="W148" s="224">
        <f t="shared" ca="1" si="54"/>
        <v>9809.1508793681278</v>
      </c>
      <c r="X148" t="str">
        <f t="shared" si="48"/>
        <v>✓ Concluído</v>
      </c>
      <c r="Y148" s="716">
        <f t="shared" si="49"/>
        <v>46143</v>
      </c>
      <c r="Z148" t="str">
        <f t="shared" si="50"/>
        <v>OK</v>
      </c>
    </row>
    <row r="149" spans="1:26" x14ac:dyDescent="0.3">
      <c r="A149" cm="1">
        <f t="array" ref="A149:A178">_xlfn.SEQUENCE(30)</f>
        <v>1</v>
      </c>
      <c r="B149" s="224">
        <f>MAX('São Leopoldo'!I55:I106)</f>
        <v>733701.49999999988</v>
      </c>
      <c r="C149" t="str">
        <f>IFERROR(INDEX(
    'São Leopoldo'!C55:C106,
    MATCH(
        B149,
        'São Leopoldo'!I55:I106,
        0
    )
), " ")</f>
        <v>07- Reestruturação</v>
      </c>
      <c r="D149" s="719">
        <f t="shared" ref="D149:D178" si="55">IFERROR(B149/SUM($B$149:$B$178)," ")</f>
        <v>0.33161339462270339</v>
      </c>
      <c r="E149" s="339">
        <f>D149</f>
        <v>0.33161339462270339</v>
      </c>
      <c r="F149" t="str">
        <f t="shared" ref="F149:F178" si="56">$A$147</f>
        <v>São leopoldo</v>
      </c>
      <c r="G149" t="str">
        <f>_xlfn.XLOOKUP(C149,'São Leopoldo'!$C$55:$C$106,'São Leopoldo'!$O$55:$O$106)</f>
        <v>✓ Concluído</v>
      </c>
      <c r="H149" t="str">
        <f>_xlfn.XLOOKUP(C149,'São Leopoldo'!$C$55:$C$106,'São Leopoldo'!$M$55:$M$106," ")</f>
        <v>OK</v>
      </c>
      <c r="I149" s="716">
        <f>_xlfn.XLOOKUP(C149,'São Leopoldo'!$C$55:$C$106,'São Leopoldo'!$J$55:$J$106)</f>
        <v>46082</v>
      </c>
      <c r="J149" s="224">
        <f ca="1">INDEX('São Leopoldo'!$AR$55:$AR$106, MATCH(C149, 'São Leopoldo'!$C$55:$C$106, 0))</f>
        <v>868308.71499999997</v>
      </c>
      <c r="K149" s="224" cm="1">
        <f t="array" aca="1" ref="K149" ca="1">INDEX('São Leopoldo'!$AR$55:$AR$106, MATCH(C149, 'São Leopoldo'!$C$55:$C$106, 0)+1)</f>
        <v>933084</v>
      </c>
      <c r="L149" s="224">
        <f>INDEX('São Leopoldo'!$AJ$55:$AJ$106, MATCH(C149, 'São Leopoldo'!$C$55:$C$106, 0))</f>
        <v>520985.22899999993</v>
      </c>
      <c r="M149" s="224"/>
      <c r="N149" s="224"/>
      <c r="O149" s="224"/>
      <c r="P149" s="224"/>
      <c r="Q149">
        <v>146</v>
      </c>
      <c r="R149" s="253">
        <f t="shared" si="51"/>
        <v>33377.910000000003</v>
      </c>
      <c r="S149" t="str">
        <f t="shared" si="46"/>
        <v>BID consumíveis laser</v>
      </c>
      <c r="T149" t="str">
        <f t="shared" si="47"/>
        <v>Compras</v>
      </c>
      <c r="U149" s="253">
        <f t="shared" si="52"/>
        <v>33377.910000000003</v>
      </c>
      <c r="V149" s="224">
        <f t="shared" ca="1" si="53"/>
        <v>14834.626666666669</v>
      </c>
      <c r="W149" s="224" t="str">
        <f t="shared" ca="1" si="54"/>
        <v/>
      </c>
      <c r="X149" t="str">
        <f t="shared" si="48"/>
        <v>✓ Concluído</v>
      </c>
      <c r="Y149" s="716">
        <f t="shared" si="49"/>
        <v>46113</v>
      </c>
      <c r="Z149" t="str">
        <f t="shared" si="50"/>
        <v/>
      </c>
    </row>
    <row r="150" spans="1:26" x14ac:dyDescent="0.3">
      <c r="A150">
        <v>2</v>
      </c>
      <c r="B150" s="224">
        <f>IFERROR(LARGE('São Leopoldo'!$I$55:$I$106,A150)," ")</f>
        <v>296000</v>
      </c>
      <c r="C150" t="str">
        <f>IFERROR(INDEX(
    'São Leopoldo'!$C$55:$C$106,
    MATCH(
        B150,
        'São Leopoldo'!$I$55:$I$106,
        0
    )
), " ")</f>
        <v>27-Redução no tempo de setup na Linha Schuler.</v>
      </c>
      <c r="D150" s="719">
        <f t="shared" si="55"/>
        <v>0.13378405905987684</v>
      </c>
      <c r="E150" s="339">
        <f>IFERROR(D150+E149," ")</f>
        <v>0.46539745368258023</v>
      </c>
      <c r="F150" t="str">
        <f t="shared" si="56"/>
        <v>São leopoldo</v>
      </c>
      <c r="G150" t="str">
        <f>_xlfn.XLOOKUP(C150,'São Leopoldo'!$C$55:$C$106,'São Leopoldo'!$O$55:$O$106)</f>
        <v>⏳ Em Execução</v>
      </c>
      <c r="H150">
        <f>_xlfn.XLOOKUP(C150,'São Leopoldo'!$C$55:$C$106,'São Leopoldo'!$M$55:$M$106," ")</f>
        <v>0</v>
      </c>
      <c r="I150" s="716">
        <f>_xlfn.XLOOKUP(C150,'São Leopoldo'!$C$55:$C$106,'São Leopoldo'!$J$55:$J$106)</f>
        <v>46296</v>
      </c>
      <c r="J150" s="224" t="str">
        <f ca="1">INDEX('São Leopoldo'!$AR$55:$AR$106, MATCH(C150, 'São Leopoldo'!$C$55:$C$106, 0))</f>
        <v/>
      </c>
      <c r="K150" s="224" t="str" cm="1">
        <f t="array" aca="1" ref="K150" ca="1">INDEX('São Leopoldo'!$AR$55:$AR$106, MATCH(C150, 'São Leopoldo'!$C$55:$C$106, 0)+1)</f>
        <v/>
      </c>
      <c r="L150" s="224">
        <f>INDEX('São Leopoldo'!$AJ$55:$AJ$106, MATCH(C150, 'São Leopoldo'!$C$55:$C$106, 0))</f>
        <v>296000</v>
      </c>
      <c r="M150" s="224"/>
      <c r="N150" s="224"/>
      <c r="O150" s="224"/>
      <c r="P150" s="224"/>
      <c r="Q150">
        <v>147</v>
      </c>
      <c r="R150" s="253">
        <f t="shared" si="51"/>
        <v>33214.550000000003</v>
      </c>
      <c r="S150" t="str">
        <f t="shared" si="46"/>
        <v>22- Eliminar custo com usinagem externa CN 00016/17</v>
      </c>
      <c r="T150" t="str">
        <f t="shared" si="47"/>
        <v>São leopoldo</v>
      </c>
      <c r="U150" s="253">
        <f t="shared" si="52"/>
        <v>2283.5625</v>
      </c>
      <c r="V150" s="224" t="str">
        <f t="shared" ca="1" si="53"/>
        <v/>
      </c>
      <c r="W150" s="224" t="str">
        <f t="shared" ca="1" si="54"/>
        <v/>
      </c>
      <c r="X150" t="str">
        <f t="shared" si="48"/>
        <v>✓ Concluído</v>
      </c>
      <c r="Y150" s="716">
        <f t="shared" si="49"/>
        <v>46266</v>
      </c>
      <c r="Z150" t="str">
        <f t="shared" si="50"/>
        <v>OK</v>
      </c>
    </row>
    <row r="151" spans="1:26" x14ac:dyDescent="0.3">
      <c r="A151">
        <v>3</v>
      </c>
      <c r="B151" s="224">
        <f>IFERROR(LARGE('São Leopoldo'!$I$55:$I$106,A151)," ")</f>
        <v>255939.20000000001</v>
      </c>
      <c r="C151" t="str">
        <f>IFERROR(INDEX(
    'São Leopoldo'!$C$55:$C$106,
    MATCH(
        B151,
        'São Leopoldo'!$I$55:$I$106,
        0
    )
), " ")</f>
        <v>26-Aumento de produtividade na LINHA SCHULER</v>
      </c>
      <c r="D151" s="719">
        <f t="shared" si="55"/>
        <v>0.11567765219100551</v>
      </c>
      <c r="E151" s="339">
        <f t="shared" ref="E151:E178" si="57">IFERROR(D151+E150," ")</f>
        <v>0.58107510587358568</v>
      </c>
      <c r="F151" t="str">
        <f t="shared" si="56"/>
        <v>São leopoldo</v>
      </c>
      <c r="G151" t="str">
        <f>_xlfn.XLOOKUP(C151,'São Leopoldo'!$C$55:$C$106,'São Leopoldo'!$O$55:$O$106)</f>
        <v>⏳ Em Execução</v>
      </c>
      <c r="H151">
        <f>_xlfn.XLOOKUP(C151,'São Leopoldo'!$C$55:$C$106,'São Leopoldo'!$M$55:$M$106," ")</f>
        <v>0</v>
      </c>
      <c r="I151" s="716">
        <f>_xlfn.XLOOKUP(C151,'São Leopoldo'!$C$55:$C$106,'São Leopoldo'!$J$55:$J$106)</f>
        <v>46296</v>
      </c>
      <c r="J151" s="224" t="str">
        <f ca="1">INDEX('São Leopoldo'!$AR$55:$AR$106, MATCH(C151, 'São Leopoldo'!$C$55:$C$106, 0))</f>
        <v/>
      </c>
      <c r="K151" s="224" t="str" cm="1">
        <f t="array" aca="1" ref="K151" ca="1">INDEX('São Leopoldo'!$AR$55:$AR$106, MATCH(C151, 'São Leopoldo'!$C$55:$C$106, 0)+1)</f>
        <v/>
      </c>
      <c r="L151" s="224">
        <f>INDEX('São Leopoldo'!$AJ$55:$AJ$106, MATCH(C151, 'São Leopoldo'!$C$55:$C$106, 0))</f>
        <v>255939.20000000001</v>
      </c>
      <c r="M151" s="224"/>
      <c r="N151" s="224"/>
      <c r="O151" s="224"/>
      <c r="P151" s="224"/>
      <c r="Q151">
        <v>148</v>
      </c>
      <c r="R151" s="253">
        <f t="shared" si="51"/>
        <v>32000</v>
      </c>
      <c r="S151" t="str">
        <f t="shared" si="46"/>
        <v>07 - CONSUMO DE EPI e SERVIÇOS</v>
      </c>
      <c r="T151" t="str">
        <f t="shared" si="47"/>
        <v>Anchieta</v>
      </c>
      <c r="U151" s="253">
        <f t="shared" si="52"/>
        <v>8870.9789999999994</v>
      </c>
      <c r="V151" s="224">
        <f t="shared" ca="1" si="53"/>
        <v>14784.965</v>
      </c>
      <c r="W151" s="224">
        <f t="shared" ca="1" si="54"/>
        <v>885.12817433047076</v>
      </c>
      <c r="X151" t="str">
        <f t="shared" si="48"/>
        <v>✓ Concluído</v>
      </c>
      <c r="Y151" s="716">
        <f t="shared" si="49"/>
        <v>46082</v>
      </c>
      <c r="Z151" t="str">
        <f t="shared" si="50"/>
        <v>OK</v>
      </c>
    </row>
    <row r="152" spans="1:26" x14ac:dyDescent="0.3">
      <c r="A152">
        <v>4</v>
      </c>
      <c r="B152" s="224">
        <f>IFERROR(LARGE('São Leopoldo'!$I$55:$I$106,A152)," ")</f>
        <v>218726.78</v>
      </c>
      <c r="C152" t="str">
        <f>IFERROR(INDEX(
    'São Leopoldo'!$C$55:$C$106,
    MATCH(
        B152,
        'São Leopoldo'!$I$55:$I$106,
        0
    )
), " ")</f>
        <v>01 - Redução de Refugo</v>
      </c>
      <c r="D152" s="719">
        <f t="shared" si="55"/>
        <v>9.8858636667218544E-2</v>
      </c>
      <c r="E152" s="339">
        <f t="shared" si="57"/>
        <v>0.67993374254080419</v>
      </c>
      <c r="F152" t="str">
        <f t="shared" si="56"/>
        <v>São leopoldo</v>
      </c>
      <c r="G152" t="str">
        <f>_xlfn.XLOOKUP(C152,'São Leopoldo'!$C$55:$C$106,'São Leopoldo'!$O$55:$O$106)</f>
        <v>✓ Concluído</v>
      </c>
      <c r="H152" t="str">
        <f>_xlfn.XLOOKUP(C152,'São Leopoldo'!$C$55:$C$106,'São Leopoldo'!$M$55:$M$106," ")</f>
        <v>OK</v>
      </c>
      <c r="I152" s="716">
        <f>_xlfn.XLOOKUP(C152,'São Leopoldo'!$C$55:$C$106,'São Leopoldo'!$J$55:$J$106)</f>
        <v>46054</v>
      </c>
      <c r="J152" s="224">
        <f ca="1">INDEX('São Leopoldo'!$AR$55:$AR$106, MATCH(C152, 'São Leopoldo'!$C$55:$C$106, 0))</f>
        <v>119305.51636363637</v>
      </c>
      <c r="K152" s="224" cm="1">
        <f t="array" aca="1" ref="K152" ca="1">INDEX('São Leopoldo'!$AR$55:$AR$106, MATCH(C152, 'São Leopoldo'!$C$55:$C$106, 0)+1)</f>
        <v>186458.31</v>
      </c>
      <c r="L152" s="224">
        <f>INDEX('São Leopoldo'!$AJ$55:$AJ$106, MATCH(C152, 'São Leopoldo'!$C$55:$C$106, 0))</f>
        <v>59652.758181818179</v>
      </c>
      <c r="M152" s="224"/>
      <c r="N152" s="224"/>
      <c r="O152" s="224"/>
      <c r="P152" s="224"/>
      <c r="Q152">
        <v>149</v>
      </c>
      <c r="R152" s="253">
        <f t="shared" si="51"/>
        <v>30000</v>
      </c>
      <c r="S152" t="str">
        <f t="shared" si="46"/>
        <v>02 - Aumentar a produtividade da estamparia atraves da implementação lote econômico e multiplos de MTP</v>
      </c>
      <c r="T152" t="str">
        <f t="shared" si="47"/>
        <v>Jarinu</v>
      </c>
      <c r="U152" s="253">
        <f t="shared" si="52"/>
        <v>22500</v>
      </c>
      <c r="V152" s="224" t="str">
        <f t="shared" ca="1" si="53"/>
        <v/>
      </c>
      <c r="W152" s="224" t="str">
        <f t="shared" ca="1" si="54"/>
        <v/>
      </c>
      <c r="X152" t="str">
        <f t="shared" si="48"/>
        <v>⏳ Em Execução</v>
      </c>
      <c r="Y152" s="716">
        <f t="shared" si="49"/>
        <v>46266</v>
      </c>
      <c r="Z152" t="str">
        <f t="shared" si="50"/>
        <v/>
      </c>
    </row>
    <row r="153" spans="1:26" x14ac:dyDescent="0.3">
      <c r="A153">
        <v>5</v>
      </c>
      <c r="B153" s="224">
        <f>IFERROR(LARGE('São Leopoldo'!$I$55:$I$106,A153)," ")</f>
        <v>120860.88</v>
      </c>
      <c r="C153" t="str">
        <f>IFERROR(INDEX(
    'São Leopoldo'!$C$55:$C$106,
    MATCH(
        B153,
        'São Leopoldo'!$I$55:$I$106,
        0
    )
), " ")</f>
        <v>14- Redução de gastos com energia elétrica.</v>
      </c>
      <c r="D153" s="719">
        <f t="shared" si="55"/>
        <v>5.462587536469151E-2</v>
      </c>
      <c r="E153" s="339">
        <f t="shared" si="57"/>
        <v>0.73455961790549573</v>
      </c>
      <c r="F153" t="str">
        <f t="shared" si="56"/>
        <v>São leopoldo</v>
      </c>
      <c r="G153" t="str">
        <f>_xlfn.XLOOKUP(C153,'São Leopoldo'!$C$55:$C$106,'São Leopoldo'!$O$55:$O$106)</f>
        <v>✓ Concluído</v>
      </c>
      <c r="H153">
        <f>_xlfn.XLOOKUP(C153,'São Leopoldo'!$C$55:$C$106,'São Leopoldo'!$M$55:$M$106," ")</f>
        <v>0</v>
      </c>
      <c r="I153" s="716">
        <f>_xlfn.XLOOKUP(C153,'São Leopoldo'!$C$55:$C$106,'São Leopoldo'!$J$55:$J$106)</f>
        <v>46237</v>
      </c>
      <c r="J153" s="224" t="str">
        <f ca="1">INDEX('São Leopoldo'!$AR$55:$AR$106, MATCH(C153, 'São Leopoldo'!$C$55:$C$106, 0))</f>
        <v/>
      </c>
      <c r="K153" s="224" t="str" cm="1">
        <f t="array" aca="1" ref="K153" ca="1">INDEX('São Leopoldo'!$AR$55:$AR$106, MATCH(C153, 'São Leopoldo'!$C$55:$C$106, 0)+1)</f>
        <v/>
      </c>
      <c r="L153" s="224">
        <f>INDEX('São Leopoldo'!$AJ$55:$AJ$106, MATCH(C153, 'São Leopoldo'!$C$55:$C$106, 0))</f>
        <v>72516.527999999991</v>
      </c>
      <c r="M153" s="224"/>
      <c r="N153" s="224"/>
      <c r="O153" s="224"/>
      <c r="P153" s="224"/>
      <c r="Q153">
        <v>150</v>
      </c>
      <c r="R153" s="253">
        <f t="shared" si="51"/>
        <v>26400.00099</v>
      </c>
      <c r="S153" t="str">
        <f t="shared" si="46"/>
        <v>48 - REDUÇÃO DE MP BOZ0150HX1000</v>
      </c>
      <c r="T153" t="str">
        <f t="shared" si="47"/>
        <v>Diadema</v>
      </c>
      <c r="U153" s="253">
        <f t="shared" si="52"/>
        <v>43285.039999999994</v>
      </c>
      <c r="V153" s="224" t="str">
        <f t="shared" ca="1" si="53"/>
        <v/>
      </c>
      <c r="W153" s="224" t="str">
        <f t="shared" ca="1" si="54"/>
        <v/>
      </c>
      <c r="X153" t="str">
        <f t="shared" si="48"/>
        <v>⏳ Em Execução</v>
      </c>
      <c r="Y153" s="716">
        <f t="shared" si="49"/>
        <v>46235</v>
      </c>
      <c r="Z153" t="str">
        <f t="shared" si="50"/>
        <v>OK</v>
      </c>
    </row>
    <row r="154" spans="1:26" x14ac:dyDescent="0.3">
      <c r="A154">
        <v>6</v>
      </c>
      <c r="B154" s="224">
        <f>IFERROR(LARGE('São Leopoldo'!$I$55:$I$106,A154)," ")</f>
        <v>110000</v>
      </c>
      <c r="C154" t="str">
        <f>IFERROR(INDEX(
    'São Leopoldo'!$C$55:$C$106,
    MATCH(
        B154,
        'São Leopoldo'!$I$55:$I$106,
        0
    )
), " ")</f>
        <v>06- Troca do fornecedor de tubo do Capo CNH CN-13</v>
      </c>
      <c r="D154" s="719">
        <f t="shared" si="55"/>
        <v>4.9717048974954228E-2</v>
      </c>
      <c r="E154" s="339">
        <f t="shared" si="57"/>
        <v>0.78427666688044995</v>
      </c>
      <c r="F154" t="str">
        <f t="shared" si="56"/>
        <v>São leopoldo</v>
      </c>
      <c r="G154" t="str">
        <f>_xlfn.XLOOKUP(C154,'São Leopoldo'!$C$55:$C$106,'São Leopoldo'!$O$55:$O$106)</f>
        <v>⏳ Em Execução</v>
      </c>
      <c r="H154">
        <f>_xlfn.XLOOKUP(C154,'São Leopoldo'!$C$55:$C$106,'São Leopoldo'!$M$55:$M$106," ")</f>
        <v>0</v>
      </c>
      <c r="I154" s="716">
        <f>_xlfn.XLOOKUP(C154,'São Leopoldo'!$C$55:$C$106,'São Leopoldo'!$J$55:$J$106)</f>
        <v>46300</v>
      </c>
      <c r="J154" s="224" t="str">
        <f ca="1">INDEX('São Leopoldo'!$AR$55:$AR$106, MATCH(C154, 'São Leopoldo'!$C$55:$C$106, 0))</f>
        <v/>
      </c>
      <c r="K154" s="224" t="str" cm="1">
        <f t="array" aca="1" ref="K154" ca="1">INDEX('São Leopoldo'!$AR$55:$AR$106, MATCH(C154, 'São Leopoldo'!$C$55:$C$106, 0)+1)</f>
        <v/>
      </c>
      <c r="L154" s="224">
        <f>INDEX('São Leopoldo'!$AJ$55:$AJ$106, MATCH(C154, 'São Leopoldo'!$C$55:$C$106, 0))</f>
        <v>110000</v>
      </c>
      <c r="M154" s="224"/>
      <c r="N154" s="224"/>
      <c r="O154" s="224"/>
      <c r="P154" s="224"/>
      <c r="Q154">
        <v>151</v>
      </c>
      <c r="R154" s="253">
        <f t="shared" si="51"/>
        <v>26400</v>
      </c>
      <c r="S154" t="str">
        <f t="shared" si="46"/>
        <v>11- REDUZIR A QUANTIDADE DE MÁQUINAS DE SOLDA MIG/MAG LOCADAS</v>
      </c>
      <c r="T154" t="str">
        <f t="shared" si="47"/>
        <v>São leopoldo</v>
      </c>
      <c r="U154" s="253">
        <f t="shared" si="52"/>
        <v>2887.5</v>
      </c>
      <c r="V154" s="224">
        <f t="shared" ca="1" si="53"/>
        <v>2887.5</v>
      </c>
      <c r="W154" s="224">
        <f t="shared" ca="1" si="54"/>
        <v>-6700</v>
      </c>
      <c r="X154" t="str">
        <f t="shared" si="48"/>
        <v>✓ Concluído</v>
      </c>
      <c r="Y154" s="716">
        <f t="shared" si="49"/>
        <v>46145</v>
      </c>
      <c r="Z154" t="str">
        <f t="shared" si="50"/>
        <v>OK</v>
      </c>
    </row>
    <row r="155" spans="1:26" x14ac:dyDescent="0.3">
      <c r="A155">
        <v>7</v>
      </c>
      <c r="B155" s="224">
        <f>IFERROR(LARGE('São Leopoldo'!$I$55:$I$106,A155)," ")</f>
        <v>92802.55</v>
      </c>
      <c r="C155" t="str">
        <f>IFERROR(INDEX(
    'São Leopoldo'!$C$55:$C$106,
    MATCH(
        B155,
        'São Leopoldo'!$I$55:$I$106,
        0
    )
), " ")</f>
        <v>04 -  REDUÇÃO DE PESO BRUTO DD000502/503Z</v>
      </c>
      <c r="D155" s="719">
        <f t="shared" si="55"/>
        <v>4.1944262939551259E-2</v>
      </c>
      <c r="E155" s="339">
        <f t="shared" si="57"/>
        <v>0.82622092982000117</v>
      </c>
      <c r="F155" t="str">
        <f t="shared" si="56"/>
        <v>São leopoldo</v>
      </c>
      <c r="G155" t="str">
        <f>_xlfn.XLOOKUP(C155,'São Leopoldo'!$C$55:$C$106,'São Leopoldo'!$O$55:$O$106)</f>
        <v>✓ Concluído</v>
      </c>
      <c r="H155" t="str">
        <f>_xlfn.XLOOKUP(C155,'São Leopoldo'!$C$55:$C$106,'São Leopoldo'!$M$55:$M$106," ")</f>
        <v>OK</v>
      </c>
      <c r="I155" s="716">
        <f>_xlfn.XLOOKUP(C155,'São Leopoldo'!$C$55:$C$106,'São Leopoldo'!$J$55:$J$106)</f>
        <v>46266</v>
      </c>
      <c r="J155" s="224" t="str">
        <f ca="1">INDEX('São Leopoldo'!$AR$55:$AR$106, MATCH(C155, 'São Leopoldo'!$C$55:$C$106, 0))</f>
        <v/>
      </c>
      <c r="K155" s="224" t="str" cm="1">
        <f t="array" aca="1" ref="K155" ca="1">INDEX('São Leopoldo'!$AR$55:$AR$106, MATCH(C155, 'São Leopoldo'!$C$55:$C$106, 0)+1)</f>
        <v/>
      </c>
      <c r="L155" s="224">
        <f>INDEX('São Leopoldo'!$AJ$55:$AJ$106, MATCH(C155, 'São Leopoldo'!$C$55:$C$106, 0))</f>
        <v>52246.754999999997</v>
      </c>
      <c r="M155" s="224"/>
      <c r="N155" s="224"/>
      <c r="O155" s="224"/>
      <c r="P155" s="224"/>
      <c r="Q155">
        <v>152</v>
      </c>
      <c r="R155" s="253">
        <f t="shared" si="51"/>
        <v>26000</v>
      </c>
      <c r="S155" t="str">
        <f t="shared" si="46"/>
        <v>25 - KAIZEN - Redução de peso bruto_MB003601LA_Rev00_Bruno Manachini</v>
      </c>
      <c r="T155" t="str">
        <f t="shared" si="47"/>
        <v>Diadema</v>
      </c>
      <c r="U155" s="253">
        <f t="shared" si="52"/>
        <v>17427.61</v>
      </c>
      <c r="V155" s="224">
        <f t="shared" ca="1" si="53"/>
        <v>6535.3537500000002</v>
      </c>
      <c r="W155" s="224">
        <f t="shared" ca="1" si="54"/>
        <v>6011.0914499999808</v>
      </c>
      <c r="X155" t="str">
        <f t="shared" si="48"/>
        <v>✓ Concluído</v>
      </c>
      <c r="Y155" s="716">
        <f t="shared" si="49"/>
        <v>46143</v>
      </c>
      <c r="Z155" t="str">
        <f t="shared" si="50"/>
        <v>OK</v>
      </c>
    </row>
    <row r="156" spans="1:26" x14ac:dyDescent="0.3">
      <c r="A156">
        <v>8</v>
      </c>
      <c r="B156" s="224">
        <f>IFERROR(LARGE('São Leopoldo'!$I$55:$I$106,A156)," ")</f>
        <v>82981.320000000007</v>
      </c>
      <c r="C156" t="str">
        <f>IFERROR(INDEX(
    'São Leopoldo'!$C$55:$C$106,
    MATCH(
        B156,
        'São Leopoldo'!$I$55:$I$106,
        0
    )
), " ")</f>
        <v>13- Redução do custo mensal de empilhadeira locada (LOCAPEX).</v>
      </c>
      <c r="D156" s="719">
        <f t="shared" si="55"/>
        <v>3.7505330458603173E-2</v>
      </c>
      <c r="E156" s="339">
        <f t="shared" si="57"/>
        <v>0.86372626027860433</v>
      </c>
      <c r="F156" t="str">
        <f t="shared" si="56"/>
        <v>São leopoldo</v>
      </c>
      <c r="G156" t="str">
        <f>_xlfn.XLOOKUP(C156,'São Leopoldo'!$C$55:$C$106,'São Leopoldo'!$O$55:$O$106)</f>
        <v>✓ Concluído</v>
      </c>
      <c r="H156" t="str">
        <f>_xlfn.XLOOKUP(C156,'São Leopoldo'!$C$55:$C$106,'São Leopoldo'!$M$55:$M$106," ")</f>
        <v>OK</v>
      </c>
      <c r="I156" s="716">
        <f>_xlfn.XLOOKUP(C156,'São Leopoldo'!$C$55:$C$106,'São Leopoldo'!$J$55:$J$106)</f>
        <v>46113</v>
      </c>
      <c r="J156" s="224">
        <f ca="1">INDEX('São Leopoldo'!$AR$55:$AR$106, MATCH(C156, 'São Leopoldo'!$C$55:$C$106, 0))</f>
        <v>24587.057777777776</v>
      </c>
      <c r="K156" s="224" cm="1">
        <f t="array" aca="1" ref="K156" ca="1">INDEX('São Leopoldo'!$AR$55:$AR$106, MATCH(C156, 'São Leopoldo'!$C$55:$C$106, 0)+1)</f>
        <v>23795.34</v>
      </c>
      <c r="L156" s="224">
        <f>INDEX('São Leopoldo'!$AJ$55:$AJ$106, MATCH(C156, 'São Leopoldo'!$C$55:$C$106, 0))</f>
        <v>18440.293333333331</v>
      </c>
      <c r="M156" s="224"/>
      <c r="N156" s="224"/>
      <c r="O156" s="224"/>
      <c r="P156" s="224"/>
      <c r="Q156">
        <v>153</v>
      </c>
      <c r="R156" s="253">
        <f t="shared" si="51"/>
        <v>25000</v>
      </c>
      <c r="S156" t="str">
        <f t="shared" si="46"/>
        <v>08- ÁGUA</v>
      </c>
      <c r="T156" t="str">
        <f t="shared" si="47"/>
        <v>Anchieta</v>
      </c>
      <c r="U156" s="253">
        <f t="shared" si="52"/>
        <v>8333.3333333333339</v>
      </c>
      <c r="V156" s="224">
        <f t="shared" ca="1" si="53"/>
        <v>11111.111111111111</v>
      </c>
      <c r="W156" s="224" t="str">
        <f t="shared" ca="1" si="54"/>
        <v/>
      </c>
      <c r="X156" t="str">
        <f t="shared" si="48"/>
        <v>⏳ Em Execução</v>
      </c>
      <c r="Y156" s="716">
        <f t="shared" si="49"/>
        <v>46113</v>
      </c>
      <c r="Z156" t="str">
        <f t="shared" si="50"/>
        <v/>
      </c>
    </row>
    <row r="157" spans="1:26" x14ac:dyDescent="0.3">
      <c r="A157">
        <v>9</v>
      </c>
      <c r="B157" s="224">
        <f>IFERROR(LARGE('São Leopoldo'!$I$55:$I$106,A157)," ")</f>
        <v>48730.19</v>
      </c>
      <c r="C157" t="str">
        <f>IFERROR(INDEX(
    'São Leopoldo'!$C$55:$C$106,
    MATCH(
        B157,
        'São Leopoldo'!$I$55:$I$106,
        0
    )
), " ")</f>
        <v xml:space="preserve">10 -  REDUÇÃO DE PESO BRUTO DD000504/505Z
</v>
      </c>
      <c r="D157" s="719">
        <f t="shared" si="55"/>
        <v>2.2024738570807501E-2</v>
      </c>
      <c r="E157" s="339">
        <f t="shared" si="57"/>
        <v>0.88575099884941189</v>
      </c>
      <c r="F157" t="str">
        <f t="shared" si="56"/>
        <v>São leopoldo</v>
      </c>
      <c r="G157" t="str">
        <f>_xlfn.XLOOKUP(C157,'São Leopoldo'!$C$55:$C$106,'São Leopoldo'!$O$55:$O$106)</f>
        <v>✓ Concluído</v>
      </c>
      <c r="H157" t="str">
        <f>_xlfn.XLOOKUP(C157,'São Leopoldo'!$C$55:$C$106,'São Leopoldo'!$M$55:$M$106," ")</f>
        <v>OK</v>
      </c>
      <c r="I157" s="716">
        <f>_xlfn.XLOOKUP(C157,'São Leopoldo'!$C$55:$C$106,'São Leopoldo'!$J$55:$J$106)</f>
        <v>46239</v>
      </c>
      <c r="J157" s="224" t="str">
        <f ca="1">INDEX('São Leopoldo'!$AR$55:$AR$106, MATCH(C157, 'São Leopoldo'!$C$55:$C$106, 0))</f>
        <v/>
      </c>
      <c r="K157" s="224" t="str" cm="1">
        <f t="array" aca="1" ref="K157" ca="1">INDEX('São Leopoldo'!$AR$55:$AR$106, MATCH(C157, 'São Leopoldo'!$C$55:$C$106, 0)+1)</f>
        <v/>
      </c>
      <c r="L157" s="224">
        <f>INDEX('São Leopoldo'!$AJ$55:$AJ$106, MATCH(C157, 'São Leopoldo'!$C$55:$C$106, 0))</f>
        <v>22803.036</v>
      </c>
      <c r="M157" s="224"/>
      <c r="N157" s="224"/>
      <c r="O157" s="224"/>
      <c r="P157" s="224"/>
      <c r="Q157">
        <v>154</v>
      </c>
      <c r="R157" s="253">
        <f t="shared" si="51"/>
        <v>25000</v>
      </c>
      <c r="S157" t="str">
        <f t="shared" si="46"/>
        <v>08- ÁGUA</v>
      </c>
      <c r="T157" t="str">
        <f t="shared" si="47"/>
        <v>Anchieta</v>
      </c>
      <c r="U157" s="253">
        <f t="shared" si="52"/>
        <v>8333.3333333333339</v>
      </c>
      <c r="V157" s="224">
        <f t="shared" ca="1" si="53"/>
        <v>11111.111111111111</v>
      </c>
      <c r="W157" s="224" t="str">
        <f t="shared" ca="1" si="54"/>
        <v/>
      </c>
      <c r="X157" t="str">
        <f t="shared" si="48"/>
        <v>⏳ Em Execução</v>
      </c>
      <c r="Y157" s="716">
        <f t="shared" si="49"/>
        <v>46113</v>
      </c>
      <c r="Z157" t="str">
        <f t="shared" si="50"/>
        <v/>
      </c>
    </row>
    <row r="158" spans="1:26" x14ac:dyDescent="0.3">
      <c r="A158">
        <v>10</v>
      </c>
      <c r="B158" s="224">
        <f>IFERROR(LARGE('São Leopoldo'!$I$55:$I$106,A158)," ")</f>
        <v>46282.32</v>
      </c>
      <c r="C158" t="str">
        <f>IFERROR(INDEX(
    'São Leopoldo'!$C$55:$C$106,
    MATCH(
        B158,
        'São Leopoldo'!$I$55:$I$106,
        0
    )
), " ")</f>
        <v xml:space="preserve">15-  REDUÇÃO DE PESO BRUTO DD000507z
</v>
      </c>
      <c r="D158" s="719">
        <f t="shared" si="55"/>
        <v>2.0918367001040942E-2</v>
      </c>
      <c r="E158" s="339">
        <f t="shared" si="57"/>
        <v>0.90666936585045288</v>
      </c>
      <c r="F158" t="str">
        <f t="shared" si="56"/>
        <v>São leopoldo</v>
      </c>
      <c r="G158" t="str">
        <f>_xlfn.XLOOKUP(C158,'São Leopoldo'!$C$55:$C$106,'São Leopoldo'!$O$55:$O$106)</f>
        <v>⏳ Em Execução</v>
      </c>
      <c r="H158">
        <f>_xlfn.XLOOKUP(C158,'São Leopoldo'!$C$55:$C$106,'São Leopoldo'!$M$55:$M$106," ")</f>
        <v>0</v>
      </c>
      <c r="I158" s="716">
        <f>_xlfn.XLOOKUP(C158,'São Leopoldo'!$C$55:$C$106,'São Leopoldo'!$J$55:$J$106)</f>
        <v>46327</v>
      </c>
      <c r="J158" s="224" t="str">
        <f ca="1">INDEX('São Leopoldo'!$AR$55:$AR$106, MATCH(C158, 'São Leopoldo'!$C$55:$C$106, 0))</f>
        <v/>
      </c>
      <c r="K158" s="224" t="str" cm="1">
        <f t="array" aca="1" ref="K158" ca="1">INDEX('São Leopoldo'!$AR$55:$AR$106, MATCH(C158, 'São Leopoldo'!$C$55:$C$106, 0)+1)</f>
        <v/>
      </c>
      <c r="L158" s="224">
        <f>INDEX('São Leopoldo'!$AJ$55:$AJ$106, MATCH(C158, 'São Leopoldo'!$C$55:$C$106, 0))</f>
        <v>46282.32</v>
      </c>
      <c r="M158" s="224"/>
      <c r="N158" s="224"/>
      <c r="O158" s="224"/>
      <c r="P158" s="224"/>
      <c r="Q158">
        <v>155</v>
      </c>
      <c r="R158" s="253">
        <f t="shared" si="51"/>
        <v>24522.880000000001</v>
      </c>
      <c r="S158" t="str">
        <f t="shared" si="46"/>
        <v>BID Fita Alta Temp 3M + Anti-Slip 3M</v>
      </c>
      <c r="T158" t="str">
        <f t="shared" si="47"/>
        <v>Compras</v>
      </c>
      <c r="U158" s="253">
        <f t="shared" si="52"/>
        <v>24522.880000000001</v>
      </c>
      <c r="V158" s="224">
        <f t="shared" ca="1" si="53"/>
        <v>12261.44</v>
      </c>
      <c r="W158" s="224" t="str">
        <f t="shared" ca="1" si="54"/>
        <v/>
      </c>
      <c r="X158" t="str">
        <f t="shared" si="48"/>
        <v>✓ Concluído</v>
      </c>
      <c r="Y158" s="716">
        <f t="shared" si="49"/>
        <v>46098</v>
      </c>
      <c r="Z158" t="str">
        <f t="shared" si="50"/>
        <v/>
      </c>
    </row>
    <row r="159" spans="1:26" x14ac:dyDescent="0.3">
      <c r="A159">
        <v>11</v>
      </c>
      <c r="B159" s="224">
        <f>IFERROR(LARGE('São Leopoldo'!$I$55:$I$106,A159)," ")</f>
        <v>40500</v>
      </c>
      <c r="C159" t="str">
        <f>IFERROR(INDEX(
    'São Leopoldo'!$C$55:$C$106,
    MATCH(
        B159,
        'São Leopoldo'!$I$55:$I$106,
        0
    )
), " ")</f>
        <v>05 - Acabamento capo CN13</v>
      </c>
      <c r="D159" s="719">
        <f t="shared" si="55"/>
        <v>1.8304913486233147E-2</v>
      </c>
      <c r="E159" s="339">
        <f t="shared" si="57"/>
        <v>0.92497427933668608</v>
      </c>
      <c r="F159" t="str">
        <f t="shared" si="56"/>
        <v>São leopoldo</v>
      </c>
      <c r="G159" t="str">
        <f>_xlfn.XLOOKUP(C159,'São Leopoldo'!$C$55:$C$106,'São Leopoldo'!$O$55:$O$106)</f>
        <v>✓ Concluído</v>
      </c>
      <c r="H159" t="str">
        <f>_xlfn.XLOOKUP(C159,'São Leopoldo'!$C$55:$C$106,'São Leopoldo'!$M$55:$M$106," ")</f>
        <v>OK</v>
      </c>
      <c r="I159" s="716">
        <f>_xlfn.XLOOKUP(C159,'São Leopoldo'!$C$55:$C$106,'São Leopoldo'!$J$55:$J$106)</f>
        <v>46113</v>
      </c>
      <c r="J159" s="224">
        <f ca="1">INDEX('São Leopoldo'!$AR$55:$AR$106, MATCH(C159, 'São Leopoldo'!$C$55:$C$106, 0))</f>
        <v>27121.599999999999</v>
      </c>
      <c r="K159" s="224" cm="1">
        <f t="array" aca="1" ref="K159" ca="1">INDEX('São Leopoldo'!$AR$55:$AR$106, MATCH(C159, 'São Leopoldo'!$C$55:$C$106, 0)+1)</f>
        <v>20341.199999999997</v>
      </c>
      <c r="L159" s="224">
        <f>INDEX('São Leopoldo'!$AJ$55:$AJ$106, MATCH(C159, 'São Leopoldo'!$C$55:$C$106, 0))</f>
        <v>20341.199999999997</v>
      </c>
      <c r="M159" s="224"/>
      <c r="N159" s="224"/>
      <c r="O159" s="224"/>
      <c r="P159" s="224"/>
      <c r="Q159">
        <v>156</v>
      </c>
      <c r="R159" s="253">
        <f t="shared" si="51"/>
        <v>24120</v>
      </c>
      <c r="S159" t="str">
        <f t="shared" si="46"/>
        <v>14 - Redução de consumo no passo do blank dos itens VW000950AA/951AA</v>
      </c>
      <c r="T159" t="str">
        <f t="shared" si="47"/>
        <v>Jarinu</v>
      </c>
      <c r="U159" s="253">
        <f t="shared" si="52"/>
        <v>12830.805</v>
      </c>
      <c r="V159" s="224">
        <f t="shared" ca="1" si="53"/>
        <v>4276.9350000000004</v>
      </c>
      <c r="W159" s="224">
        <f t="shared" ca="1" si="54"/>
        <v>4110.9371626224101</v>
      </c>
      <c r="X159" t="str">
        <f t="shared" si="48"/>
        <v>✓ Concluído</v>
      </c>
      <c r="Y159" s="716">
        <f t="shared" si="49"/>
        <v>46204</v>
      </c>
      <c r="Z159" t="str">
        <f t="shared" si="50"/>
        <v>OK</v>
      </c>
    </row>
    <row r="160" spans="1:26" x14ac:dyDescent="0.3">
      <c r="A160">
        <v>12</v>
      </c>
      <c r="B160" s="224">
        <f>IFERROR(LARGE('São Leopoldo'!$I$55:$I$106,A160)," ")</f>
        <v>40000</v>
      </c>
      <c r="C160" t="str">
        <f>IFERROR(INDEX(
    'São Leopoldo'!$C$55:$C$106,
    MATCH(
        B160,
        'São Leopoldo'!$I$55:$I$106,
        0
    )
), " ")</f>
        <v>03- Comunização de Materiais</v>
      </c>
      <c r="D160" s="719">
        <f t="shared" si="55"/>
        <v>1.8078926899983357E-2</v>
      </c>
      <c r="E160" s="339">
        <f t="shared" si="57"/>
        <v>0.94305320623666944</v>
      </c>
      <c r="F160" t="str">
        <f t="shared" si="56"/>
        <v>São leopoldo</v>
      </c>
      <c r="G160" t="str">
        <f>_xlfn.XLOOKUP(C160,'São Leopoldo'!$C$55:$C$106,'São Leopoldo'!$O$55:$O$106)</f>
        <v>⏳ Em Execução</v>
      </c>
      <c r="H160">
        <f>_xlfn.XLOOKUP(C160,'São Leopoldo'!$C$55:$C$106,'São Leopoldo'!$M$55:$M$106," ")</f>
        <v>0</v>
      </c>
      <c r="I160" s="716">
        <f>_xlfn.XLOOKUP(C160,'São Leopoldo'!$C$55:$C$106,'São Leopoldo'!$J$55:$J$106)</f>
        <v>46327</v>
      </c>
      <c r="J160" s="224" t="str">
        <f ca="1">INDEX('São Leopoldo'!$AR$55:$AR$106, MATCH(C160, 'São Leopoldo'!$C$55:$C$106, 0))</f>
        <v/>
      </c>
      <c r="K160" s="224" t="str" cm="1">
        <f t="array" aca="1" ref="K160" ca="1">INDEX('São Leopoldo'!$AR$55:$AR$106, MATCH(C160, 'São Leopoldo'!$C$55:$C$106, 0)+1)</f>
        <v/>
      </c>
      <c r="L160" s="224">
        <f>INDEX('São Leopoldo'!$AJ$55:$AJ$106, MATCH(C160, 'São Leopoldo'!$C$55:$C$106, 0))</f>
        <v>40000</v>
      </c>
      <c r="M160" s="224"/>
      <c r="N160" s="224"/>
      <c r="O160" s="224"/>
      <c r="P160" s="224"/>
      <c r="Q160">
        <v>157</v>
      </c>
      <c r="R160" s="253">
        <f t="shared" si="51"/>
        <v>24000.000899999999</v>
      </c>
      <c r="S160" t="str">
        <f t="shared" si="46"/>
        <v>03 - Otimização de processo - Cavalo Marinho</v>
      </c>
      <c r="T160" t="str">
        <f t="shared" si="47"/>
        <v>Diadema</v>
      </c>
      <c r="U160" s="253">
        <f t="shared" si="52"/>
        <v>24000.000900000003</v>
      </c>
      <c r="V160" s="224">
        <f t="shared" ca="1" si="53"/>
        <v>12000.00045</v>
      </c>
      <c r="W160" s="224" t="str">
        <f t="shared" ca="1" si="54"/>
        <v/>
      </c>
      <c r="X160" t="str">
        <f t="shared" si="48"/>
        <v>✓ Concluído</v>
      </c>
      <c r="Y160" s="716">
        <f t="shared" si="49"/>
        <v>46082</v>
      </c>
      <c r="Z160" t="str">
        <f t="shared" si="50"/>
        <v/>
      </c>
    </row>
    <row r="161" spans="1:26" x14ac:dyDescent="0.3">
      <c r="A161">
        <v>13</v>
      </c>
      <c r="B161" s="224">
        <f>IFERROR(LARGE('São Leopoldo'!$I$55:$I$106,A161)," ")</f>
        <v>37356.410000000003</v>
      </c>
      <c r="C161" t="str">
        <f>IFERROR(INDEX(
    'São Leopoldo'!$C$55:$C$106,
    MATCH(
        B161,
        'São Leopoldo'!$I$55:$I$106,
        0
    )
), " ")</f>
        <v xml:space="preserve">02 -  REDUÇÃO DE PESO BRUTO DD000506Z
</v>
      </c>
      <c r="D161" s="719">
        <f t="shared" si="55"/>
        <v>1.6884095140895183E-2</v>
      </c>
      <c r="E161" s="339">
        <f t="shared" si="57"/>
        <v>0.95993730137756461</v>
      </c>
      <c r="F161" t="str">
        <f t="shared" si="56"/>
        <v>São leopoldo</v>
      </c>
      <c r="G161" t="str">
        <f>_xlfn.XLOOKUP(C161,'São Leopoldo'!$C$55:$C$106,'São Leopoldo'!$O$55:$O$106)</f>
        <v>⏳ Em Execução</v>
      </c>
      <c r="H161">
        <f>_xlfn.XLOOKUP(C161,'São Leopoldo'!$C$55:$C$106,'São Leopoldo'!$M$55:$M$106," ")</f>
        <v>0</v>
      </c>
      <c r="I161" s="716">
        <f>_xlfn.XLOOKUP(C161,'São Leopoldo'!$C$55:$C$106,'São Leopoldo'!$J$55:$J$106)</f>
        <v>46331</v>
      </c>
      <c r="J161" s="224" t="str">
        <f ca="1">INDEX('São Leopoldo'!$AR$55:$AR$106, MATCH(C161, 'São Leopoldo'!$C$55:$C$106, 0))</f>
        <v/>
      </c>
      <c r="K161" s="224" t="str" cm="1">
        <f t="array" aca="1" ref="K161" ca="1">INDEX('São Leopoldo'!$AR$55:$AR$106, MATCH(C161, 'São Leopoldo'!$C$55:$C$106, 0)+1)</f>
        <v/>
      </c>
      <c r="L161" s="224">
        <f>INDEX('São Leopoldo'!$AJ$55:$AJ$106, MATCH(C161, 'São Leopoldo'!$C$55:$C$106, 0))</f>
        <v>37356.410000000003</v>
      </c>
      <c r="M161" s="224"/>
      <c r="N161" s="224"/>
      <c r="O161" s="224"/>
      <c r="P161" s="224"/>
      <c r="Q161">
        <v>158</v>
      </c>
      <c r="R161" s="253">
        <f t="shared" si="51"/>
        <v>22612.28</v>
      </c>
      <c r="S161" t="str">
        <f t="shared" si="46"/>
        <v>BID tampões pintura Anchieta</v>
      </c>
      <c r="T161" t="str">
        <f t="shared" si="47"/>
        <v>Compras</v>
      </c>
      <c r="U161" s="253">
        <f t="shared" si="52"/>
        <v>21098.91</v>
      </c>
      <c r="V161" s="224">
        <f t="shared" ca="1" si="53"/>
        <v>12307.6975</v>
      </c>
      <c r="W161" s="224">
        <f t="shared" ca="1" si="54"/>
        <v>7788</v>
      </c>
      <c r="X161" t="str">
        <f t="shared" si="48"/>
        <v>✓ Concluído</v>
      </c>
      <c r="Y161" s="716">
        <f t="shared" si="49"/>
        <v>46023</v>
      </c>
      <c r="Z161" t="str">
        <f t="shared" si="50"/>
        <v>OK</v>
      </c>
    </row>
    <row r="162" spans="1:26" x14ac:dyDescent="0.3">
      <c r="A162">
        <v>14</v>
      </c>
      <c r="B162" s="224">
        <f>IFERROR(LARGE('São Leopoldo'!$I$55:$I$106,A162)," ")</f>
        <v>33214.550000000003</v>
      </c>
      <c r="C162" t="str">
        <f>IFERROR(INDEX(
    'São Leopoldo'!$C$55:$C$106,
    MATCH(
        B162,
        'São Leopoldo'!$I$55:$I$106,
        0
    )
), " ")</f>
        <v>22- Eliminar custo com usinagem externa CN 00016/17</v>
      </c>
      <c r="D162" s="719">
        <f t="shared" si="55"/>
        <v>1.5012085536646055E-2</v>
      </c>
      <c r="E162" s="339">
        <f t="shared" si="57"/>
        <v>0.97494938691421063</v>
      </c>
      <c r="F162" t="str">
        <f t="shared" si="56"/>
        <v>São leopoldo</v>
      </c>
      <c r="G162" t="str">
        <f>_xlfn.XLOOKUP(C162,'São Leopoldo'!$C$55:$C$106,'São Leopoldo'!$O$55:$O$106)</f>
        <v>✓ Concluído</v>
      </c>
      <c r="H162" t="str">
        <f>_xlfn.XLOOKUP(C162,'São Leopoldo'!$C$55:$C$106,'São Leopoldo'!$M$55:$M$106," ")</f>
        <v>OK</v>
      </c>
      <c r="I162" s="716">
        <f>_xlfn.XLOOKUP(C162,'São Leopoldo'!$C$55:$C$106,'São Leopoldo'!$J$55:$J$106)</f>
        <v>46266</v>
      </c>
      <c r="J162" s="224" t="str">
        <f ca="1">INDEX('São Leopoldo'!$AR$55:$AR$106, MATCH(C162, 'São Leopoldo'!$C$55:$C$106, 0))</f>
        <v/>
      </c>
      <c r="K162" s="224" t="str" cm="1">
        <f t="array" aca="1" ref="K162" ca="1">INDEX('São Leopoldo'!$AR$55:$AR$106, MATCH(C162, 'São Leopoldo'!$C$55:$C$106, 0)+1)</f>
        <v/>
      </c>
      <c r="L162" s="224">
        <f>INDEX('São Leopoldo'!$AJ$55:$AJ$106, MATCH(C162, 'São Leopoldo'!$C$55:$C$106, 0))</f>
        <v>2283.5625</v>
      </c>
      <c r="M162" s="224"/>
      <c r="N162" s="224"/>
      <c r="O162" s="224"/>
      <c r="P162" s="224"/>
      <c r="Q162">
        <v>159</v>
      </c>
      <c r="R162" s="253">
        <f t="shared" si="51"/>
        <v>22050</v>
      </c>
      <c r="S162" t="str">
        <f t="shared" si="46"/>
        <v>09- Substituíção de Empilhadeiras GPL.</v>
      </c>
      <c r="T162" t="str">
        <f t="shared" si="47"/>
        <v>São leopoldo</v>
      </c>
      <c r="U162" s="253">
        <f t="shared" si="52"/>
        <v>13230</v>
      </c>
      <c r="V162" s="224" t="str">
        <f t="shared" ca="1" si="53"/>
        <v/>
      </c>
      <c r="W162" s="224" t="str">
        <f t="shared" ca="1" si="54"/>
        <v/>
      </c>
      <c r="X162" t="str">
        <f t="shared" si="48"/>
        <v>⏳ Em Execução</v>
      </c>
      <c r="Y162" s="716">
        <f t="shared" si="49"/>
        <v>46248</v>
      </c>
      <c r="Z162" t="str">
        <f t="shared" si="50"/>
        <v/>
      </c>
    </row>
    <row r="163" spans="1:26" x14ac:dyDescent="0.3">
      <c r="A163">
        <v>15</v>
      </c>
      <c r="B163" s="224">
        <f>IFERROR(LARGE('São Leopoldo'!$I$55:$I$106,A163)," ")</f>
        <v>26400</v>
      </c>
      <c r="C163" t="str">
        <f>IFERROR(INDEX(
    'São Leopoldo'!$C$55:$C$106,
    MATCH(
        B163,
        'São Leopoldo'!$I$55:$I$106,
        0
    )
), " ")</f>
        <v>11- REDUZIR A QUANTIDADE DE MÁQUINAS DE SOLDA MIG/MAG LOCADAS</v>
      </c>
      <c r="D163" s="719">
        <f t="shared" si="55"/>
        <v>1.1932091753989016E-2</v>
      </c>
      <c r="E163" s="339">
        <f t="shared" si="57"/>
        <v>0.98688147866819964</v>
      </c>
      <c r="F163" t="str">
        <f t="shared" si="56"/>
        <v>São leopoldo</v>
      </c>
      <c r="G163" t="str">
        <f>_xlfn.XLOOKUP(C163,'São Leopoldo'!$C$55:$C$106,'São Leopoldo'!$O$55:$O$106)</f>
        <v>✓ Concluído</v>
      </c>
      <c r="H163" t="str">
        <f>_xlfn.XLOOKUP(C163,'São Leopoldo'!$C$55:$C$106,'São Leopoldo'!$M$55:$M$106," ")</f>
        <v>OK</v>
      </c>
      <c r="I163" s="716">
        <f>_xlfn.XLOOKUP(C163,'São Leopoldo'!$C$55:$C$106,'São Leopoldo'!$J$55:$J$106)</f>
        <v>46145</v>
      </c>
      <c r="J163" s="224">
        <f ca="1">INDEX('São Leopoldo'!$AR$55:$AR$106, MATCH(C163, 'São Leopoldo'!$C$55:$C$106, 0))</f>
        <v>2887.5</v>
      </c>
      <c r="K163" s="224" cm="1">
        <f t="array" aca="1" ref="K163" ca="1">INDEX('São Leopoldo'!$AR$55:$AR$106, MATCH(C163, 'São Leopoldo'!$C$55:$C$106, 0)+1)</f>
        <v>-6700</v>
      </c>
      <c r="L163" s="224">
        <f>INDEX('São Leopoldo'!$AJ$55:$AJ$106, MATCH(C163, 'São Leopoldo'!$C$55:$C$106, 0))</f>
        <v>2887.5</v>
      </c>
      <c r="M163" s="224"/>
      <c r="N163" s="224"/>
      <c r="O163" s="224"/>
      <c r="P163" s="224"/>
      <c r="Q163">
        <v>160</v>
      </c>
      <c r="R163" s="253">
        <f t="shared" si="51"/>
        <v>19309</v>
      </c>
      <c r="S163" t="str">
        <f t="shared" si="46"/>
        <v>23 - Redução do consumo de MTP VW000938AB (- 3 mm no passo)</v>
      </c>
      <c r="T163" t="str">
        <f t="shared" si="47"/>
        <v>Jarinu</v>
      </c>
      <c r="U163" s="253">
        <f t="shared" si="52"/>
        <v>5296.5169999999998</v>
      </c>
      <c r="V163" s="224">
        <f t="shared" ca="1" si="53"/>
        <v>7062.0226666666667</v>
      </c>
      <c r="W163" s="224">
        <f t="shared" ca="1" si="54"/>
        <v>6254.5117253472336</v>
      </c>
      <c r="X163" t="str">
        <f t="shared" si="48"/>
        <v>✓ Concluído</v>
      </c>
      <c r="Y163" s="716">
        <f t="shared" si="49"/>
        <v>46113</v>
      </c>
      <c r="Z163" t="str">
        <f t="shared" si="50"/>
        <v>OK</v>
      </c>
    </row>
    <row r="164" spans="1:26" x14ac:dyDescent="0.3">
      <c r="A164">
        <v>16</v>
      </c>
      <c r="B164" s="224">
        <f>IFERROR(LARGE('São Leopoldo'!$I$55:$I$106,A164)," ")</f>
        <v>22050</v>
      </c>
      <c r="C164" t="str">
        <f>IFERROR(INDEX(
    'São Leopoldo'!$C$55:$C$106,
    MATCH(
        B164,
        'São Leopoldo'!$I$55:$I$106,
        0
    )
), " ")</f>
        <v>09- Substituíção de Empilhadeiras GPL.</v>
      </c>
      <c r="D164" s="719">
        <f t="shared" si="55"/>
        <v>9.9660084536158256E-3</v>
      </c>
      <c r="E164" s="339">
        <f t="shared" si="57"/>
        <v>0.99684748712181548</v>
      </c>
      <c r="F164" t="str">
        <f t="shared" si="56"/>
        <v>São leopoldo</v>
      </c>
      <c r="G164" t="str">
        <f>_xlfn.XLOOKUP(C164,'São Leopoldo'!$C$55:$C$106,'São Leopoldo'!$O$55:$O$106)</f>
        <v>⏳ Em Execução</v>
      </c>
      <c r="H164">
        <f>_xlfn.XLOOKUP(C164,'São Leopoldo'!$C$55:$C$106,'São Leopoldo'!$M$55:$M$106," ")</f>
        <v>0</v>
      </c>
      <c r="I164" s="716">
        <f>_xlfn.XLOOKUP(C164,'São Leopoldo'!$C$55:$C$106,'São Leopoldo'!$J$55:$J$106)</f>
        <v>46248</v>
      </c>
      <c r="J164" s="224" t="str">
        <f ca="1">INDEX('São Leopoldo'!$AR$55:$AR$106, MATCH(C164, 'São Leopoldo'!$C$55:$C$106, 0))</f>
        <v/>
      </c>
      <c r="K164" s="224" t="str" cm="1">
        <f t="array" aca="1" ref="K164" ca="1">INDEX('São Leopoldo'!$AR$55:$AR$106, MATCH(C164, 'São Leopoldo'!$C$55:$C$106, 0)+1)</f>
        <v/>
      </c>
      <c r="L164" s="224">
        <f>INDEX('São Leopoldo'!$AJ$55:$AJ$106, MATCH(C164, 'São Leopoldo'!$C$55:$C$106, 0))</f>
        <v>13230</v>
      </c>
      <c r="M164" s="224"/>
      <c r="N164" s="224"/>
      <c r="O164" s="224"/>
      <c r="P164" s="224"/>
      <c r="Q164">
        <v>161</v>
      </c>
      <c r="R164" s="253">
        <f t="shared" si="51"/>
        <v>16500</v>
      </c>
      <c r="S164" t="str">
        <f t="shared" ref="S164:S195" si="58">_xlfn.XLOOKUP(R164,B:B,C:C)</f>
        <v xml:space="preserve"> 07 - Consumo de água</v>
      </c>
      <c r="T164" t="str">
        <f t="shared" ref="T164:T195" si="59">_xlfn.XLOOKUP(S164,C:C,F:F)</f>
        <v>Diadema</v>
      </c>
      <c r="U164" s="253">
        <f t="shared" si="52"/>
        <v>16500</v>
      </c>
      <c r="V164" s="224">
        <f t="shared" ca="1" si="53"/>
        <v>6187.5</v>
      </c>
      <c r="W164" s="224" t="str">
        <f t="shared" ca="1" si="54"/>
        <v/>
      </c>
      <c r="X164" t="str">
        <f t="shared" ref="X164:X198" si="60">_xlfn.XLOOKUP(S164,C:C,G:G)</f>
        <v>✓ Concluído</v>
      </c>
      <c r="Y164" s="716">
        <f t="shared" ref="Y164:Y195" si="61">_xlfn.XLOOKUP(S164,C:C,I:I)</f>
        <v>46143</v>
      </c>
      <c r="Z164" t="str">
        <f t="shared" ref="Z164:Z198" si="62">IF(_xlfn.XLOOKUP(S164,C:C,H:H) = 0, "", _xlfn.XLOOKUP(S164,C:C,H:H))</f>
        <v/>
      </c>
    </row>
    <row r="165" spans="1:26" x14ac:dyDescent="0.3">
      <c r="A165">
        <v>17</v>
      </c>
      <c r="B165" s="224"/>
      <c r="C165" t="str">
        <f>IFERROR(INDEX(
    'São Leopoldo'!$C$55:$C$106,
    MATCH(
        B165,
        'São Leopoldo'!$I$55:$I$106,
        0
    )
), " ")</f>
        <v xml:space="preserve"> </v>
      </c>
      <c r="D165" s="719">
        <f t="shared" si="55"/>
        <v>0</v>
      </c>
      <c r="E165" s="339">
        <f t="shared" si="57"/>
        <v>0.99684748712181548</v>
      </c>
      <c r="F165" t="str">
        <f t="shared" si="56"/>
        <v>São leopoldo</v>
      </c>
      <c r="G165" t="e">
        <f>_xlfn.XLOOKUP(C165,'São Leopoldo'!$C$55:$C$106,'São Leopoldo'!$O$55:$O$106)</f>
        <v>#N/A</v>
      </c>
      <c r="H165" t="str">
        <f>_xlfn.XLOOKUP(C165,'São Leopoldo'!$C$55:$C$106,'São Leopoldo'!$M$55:$M$106," ")</f>
        <v xml:space="preserve"> </v>
      </c>
      <c r="I165" s="716" t="e">
        <f>_xlfn.XLOOKUP(C165,'São Leopoldo'!$C$55:$C$106,'São Leopoldo'!$J$55:$J$106)</f>
        <v>#N/A</v>
      </c>
      <c r="J165" s="224" t="e">
        <f>INDEX('São Leopoldo'!$AR$55:$AR$106, MATCH(C165, 'São Leopoldo'!$C$55:$C$106, 0))</f>
        <v>#N/A</v>
      </c>
      <c r="K165" s="224" t="e" cm="1">
        <f t="array" ref="K165">INDEX('São Leopoldo'!$AR$55:$AR$106, MATCH(C165, 'São Leopoldo'!$C$55:$C$106, 0)+1)</f>
        <v>#N/A</v>
      </c>
      <c r="L165" s="224" t="e">
        <f>INDEX('São Leopoldo'!$AJ$55:$AJ$106, MATCH(C165, 'São Leopoldo'!$C$55:$C$106, 0))</f>
        <v>#N/A</v>
      </c>
      <c r="M165" s="224"/>
      <c r="N165" s="224"/>
      <c r="O165" s="224"/>
      <c r="P165" s="224"/>
      <c r="Q165">
        <v>162</v>
      </c>
      <c r="R165" s="253">
        <f t="shared" ref="R165:R196" si="63">IFERROR(LARGE(B:B,Q165)," ")</f>
        <v>15000</v>
      </c>
      <c r="S165" t="str">
        <f t="shared" si="58"/>
        <v>10 - CONSUMO PERNA DE MOÇA</v>
      </c>
      <c r="T165" t="str">
        <f t="shared" si="59"/>
        <v>Anchieta</v>
      </c>
      <c r="U165" s="253">
        <f t="shared" si="52"/>
        <v>5000</v>
      </c>
      <c r="V165" s="224">
        <f t="shared" ref="V165:V198" ca="1" si="64">IFERROR(_xlfn.XLOOKUP(S165,C:C,J:J), "")</f>
        <v>6666.666666666667</v>
      </c>
      <c r="W165" s="224">
        <f t="shared" ref="W165:W198" ca="1" si="65">IFERROR(_xlfn.XLOOKUP(S165,C:C,K:K), "")</f>
        <v>42066.009999999995</v>
      </c>
      <c r="X165" t="str">
        <f t="shared" si="60"/>
        <v>⏳ Em Execução</v>
      </c>
      <c r="Y165" s="716">
        <f t="shared" si="61"/>
        <v>46113</v>
      </c>
      <c r="Z165" t="str">
        <f t="shared" si="62"/>
        <v>OK</v>
      </c>
    </row>
    <row r="166" spans="1:26" x14ac:dyDescent="0.3">
      <c r="A166">
        <v>18</v>
      </c>
      <c r="B166" s="224">
        <f>IFERROR(LARGE('São Leopoldo'!$I$55:$I$106,A166)," ")</f>
        <v>6975</v>
      </c>
      <c r="C166" t="str">
        <f>IFERROR(INDEX(
    'São Leopoldo'!$C$55:$C$106,
    MATCH(
        B166,
        'São Leopoldo'!$I$55:$I$106,
        0
    )
), " ")</f>
        <v>08 - REDUÇÃO DE CUSTO LOCAÇÃO DE PTA (12METROS)</v>
      </c>
      <c r="D166" s="719">
        <f t="shared" si="55"/>
        <v>3.1525128781845976E-3</v>
      </c>
      <c r="E166" s="339">
        <f t="shared" si="57"/>
        <v>1</v>
      </c>
      <c r="F166" t="str">
        <f t="shared" si="56"/>
        <v>São leopoldo</v>
      </c>
      <c r="G166" t="str">
        <f>_xlfn.XLOOKUP(C166,'São Leopoldo'!$C$55:$C$106,'São Leopoldo'!$O$55:$O$106)</f>
        <v>✓ Concluído</v>
      </c>
      <c r="H166" t="str">
        <f>_xlfn.XLOOKUP(C166,'São Leopoldo'!$C$55:$C$106,'São Leopoldo'!$M$55:$M$106," ")</f>
        <v>OK</v>
      </c>
      <c r="I166" s="716">
        <f>_xlfn.XLOOKUP(C166,'São Leopoldo'!$C$55:$C$106,'São Leopoldo'!$J$55:$J$106)</f>
        <v>46143</v>
      </c>
      <c r="J166" s="224">
        <f ca="1">INDEX('São Leopoldo'!$AR$55:$AR$106, MATCH(C166, 'São Leopoldo'!$C$55:$C$106, 0))</f>
        <v>2367.21</v>
      </c>
      <c r="K166" s="224" cm="1">
        <f t="array" aca="1" ref="K166" ca="1">INDEX('São Leopoldo'!$AR$55:$AR$106, MATCH(C166, 'São Leopoldo'!$C$55:$C$106, 0)+1)</f>
        <v>1721.8300000000002</v>
      </c>
      <c r="L166" s="224">
        <f>INDEX('São Leopoldo'!$AJ$55:$AJ$106, MATCH(C166, 'São Leopoldo'!$C$55:$C$106, 0))</f>
        <v>2367.21</v>
      </c>
      <c r="M166" s="224"/>
      <c r="N166" s="224"/>
      <c r="O166" s="224"/>
      <c r="P166" s="224"/>
      <c r="Q166">
        <v>163</v>
      </c>
      <c r="R166" s="253">
        <f t="shared" si="63"/>
        <v>14893</v>
      </c>
      <c r="S166" t="str">
        <f t="shared" si="58"/>
        <v>BID complementar punções Jarinu</v>
      </c>
      <c r="T166" t="str">
        <f t="shared" si="59"/>
        <v>Compras</v>
      </c>
      <c r="U166" s="253">
        <f t="shared" si="52"/>
        <v>25580.329999999998</v>
      </c>
      <c r="V166" s="224">
        <f t="shared" ca="1" si="64"/>
        <v>12790.165000000001</v>
      </c>
      <c r="W166" s="224">
        <f t="shared" ca="1" si="65"/>
        <v>1686.52</v>
      </c>
      <c r="X166" t="str">
        <f t="shared" si="60"/>
        <v>✓ Concluído</v>
      </c>
      <c r="Y166" s="716">
        <f t="shared" si="61"/>
        <v>46082</v>
      </c>
      <c r="Z166" t="str">
        <f t="shared" si="62"/>
        <v>OK</v>
      </c>
    </row>
    <row r="167" spans="1:26" x14ac:dyDescent="0.3">
      <c r="A167">
        <v>19</v>
      </c>
      <c r="B167" s="224" t="str">
        <f>IFERROR(LARGE('São Leopoldo'!$I$55:$I$106,A167)," ")</f>
        <v xml:space="preserve"> </v>
      </c>
      <c r="C167" t="str">
        <f>IFERROR(INDEX(
    'São Leopoldo'!$C$55:$C$106,
    MATCH(
        B167,
        'São Leopoldo'!$I$55:$I$106,
        0
    )
), " ")</f>
        <v xml:space="preserve"> </v>
      </c>
      <c r="D167" s="719" t="str">
        <f t="shared" si="55"/>
        <v xml:space="preserve"> </v>
      </c>
      <c r="E167" s="339" t="str">
        <f t="shared" si="57"/>
        <v xml:space="preserve"> </v>
      </c>
      <c r="F167" t="str">
        <f t="shared" si="56"/>
        <v>São leopoldo</v>
      </c>
      <c r="G167" t="e">
        <f>_xlfn.XLOOKUP(C167,'São Leopoldo'!$C$55:$C$106,'São Leopoldo'!$O$55:$O$106)</f>
        <v>#N/A</v>
      </c>
      <c r="H167" t="str">
        <f>_xlfn.XLOOKUP(C167,'São Leopoldo'!$C$55:$C$106,'São Leopoldo'!$M$55:$M$106," ")</f>
        <v xml:space="preserve"> </v>
      </c>
      <c r="I167" s="716" t="e">
        <f>_xlfn.XLOOKUP(C167,'São Leopoldo'!$C$55:$C$106,'São Leopoldo'!$J$55:$J$106)</f>
        <v>#N/A</v>
      </c>
      <c r="J167" s="224" t="e">
        <f>INDEX('São Leopoldo'!$AR$55:$AR$106, MATCH(C167, 'São Leopoldo'!$C$55:$C$106, 0))</f>
        <v>#N/A</v>
      </c>
      <c r="K167" s="224" t="e" cm="1">
        <f t="array" ref="K167">INDEX('São Leopoldo'!$AR$55:$AR$106, MATCH(C167, 'São Leopoldo'!$C$55:$C$106, 0)+1)</f>
        <v>#N/A</v>
      </c>
      <c r="L167" s="224" t="e">
        <f>INDEX('São Leopoldo'!$AJ$55:$AJ$106, MATCH(C167, 'São Leopoldo'!$C$55:$C$106, 0))</f>
        <v>#N/A</v>
      </c>
      <c r="M167" s="224"/>
      <c r="N167" s="224"/>
      <c r="O167" s="224"/>
      <c r="P167" s="224"/>
      <c r="Q167">
        <v>164</v>
      </c>
      <c r="R167" s="253">
        <f t="shared" si="63"/>
        <v>14256</v>
      </c>
      <c r="S167" t="str">
        <f t="shared" si="58"/>
        <v>35 - Redução de Peso Bruto do item MB003597LA</v>
      </c>
      <c r="T167" t="str">
        <f t="shared" si="59"/>
        <v>Diadema</v>
      </c>
      <c r="U167" s="253">
        <f t="shared" si="52"/>
        <v>14341.050000000001</v>
      </c>
      <c r="V167" s="224">
        <f t="shared" ca="1" si="64"/>
        <v>7170.5249999999996</v>
      </c>
      <c r="W167" s="224">
        <f t="shared" ca="1" si="65"/>
        <v>6770.261755117438</v>
      </c>
      <c r="X167" t="str">
        <f t="shared" si="60"/>
        <v>✓ Concluído</v>
      </c>
      <c r="Y167" s="716">
        <f t="shared" si="61"/>
        <v>46082</v>
      </c>
      <c r="Z167" t="str">
        <f t="shared" si="62"/>
        <v>OK</v>
      </c>
    </row>
    <row r="168" spans="1:26" x14ac:dyDescent="0.3">
      <c r="A168">
        <v>20</v>
      </c>
      <c r="B168" s="224" t="str">
        <f>IFERROR(LARGE('São Leopoldo'!$I$55:$I$106,A168)," ")</f>
        <v xml:space="preserve"> </v>
      </c>
      <c r="C168" t="str">
        <f>IFERROR(INDEX(
    'São Leopoldo'!$C$55:$C$106,
    MATCH(
        B168,
        'São Leopoldo'!$I$55:$I$106,
        0
    )
), " ")</f>
        <v xml:space="preserve"> </v>
      </c>
      <c r="D168" s="719" t="str">
        <f t="shared" si="55"/>
        <v xml:space="preserve"> </v>
      </c>
      <c r="E168" s="339" t="str">
        <f t="shared" si="57"/>
        <v xml:space="preserve"> </v>
      </c>
      <c r="F168" t="str">
        <f t="shared" si="56"/>
        <v>São leopoldo</v>
      </c>
      <c r="G168" t="e">
        <f>_xlfn.XLOOKUP(C168,'São Leopoldo'!$C$55:$C$106,'São Leopoldo'!$O$55:$O$106)</f>
        <v>#N/A</v>
      </c>
      <c r="H168" t="str">
        <f>_xlfn.XLOOKUP(C168,'São Leopoldo'!$C$55:$C$106,'São Leopoldo'!$M$55:$M$106," ")</f>
        <v xml:space="preserve"> </v>
      </c>
      <c r="I168" s="716" t="e">
        <f>_xlfn.XLOOKUP(C168,'São Leopoldo'!$C$55:$C$106,'São Leopoldo'!$J$55:$J$106)</f>
        <v>#N/A</v>
      </c>
      <c r="J168" s="224" t="e">
        <f>INDEX('São Leopoldo'!$AR$55:$AR$106, MATCH(C168, 'São Leopoldo'!$C$55:$C$106, 0))</f>
        <v>#N/A</v>
      </c>
      <c r="K168" s="224" t="e" cm="1">
        <f t="array" ref="K168">INDEX('São Leopoldo'!$AR$55:$AR$106, MATCH(C168, 'São Leopoldo'!$C$55:$C$106, 0)+1)</f>
        <v>#N/A</v>
      </c>
      <c r="L168" s="224" t="e">
        <f>INDEX('São Leopoldo'!$AJ$55:$AJ$106, MATCH(C168, 'São Leopoldo'!$C$55:$C$106, 0))</f>
        <v>#N/A</v>
      </c>
      <c r="M168" s="224"/>
      <c r="N168" s="224"/>
      <c r="O168" s="224"/>
      <c r="P168" s="224"/>
      <c r="Q168">
        <v>165</v>
      </c>
      <c r="R168" s="253">
        <f t="shared" si="63"/>
        <v>13608</v>
      </c>
      <c r="S168" t="str">
        <f t="shared" si="58"/>
        <v>33 - Redução de Peso Bruto do item MB003610LA</v>
      </c>
      <c r="T168" t="str">
        <f t="shared" si="59"/>
        <v>Diadema</v>
      </c>
      <c r="U168" s="253">
        <f t="shared" si="52"/>
        <v>11223.44</v>
      </c>
      <c r="V168" s="224">
        <f t="shared" ca="1" si="64"/>
        <v>5611.72</v>
      </c>
      <c r="W168" s="224">
        <f t="shared" ca="1" si="65"/>
        <v>5323.1352569422743</v>
      </c>
      <c r="X168" t="str">
        <f t="shared" si="60"/>
        <v>✓ Concluído</v>
      </c>
      <c r="Y168" s="716">
        <f t="shared" si="61"/>
        <v>46082</v>
      </c>
      <c r="Z168" t="str">
        <f t="shared" si="62"/>
        <v>OK</v>
      </c>
    </row>
    <row r="169" spans="1:26" x14ac:dyDescent="0.3">
      <c r="A169">
        <v>21</v>
      </c>
      <c r="B169" s="224" t="str">
        <f>IFERROR(LARGE('São Leopoldo'!$I$55:$I$106,A169)," ")</f>
        <v xml:space="preserve"> </v>
      </c>
      <c r="C169" t="str">
        <f>IFERROR(INDEX(
    'São Leopoldo'!$C$55:$C$106,
    MATCH(
        B169,
        'São Leopoldo'!$I$55:$I$106,
        0
    )
), " ")</f>
        <v xml:space="preserve"> </v>
      </c>
      <c r="D169" s="719" t="str">
        <f t="shared" si="55"/>
        <v xml:space="preserve"> </v>
      </c>
      <c r="E169" s="339" t="str">
        <f t="shared" si="57"/>
        <v xml:space="preserve"> </v>
      </c>
      <c r="F169" t="str">
        <f t="shared" si="56"/>
        <v>São leopoldo</v>
      </c>
      <c r="G169" t="e">
        <f>_xlfn.XLOOKUP(C169,'São Leopoldo'!$C$55:$C$106,'São Leopoldo'!$O$55:$O$106)</f>
        <v>#N/A</v>
      </c>
      <c r="H169" t="str">
        <f>_xlfn.XLOOKUP(C169,'São Leopoldo'!$C$55:$C$106,'São Leopoldo'!$M$55:$M$106," ")</f>
        <v xml:space="preserve"> </v>
      </c>
      <c r="I169" s="716" t="e">
        <f>_xlfn.XLOOKUP(C169,'São Leopoldo'!$C$55:$C$106,'São Leopoldo'!$J$55:$J$106)</f>
        <v>#N/A</v>
      </c>
      <c r="J169" s="224" t="e">
        <f>INDEX('São Leopoldo'!$AR$55:$AR$106, MATCH(C169, 'São Leopoldo'!$C$55:$C$106, 0))</f>
        <v>#N/A</v>
      </c>
      <c r="K169" s="224" t="e" cm="1">
        <f t="array" ref="K169">INDEX('São Leopoldo'!$AR$55:$AR$106, MATCH(C169, 'São Leopoldo'!$C$55:$C$106, 0)+1)</f>
        <v>#N/A</v>
      </c>
      <c r="L169" s="224" t="e">
        <f>INDEX('São Leopoldo'!$AJ$55:$AJ$106, MATCH(C169, 'São Leopoldo'!$C$55:$C$106, 0))</f>
        <v>#N/A</v>
      </c>
      <c r="M169" s="224"/>
      <c r="N169" s="224"/>
      <c r="O169" s="224"/>
      <c r="P169" s="224"/>
      <c r="Q169">
        <v>166</v>
      </c>
      <c r="R169" s="253">
        <f t="shared" si="63"/>
        <v>12000</v>
      </c>
      <c r="S169" t="str">
        <f t="shared" si="58"/>
        <v xml:space="preserve">22 - Tablet - Dobradeira </v>
      </c>
      <c r="T169" t="str">
        <f t="shared" si="59"/>
        <v>Ferraz</v>
      </c>
      <c r="U169" s="253">
        <f t="shared" si="52"/>
        <v>6000</v>
      </c>
      <c r="V169" s="224">
        <f t="shared" ca="1" si="64"/>
        <v>2000</v>
      </c>
      <c r="W169" s="224" t="str">
        <f t="shared" ca="1" si="65"/>
        <v/>
      </c>
      <c r="X169" t="str">
        <f t="shared" si="60"/>
        <v>✓ Concluído</v>
      </c>
      <c r="Y169" s="716">
        <f t="shared" si="61"/>
        <v>46204</v>
      </c>
      <c r="Z169" t="str">
        <f t="shared" si="62"/>
        <v>Não Ok</v>
      </c>
    </row>
    <row r="170" spans="1:26" x14ac:dyDescent="0.3">
      <c r="A170">
        <v>22</v>
      </c>
      <c r="B170" s="224" t="str">
        <f>IFERROR(LARGE('São Leopoldo'!$I$55:$I$106,A170)," ")</f>
        <v xml:space="preserve"> </v>
      </c>
      <c r="C170" t="str">
        <f>IFERROR(INDEX(
    'São Leopoldo'!$C$55:$C$106,
    MATCH(
        B170,
        'São Leopoldo'!$I$55:$I$106,
        0
    )
), " ")</f>
        <v xml:space="preserve"> </v>
      </c>
      <c r="D170" s="719" t="str">
        <f t="shared" si="55"/>
        <v xml:space="preserve"> </v>
      </c>
      <c r="E170" s="339" t="str">
        <f t="shared" si="57"/>
        <v xml:space="preserve"> </v>
      </c>
      <c r="F170" t="str">
        <f t="shared" si="56"/>
        <v>São leopoldo</v>
      </c>
      <c r="G170" t="e">
        <f>_xlfn.XLOOKUP(C170,'São Leopoldo'!$C$55:$C$106,'São Leopoldo'!$O$55:$O$106)</f>
        <v>#N/A</v>
      </c>
      <c r="H170" t="str">
        <f>_xlfn.XLOOKUP(C170,'São Leopoldo'!$C$55:$C$106,'São Leopoldo'!$M$55:$M$106," ")</f>
        <v xml:space="preserve"> </v>
      </c>
      <c r="I170" s="716" t="e">
        <f>_xlfn.XLOOKUP(C170,'São Leopoldo'!$C$55:$C$106,'São Leopoldo'!$J$55:$J$106)</f>
        <v>#N/A</v>
      </c>
      <c r="J170" s="224" t="e">
        <f>INDEX('São Leopoldo'!$AR$55:$AR$106, MATCH(C170, 'São Leopoldo'!$C$55:$C$106, 0))</f>
        <v>#N/A</v>
      </c>
      <c r="K170" s="224" t="e" cm="1">
        <f t="array" ref="K170">INDEX('São Leopoldo'!$AR$55:$AR$106, MATCH(C170, 'São Leopoldo'!$C$55:$C$106, 0)+1)</f>
        <v>#N/A</v>
      </c>
      <c r="L170" s="224" t="e">
        <f>INDEX('São Leopoldo'!$AJ$55:$AJ$106, MATCH(C170, 'São Leopoldo'!$C$55:$C$106, 0))</f>
        <v>#N/A</v>
      </c>
      <c r="M170" s="224"/>
      <c r="N170" s="224"/>
      <c r="O170" s="224"/>
      <c r="P170" s="224"/>
      <c r="Q170">
        <v>167</v>
      </c>
      <c r="R170" s="253">
        <f t="shared" si="63"/>
        <v>9639</v>
      </c>
      <c r="S170" t="str">
        <f t="shared" si="58"/>
        <v>29 - Redução do consumo MTP no passo do Blank VW000942AB / 943AB -5MM</v>
      </c>
      <c r="T170" t="str">
        <f t="shared" si="59"/>
        <v>Jarinu</v>
      </c>
      <c r="U170" s="253">
        <f t="shared" si="52"/>
        <v>13562.826000000001</v>
      </c>
      <c r="V170" s="224" t="str">
        <f t="shared" ca="1" si="64"/>
        <v/>
      </c>
      <c r="W170" s="224" t="str">
        <f t="shared" ca="1" si="65"/>
        <v/>
      </c>
      <c r="X170" t="str">
        <f t="shared" si="60"/>
        <v>⏳ Em Execução</v>
      </c>
      <c r="Y170" s="716">
        <f t="shared" si="61"/>
        <v>46264</v>
      </c>
      <c r="Z170" t="str">
        <f t="shared" si="62"/>
        <v>OK</v>
      </c>
    </row>
    <row r="171" spans="1:26" x14ac:dyDescent="0.3">
      <c r="A171">
        <v>23</v>
      </c>
      <c r="B171" s="224" t="str">
        <f>IFERROR(LARGE('São Leopoldo'!$I$55:$I$106,A171)," ")</f>
        <v xml:space="preserve"> </v>
      </c>
      <c r="C171" t="str">
        <f>IFERROR(INDEX(
    'São Leopoldo'!$C$55:$C$106,
    MATCH(
        B171,
        'São Leopoldo'!$I$55:$I$106,
        0
    )
), " ")</f>
        <v xml:space="preserve"> </v>
      </c>
      <c r="D171" s="719" t="str">
        <f t="shared" si="55"/>
        <v xml:space="preserve"> </v>
      </c>
      <c r="E171" s="339" t="str">
        <f t="shared" si="57"/>
        <v xml:space="preserve"> </v>
      </c>
      <c r="F171" t="str">
        <f t="shared" si="56"/>
        <v>São leopoldo</v>
      </c>
      <c r="G171" t="e">
        <f>_xlfn.XLOOKUP(C171,'São Leopoldo'!$C$55:$C$106,'São Leopoldo'!$O$55:$O$106)</f>
        <v>#N/A</v>
      </c>
      <c r="H171" t="str">
        <f>_xlfn.XLOOKUP(C171,'São Leopoldo'!$C$55:$C$106,'São Leopoldo'!$M$55:$M$106," ")</f>
        <v xml:space="preserve"> </v>
      </c>
      <c r="I171" s="716" t="e">
        <f>_xlfn.XLOOKUP(C171,'São Leopoldo'!$C$55:$C$106,'São Leopoldo'!$J$55:$J$106)</f>
        <v>#N/A</v>
      </c>
      <c r="J171" s="224" t="e">
        <f>INDEX('São Leopoldo'!$AR$55:$AR$106, MATCH(C171, 'São Leopoldo'!$C$55:$C$106, 0))</f>
        <v>#N/A</v>
      </c>
      <c r="K171" s="224" t="e" cm="1">
        <f t="array" ref="K171">INDEX('São Leopoldo'!$AR$55:$AR$106, MATCH(C171, 'São Leopoldo'!$C$55:$C$106, 0)+1)</f>
        <v>#N/A</v>
      </c>
      <c r="L171" s="224" t="e">
        <f>INDEX('São Leopoldo'!$AJ$55:$AJ$106, MATCH(C171, 'São Leopoldo'!$C$55:$C$106, 0))</f>
        <v>#N/A</v>
      </c>
      <c r="M171" s="224"/>
      <c r="N171" s="224"/>
      <c r="O171" s="224"/>
      <c r="P171" s="224"/>
      <c r="Q171">
        <v>168</v>
      </c>
      <c r="R171" s="253">
        <f t="shared" si="63"/>
        <v>9078</v>
      </c>
      <c r="S171" t="str">
        <f t="shared" si="58"/>
        <v>09 - Taxa de Esgoto</v>
      </c>
      <c r="T171" t="str">
        <f t="shared" si="59"/>
        <v>Diadema</v>
      </c>
      <c r="U171" s="253">
        <f t="shared" si="52"/>
        <v>9078</v>
      </c>
      <c r="V171" s="224" t="str">
        <f t="shared" ca="1" si="64"/>
        <v/>
      </c>
      <c r="W171" s="224" t="str">
        <f t="shared" ca="1" si="65"/>
        <v/>
      </c>
      <c r="X171" t="str">
        <f t="shared" si="60"/>
        <v>⏳ Em Execução</v>
      </c>
      <c r="Y171" s="716">
        <f t="shared" si="61"/>
        <v>46235</v>
      </c>
      <c r="Z171" t="str">
        <f t="shared" si="62"/>
        <v/>
      </c>
    </row>
    <row r="172" spans="1:26" x14ac:dyDescent="0.3">
      <c r="A172">
        <v>24</v>
      </c>
      <c r="B172" s="224" t="str">
        <f>IFERROR(LARGE('São Leopoldo'!$I$55:$I$106,A172)," ")</f>
        <v xml:space="preserve"> </v>
      </c>
      <c r="C172" t="str">
        <f>IFERROR(INDEX(
    'São Leopoldo'!$C$55:$C$106,
    MATCH(
        B172,
        'São Leopoldo'!$I$55:$I$106,
        0
    )
), " ")</f>
        <v xml:space="preserve"> </v>
      </c>
      <c r="D172" s="719" t="str">
        <f t="shared" si="55"/>
        <v xml:space="preserve"> </v>
      </c>
      <c r="E172" s="339" t="str">
        <f t="shared" si="57"/>
        <v xml:space="preserve"> </v>
      </c>
      <c r="F172" t="str">
        <f t="shared" si="56"/>
        <v>São leopoldo</v>
      </c>
      <c r="G172" t="e">
        <f>_xlfn.XLOOKUP(C172,'São Leopoldo'!$C$55:$C$106,'São Leopoldo'!$O$55:$O$106)</f>
        <v>#N/A</v>
      </c>
      <c r="H172" t="str">
        <f>_xlfn.XLOOKUP(C172,'São Leopoldo'!$C$55:$C$106,'São Leopoldo'!$M$55:$M$106," ")</f>
        <v xml:space="preserve"> </v>
      </c>
      <c r="I172" s="716" t="e">
        <f>_xlfn.XLOOKUP(C172,'São Leopoldo'!$C$55:$C$106,'São Leopoldo'!$J$55:$J$106)</f>
        <v>#N/A</v>
      </c>
      <c r="J172" s="224" t="e">
        <f>INDEX('São Leopoldo'!$AR$55:$AR$106, MATCH(C172, 'São Leopoldo'!$C$55:$C$106, 0))</f>
        <v>#N/A</v>
      </c>
      <c r="K172" s="224" t="e" cm="1">
        <f t="array" ref="K172">INDEX('São Leopoldo'!$AR$55:$AR$106, MATCH(C172, 'São Leopoldo'!$C$55:$C$106, 0)+1)</f>
        <v>#N/A</v>
      </c>
      <c r="L172" s="224" t="e">
        <f>INDEX('São Leopoldo'!$AJ$55:$AJ$106, MATCH(C172, 'São Leopoldo'!$C$55:$C$106, 0))</f>
        <v>#N/A</v>
      </c>
      <c r="M172" s="224"/>
      <c r="N172" s="224"/>
      <c r="O172" s="224"/>
      <c r="P172" s="224"/>
      <c r="Q172">
        <v>169</v>
      </c>
      <c r="R172" s="253">
        <f t="shared" si="63"/>
        <v>7000.0001561649997</v>
      </c>
      <c r="S172" t="str">
        <f t="shared" si="58"/>
        <v xml:space="preserve">02 - Eficiência dos planos de corte </v>
      </c>
      <c r="T172" t="str">
        <f t="shared" si="59"/>
        <v>Ferraz</v>
      </c>
      <c r="U172" s="253">
        <f t="shared" si="52"/>
        <v>2266.6666666666665</v>
      </c>
      <c r="V172" s="224">
        <f t="shared" ca="1" si="64"/>
        <v>3022.2222222222222</v>
      </c>
      <c r="W172" s="224">
        <f t="shared" ca="1" si="65"/>
        <v>1882.6200000000001</v>
      </c>
      <c r="X172" t="str">
        <f t="shared" si="60"/>
        <v>✓ Concluído</v>
      </c>
      <c r="Y172" s="716">
        <f t="shared" si="61"/>
        <v>46113</v>
      </c>
      <c r="Z172" t="str">
        <f t="shared" si="62"/>
        <v>OK</v>
      </c>
    </row>
    <row r="173" spans="1:26" x14ac:dyDescent="0.3">
      <c r="A173">
        <v>25</v>
      </c>
      <c r="B173" s="224" t="str">
        <f>IFERROR(LARGE('São Leopoldo'!$I$55:$I$106,A173)," ")</f>
        <v xml:space="preserve"> </v>
      </c>
      <c r="C173" t="str">
        <f>IFERROR(INDEX(
    'São Leopoldo'!$C$55:$C$106,
    MATCH(
        B173,
        'São Leopoldo'!$I$55:$I$106,
        0
    )
), " ")</f>
        <v xml:space="preserve"> </v>
      </c>
      <c r="D173" s="719" t="str">
        <f t="shared" si="55"/>
        <v xml:space="preserve"> </v>
      </c>
      <c r="E173" s="339" t="str">
        <f t="shared" si="57"/>
        <v xml:space="preserve"> </v>
      </c>
      <c r="F173" t="str">
        <f t="shared" si="56"/>
        <v>São leopoldo</v>
      </c>
      <c r="G173" t="e">
        <f>_xlfn.XLOOKUP(C173,'São Leopoldo'!$C$55:$C$106,'São Leopoldo'!$O$55:$O$106)</f>
        <v>#N/A</v>
      </c>
      <c r="H173" t="str">
        <f>_xlfn.XLOOKUP(C173,'São Leopoldo'!$C$55:$C$106,'São Leopoldo'!$M$55:$M$106," ")</f>
        <v xml:space="preserve"> </v>
      </c>
      <c r="I173" s="716" t="e">
        <f>_xlfn.XLOOKUP(C173,'São Leopoldo'!$C$55:$C$106,'São Leopoldo'!$J$55:$J$106)</f>
        <v>#N/A</v>
      </c>
      <c r="J173" s="224" t="e">
        <f>INDEX('São Leopoldo'!$AR$55:$AR$106, MATCH(C173, 'São Leopoldo'!$C$55:$C$106, 0))</f>
        <v>#N/A</v>
      </c>
      <c r="K173" s="224" t="e" cm="1">
        <f t="array" ref="K173">INDEX('São Leopoldo'!$AR$55:$AR$106, MATCH(C173, 'São Leopoldo'!$C$55:$C$106, 0)+1)</f>
        <v>#N/A</v>
      </c>
      <c r="L173" s="224" t="e">
        <f>INDEX('São Leopoldo'!$AJ$55:$AJ$106, MATCH(C173, 'São Leopoldo'!$C$55:$C$106, 0))</f>
        <v>#N/A</v>
      </c>
      <c r="M173" s="224"/>
      <c r="N173" s="224"/>
      <c r="O173" s="224"/>
      <c r="P173" s="224"/>
      <c r="Q173">
        <v>170</v>
      </c>
      <c r="R173" s="253">
        <f t="shared" si="63"/>
        <v>7000</v>
      </c>
      <c r="S173" t="str">
        <f t="shared" si="58"/>
        <v>12 - VENDA DE DESCARTÁVEIS</v>
      </c>
      <c r="T173" t="str">
        <f t="shared" si="59"/>
        <v>Anchieta</v>
      </c>
      <c r="U173" s="253">
        <f t="shared" si="52"/>
        <v>583.33333333333337</v>
      </c>
      <c r="V173" s="224" t="str">
        <f t="shared" ca="1" si="64"/>
        <v/>
      </c>
      <c r="W173" s="224" t="str">
        <f t="shared" ca="1" si="65"/>
        <v/>
      </c>
      <c r="X173" t="str">
        <f t="shared" si="60"/>
        <v>⏳ Em Execução</v>
      </c>
      <c r="Y173" s="716">
        <f t="shared" si="61"/>
        <v>46357</v>
      </c>
      <c r="Z173" t="str">
        <f t="shared" si="62"/>
        <v>OK</v>
      </c>
    </row>
    <row r="174" spans="1:26" x14ac:dyDescent="0.3">
      <c r="A174">
        <v>26</v>
      </c>
      <c r="B174" s="224" t="str">
        <f>IFERROR(LARGE('São Leopoldo'!$I$55:$I$106,A174)," ")</f>
        <v xml:space="preserve"> </v>
      </c>
      <c r="C174" t="str">
        <f>IFERROR(INDEX(
    'São Leopoldo'!$C$55:$C$106,
    MATCH(
        B174,
        'São Leopoldo'!$I$55:$I$106,
        0
    )
), " ")</f>
        <v xml:space="preserve"> </v>
      </c>
      <c r="D174" s="719" t="str">
        <f t="shared" si="55"/>
        <v xml:space="preserve"> </v>
      </c>
      <c r="E174" s="339" t="str">
        <f t="shared" si="57"/>
        <v xml:space="preserve"> </v>
      </c>
      <c r="F174" t="str">
        <f t="shared" si="56"/>
        <v>São leopoldo</v>
      </c>
      <c r="G174" t="e">
        <f>_xlfn.XLOOKUP(C174,'São Leopoldo'!$C$55:$C$106,'São Leopoldo'!$O$55:$O$106)</f>
        <v>#N/A</v>
      </c>
      <c r="H174" t="str">
        <f>_xlfn.XLOOKUP(C174,'São Leopoldo'!$C$55:$C$106,'São Leopoldo'!$M$55:$M$106," ")</f>
        <v xml:space="preserve"> </v>
      </c>
      <c r="I174" s="716" t="e">
        <f>_xlfn.XLOOKUP(C174,'São Leopoldo'!$C$55:$C$106,'São Leopoldo'!$J$55:$J$106)</f>
        <v>#N/A</v>
      </c>
      <c r="J174" s="224" t="e">
        <f>INDEX('São Leopoldo'!$AR$55:$AR$106, MATCH(C174, 'São Leopoldo'!$C$55:$C$106, 0))</f>
        <v>#N/A</v>
      </c>
      <c r="K174" s="224" t="e" cm="1">
        <f t="array" ref="K174">INDEX('São Leopoldo'!$AR$55:$AR$106, MATCH(C174, 'São Leopoldo'!$C$55:$C$106, 0)+1)</f>
        <v>#N/A</v>
      </c>
      <c r="L174" s="224" t="e">
        <f>INDEX('São Leopoldo'!$AJ$55:$AJ$106, MATCH(C174, 'São Leopoldo'!$C$55:$C$106, 0))</f>
        <v>#N/A</v>
      </c>
      <c r="M174" s="224"/>
      <c r="N174" s="224"/>
      <c r="O174" s="224"/>
      <c r="P174" s="224"/>
      <c r="Q174">
        <v>171</v>
      </c>
      <c r="R174" s="253">
        <f t="shared" si="63"/>
        <v>6975</v>
      </c>
      <c r="S174" t="str">
        <f t="shared" si="58"/>
        <v>08 - REDUÇÃO DE CUSTO LOCAÇÃO DE PTA (12METROS)</v>
      </c>
      <c r="T174" t="str">
        <f t="shared" si="59"/>
        <v>São leopoldo</v>
      </c>
      <c r="U174" s="253">
        <f t="shared" si="52"/>
        <v>2367.21</v>
      </c>
      <c r="V174" s="224">
        <f t="shared" ca="1" si="64"/>
        <v>2367.21</v>
      </c>
      <c r="W174" s="224">
        <f t="shared" ca="1" si="65"/>
        <v>1721.8300000000002</v>
      </c>
      <c r="X174" t="str">
        <f t="shared" si="60"/>
        <v>✓ Concluído</v>
      </c>
      <c r="Y174" s="716">
        <f t="shared" si="61"/>
        <v>46143</v>
      </c>
      <c r="Z174" t="str">
        <f t="shared" si="62"/>
        <v>OK</v>
      </c>
    </row>
    <row r="175" spans="1:26" x14ac:dyDescent="0.3">
      <c r="A175">
        <v>27</v>
      </c>
      <c r="B175" s="224" t="str">
        <f>IFERROR(LARGE('São Leopoldo'!$I$55:$I$106,A175)," ")</f>
        <v xml:space="preserve"> </v>
      </c>
      <c r="C175" t="str">
        <f>IFERROR(INDEX(
    'São Leopoldo'!$C$55:$C$106,
    MATCH(
        B175,
        'São Leopoldo'!$I$55:$I$106,
        0
    )
), " ")</f>
        <v xml:space="preserve"> </v>
      </c>
      <c r="D175" s="719" t="str">
        <f t="shared" si="55"/>
        <v xml:space="preserve"> </v>
      </c>
      <c r="E175" s="339" t="str">
        <f t="shared" si="57"/>
        <v xml:space="preserve"> </v>
      </c>
      <c r="F175" t="str">
        <f t="shared" si="56"/>
        <v>São leopoldo</v>
      </c>
      <c r="G175" t="e">
        <f>_xlfn.XLOOKUP(C175,'São Leopoldo'!$C$55:$C$106,'São Leopoldo'!$O$55:$O$106)</f>
        <v>#N/A</v>
      </c>
      <c r="H175" t="str">
        <f>_xlfn.XLOOKUP(C175,'São Leopoldo'!$C$55:$C$106,'São Leopoldo'!$M$55:$M$106," ")</f>
        <v xml:space="preserve"> </v>
      </c>
      <c r="I175" s="716" t="e">
        <f>_xlfn.XLOOKUP(C175,'São Leopoldo'!$C$55:$C$106,'São Leopoldo'!$J$55:$J$106)</f>
        <v>#N/A</v>
      </c>
      <c r="J175" s="224" t="e">
        <f>INDEX('São Leopoldo'!$AR$55:$AR$106, MATCH(C175, 'São Leopoldo'!$C$55:$C$106, 0))</f>
        <v>#N/A</v>
      </c>
      <c r="K175" s="224" t="e" cm="1">
        <f t="array" ref="K175">INDEX('São Leopoldo'!$AR$55:$AR$106, MATCH(C175, 'São Leopoldo'!$C$55:$C$106, 0)+1)</f>
        <v>#N/A</v>
      </c>
      <c r="L175" s="224" t="e">
        <f>INDEX('São Leopoldo'!$AJ$55:$AJ$106, MATCH(C175, 'São Leopoldo'!$C$55:$C$106, 0))</f>
        <v>#N/A</v>
      </c>
      <c r="M175" s="224"/>
      <c r="N175" s="224"/>
      <c r="O175" s="224"/>
      <c r="P175" s="224"/>
      <c r="Q175">
        <v>172</v>
      </c>
      <c r="R175" s="253">
        <f t="shared" si="63"/>
        <v>5000</v>
      </c>
      <c r="S175" t="str">
        <f t="shared" si="58"/>
        <v>13 - CONSUMO DE MATERIAIS DA ETE</v>
      </c>
      <c r="T175" t="str">
        <f t="shared" si="59"/>
        <v>Anchieta</v>
      </c>
      <c r="U175" s="253">
        <f t="shared" si="52"/>
        <v>0</v>
      </c>
      <c r="V175" s="224" t="str">
        <f t="shared" ca="1" si="64"/>
        <v/>
      </c>
      <c r="W175" s="224" t="str">
        <f t="shared" ca="1" si="65"/>
        <v/>
      </c>
      <c r="X175" t="str">
        <f t="shared" si="60"/>
        <v>⏳ Em Execução</v>
      </c>
      <c r="Y175" s="716">
        <f t="shared" si="61"/>
        <v>0</v>
      </c>
      <c r="Z175" t="str">
        <f t="shared" si="62"/>
        <v/>
      </c>
    </row>
    <row r="176" spans="1:26" x14ac:dyDescent="0.3">
      <c r="A176">
        <v>28</v>
      </c>
      <c r="B176" s="224" t="str">
        <f>IFERROR(LARGE('São Leopoldo'!$I$55:$I$106,A176)," ")</f>
        <v xml:space="preserve"> </v>
      </c>
      <c r="C176" t="str">
        <f>IFERROR(INDEX(
    'São Leopoldo'!$C$55:$C$106,
    MATCH(
        B176,
        'São Leopoldo'!$I$55:$I$106,
        0
    )
), " ")</f>
        <v xml:space="preserve"> </v>
      </c>
      <c r="D176" s="719" t="str">
        <f t="shared" si="55"/>
        <v xml:space="preserve"> </v>
      </c>
      <c r="E176" s="339" t="str">
        <f t="shared" si="57"/>
        <v xml:space="preserve"> </v>
      </c>
      <c r="F176" t="str">
        <f t="shared" si="56"/>
        <v>São leopoldo</v>
      </c>
      <c r="G176" t="e">
        <f>_xlfn.XLOOKUP(C176,'São Leopoldo'!$C$55:$C$106,'São Leopoldo'!$O$55:$O$106)</f>
        <v>#N/A</v>
      </c>
      <c r="H176" t="str">
        <f>_xlfn.XLOOKUP(C176,'São Leopoldo'!$C$55:$C$106,'São Leopoldo'!$M$55:$M$106," ")</f>
        <v xml:space="preserve"> </v>
      </c>
      <c r="I176" s="716" t="e">
        <f>_xlfn.XLOOKUP(C176,'São Leopoldo'!$C$55:$C$106,'São Leopoldo'!$J$55:$J$106)</f>
        <v>#N/A</v>
      </c>
      <c r="J176" s="224" t="e">
        <f>INDEX('São Leopoldo'!$AR$55:$AR$106, MATCH(C176, 'São Leopoldo'!$C$55:$C$106, 0))</f>
        <v>#N/A</v>
      </c>
      <c r="K176" s="224" t="e" cm="1">
        <f t="array" ref="K176">INDEX('São Leopoldo'!$AR$55:$AR$106, MATCH(C176, 'São Leopoldo'!$C$55:$C$106, 0)+1)</f>
        <v>#N/A</v>
      </c>
      <c r="L176" s="224" t="e">
        <f>INDEX('São Leopoldo'!$AJ$55:$AJ$106, MATCH(C176, 'São Leopoldo'!$C$55:$C$106, 0))</f>
        <v>#N/A</v>
      </c>
      <c r="M176" s="224"/>
      <c r="N176" s="224"/>
      <c r="O176" s="224"/>
      <c r="P176" s="224"/>
      <c r="Q176">
        <v>173</v>
      </c>
      <c r="R176" s="253">
        <f t="shared" si="63"/>
        <v>4840</v>
      </c>
      <c r="S176" t="str">
        <f t="shared" si="58"/>
        <v>46 - AGUA DESMINERALIZADA</v>
      </c>
      <c r="T176" t="str">
        <f t="shared" si="59"/>
        <v>Diadema</v>
      </c>
      <c r="V176" s="224">
        <f t="shared" ca="1" si="64"/>
        <v>2151.1111111111113</v>
      </c>
      <c r="W176" s="224" t="str">
        <f t="shared" ca="1" si="65"/>
        <v/>
      </c>
      <c r="X176" t="str">
        <f t="shared" si="60"/>
        <v>✓ Concluído</v>
      </c>
      <c r="Y176" s="716">
        <f t="shared" si="61"/>
        <v>46113</v>
      </c>
      <c r="Z176" t="str">
        <f t="shared" si="62"/>
        <v/>
      </c>
    </row>
    <row r="177" spans="1:26" x14ac:dyDescent="0.3">
      <c r="A177">
        <v>29</v>
      </c>
      <c r="B177" s="224" t="str">
        <f>IFERROR(LARGE('São Leopoldo'!$I$55:$I$106,A177)," ")</f>
        <v xml:space="preserve"> </v>
      </c>
      <c r="C177" t="str">
        <f>IFERROR(INDEX(
    'São Leopoldo'!$C$55:$C$106,
    MATCH(
        B177,
        'São Leopoldo'!$I$55:$I$106,
        0
    )
), " ")</f>
        <v xml:space="preserve"> </v>
      </c>
      <c r="D177" s="719" t="str">
        <f t="shared" si="55"/>
        <v xml:space="preserve"> </v>
      </c>
      <c r="E177" s="339" t="str">
        <f t="shared" si="57"/>
        <v xml:space="preserve"> </v>
      </c>
      <c r="F177" t="str">
        <f t="shared" si="56"/>
        <v>São leopoldo</v>
      </c>
      <c r="G177" t="e">
        <f>_xlfn.XLOOKUP(C177,'São Leopoldo'!$C$55:$C$106,'São Leopoldo'!$O$55:$O$106)</f>
        <v>#N/A</v>
      </c>
      <c r="H177" t="str">
        <f>_xlfn.XLOOKUP(C177,'São Leopoldo'!$C$55:$C$106,'São Leopoldo'!$M$55:$M$106," ")</f>
        <v xml:space="preserve"> </v>
      </c>
      <c r="I177" s="716" t="e">
        <f>_xlfn.XLOOKUP(C177,'São Leopoldo'!$C$55:$C$106,'São Leopoldo'!$J$55:$J$106)</f>
        <v>#N/A</v>
      </c>
      <c r="J177" s="224" t="e">
        <f>INDEX('São Leopoldo'!$AR$55:$AR$106, MATCH(C177, 'São Leopoldo'!$C$55:$C$106, 0))</f>
        <v>#N/A</v>
      </c>
      <c r="K177" s="224" t="e" cm="1">
        <f t="array" ref="K177">INDEX('São Leopoldo'!$AR$55:$AR$106, MATCH(C177, 'São Leopoldo'!$C$55:$C$106, 0)+1)</f>
        <v>#N/A</v>
      </c>
      <c r="L177" s="224" t="e">
        <f>INDEX('São Leopoldo'!$AJ$55:$AJ$106, MATCH(C177, 'São Leopoldo'!$C$55:$C$106, 0))</f>
        <v>#N/A</v>
      </c>
      <c r="M177" s="224"/>
      <c r="N177" s="224"/>
      <c r="O177" s="224"/>
      <c r="P177" s="224"/>
      <c r="Q177">
        <v>174</v>
      </c>
      <c r="R177" s="253">
        <f t="shared" si="63"/>
        <v>4200.0006659999999</v>
      </c>
      <c r="S177" t="str">
        <f t="shared" si="58"/>
        <v>28 - DA000487Z_DA000488Z - STC Scania P</v>
      </c>
      <c r="T177" t="str">
        <f t="shared" si="59"/>
        <v>Diadema</v>
      </c>
      <c r="V177" s="224">
        <f t="shared" ca="1" si="64"/>
        <v>1200.0001902857143</v>
      </c>
      <c r="W177" s="224" t="str">
        <f t="shared" ca="1" si="65"/>
        <v/>
      </c>
      <c r="X177" t="str">
        <f t="shared" si="60"/>
        <v>✓ Concluído</v>
      </c>
      <c r="Y177" s="716">
        <f t="shared" si="61"/>
        <v>46174</v>
      </c>
      <c r="Z177" t="str">
        <f t="shared" si="62"/>
        <v>Não Ok</v>
      </c>
    </row>
    <row r="178" spans="1:26" x14ac:dyDescent="0.3">
      <c r="A178">
        <v>30</v>
      </c>
      <c r="B178" s="224" t="str">
        <f>IFERROR(LARGE('São Leopoldo'!$I$55:$I$106,A178)," ")</f>
        <v xml:space="preserve"> </v>
      </c>
      <c r="C178" t="str">
        <f>IFERROR(INDEX(
    'São Leopoldo'!$C$55:$C$106,
    MATCH(
        B178,
        'São Leopoldo'!$I$55:$I$106,
        0
    )
), " ")</f>
        <v xml:space="preserve"> </v>
      </c>
      <c r="D178" s="719" t="str">
        <f t="shared" si="55"/>
        <v xml:space="preserve"> </v>
      </c>
      <c r="E178" s="339" t="str">
        <f t="shared" si="57"/>
        <v xml:space="preserve"> </v>
      </c>
      <c r="F178" t="str">
        <f t="shared" si="56"/>
        <v>São leopoldo</v>
      </c>
      <c r="G178" t="e">
        <f>_xlfn.XLOOKUP(C178,'São Leopoldo'!$C$55:$C$106,'São Leopoldo'!$O$55:$O$106)</f>
        <v>#N/A</v>
      </c>
      <c r="H178" t="str">
        <f>_xlfn.XLOOKUP(C178,'São Leopoldo'!$C$55:$C$106,'São Leopoldo'!$M$55:$M$106," ")</f>
        <v xml:space="preserve"> </v>
      </c>
      <c r="I178" s="716" t="e">
        <f>_xlfn.XLOOKUP(C178,'São Leopoldo'!$C$55:$C$106,'São Leopoldo'!$J$55:$J$106)</f>
        <v>#N/A</v>
      </c>
      <c r="J178" s="224" t="e">
        <f>INDEX('São Leopoldo'!$AR$55:$AR$106, MATCH(C178, 'São Leopoldo'!$C$55:$C$106, 0))</f>
        <v>#N/A</v>
      </c>
      <c r="K178" s="224" t="e" cm="1">
        <f t="array" ref="K178">INDEX('São Leopoldo'!$AR$55:$AR$106, MATCH(C178, 'São Leopoldo'!$C$55:$C$106, 0)+1)</f>
        <v>#N/A</v>
      </c>
      <c r="L178" s="224" t="e">
        <f>INDEX('São Leopoldo'!$AJ$55:$AJ$106, MATCH(C178, 'São Leopoldo'!$C$55:$C$106, 0))</f>
        <v>#N/A</v>
      </c>
      <c r="M178" s="224"/>
      <c r="N178" s="224"/>
      <c r="O178" s="224"/>
      <c r="P178" s="224"/>
      <c r="Q178">
        <v>175</v>
      </c>
      <c r="R178" s="253">
        <f t="shared" si="63"/>
        <v>4200</v>
      </c>
      <c r="S178" t="str">
        <f t="shared" si="58"/>
        <v>38 - Redução de Peso Bruto do item SV000205LB</v>
      </c>
      <c r="T178" t="str">
        <f t="shared" si="59"/>
        <v>Diadema</v>
      </c>
      <c r="V178" s="224">
        <f t="shared" ca="1" si="64"/>
        <v>1773.42</v>
      </c>
      <c r="W178" s="224">
        <f t="shared" ca="1" si="65"/>
        <v>2542.9240818315002</v>
      </c>
      <c r="X178" t="str">
        <f t="shared" si="60"/>
        <v>✓ Concluído</v>
      </c>
      <c r="Y178" s="716">
        <f t="shared" si="61"/>
        <v>46082</v>
      </c>
      <c r="Z178" t="str">
        <f t="shared" si="62"/>
        <v>OK</v>
      </c>
    </row>
    <row r="179" spans="1:26" x14ac:dyDescent="0.3">
      <c r="B179" s="224"/>
      <c r="D179" s="719"/>
      <c r="L179" s="224"/>
      <c r="M179" s="224"/>
      <c r="N179" s="224"/>
      <c r="O179" s="224"/>
      <c r="P179" s="224"/>
      <c r="Q179">
        <v>176</v>
      </c>
      <c r="R179" s="253">
        <f t="shared" si="63"/>
        <v>3852.73</v>
      </c>
      <c r="S179" t="str">
        <f t="shared" si="58"/>
        <v>BID carimbos industriais</v>
      </c>
      <c r="T179" t="str">
        <f t="shared" si="59"/>
        <v>Compras</v>
      </c>
      <c r="V179" s="224">
        <f t="shared" ca="1" si="64"/>
        <v>1524.9649999999999</v>
      </c>
      <c r="W179" s="224">
        <f t="shared" ca="1" si="65"/>
        <v>2178.73</v>
      </c>
      <c r="X179" t="str">
        <f t="shared" si="60"/>
        <v>✓ Concluído</v>
      </c>
      <c r="Y179" s="716">
        <f t="shared" si="61"/>
        <v>46082</v>
      </c>
      <c r="Z179" t="str">
        <f t="shared" si="62"/>
        <v>OK</v>
      </c>
    </row>
    <row r="180" spans="1:26" ht="14.85" customHeight="1" x14ac:dyDescent="0.3">
      <c r="A180" s="252" t="s">
        <v>25</v>
      </c>
      <c r="B180" s="252"/>
      <c r="C180" s="252"/>
      <c r="D180" s="718"/>
      <c r="E180" s="718"/>
      <c r="J180" s="2216" t="s">
        <v>2711</v>
      </c>
      <c r="K180" s="2216"/>
      <c r="L180" s="224"/>
      <c r="M180" s="224"/>
      <c r="N180" s="224"/>
      <c r="O180" s="224"/>
      <c r="P180" s="224"/>
      <c r="Q180">
        <v>177</v>
      </c>
      <c r="R180" s="253">
        <f t="shared" si="63"/>
        <v>3279.77</v>
      </c>
      <c r="S180" t="str">
        <f t="shared" si="58"/>
        <v>15 - Kaizem - Botões BI - MANUAL</v>
      </c>
      <c r="T180" t="str">
        <f t="shared" si="59"/>
        <v>Diadema</v>
      </c>
      <c r="V180" s="224">
        <f t="shared" ca="1" si="64"/>
        <v>3656.94</v>
      </c>
      <c r="W180" s="224">
        <f t="shared" si="65"/>
        <v>0</v>
      </c>
      <c r="X180" t="str">
        <f t="shared" si="60"/>
        <v>✓ Concluído</v>
      </c>
      <c r="Y180" s="716">
        <f t="shared" si="61"/>
        <v>46023</v>
      </c>
      <c r="Z180" t="str">
        <f t="shared" si="62"/>
        <v>OK</v>
      </c>
    </row>
    <row r="181" spans="1:26" ht="14.85" customHeight="1" x14ac:dyDescent="0.3">
      <c r="A181" s="252"/>
      <c r="B181" s="252"/>
      <c r="C181" s="252"/>
      <c r="D181" s="718"/>
      <c r="E181" s="718"/>
      <c r="J181" s="552" t="s">
        <v>116</v>
      </c>
      <c r="K181" s="552" t="s">
        <v>117</v>
      </c>
      <c r="L181" s="224"/>
      <c r="M181" s="224"/>
      <c r="N181" s="224"/>
      <c r="O181" s="224"/>
      <c r="P181" s="224"/>
      <c r="Q181">
        <v>178</v>
      </c>
      <c r="R181" s="253">
        <f t="shared" si="63"/>
        <v>3262</v>
      </c>
      <c r="S181" t="str">
        <f t="shared" si="58"/>
        <v>34 - Redução de Peso Bruto do item MB003554LA</v>
      </c>
      <c r="T181" t="str">
        <f t="shared" si="59"/>
        <v>Diadema</v>
      </c>
      <c r="V181" s="224">
        <f t="shared" ca="1" si="64"/>
        <v>1193.5350000000001</v>
      </c>
      <c r="W181" s="224">
        <f t="shared" si="65"/>
        <v>0</v>
      </c>
      <c r="X181" t="str">
        <f t="shared" si="60"/>
        <v>✓ Concluído</v>
      </c>
      <c r="Y181" s="716">
        <f t="shared" si="61"/>
        <v>46082</v>
      </c>
      <c r="Z181" t="str">
        <f t="shared" si="62"/>
        <v>OK</v>
      </c>
    </row>
    <row r="182" spans="1:26" x14ac:dyDescent="0.3">
      <c r="A182" cm="1">
        <f t="array" ref="A182:A211">_xlfn.SEQUENCE(30)</f>
        <v>1</v>
      </c>
      <c r="B182" s="226">
        <f>MAX(Anchieta!$I$55:$I$102)</f>
        <v>530000</v>
      </c>
      <c r="C182" t="str">
        <f>Anchieta!C55</f>
        <v>01 - VENDA DE ATIVOS</v>
      </c>
      <c r="D182" s="719">
        <f>IFERROR(B182/SUM($B$182:$B$211)," ")</f>
        <v>0.32865697043057995</v>
      </c>
      <c r="E182" s="339">
        <f>D182</f>
        <v>0.32865697043057995</v>
      </c>
      <c r="F182" t="str">
        <f t="shared" ref="F182:F211" si="66">$A$180</f>
        <v>Anchieta</v>
      </c>
      <c r="G182" t="str">
        <f>_xlfn.XLOOKUP(C182,Anchieta!$C$55:$C$102,Anchieta!$O$55:$O$102)</f>
        <v>⏳ Em Execução</v>
      </c>
      <c r="H182" t="str">
        <f>_xlfn.XLOOKUP(C182,Anchieta!$C$55:$C$102,Anchieta!$M$55:$M$102," ")</f>
        <v>OK</v>
      </c>
      <c r="I182" s="716">
        <f>_xlfn.XLOOKUP(C182,Anchieta!$C$55:$C$102,Anchieta!$J$55:$J$102)</f>
        <v>46054</v>
      </c>
      <c r="J182" s="224">
        <f ca="1">INDEX(Anchieta!$AR$55:$AR$102, MATCH(C182, Anchieta!$C$55:$C$102, 0))</f>
        <v>50000</v>
      </c>
      <c r="K182" s="224" cm="1">
        <f t="array" aca="1" ref="K182" ca="1">INDEX(Anchieta!$AR$55:$AR$102, MATCH(C182, Anchieta!$C$55:$C$102, 0)+1)</f>
        <v>50000</v>
      </c>
      <c r="L182" s="224">
        <f>INDEX(Anchieta!$AJ$55:$AJ$102, MATCH(C182, Anchieta!$C$55:$C$102, 0))</f>
        <v>4545.454545454545</v>
      </c>
      <c r="M182" s="224"/>
      <c r="N182" s="224"/>
      <c r="O182" s="224"/>
      <c r="P182" s="224"/>
      <c r="Q182">
        <v>179</v>
      </c>
      <c r="R182" s="253">
        <f t="shared" si="63"/>
        <v>2928</v>
      </c>
      <c r="S182" t="str">
        <f t="shared" si="58"/>
        <v>10 - Padronização de arame de solda</v>
      </c>
      <c r="T182" t="str">
        <f t="shared" si="59"/>
        <v>Diadema</v>
      </c>
      <c r="V182" s="224" t="str">
        <f t="shared" ca="1" si="64"/>
        <v/>
      </c>
      <c r="W182" s="224">
        <f t="shared" si="65"/>
        <v>0</v>
      </c>
      <c r="X182" t="str">
        <f t="shared" si="60"/>
        <v>⏳ Em Execução</v>
      </c>
      <c r="Y182" s="716">
        <f t="shared" si="61"/>
        <v>0</v>
      </c>
      <c r="Z182" t="str">
        <f t="shared" si="62"/>
        <v/>
      </c>
    </row>
    <row r="183" spans="1:26" x14ac:dyDescent="0.3">
      <c r="A183">
        <v>2</v>
      </c>
      <c r="B183" s="226">
        <f>IFERROR(LARGE(Anchieta!$I$55:$I$102,A183)," ")</f>
        <v>400000</v>
      </c>
      <c r="C183" s="364" t="str">
        <f>Anchieta!C57</f>
        <v>02 - TANQUE DE DECAPAGEM</v>
      </c>
      <c r="D183" s="719">
        <f t="shared" ref="D183:D211" si="67">IFERROR(B183/SUM($B$182:$B$203)," ")</f>
        <v>0.24804299655138112</v>
      </c>
      <c r="E183" s="339">
        <f>IFERROR(D183+E182," ")</f>
        <v>0.57669996698196102</v>
      </c>
      <c r="F183" t="str">
        <f t="shared" si="66"/>
        <v>Anchieta</v>
      </c>
      <c r="G183" t="str">
        <f>_xlfn.XLOOKUP(C183,Anchieta!$C$55:$C$102,Anchieta!$O$55:$O$102)</f>
        <v>⏳ Em Execução</v>
      </c>
      <c r="H183">
        <f>_xlfn.XLOOKUP(C183,Anchieta!$C$55:$C$102,Anchieta!$M$55:$M$102," ")</f>
        <v>0</v>
      </c>
      <c r="I183" s="716">
        <f>_xlfn.XLOOKUP(C183,Anchieta!$C$55:$C$102,Anchieta!$J$55:$J$102)</f>
        <v>46218</v>
      </c>
      <c r="J183" s="224">
        <f ca="1">INDEX(Anchieta!$AR$55:$AR$102, MATCH(C183, Anchieta!$C$55:$C$102, 0))</f>
        <v>66666.666666666672</v>
      </c>
      <c r="K183" s="224" t="str" cm="1">
        <f t="array" aca="1" ref="K183" ca="1">INDEX(Anchieta!$AR$55:$AR$102, MATCH(C183, Anchieta!$C$55:$C$102, 0)+1)</f>
        <v/>
      </c>
      <c r="L183" s="224">
        <f>INDEX(Anchieta!$AJ$55:$AJ$102, MATCH(C183, Anchieta!$C$55:$C$102, 0))</f>
        <v>200000</v>
      </c>
      <c r="M183" s="224"/>
      <c r="N183" s="224"/>
      <c r="O183" s="224"/>
      <c r="P183" s="224"/>
      <c r="Q183">
        <v>180</v>
      </c>
      <c r="R183" s="253">
        <f t="shared" si="63"/>
        <v>2500</v>
      </c>
      <c r="S183" t="str">
        <f t="shared" si="58"/>
        <v>33- Rollout impressora Administrativo</v>
      </c>
      <c r="T183" t="str">
        <f t="shared" si="59"/>
        <v>Jarinu</v>
      </c>
      <c r="V183" s="224" t="str">
        <f t="shared" ca="1" si="64"/>
        <v/>
      </c>
      <c r="W183" s="224" t="str">
        <f t="shared" ca="1" si="65"/>
        <v/>
      </c>
      <c r="X183" t="str">
        <f t="shared" si="60"/>
        <v>⏳ Em Execução</v>
      </c>
      <c r="Y183" s="716">
        <f t="shared" si="61"/>
        <v>46235</v>
      </c>
      <c r="Z183" t="str">
        <f t="shared" si="62"/>
        <v/>
      </c>
    </row>
    <row r="184" spans="1:26" x14ac:dyDescent="0.3">
      <c r="A184">
        <v>3</v>
      </c>
      <c r="B184" s="226">
        <f>IFERROR(LARGE(Anchieta!$I$55:$I$102,A184)," ")</f>
        <v>177479.64</v>
      </c>
      <c r="C184" s="364" t="str">
        <f>IFERROR(INDEX(
    Anchieta!$C$59:$C$102,
    MATCH(
        B184,
        Anchieta!$I$59:$I$102,
        0
    )
), " ")</f>
        <v>16 - TROCA DA FROTA DE EMPILHADEIRAS</v>
      </c>
      <c r="D184" s="719">
        <f t="shared" si="67"/>
        <v>0.11005645433115091</v>
      </c>
      <c r="E184" s="339">
        <f t="shared" ref="E184:E211" si="68">IFERROR(D184+E183," ")</f>
        <v>0.68675642131311188</v>
      </c>
      <c r="F184" t="str">
        <f t="shared" si="66"/>
        <v>Anchieta</v>
      </c>
      <c r="G184" t="str">
        <f>_xlfn.XLOOKUP(C184,Anchieta!$C$55:$C$102,Anchieta!$O$55:$O$102)</f>
        <v>⏳ Em Execução</v>
      </c>
      <c r="H184" t="str">
        <f>_xlfn.XLOOKUP(C184,Anchieta!$C$55:$C$102,Anchieta!$M$55:$M$102," ")</f>
        <v>OK</v>
      </c>
      <c r="I184" s="716">
        <f>_xlfn.XLOOKUP(C184,Anchieta!$C$55:$C$102,Anchieta!$J$55:$J$102)</f>
        <v>46266</v>
      </c>
      <c r="J184" s="224" t="str">
        <f ca="1">INDEX(Anchieta!$AR$55:$AR$102, MATCH(C184, Anchieta!$C$55:$C$102, 0))</f>
        <v/>
      </c>
      <c r="K184" s="224" t="str" cm="1">
        <f t="array" aca="1" ref="K184" ca="1">INDEX(Anchieta!$AR$55:$AR$102, MATCH(C184, Anchieta!$C$55:$C$102, 0)+1)</f>
        <v/>
      </c>
      <c r="L184" s="224">
        <f>INDEX(Anchieta!$AJ$55:$AJ$102, MATCH(C184, Anchieta!$C$55:$C$102, 0))</f>
        <v>41209.83</v>
      </c>
      <c r="M184" s="224"/>
      <c r="N184" s="224"/>
      <c r="O184" s="224"/>
      <c r="P184" s="224"/>
      <c r="Q184">
        <v>181</v>
      </c>
      <c r="R184" s="253">
        <f t="shared" si="63"/>
        <v>2000</v>
      </c>
      <c r="S184" t="str">
        <f t="shared" si="58"/>
        <v>37 - Redução de Peso Bruto do item MB003673LD</v>
      </c>
      <c r="T184" t="str">
        <f t="shared" si="59"/>
        <v>Diadema</v>
      </c>
      <c r="V184" s="224">
        <f t="shared" ca="1" si="64"/>
        <v>1120.9549999999999</v>
      </c>
      <c r="W184" s="224">
        <f t="shared" si="65"/>
        <v>0</v>
      </c>
      <c r="X184" t="str">
        <f t="shared" si="60"/>
        <v>✓ Concluído</v>
      </c>
      <c r="Y184" s="716">
        <f t="shared" si="61"/>
        <v>46082</v>
      </c>
      <c r="Z184" t="str">
        <f t="shared" si="62"/>
        <v>OK</v>
      </c>
    </row>
    <row r="185" spans="1:26" x14ac:dyDescent="0.3">
      <c r="A185">
        <v>4</v>
      </c>
      <c r="B185" s="226">
        <f>IFERROR(LARGE(Anchieta!$I$55:$I$102,A185)," ")</f>
        <v>135000</v>
      </c>
      <c r="C185" t="str">
        <f>IFERROR(INDEX(
    Anchieta!$C$59:$C$102,
    MATCH(
        B185,
        Anchieta!$I$59:$I$102,
        0
    )
), " ")</f>
        <v>03 - PRODUTOS QUÍMICOS KTL</v>
      </c>
      <c r="D185" s="719">
        <f t="shared" si="67"/>
        <v>8.3714511336091119E-2</v>
      </c>
      <c r="E185" s="339">
        <f t="shared" si="68"/>
        <v>0.77047093264920297</v>
      </c>
      <c r="F185" t="str">
        <f t="shared" si="66"/>
        <v>Anchieta</v>
      </c>
      <c r="G185" t="str">
        <f>_xlfn.XLOOKUP(C185,Anchieta!$C$55:$C$102,Anchieta!$O$55:$O$102)</f>
        <v>✓ Concluído</v>
      </c>
      <c r="H185" t="str">
        <f>_xlfn.XLOOKUP(C185,Anchieta!$C$55:$C$102,Anchieta!$M$55:$M$102," ")</f>
        <v>OK</v>
      </c>
      <c r="I185" s="716">
        <f>_xlfn.XLOOKUP(C185,Anchieta!$C$55:$C$102,Anchieta!$J$55:$J$102)</f>
        <v>46054</v>
      </c>
      <c r="J185" s="224">
        <f ca="1">INDEX(Anchieta!$AR$55:$AR$102, MATCH(C185, Anchieta!$C$55:$C$102, 0))</f>
        <v>67933.314750000005</v>
      </c>
      <c r="K185" s="224" cm="1">
        <f t="array" aca="1" ref="K185" ca="1">INDEX(Anchieta!$AR$55:$AR$102, MATCH(C185, Anchieta!$C$55:$C$102, 0)+1)</f>
        <v>226234.58900000001</v>
      </c>
      <c r="L185" s="224">
        <f>INDEX(Anchieta!$AJ$55:$AJ$102, MATCH(C185, Anchieta!$C$55:$C$102, 0))</f>
        <v>33966.657375000003</v>
      </c>
      <c r="M185" s="224"/>
      <c r="N185" s="224"/>
      <c r="O185" s="224"/>
      <c r="P185" s="224"/>
      <c r="Q185">
        <v>182</v>
      </c>
      <c r="R185" s="253">
        <f t="shared" si="63"/>
        <v>1890</v>
      </c>
      <c r="S185" t="str">
        <f t="shared" si="58"/>
        <v>13 - Redução de Componente - 4065 de 6 para 4</v>
      </c>
      <c r="T185" t="str">
        <f t="shared" si="59"/>
        <v>Diadema</v>
      </c>
      <c r="V185" s="224">
        <f t="shared" ca="1" si="64"/>
        <v>840</v>
      </c>
      <c r="W185" s="224">
        <f t="shared" si="65"/>
        <v>0</v>
      </c>
      <c r="X185" t="str">
        <f t="shared" si="60"/>
        <v>✓ Concluído</v>
      </c>
      <c r="Y185" s="716">
        <f t="shared" si="61"/>
        <v>46113</v>
      </c>
      <c r="Z185" t="str">
        <f t="shared" si="62"/>
        <v>Não Ok</v>
      </c>
    </row>
    <row r="186" spans="1:26" x14ac:dyDescent="0.3">
      <c r="A186">
        <v>5</v>
      </c>
      <c r="B186" s="226">
        <f>IFERROR(LARGE(Anchieta!$I$55:$I$102,A186)," ")</f>
        <v>100000.0001</v>
      </c>
      <c r="C186" t="str">
        <f>IFERROR(INDEX(
    Anchieta!$C$59:$C$102,
    MATCH(
        B186,
        Anchieta!$I$59:$I$102,
        0
    )
), " ")</f>
        <v>04 - GÁS</v>
      </c>
      <c r="D186" s="719">
        <f t="shared" si="67"/>
        <v>6.2010749199856031E-2</v>
      </c>
      <c r="E186" s="339">
        <f t="shared" si="68"/>
        <v>0.83248168184905902</v>
      </c>
      <c r="F186" t="str">
        <f t="shared" si="66"/>
        <v>Anchieta</v>
      </c>
      <c r="G186" t="str">
        <f>_xlfn.XLOOKUP(C186,Anchieta!$C$55:$C$102,Anchieta!$O$55:$O$102)</f>
        <v>⏳ Em Execução</v>
      </c>
      <c r="H186" t="str">
        <f>_xlfn.XLOOKUP(C186,Anchieta!$C$55:$C$102,Anchieta!$M$55:$M$102," ")</f>
        <v>OK</v>
      </c>
      <c r="I186" s="716">
        <f>_xlfn.XLOOKUP(C186,Anchieta!$C$55:$C$102,Anchieta!$J$55:$J$102)</f>
        <v>46113</v>
      </c>
      <c r="J186" s="224">
        <f ca="1">INDEX(Anchieta!$AR$55:$AR$102, MATCH(C186, Anchieta!$C$55:$C$102, 0))</f>
        <v>84366.096666666665</v>
      </c>
      <c r="K186" s="224" cm="1">
        <f t="array" aca="1" ref="K186" ca="1">INDEX(Anchieta!$AR$55:$AR$102, MATCH(C186, Anchieta!$C$55:$C$102, 0)+1)</f>
        <v>12258.22</v>
      </c>
      <c r="L186" s="224">
        <f>INDEX(Anchieta!$AJ$55:$AJ$102, MATCH(C186, Anchieta!$C$55:$C$102, 0))</f>
        <v>63274.572499999995</v>
      </c>
      <c r="M186" s="224"/>
      <c r="N186" s="224"/>
      <c r="O186" s="224"/>
      <c r="P186" s="224"/>
      <c r="Q186">
        <v>183</v>
      </c>
      <c r="R186" s="253">
        <f t="shared" si="63"/>
        <v>1800</v>
      </c>
      <c r="S186" t="str">
        <f t="shared" si="58"/>
        <v>39 - Redução de Peso Bruto do item VB000323LA</v>
      </c>
      <c r="T186" t="str">
        <f t="shared" si="59"/>
        <v>Diadema</v>
      </c>
      <c r="V186" s="224">
        <f t="shared" ca="1" si="64"/>
        <v>792.43499999999995</v>
      </c>
      <c r="W186" s="224">
        <f t="shared" si="65"/>
        <v>0</v>
      </c>
      <c r="X186" t="str">
        <f t="shared" si="60"/>
        <v>✓ Concluído</v>
      </c>
      <c r="Y186" s="716">
        <f t="shared" si="61"/>
        <v>46082</v>
      </c>
      <c r="Z186" t="str">
        <f t="shared" si="62"/>
        <v>OK</v>
      </c>
    </row>
    <row r="187" spans="1:26" x14ac:dyDescent="0.3">
      <c r="A187">
        <v>6</v>
      </c>
      <c r="B187" s="226">
        <f>IFERROR(LARGE(Anchieta!$I$55:$I$102,A187)," ")</f>
        <v>65000</v>
      </c>
      <c r="C187" t="str">
        <f>IFERROR(INDEX(
    Anchieta!$C$59:$C$102,
    MATCH(
        B187,
        Anchieta!$I$59:$I$102,
        0
    )
), " ")</f>
        <v>05 - REDUÇÃO DE FRETE</v>
      </c>
      <c r="D187" s="719">
        <f t="shared" si="67"/>
        <v>4.0306986939599429E-2</v>
      </c>
      <c r="E187" s="339">
        <f t="shared" si="68"/>
        <v>0.87278866878865846</v>
      </c>
      <c r="F187" t="str">
        <f t="shared" si="66"/>
        <v>Anchieta</v>
      </c>
      <c r="G187" t="str">
        <f>_xlfn.XLOOKUP(C187,Anchieta!$C$55:$C$102,Anchieta!$O$55:$O$102)</f>
        <v>⏳ Em Execução</v>
      </c>
      <c r="H187">
        <f>_xlfn.XLOOKUP(C187,Anchieta!$C$55:$C$102,Anchieta!$M$55:$M$102," ")</f>
        <v>0</v>
      </c>
      <c r="I187" s="716">
        <f>_xlfn.XLOOKUP(C187,Anchieta!$C$55:$C$102,Anchieta!$J$55:$J$102)</f>
        <v>46054</v>
      </c>
      <c r="J187" s="224">
        <f ca="1">INDEX(Anchieta!$AR$55:$AR$102, MATCH(C187, Anchieta!$C$55:$C$102, 0))</f>
        <v>35454.545454545456</v>
      </c>
      <c r="K187" s="224" t="str" cm="1">
        <f t="array" aca="1" ref="K187" ca="1">INDEX(Anchieta!$AR$55:$AR$102, MATCH(C187, Anchieta!$C$55:$C$102, 0)+1)</f>
        <v/>
      </c>
      <c r="L187" s="224">
        <f>INDEX(Anchieta!$AJ$55:$AJ$102, MATCH(C187, Anchieta!$C$55:$C$102, 0))</f>
        <v>17727.272727272728</v>
      </c>
      <c r="M187" s="224"/>
      <c r="N187" s="224"/>
      <c r="O187" s="224"/>
      <c r="P187" s="224"/>
      <c r="Q187">
        <v>184</v>
      </c>
      <c r="R187" s="253">
        <f t="shared" si="63"/>
        <v>1459</v>
      </c>
      <c r="S187" t="str">
        <f t="shared" si="58"/>
        <v>07 - Balanceamento de carga máquina entre a prensa Gutmnan / Minster</v>
      </c>
      <c r="T187" t="str">
        <f t="shared" si="59"/>
        <v>Jarinu</v>
      </c>
      <c r="V187" s="224" t="str">
        <f t="shared" ca="1" si="64"/>
        <v/>
      </c>
      <c r="W187" s="224" t="str">
        <f t="shared" ca="1" si="65"/>
        <v/>
      </c>
      <c r="X187" t="str">
        <f t="shared" si="60"/>
        <v>✓ Concluído</v>
      </c>
      <c r="Y187" s="716">
        <f t="shared" si="61"/>
        <v>46235</v>
      </c>
      <c r="Z187" t="str">
        <f t="shared" si="62"/>
        <v/>
      </c>
    </row>
    <row r="188" spans="1:26" x14ac:dyDescent="0.3">
      <c r="A188">
        <v>7</v>
      </c>
      <c r="B188" s="226">
        <f>IFERROR(LARGE(Anchieta!$I$55:$I$102,A188)," ")</f>
        <v>51000</v>
      </c>
      <c r="C188" t="str">
        <f>IFERROR(INDEX(
    Anchieta!$C$59:$C$102,
    MATCH(
        B188,
        Anchieta!$I$59:$I$102,
        0
    )
), " ")</f>
        <v>06 - CONSUMO DE TINTA PÓ</v>
      </c>
      <c r="D188" s="719">
        <f t="shared" si="67"/>
        <v>3.1625482060301094E-2</v>
      </c>
      <c r="E188" s="339">
        <f t="shared" si="68"/>
        <v>0.9044141508489596</v>
      </c>
      <c r="F188" t="str">
        <f t="shared" si="66"/>
        <v>Anchieta</v>
      </c>
      <c r="G188" t="str">
        <f>_xlfn.XLOOKUP(C188,Anchieta!$C$55:$C$102,Anchieta!$O$55:$O$102)</f>
        <v>⏳ Em Execução</v>
      </c>
      <c r="H188">
        <f>_xlfn.XLOOKUP(C188,Anchieta!$C$55:$C$102,Anchieta!$M$55:$M$102," ")</f>
        <v>0</v>
      </c>
      <c r="I188" s="716">
        <f>_xlfn.XLOOKUP(C188,Anchieta!$C$55:$C$102,Anchieta!$J$55:$J$102)</f>
        <v>46235</v>
      </c>
      <c r="J188" s="224" t="str">
        <f ca="1">INDEX(Anchieta!$AR$55:$AR$102, MATCH(C188, Anchieta!$C$55:$C$102, 0))</f>
        <v/>
      </c>
      <c r="K188" s="224" t="str" cm="1">
        <f t="array" aca="1" ref="K188" ca="1">INDEX(Anchieta!$AR$55:$AR$102, MATCH(C188, Anchieta!$C$55:$C$102, 0)+1)</f>
        <v/>
      </c>
      <c r="L188" s="224">
        <f>INDEX(Anchieta!$AJ$55:$AJ$102, MATCH(C188, Anchieta!$C$55:$C$102, 0))</f>
        <v>30600</v>
      </c>
      <c r="M188" s="224"/>
      <c r="N188" s="224"/>
      <c r="O188" s="224"/>
      <c r="P188" s="224"/>
      <c r="Q188">
        <v>185</v>
      </c>
      <c r="R188" s="253">
        <f t="shared" si="63"/>
        <v>1224</v>
      </c>
      <c r="S188" t="str">
        <f t="shared" si="58"/>
        <v>31 - Redução impressora Backup</v>
      </c>
      <c r="T188" t="str">
        <f t="shared" si="59"/>
        <v>Jarinu</v>
      </c>
      <c r="V188" s="224">
        <f t="shared" ca="1" si="64"/>
        <v>544</v>
      </c>
      <c r="W188" s="224">
        <f t="shared" ca="1" si="65"/>
        <v>442</v>
      </c>
      <c r="X188" t="str">
        <f t="shared" si="60"/>
        <v>✓ Concluído</v>
      </c>
      <c r="Y188" s="716">
        <f t="shared" si="61"/>
        <v>46113</v>
      </c>
      <c r="Z188" t="str">
        <f t="shared" si="62"/>
        <v>OK</v>
      </c>
    </row>
    <row r="189" spans="1:26" x14ac:dyDescent="0.3">
      <c r="A189">
        <v>8</v>
      </c>
      <c r="B189" s="226">
        <f>IFERROR(LARGE(Anchieta!$I$55:$I$102,A189)," ")</f>
        <v>45144</v>
      </c>
      <c r="C189" t="str">
        <f>IFERROR(INDEX(
    Anchieta!$C$59:$C$102,
    MATCH(
        B189,
        Anchieta!$I$59:$I$102,
        0
    )
), " ")</f>
        <v>14 - REDUÇÃO DE CUSTO COM O PRODUTO KLUTHE</v>
      </c>
      <c r="D189" s="719">
        <f t="shared" si="67"/>
        <v>2.7994132590788871E-2</v>
      </c>
      <c r="E189" s="339">
        <f t="shared" si="68"/>
        <v>0.93240828343974846</v>
      </c>
      <c r="F189" t="str">
        <f t="shared" si="66"/>
        <v>Anchieta</v>
      </c>
      <c r="G189" t="str">
        <f>_xlfn.XLOOKUP(C189,Anchieta!$C$55:$C$102,Anchieta!$O$55:$O$102)</f>
        <v>✓ Concluído</v>
      </c>
      <c r="H189">
        <f>_xlfn.XLOOKUP(C189,Anchieta!$C$55:$C$102,Anchieta!$M$55:$M$102," ")</f>
        <v>0</v>
      </c>
      <c r="I189" s="716" t="str">
        <f>_xlfn.XLOOKUP(C189,Anchieta!$C$55:$C$102,Anchieta!$J$55:$J$102)</f>
        <v>abril</v>
      </c>
      <c r="J189" s="224" t="str">
        <f ca="1">INDEX(Anchieta!$AR$55:$AR$102, MATCH(C189, Anchieta!$C$55:$C$102, 0))</f>
        <v/>
      </c>
      <c r="K189" s="224" t="str" cm="1">
        <f t="array" aca="1" ref="K189" ca="1">INDEX(Anchieta!$AR$55:$AR$102, MATCH(C189, Anchieta!$C$55:$C$102, 0)+1)</f>
        <v/>
      </c>
      <c r="L189" s="224">
        <f>INDEX(Anchieta!$AJ$55:$AJ$102, MATCH(C189, Anchieta!$C$55:$C$102, 0))</f>
        <v>0</v>
      </c>
      <c r="M189" s="224"/>
      <c r="N189" s="224"/>
      <c r="O189" s="224"/>
      <c r="P189" s="224"/>
      <c r="Q189">
        <v>186</v>
      </c>
      <c r="R189" s="253">
        <f t="shared" si="63"/>
        <v>1200</v>
      </c>
      <c r="S189" t="str">
        <f t="shared" si="58"/>
        <v>40 - Redução de Peso Bruto do item VW001138LA</v>
      </c>
      <c r="T189" t="str">
        <f t="shared" si="59"/>
        <v>Diadema</v>
      </c>
      <c r="V189" s="224">
        <f t="shared" ca="1" si="64"/>
        <v>948.26</v>
      </c>
      <c r="W189" s="224">
        <f t="shared" si="65"/>
        <v>0</v>
      </c>
      <c r="X189" t="str">
        <f t="shared" si="60"/>
        <v>✓ Concluído</v>
      </c>
      <c r="Y189" s="716">
        <f t="shared" si="61"/>
        <v>46082</v>
      </c>
      <c r="Z189" t="str">
        <f t="shared" si="62"/>
        <v>OK</v>
      </c>
    </row>
    <row r="190" spans="1:26" x14ac:dyDescent="0.3">
      <c r="A190">
        <v>9</v>
      </c>
      <c r="B190" s="226">
        <f>IFERROR(LARGE(Anchieta!$I$55:$I$102,A190)," ")</f>
        <v>32000</v>
      </c>
      <c r="C190" t="str">
        <f>IFERROR(INDEX(
    Anchieta!$C$59:$C$102,
    MATCH(
        B190,
        Anchieta!$I$59:$I$102,
        0
    )
), " ")</f>
        <v>07 - CONSUMO DE EPI e SERVIÇOS</v>
      </c>
      <c r="D190" s="719">
        <f t="shared" si="67"/>
        <v>1.9843439724110488E-2</v>
      </c>
      <c r="E190" s="339">
        <f t="shared" si="68"/>
        <v>0.95225172316385898</v>
      </c>
      <c r="F190" t="str">
        <f t="shared" si="66"/>
        <v>Anchieta</v>
      </c>
      <c r="G190" t="str">
        <f>_xlfn.XLOOKUP(C190,Anchieta!$C$55:$C$102,Anchieta!$O$55:$O$102)</f>
        <v>✓ Concluído</v>
      </c>
      <c r="H190" t="str">
        <f>_xlfn.XLOOKUP(C190,Anchieta!$C$55:$C$102,Anchieta!$M$55:$M$102," ")</f>
        <v>OK</v>
      </c>
      <c r="I190" s="716">
        <f>_xlfn.XLOOKUP(C190,Anchieta!$C$55:$C$102,Anchieta!$J$55:$J$102)</f>
        <v>46082</v>
      </c>
      <c r="J190" s="224">
        <f ca="1">INDEX(Anchieta!$AR$55:$AR$102, MATCH(C190, Anchieta!$C$55:$C$102, 0))</f>
        <v>14784.965</v>
      </c>
      <c r="K190" s="224" cm="1">
        <f t="array" aca="1" ref="K190" ca="1">INDEX(Anchieta!$AR$55:$AR$102, MATCH(C190, Anchieta!$C$55:$C$102, 0)+1)</f>
        <v>885.12817433047076</v>
      </c>
      <c r="L190" s="224">
        <f>INDEX(Anchieta!$AJ$55:$AJ$102, MATCH(C190, Anchieta!$C$55:$C$102, 0))</f>
        <v>8870.9789999999994</v>
      </c>
      <c r="M190" s="224"/>
      <c r="N190" s="224"/>
      <c r="O190" s="224"/>
      <c r="P190" s="224"/>
      <c r="Q190">
        <v>187</v>
      </c>
      <c r="R190" s="253">
        <f t="shared" si="63"/>
        <v>1000.0045897</v>
      </c>
      <c r="S190" t="str">
        <f t="shared" si="58"/>
        <v>12 - Aumento do OEE do equipamento ISGEC</v>
      </c>
      <c r="T190" t="str">
        <f t="shared" si="59"/>
        <v>Jarinu</v>
      </c>
      <c r="V190" s="224" t="str">
        <f t="shared" ca="1" si="64"/>
        <v/>
      </c>
      <c r="W190" s="224" t="str">
        <f t="shared" ca="1" si="65"/>
        <v/>
      </c>
      <c r="X190" t="str">
        <f t="shared" si="60"/>
        <v>⏳ Em Execução</v>
      </c>
      <c r="Y190" s="716">
        <f t="shared" si="61"/>
        <v>46296</v>
      </c>
      <c r="Z190" t="str">
        <f t="shared" si="62"/>
        <v/>
      </c>
    </row>
    <row r="191" spans="1:26" x14ac:dyDescent="0.3">
      <c r="A191">
        <v>10</v>
      </c>
      <c r="B191" s="226">
        <f>IFERROR(LARGE(Anchieta!$I$55:$I$102,A191)," ")</f>
        <v>25000</v>
      </c>
      <c r="C191" t="str">
        <f>IFERROR(INDEX(
    Anchieta!$C$59:$C$102,
    MATCH(
        B191,
        Anchieta!$I$59:$I$102,
        0
    )
), " ")</f>
        <v>08- ÁGUA</v>
      </c>
      <c r="D191" s="719">
        <f t="shared" si="67"/>
        <v>1.550268728446132E-2</v>
      </c>
      <c r="E191" s="339">
        <f t="shared" si="68"/>
        <v>0.96775441044832033</v>
      </c>
      <c r="F191" t="str">
        <f t="shared" si="66"/>
        <v>Anchieta</v>
      </c>
      <c r="G191" t="str">
        <f>_xlfn.XLOOKUP(C191,Anchieta!$C$55:$C$102,Anchieta!$O$55:$O$102)</f>
        <v>⏳ Em Execução</v>
      </c>
      <c r="H191">
        <f>_xlfn.XLOOKUP(C191,Anchieta!$C$55:$C$102,Anchieta!$M$55:$M$102," ")</f>
        <v>0</v>
      </c>
      <c r="I191" s="716">
        <f>_xlfn.XLOOKUP(C191,Anchieta!$C$55:$C$102,Anchieta!$J$55:$J$102)</f>
        <v>46113</v>
      </c>
      <c r="J191" s="224">
        <f ca="1">INDEX(Anchieta!$AR$55:$AR$102, MATCH(C191, Anchieta!$C$55:$C$102, 0))</f>
        <v>11111.111111111111</v>
      </c>
      <c r="K191" s="224" t="str" cm="1">
        <f t="array" aca="1" ref="K191" ca="1">INDEX(Anchieta!$AR$55:$AR$102, MATCH(C191, Anchieta!$C$55:$C$102, 0)+1)</f>
        <v/>
      </c>
      <c r="L191" s="224">
        <f>INDEX(Anchieta!$AJ$55:$AJ$102, MATCH(C191, Anchieta!$C$55:$C$102, 0))</f>
        <v>8333.3333333333339</v>
      </c>
      <c r="M191" s="224"/>
      <c r="N191" s="224"/>
      <c r="O191" s="224"/>
      <c r="P191" s="224"/>
      <c r="Q191">
        <v>188</v>
      </c>
      <c r="R191" s="253">
        <f t="shared" si="63"/>
        <v>1000.00415646</v>
      </c>
      <c r="S191" t="str">
        <f t="shared" si="58"/>
        <v>11 - Aumento de performance dos itens estampados nas prensas Gutmmans</v>
      </c>
      <c r="T191" t="str">
        <f t="shared" si="59"/>
        <v>Jarinu</v>
      </c>
      <c r="V191" s="224" t="str">
        <f t="shared" ca="1" si="64"/>
        <v/>
      </c>
      <c r="W191" s="224" t="str">
        <f t="shared" ca="1" si="65"/>
        <v/>
      </c>
      <c r="X191" t="str">
        <f t="shared" si="60"/>
        <v>📝 Não iniciado</v>
      </c>
      <c r="Y191" s="716">
        <f t="shared" si="61"/>
        <v>46296</v>
      </c>
      <c r="Z191" t="str">
        <f t="shared" si="62"/>
        <v/>
      </c>
    </row>
    <row r="192" spans="1:26" x14ac:dyDescent="0.3">
      <c r="A192">
        <v>11</v>
      </c>
      <c r="B192" s="226">
        <f>IFERROR(LARGE(Anchieta!$I$55:$I$102,A192)," ")</f>
        <v>25000</v>
      </c>
      <c r="C192" t="str">
        <f>IFERROR(INDEX(
    Anchieta!$C$59:$C$102,
    MATCH(
        B192,
        Anchieta!$I$59:$I$102,
        0
    )
), " ")</f>
        <v>08- ÁGUA</v>
      </c>
      <c r="D192" s="719">
        <f t="shared" si="67"/>
        <v>1.550268728446132E-2</v>
      </c>
      <c r="E192" s="339">
        <f t="shared" si="68"/>
        <v>0.98325709773278169</v>
      </c>
      <c r="F192" t="str">
        <f t="shared" si="66"/>
        <v>Anchieta</v>
      </c>
      <c r="G192" t="str">
        <f>_xlfn.XLOOKUP(C192,Anchieta!$C$55:$C$102,Anchieta!$O$55:$O$102)</f>
        <v>⏳ Em Execução</v>
      </c>
      <c r="H192">
        <f>_xlfn.XLOOKUP(C192,Anchieta!$C$55:$C$102,Anchieta!$M$55:$M$102," ")</f>
        <v>0</v>
      </c>
      <c r="I192" s="716">
        <f>_xlfn.XLOOKUP(C192,Anchieta!$C$55:$C$102,Anchieta!$J$55:$J$102)</f>
        <v>46113</v>
      </c>
      <c r="J192" s="224">
        <f ca="1">INDEX(Anchieta!$AR$55:$AR$102, MATCH(C192, Anchieta!$C$55:$C$102, 0))</f>
        <v>11111.111111111111</v>
      </c>
      <c r="K192" s="224" t="str" cm="1">
        <f t="array" aca="1" ref="K192" ca="1">INDEX(Anchieta!$AR$55:$AR$102, MATCH(C192, Anchieta!$C$55:$C$102, 0)+1)</f>
        <v/>
      </c>
      <c r="L192" s="224">
        <f>INDEX(Anchieta!$AJ$55:$AJ$102, MATCH(C192, Anchieta!$C$55:$C$102, 0))</f>
        <v>8333.3333333333339</v>
      </c>
      <c r="M192" s="224"/>
      <c r="N192" s="224"/>
      <c r="O192" s="224"/>
      <c r="P192" s="224"/>
      <c r="Q192">
        <v>189</v>
      </c>
      <c r="R192" s="253">
        <f t="shared" si="63"/>
        <v>1000.002654</v>
      </c>
      <c r="S192" t="str">
        <f t="shared" si="58"/>
        <v>10 - Aumento de performance dos itens estampados na prensa Isgec</v>
      </c>
      <c r="T192" t="str">
        <f t="shared" si="59"/>
        <v>Jarinu</v>
      </c>
      <c r="V192" s="224" t="str">
        <f t="shared" ca="1" si="64"/>
        <v/>
      </c>
      <c r="W192" s="224" t="str">
        <f t="shared" ca="1" si="65"/>
        <v/>
      </c>
      <c r="X192" t="str">
        <f t="shared" si="60"/>
        <v>📝 Não iniciado</v>
      </c>
      <c r="Y192" s="716">
        <f t="shared" si="61"/>
        <v>46296</v>
      </c>
      <c r="Z192" t="str">
        <f t="shared" si="62"/>
        <v/>
      </c>
    </row>
    <row r="193" spans="1:26" x14ac:dyDescent="0.3">
      <c r="A193">
        <v>12</v>
      </c>
      <c r="B193" s="224">
        <f>IFERROR(LARGE(Anchieta!$I$55:$I$102,A193)," ")</f>
        <v>15000</v>
      </c>
      <c r="C193" t="str">
        <f>IFERROR(INDEX(
    Anchieta!$C$59:$C$102,
    MATCH(
        B193,
        Anchieta!$I$59:$I$102,
        0
    )
), " ")</f>
        <v>10 - CONSUMO PERNA DE MOÇA</v>
      </c>
      <c r="D193" s="719">
        <f t="shared" si="67"/>
        <v>9.3016123706767921E-3</v>
      </c>
      <c r="E193" s="339">
        <f t="shared" si="68"/>
        <v>0.99255871010345853</v>
      </c>
      <c r="F193" t="str">
        <f t="shared" si="66"/>
        <v>Anchieta</v>
      </c>
      <c r="G193" t="str">
        <f>_xlfn.XLOOKUP(C193,Anchieta!$C$55:$C$102,Anchieta!$O$55:$O$102)</f>
        <v>⏳ Em Execução</v>
      </c>
      <c r="H193" t="str">
        <f>_xlfn.XLOOKUP(C193,Anchieta!$C$55:$C$102,Anchieta!$M$55:$M$102," ")</f>
        <v>OK</v>
      </c>
      <c r="I193" s="716">
        <f>_xlfn.XLOOKUP(C193,Anchieta!$C$55:$C$102,Anchieta!$J$55:$J$102)</f>
        <v>46113</v>
      </c>
      <c r="J193" s="224">
        <f ca="1">INDEX(Anchieta!$AR$55:$AR$102, MATCH(C193, Anchieta!$C$55:$C$102, 0))</f>
        <v>6666.666666666667</v>
      </c>
      <c r="K193" s="224" cm="1">
        <f t="array" aca="1" ref="K193" ca="1">INDEX(Anchieta!$AR$55:$AR$102, MATCH(C193, Anchieta!$C$55:$C$102, 0)+1)</f>
        <v>42066.009999999995</v>
      </c>
      <c r="L193" s="224">
        <f>INDEX(Anchieta!$AJ$55:$AJ$102, MATCH(C193, Anchieta!$C$55:$C$102, 0))</f>
        <v>5000</v>
      </c>
      <c r="M193" s="224"/>
      <c r="N193" s="224"/>
      <c r="O193" s="224"/>
      <c r="P193" s="224"/>
      <c r="Q193">
        <v>190</v>
      </c>
      <c r="R193" s="253">
        <f t="shared" si="63"/>
        <v>1000.0009635599999</v>
      </c>
      <c r="S193" t="str">
        <f t="shared" si="58"/>
        <v>09 - Aumento de performance dos itens estampados na prensa Minster</v>
      </c>
      <c r="T193" t="str">
        <f t="shared" si="59"/>
        <v>Jarinu</v>
      </c>
      <c r="V193" s="224" t="str">
        <f t="shared" ca="1" si="64"/>
        <v/>
      </c>
      <c r="W193" s="224" t="str">
        <f t="shared" ca="1" si="65"/>
        <v/>
      </c>
      <c r="X193" t="str">
        <f t="shared" si="60"/>
        <v>📝 Não iniciado</v>
      </c>
      <c r="Y193" s="716">
        <f t="shared" si="61"/>
        <v>46296</v>
      </c>
      <c r="Z193" t="str">
        <f t="shared" si="62"/>
        <v/>
      </c>
    </row>
    <row r="194" spans="1:26" x14ac:dyDescent="0.3">
      <c r="A194">
        <v>13</v>
      </c>
      <c r="B194" s="224">
        <f>IFERROR(LARGE(Anchieta!$I$55:$I$102,A194)," ")</f>
        <v>7000</v>
      </c>
      <c r="C194" t="str">
        <f>IFERROR(INDEX(
    Anchieta!$C$59:$C$102,
    MATCH(
        B194,
        Anchieta!$I$59:$I$102,
        0
    )
), " ")</f>
        <v>12 - VENDA DE DESCARTÁVEIS</v>
      </c>
      <c r="D194" s="719">
        <f t="shared" si="67"/>
        <v>4.3407524396491693E-3</v>
      </c>
      <c r="E194" s="339">
        <f t="shared" si="68"/>
        <v>0.99689946254310768</v>
      </c>
      <c r="F194" t="str">
        <f t="shared" si="66"/>
        <v>Anchieta</v>
      </c>
      <c r="G194" t="str">
        <f>_xlfn.XLOOKUP(C194,Anchieta!$C$55:$C$102,Anchieta!$O$55:$O$102)</f>
        <v>⏳ Em Execução</v>
      </c>
      <c r="H194" t="str">
        <f>_xlfn.XLOOKUP(C194,Anchieta!$C$55:$C$102,Anchieta!$M$55:$M$102," ")</f>
        <v>OK</v>
      </c>
      <c r="I194" s="716">
        <f>_xlfn.XLOOKUP(C194,Anchieta!$C$55:$C$102,Anchieta!$J$55:$J$102)</f>
        <v>46357</v>
      </c>
      <c r="J194" s="224" t="str">
        <f ca="1">INDEX(Anchieta!$AR$55:$AR$102, MATCH(C194, Anchieta!$C$55:$C$102, 0))</f>
        <v/>
      </c>
      <c r="K194" s="224" t="str" cm="1">
        <f t="array" aca="1" ref="K194" ca="1">INDEX(Anchieta!$AR$55:$AR$102, MATCH(C194, Anchieta!$C$55:$C$102, 0)+1)</f>
        <v/>
      </c>
      <c r="L194" s="224">
        <f>INDEX(Anchieta!$AJ$55:$AJ$102, MATCH(C194, Anchieta!$C$55:$C$102, 0))</f>
        <v>583.33333333333337</v>
      </c>
      <c r="M194" s="224"/>
      <c r="N194" s="224"/>
      <c r="O194" s="224"/>
      <c r="P194" s="224"/>
      <c r="Q194">
        <v>191</v>
      </c>
      <c r="R194" s="253">
        <f t="shared" si="63"/>
        <v>1000.00023232</v>
      </c>
      <c r="S194" t="str">
        <f t="shared" si="58"/>
        <v>35 - Redução do consumo MTP no passo do Blank VW000942AA -15MM</v>
      </c>
      <c r="T194" t="str">
        <f t="shared" si="59"/>
        <v>Jarinu</v>
      </c>
      <c r="V194" s="224" t="str">
        <f t="shared" ca="1" si="64"/>
        <v/>
      </c>
      <c r="W194" s="224" t="str">
        <f t="shared" ca="1" si="65"/>
        <v/>
      </c>
      <c r="X194" t="str">
        <f t="shared" si="60"/>
        <v>⏳ Em Execução</v>
      </c>
      <c r="Y194" s="716">
        <f t="shared" si="61"/>
        <v>46235</v>
      </c>
      <c r="Z194" t="str">
        <f t="shared" si="62"/>
        <v/>
      </c>
    </row>
    <row r="195" spans="1:26" x14ac:dyDescent="0.3">
      <c r="A195">
        <v>14</v>
      </c>
      <c r="B195" s="224">
        <f>IFERROR(LARGE(Anchieta!$I$55:$I$102,A195)," ")</f>
        <v>5000</v>
      </c>
      <c r="C195" t="str">
        <f>IFERROR(INDEX(
    Anchieta!$C$59:$C$102,
    MATCH(
        B195,
        Anchieta!$I$59:$I$102,
        0
    )
), " ")</f>
        <v>13 - CONSUMO DE MATERIAIS DA ETE</v>
      </c>
      <c r="D195" s="719">
        <f t="shared" si="67"/>
        <v>3.100537456892264E-3</v>
      </c>
      <c r="E195" s="339">
        <f t="shared" si="68"/>
        <v>1</v>
      </c>
      <c r="F195" t="str">
        <f t="shared" si="66"/>
        <v>Anchieta</v>
      </c>
      <c r="G195" t="str">
        <f>_xlfn.XLOOKUP(C195,Anchieta!$C$55:$C$102,Anchieta!$O$55:$O$102)</f>
        <v>⏳ Em Execução</v>
      </c>
      <c r="H195">
        <f>_xlfn.XLOOKUP(C195,Anchieta!$C$55:$C$102,Anchieta!$M$55:$M$102," ")</f>
        <v>0</v>
      </c>
      <c r="I195" s="716">
        <f>_xlfn.XLOOKUP(C195,Anchieta!$C$55:$C$102,Anchieta!$J$55:$J$102)</f>
        <v>0</v>
      </c>
      <c r="J195" s="224" t="str">
        <f ca="1">INDEX(Anchieta!$AR$55:$AR$102, MATCH(C195, Anchieta!$C$55:$C$102, 0))</f>
        <v/>
      </c>
      <c r="K195" s="224" t="str" cm="1">
        <f t="array" aca="1" ref="K195" ca="1">INDEX(Anchieta!$AR$55:$AR$102, MATCH(C195, Anchieta!$C$55:$C$102, 0)+1)</f>
        <v/>
      </c>
      <c r="L195" s="224">
        <f>INDEX(Anchieta!$AJ$55:$AJ$102, MATCH(C195, Anchieta!$C$55:$C$102, 0))</f>
        <v>0</v>
      </c>
      <c r="M195" s="224"/>
      <c r="N195" s="224"/>
      <c r="O195" s="224"/>
      <c r="P195" s="224"/>
      <c r="Q195">
        <v>192</v>
      </c>
      <c r="R195" s="253">
        <f t="shared" si="63"/>
        <v>1000</v>
      </c>
      <c r="S195" t="str">
        <f t="shared" si="58"/>
        <v>41 - Redução de largura bobinas.</v>
      </c>
      <c r="T195" t="str">
        <f t="shared" si="59"/>
        <v>Jarinu</v>
      </c>
      <c r="V195" s="224" t="str">
        <f t="shared" ca="1" si="64"/>
        <v/>
      </c>
      <c r="W195" s="224" t="str">
        <f t="shared" ca="1" si="65"/>
        <v/>
      </c>
      <c r="X195" t="str">
        <f t="shared" si="60"/>
        <v>⏳ Em Execução</v>
      </c>
      <c r="Y195" s="716">
        <f t="shared" si="61"/>
        <v>46266</v>
      </c>
      <c r="Z195" t="str">
        <f t="shared" si="62"/>
        <v/>
      </c>
    </row>
    <row r="196" spans="1:26" x14ac:dyDescent="0.3">
      <c r="A196">
        <v>15</v>
      </c>
      <c r="B196" s="224" t="str">
        <f>IFERROR(LARGE(Anchieta!$I$55:$I$102,A196)," ")</f>
        <v xml:space="preserve"> </v>
      </c>
      <c r="C196" t="str">
        <f>IFERROR(INDEX(
    Anchieta!$C$59:$C$102,
    MATCH(
        B196,
        Anchieta!$I$59:$I$102,
        0
    )
), " ")</f>
        <v xml:space="preserve"> </v>
      </c>
      <c r="D196" s="719" t="str">
        <f t="shared" si="67"/>
        <v xml:space="preserve"> </v>
      </c>
      <c r="E196" s="339" t="str">
        <f t="shared" si="68"/>
        <v xml:space="preserve"> </v>
      </c>
      <c r="F196" t="str">
        <f t="shared" si="66"/>
        <v>Anchieta</v>
      </c>
      <c r="G196" t="e">
        <f>_xlfn.XLOOKUP(C196,Anchieta!$C$55:$C$102,Anchieta!$O$55:$O$102)</f>
        <v>#N/A</v>
      </c>
      <c r="H196" t="str">
        <f>_xlfn.XLOOKUP(C196,Anchieta!$C$55:$C$102,Anchieta!$M$55:$M$102," ")</f>
        <v xml:space="preserve"> </v>
      </c>
      <c r="I196" s="716" t="e">
        <f>_xlfn.XLOOKUP(C196,Anchieta!$C$55:$C$102,Anchieta!$J$55:$J$102)</f>
        <v>#N/A</v>
      </c>
      <c r="J196" s="224" t="e">
        <f>INDEX(Anchieta!$AR$55:$AR$102, MATCH(C196, Anchieta!$C$55:$C$102, 0))</f>
        <v>#N/A</v>
      </c>
      <c r="K196" s="224" t="e" cm="1">
        <f t="array" ref="K196">INDEX(Anchieta!$AR$55:$AR$102, MATCH(C196, Anchieta!$C$55:$C$102, 0)+1)</f>
        <v>#N/A</v>
      </c>
      <c r="L196" s="224" t="e">
        <f>INDEX(Anchieta!$AJ$55:$AJ$102, MATCH(C196, Anchieta!$C$55:$C$102, 0))</f>
        <v>#N/A</v>
      </c>
      <c r="M196" s="224"/>
      <c r="N196" s="224"/>
      <c r="O196" s="224"/>
      <c r="P196" s="224"/>
      <c r="Q196">
        <v>193</v>
      </c>
      <c r="R196" s="253">
        <f t="shared" si="63"/>
        <v>630.00015099999996</v>
      </c>
      <c r="S196" t="str">
        <f t="shared" ref="S196:S198" si="69">_xlfn.XLOOKUP(R196,B:B,C:C)</f>
        <v>32 - Redução de Peso Bruto do item MB003594LA</v>
      </c>
      <c r="T196" t="str">
        <f t="shared" ref="T196:T198" si="70">_xlfn.XLOOKUP(S196,C:C,F:F)</f>
        <v>Diadema</v>
      </c>
      <c r="V196" s="224">
        <f t="shared" ca="1" si="64"/>
        <v>262.625</v>
      </c>
      <c r="W196" s="224">
        <f t="shared" si="65"/>
        <v>0</v>
      </c>
      <c r="X196" t="str">
        <f t="shared" si="60"/>
        <v>✓ Concluído</v>
      </c>
      <c r="Y196" s="716">
        <f t="shared" ref="Y196:Y203" si="71">_xlfn.XLOOKUP(S196,C:C,I:I)</f>
        <v>46082</v>
      </c>
      <c r="Z196" t="str">
        <f t="shared" si="62"/>
        <v>OK</v>
      </c>
    </row>
    <row r="197" spans="1:26" x14ac:dyDescent="0.3">
      <c r="A197">
        <v>16</v>
      </c>
      <c r="B197" s="224" t="str">
        <f>IFERROR(LARGE(Anchieta!$I$55:$I$102,A197)," ")</f>
        <v xml:space="preserve"> </v>
      </c>
      <c r="C197" t="str">
        <f>IFERROR(INDEX(
    Anchieta!$C$59:$C$102,
    MATCH(
        B197,
        Anchieta!$I$59:$I$102,
        0
    )
), " ")</f>
        <v xml:space="preserve"> </v>
      </c>
      <c r="D197" s="719" t="str">
        <f t="shared" si="67"/>
        <v xml:space="preserve"> </v>
      </c>
      <c r="E197" s="339" t="str">
        <f t="shared" si="68"/>
        <v xml:space="preserve"> </v>
      </c>
      <c r="F197" t="str">
        <f t="shared" si="66"/>
        <v>Anchieta</v>
      </c>
      <c r="G197" t="e">
        <f>_xlfn.XLOOKUP(C197,Anchieta!$C$55:$C$102,Anchieta!$O$55:$O$102)</f>
        <v>#N/A</v>
      </c>
      <c r="H197" t="str">
        <f>_xlfn.XLOOKUP(C197,Anchieta!$C$55:$C$102,Anchieta!$M$55:$M$102," ")</f>
        <v xml:space="preserve"> </v>
      </c>
      <c r="I197" s="716" t="e">
        <f>_xlfn.XLOOKUP(C197,Anchieta!$C$55:$C$102,Anchieta!$J$55:$J$102)</f>
        <v>#N/A</v>
      </c>
      <c r="J197" s="224" t="e">
        <f>INDEX(Anchieta!$AR$55:$AR$102, MATCH(C197, Anchieta!$C$55:$C$102, 0))</f>
        <v>#N/A</v>
      </c>
      <c r="K197" s="224" t="e" cm="1">
        <f t="array" ref="K197">INDEX(Anchieta!$AR$55:$AR$102, MATCH(C197, Anchieta!$C$55:$C$102, 0)+1)</f>
        <v>#N/A</v>
      </c>
      <c r="L197" s="224" t="e">
        <f>INDEX(Anchieta!$AJ$55:$AJ$102, MATCH(C197, Anchieta!$C$55:$C$102, 0))</f>
        <v>#N/A</v>
      </c>
      <c r="M197" s="224"/>
      <c r="N197" s="224"/>
      <c r="O197" s="224"/>
      <c r="P197" s="224"/>
      <c r="Q197">
        <v>194</v>
      </c>
      <c r="R197" s="253">
        <f t="shared" ref="R197:R198" si="72">IFERROR(LARGE(B:B,Q197)," ")</f>
        <v>630</v>
      </c>
      <c r="S197" t="str">
        <f t="shared" si="69"/>
        <v>36 - Redução de Peso Bruto do item MB003673LA</v>
      </c>
      <c r="T197" t="str">
        <f t="shared" si="70"/>
        <v>Diadema</v>
      </c>
      <c r="V197" s="224">
        <f t="shared" ca="1" si="64"/>
        <v>317.85000000000002</v>
      </c>
      <c r="W197" s="224">
        <f t="shared" si="65"/>
        <v>0</v>
      </c>
      <c r="X197" t="str">
        <f t="shared" si="60"/>
        <v>✓ Concluído</v>
      </c>
      <c r="Y197" s="716">
        <f t="shared" si="71"/>
        <v>46082</v>
      </c>
      <c r="Z197" t="str">
        <f t="shared" si="62"/>
        <v>OK</v>
      </c>
    </row>
    <row r="198" spans="1:26" x14ac:dyDescent="0.3">
      <c r="A198">
        <v>17</v>
      </c>
      <c r="B198" s="224" t="str">
        <f>IFERROR(LARGE(Anchieta!$I$59:$I$102,A198)," ")</f>
        <v xml:space="preserve"> </v>
      </c>
      <c r="C198" t="str">
        <f>IFERROR(INDEX(
    Anchieta!$C$59:$C$102,
    MATCH(
        B198,
        Anchieta!$I$59:$I$102,
        0
    )
), " ")</f>
        <v xml:space="preserve"> </v>
      </c>
      <c r="D198" s="719" t="str">
        <f t="shared" si="67"/>
        <v xml:space="preserve"> </v>
      </c>
      <c r="E198" s="339" t="str">
        <f t="shared" si="68"/>
        <v xml:space="preserve"> </v>
      </c>
      <c r="F198" t="str">
        <f t="shared" si="66"/>
        <v>Anchieta</v>
      </c>
      <c r="G198" t="e">
        <f>_xlfn.XLOOKUP(C198,Anchieta!$C$55:$C$102,Anchieta!$O$55:$O$102)</f>
        <v>#N/A</v>
      </c>
      <c r="H198" t="str">
        <f>_xlfn.XLOOKUP(C198,Anchieta!$C$55:$C$102,Anchieta!$M$55:$M$102," ")</f>
        <v xml:space="preserve"> </v>
      </c>
      <c r="I198" s="716" t="e">
        <f>_xlfn.XLOOKUP(C198,Anchieta!$C$55:$C$102,Anchieta!$J$55:$J$102)</f>
        <v>#N/A</v>
      </c>
      <c r="J198" s="224" t="e">
        <f>INDEX(Anchieta!$AR$55:$AR$102, MATCH(C198, Anchieta!$C$55:$C$102, 0))</f>
        <v>#N/A</v>
      </c>
      <c r="K198" s="224" t="e" cm="1">
        <f t="array" ref="K198">INDEX(Anchieta!$AR$55:$AR$102, MATCH(C198, Anchieta!$C$55:$C$102, 0)+1)</f>
        <v>#N/A</v>
      </c>
      <c r="L198" s="224" t="e">
        <f>INDEX(Anchieta!$AJ$55:$AJ$102, MATCH(C198, Anchieta!$C$55:$C$102, 0))</f>
        <v>#N/A</v>
      </c>
      <c r="M198" s="224"/>
      <c r="N198" s="224"/>
      <c r="O198" s="224"/>
      <c r="P198" s="224"/>
      <c r="Q198">
        <v>195</v>
      </c>
      <c r="R198" s="253">
        <f t="shared" si="72"/>
        <v>1.5355000000000001</v>
      </c>
      <c r="S198" t="str">
        <f t="shared" si="69"/>
        <v>11 - Resourcing de DSL para DD</v>
      </c>
      <c r="T198" t="str">
        <f t="shared" si="70"/>
        <v>Diadema</v>
      </c>
      <c r="V198" s="224" t="str">
        <f t="shared" ca="1" si="64"/>
        <v/>
      </c>
      <c r="W198" s="224">
        <f t="shared" si="65"/>
        <v>0</v>
      </c>
      <c r="X198" t="str">
        <f t="shared" si="60"/>
        <v>✓ Concluído</v>
      </c>
      <c r="Y198" s="716">
        <f t="shared" si="71"/>
        <v>46143</v>
      </c>
      <c r="Z198" t="str">
        <f t="shared" si="62"/>
        <v>Não Ok</v>
      </c>
    </row>
    <row r="199" spans="1:26" x14ac:dyDescent="0.3">
      <c r="A199">
        <v>18</v>
      </c>
      <c r="B199" s="224" t="str">
        <f>IFERROR(LARGE(Anchieta!$I$59:$I$102,A199)," ")</f>
        <v xml:space="preserve"> </v>
      </c>
      <c r="C199" t="str">
        <f>IFERROR(INDEX(
    Anchieta!$C$59:$C$102,
    MATCH(
        B199,
        Anchieta!$I$59:$I$102,
        0
    )
), " ")</f>
        <v xml:space="preserve"> </v>
      </c>
      <c r="D199" s="719" t="str">
        <f t="shared" si="67"/>
        <v xml:space="preserve"> </v>
      </c>
      <c r="E199" s="339" t="str">
        <f t="shared" si="68"/>
        <v xml:space="preserve"> </v>
      </c>
      <c r="F199" t="str">
        <f t="shared" si="66"/>
        <v>Anchieta</v>
      </c>
      <c r="G199" t="e">
        <f>_xlfn.XLOOKUP(C199,Anchieta!$C$55:$C$102,Anchieta!$O$55:$O$102)</f>
        <v>#N/A</v>
      </c>
      <c r="H199" t="str">
        <f>_xlfn.XLOOKUP(C199,Anchieta!$C$55:$C$102,Anchieta!$M$55:$M$102," ")</f>
        <v xml:space="preserve"> </v>
      </c>
      <c r="I199" s="716" t="e">
        <f>_xlfn.XLOOKUP(C199,Anchieta!$C$55:$C$102,Anchieta!$J$55:$J$102)</f>
        <v>#N/A</v>
      </c>
      <c r="J199" s="224" t="e">
        <f>INDEX(Anchieta!$AR$55:$AR$102, MATCH(C199, Anchieta!$C$55:$C$102, 0))</f>
        <v>#N/A</v>
      </c>
      <c r="K199" s="224" t="e" cm="1">
        <f t="array" ref="K199">INDEX(Anchieta!$AR$55:$AR$102, MATCH(C199, Anchieta!$C$55:$C$102, 0)+1)</f>
        <v>#N/A</v>
      </c>
      <c r="L199" s="224" t="e">
        <f>INDEX(Anchieta!$AJ$55:$AJ$102, MATCH(C199, Anchieta!$C$55:$C$102, 0))</f>
        <v>#N/A</v>
      </c>
      <c r="M199" s="224"/>
      <c r="N199" s="224"/>
      <c r="O199" s="224"/>
      <c r="P199" s="224"/>
      <c r="Q199">
        <v>196</v>
      </c>
      <c r="R199" s="253">
        <f t="shared" ref="R199:R211" si="73">IFERROR(LARGE(B:B,Q199)," ")</f>
        <v>0</v>
      </c>
      <c r="Y199" s="716">
        <f t="shared" si="71"/>
        <v>0</v>
      </c>
    </row>
    <row r="200" spans="1:26" x14ac:dyDescent="0.3">
      <c r="A200">
        <v>19</v>
      </c>
      <c r="B200" s="224" t="str">
        <f>IFERROR(LARGE(Anchieta!$I$59:$I$102,A200)," ")</f>
        <v xml:space="preserve"> </v>
      </c>
      <c r="C200" t="str">
        <f>IFERROR(INDEX(
    Anchieta!$C$59:$C$102,
    MATCH(
        B200,
        Anchieta!$I$59:$I$102,
        0
    )
), " ")</f>
        <v xml:space="preserve"> </v>
      </c>
      <c r="D200" s="719" t="str">
        <f t="shared" si="67"/>
        <v xml:space="preserve"> </v>
      </c>
      <c r="E200" s="339" t="str">
        <f t="shared" si="68"/>
        <v xml:space="preserve"> </v>
      </c>
      <c r="F200" t="str">
        <f t="shared" si="66"/>
        <v>Anchieta</v>
      </c>
      <c r="G200" t="e">
        <f>_xlfn.XLOOKUP(C200,Anchieta!$C$55:$C$102,Anchieta!$O$55:$O$102)</f>
        <v>#N/A</v>
      </c>
      <c r="H200" t="str">
        <f>_xlfn.XLOOKUP(C200,Anchieta!$C$55:$C$102,Anchieta!$M$55:$M$102," ")</f>
        <v xml:space="preserve"> </v>
      </c>
      <c r="I200" s="716" t="e">
        <f>_xlfn.XLOOKUP(C200,Anchieta!$C$55:$C$102,Anchieta!$J$55:$J$102)</f>
        <v>#N/A</v>
      </c>
      <c r="J200" s="224" t="e">
        <f>INDEX(Anchieta!$AR$55:$AR$102, MATCH(C200, Anchieta!$C$55:$C$102, 0))</f>
        <v>#N/A</v>
      </c>
      <c r="K200" s="224" t="e" cm="1">
        <f t="array" ref="K200">INDEX(Anchieta!$AR$55:$AR$102, MATCH(C200, Anchieta!$C$55:$C$102, 0)+1)</f>
        <v>#N/A</v>
      </c>
      <c r="L200" s="224" t="e">
        <f>INDEX(Anchieta!$AJ$55:$AJ$102, MATCH(C200, Anchieta!$C$55:$C$102, 0))</f>
        <v>#N/A</v>
      </c>
      <c r="M200" s="224"/>
      <c r="N200" s="224"/>
      <c r="O200" s="224"/>
      <c r="P200" s="224"/>
      <c r="Q200">
        <v>197</v>
      </c>
      <c r="R200" s="253">
        <f t="shared" si="73"/>
        <v>0</v>
      </c>
      <c r="Y200" s="716">
        <f t="shared" si="71"/>
        <v>0</v>
      </c>
    </row>
    <row r="201" spans="1:26" x14ac:dyDescent="0.3">
      <c r="A201">
        <v>20</v>
      </c>
      <c r="B201" s="224" t="str">
        <f>IFERROR(LARGE(Anchieta!$I$59:$I$102,A201)," ")</f>
        <v xml:space="preserve"> </v>
      </c>
      <c r="C201" t="str">
        <f>IFERROR(INDEX(
    Anchieta!$C$59:$C$102,
    MATCH(
        B201,
        Anchieta!$I$59:$I$102,
        0
    )
), " ")</f>
        <v xml:space="preserve"> </v>
      </c>
      <c r="D201" s="719" t="str">
        <f t="shared" si="67"/>
        <v xml:space="preserve"> </v>
      </c>
      <c r="E201" s="339" t="str">
        <f t="shared" si="68"/>
        <v xml:space="preserve"> </v>
      </c>
      <c r="F201" t="str">
        <f t="shared" si="66"/>
        <v>Anchieta</v>
      </c>
      <c r="G201" t="e">
        <f>_xlfn.XLOOKUP(C201,Anchieta!$C$55:$C$102,Anchieta!$O$55:$O$102)</f>
        <v>#N/A</v>
      </c>
      <c r="H201" t="str">
        <f>_xlfn.XLOOKUP(C201,Anchieta!$C$55:$C$102,Anchieta!$M$55:$M$102," ")</f>
        <v xml:space="preserve"> </v>
      </c>
      <c r="I201" s="716" t="e">
        <f>_xlfn.XLOOKUP(C201,Anchieta!$C$55:$C$102,Anchieta!$J$55:$J$102)</f>
        <v>#N/A</v>
      </c>
      <c r="J201" s="224" t="e">
        <f>INDEX(Anchieta!$AR$55:$AR$102, MATCH(C201, Anchieta!$C$55:$C$102, 0))</f>
        <v>#N/A</v>
      </c>
      <c r="K201" s="224" t="e" cm="1">
        <f t="array" ref="K201">INDEX(Anchieta!$AR$55:$AR$102, MATCH(C201, Anchieta!$C$55:$C$102, 0)+1)</f>
        <v>#N/A</v>
      </c>
      <c r="L201" s="224" t="e">
        <f>INDEX(Anchieta!$AJ$55:$AJ$102, MATCH(C201, Anchieta!$C$55:$C$102, 0))</f>
        <v>#N/A</v>
      </c>
      <c r="M201" s="224"/>
      <c r="N201" s="224"/>
      <c r="O201" s="224"/>
      <c r="P201" s="224"/>
      <c r="Q201">
        <v>198</v>
      </c>
      <c r="R201" s="253" t="str">
        <f t="shared" si="73"/>
        <v xml:space="preserve"> </v>
      </c>
      <c r="Y201" s="716">
        <f t="shared" si="71"/>
        <v>0</v>
      </c>
    </row>
    <row r="202" spans="1:26" x14ac:dyDescent="0.3">
      <c r="A202">
        <v>21</v>
      </c>
      <c r="B202" s="224" t="str">
        <f>IFERROR(LARGE(Anchieta!$I$59:$I$102,A202)," ")</f>
        <v xml:space="preserve"> </v>
      </c>
      <c r="C202" t="str">
        <f>IFERROR(INDEX(
    Anchieta!$C$59:$C$102,
    MATCH(
        B202,
        Anchieta!$I$59:$I$102,
        0
    )
), " ")</f>
        <v xml:space="preserve"> </v>
      </c>
      <c r="D202" s="719" t="str">
        <f t="shared" si="67"/>
        <v xml:space="preserve"> </v>
      </c>
      <c r="E202" s="339" t="str">
        <f t="shared" si="68"/>
        <v xml:space="preserve"> </v>
      </c>
      <c r="F202" t="str">
        <f t="shared" si="66"/>
        <v>Anchieta</v>
      </c>
      <c r="G202" t="e">
        <f>_xlfn.XLOOKUP(C202,Anchieta!$C$55:$C$102,Anchieta!$O$55:$O$102)</f>
        <v>#N/A</v>
      </c>
      <c r="H202" t="str">
        <f>_xlfn.XLOOKUP(C202,Anchieta!$C$55:$C$102,Anchieta!$M$55:$M$102," ")</f>
        <v xml:space="preserve"> </v>
      </c>
      <c r="I202" s="716" t="e">
        <f>_xlfn.XLOOKUP(C202,Anchieta!$C$55:$C$102,Anchieta!$J$55:$J$102)</f>
        <v>#N/A</v>
      </c>
      <c r="J202" s="224" t="e">
        <f>INDEX(Anchieta!$AR$55:$AR$102, MATCH(C202, Anchieta!$C$55:$C$102, 0))</f>
        <v>#N/A</v>
      </c>
      <c r="K202" s="224" t="e" cm="1">
        <f t="array" ref="K202">INDEX(Anchieta!$AR$55:$AR$102, MATCH(C202, Anchieta!$C$55:$C$102, 0)+1)</f>
        <v>#N/A</v>
      </c>
      <c r="L202" s="224" t="e">
        <f>INDEX(Anchieta!$AJ$55:$AJ$102, MATCH(C202, Anchieta!$C$55:$C$102, 0))</f>
        <v>#N/A</v>
      </c>
      <c r="M202" s="224"/>
      <c r="N202" s="224"/>
      <c r="O202" s="224"/>
      <c r="P202" s="224"/>
      <c r="Q202">
        <v>199</v>
      </c>
      <c r="R202" s="253" t="str">
        <f t="shared" si="73"/>
        <v xml:space="preserve"> </v>
      </c>
      <c r="Y202" s="716">
        <f t="shared" si="71"/>
        <v>0</v>
      </c>
    </row>
    <row r="203" spans="1:26" x14ac:dyDescent="0.3">
      <c r="A203">
        <v>22</v>
      </c>
      <c r="B203" s="224" t="str">
        <f>IFERROR(LARGE(Anchieta!$I$59:$I$102,A203)," ")</f>
        <v xml:space="preserve"> </v>
      </c>
      <c r="C203" t="str">
        <f>IFERROR(INDEX(
    Anchieta!$C$59:$C$102,
    MATCH(
        B203,
        Anchieta!$I$59:$I$102,
        0
    )
), " ")</f>
        <v xml:space="preserve"> </v>
      </c>
      <c r="D203" s="719" t="str">
        <f t="shared" si="67"/>
        <v xml:space="preserve"> </v>
      </c>
      <c r="E203" s="339" t="str">
        <f t="shared" si="68"/>
        <v xml:space="preserve"> </v>
      </c>
      <c r="F203" t="str">
        <f t="shared" si="66"/>
        <v>Anchieta</v>
      </c>
      <c r="G203" t="e">
        <f>_xlfn.XLOOKUP(C203,Anchieta!$C$55:$C$102,Anchieta!$O$55:$O$102)</f>
        <v>#N/A</v>
      </c>
      <c r="H203" t="str">
        <f>_xlfn.XLOOKUP(C203,Anchieta!$C$55:$C$102,Anchieta!$M$55:$M$102," ")</f>
        <v xml:space="preserve"> </v>
      </c>
      <c r="I203" s="716" t="e">
        <f>_xlfn.XLOOKUP(C203,Anchieta!$C$55:$C$102,Anchieta!$J$55:$J$102)</f>
        <v>#N/A</v>
      </c>
      <c r="J203" s="224" t="e">
        <f>INDEX(Anchieta!$AR$55:$AR$102, MATCH(C203, Anchieta!$C$55:$C$102, 0))</f>
        <v>#N/A</v>
      </c>
      <c r="K203" s="224" t="e" cm="1">
        <f t="array" ref="K203">INDEX(Anchieta!$AR$55:$AR$102, MATCH(C203, Anchieta!$C$55:$C$102, 0)+1)</f>
        <v>#N/A</v>
      </c>
      <c r="L203" s="224" t="e">
        <f>INDEX(Anchieta!$AJ$55:$AJ$102, MATCH(C203, Anchieta!$C$55:$C$102, 0))</f>
        <v>#N/A</v>
      </c>
      <c r="M203" s="224"/>
      <c r="N203" s="224"/>
      <c r="O203" s="224"/>
      <c r="P203" s="224"/>
      <c r="Q203">
        <v>200</v>
      </c>
      <c r="R203" s="253" t="str">
        <f t="shared" si="73"/>
        <v xml:space="preserve"> </v>
      </c>
      <c r="Y203" s="716">
        <f t="shared" si="71"/>
        <v>0</v>
      </c>
    </row>
    <row r="204" spans="1:26" x14ac:dyDescent="0.3">
      <c r="A204">
        <v>23</v>
      </c>
      <c r="B204" s="224" t="str">
        <f>IFERROR(LARGE(Anchieta!$I$59:$I$102,A204)," ")</f>
        <v xml:space="preserve"> </v>
      </c>
      <c r="C204" t="str">
        <f>IFERROR(INDEX(
    Anchieta!$C$59:$C$102,
    MATCH(
        B204,
        Anchieta!$I$59:$I$102,
        0
    )
), " ")</f>
        <v xml:space="preserve"> </v>
      </c>
      <c r="D204" s="719" t="str">
        <f t="shared" si="67"/>
        <v xml:space="preserve"> </v>
      </c>
      <c r="E204" s="339" t="str">
        <f t="shared" si="68"/>
        <v xml:space="preserve"> </v>
      </c>
      <c r="F204" t="str">
        <f t="shared" si="66"/>
        <v>Anchieta</v>
      </c>
      <c r="G204" t="e">
        <f>_xlfn.XLOOKUP(C204,Anchieta!$C$55:$C$102,Anchieta!$O$55:$O$102)</f>
        <v>#N/A</v>
      </c>
      <c r="H204" t="str">
        <f>_xlfn.XLOOKUP(C204,Anchieta!$C$55:$C$102,Anchieta!$M$55:$M$102," ")</f>
        <v xml:space="preserve"> </v>
      </c>
      <c r="I204" s="716" t="e">
        <f>_xlfn.XLOOKUP(C204,Anchieta!$C$55:$C$102,Anchieta!$J$55:$J$102)</f>
        <v>#N/A</v>
      </c>
      <c r="J204" s="224" t="e">
        <f>INDEX(Anchieta!$AR$55:$AR$102, MATCH(C204, Anchieta!$C$55:$C$102, 0))</f>
        <v>#N/A</v>
      </c>
      <c r="K204" s="224" t="e" cm="1">
        <f t="array" ref="K204">INDEX(Anchieta!$AR$55:$AR$102, MATCH(C204, Anchieta!$C$55:$C$102, 0)+1)</f>
        <v>#N/A</v>
      </c>
      <c r="L204" s="224" t="e">
        <f>INDEX(Anchieta!$AJ$55:$AJ$102, MATCH(C204, Anchieta!$C$55:$C$102, 0))</f>
        <v>#N/A</v>
      </c>
      <c r="M204" s="224"/>
      <c r="N204" s="224"/>
      <c r="O204" s="224"/>
      <c r="P204" s="224"/>
      <c r="R204" s="253" t="str">
        <f t="shared" si="73"/>
        <v xml:space="preserve"> </v>
      </c>
      <c r="Y204" s="716"/>
    </row>
    <row r="205" spans="1:26" x14ac:dyDescent="0.3">
      <c r="A205">
        <v>24</v>
      </c>
      <c r="B205" s="224" t="str">
        <f>IFERROR(LARGE(Anchieta!$I$59:$I$102,A205)," ")</f>
        <v xml:space="preserve"> </v>
      </c>
      <c r="C205" t="str">
        <f>IFERROR(INDEX(
    Anchieta!$C$59:$C$102,
    MATCH(
        B205,
        Anchieta!$I$59:$I$102,
        0
    )
), " ")</f>
        <v xml:space="preserve"> </v>
      </c>
      <c r="D205" s="719" t="str">
        <f t="shared" si="67"/>
        <v xml:space="preserve"> </v>
      </c>
      <c r="E205" s="339" t="str">
        <f t="shared" si="68"/>
        <v xml:space="preserve"> </v>
      </c>
      <c r="F205" t="str">
        <f t="shared" si="66"/>
        <v>Anchieta</v>
      </c>
      <c r="G205" t="e">
        <f>_xlfn.XLOOKUP(C205,Anchieta!$C$55:$C$102,Anchieta!$O$55:$O$102)</f>
        <v>#N/A</v>
      </c>
      <c r="H205" t="str">
        <f>_xlfn.XLOOKUP(C205,Anchieta!$C$55:$C$102,Anchieta!$M$55:$M$102," ")</f>
        <v xml:space="preserve"> </v>
      </c>
      <c r="I205" s="716" t="e">
        <f>_xlfn.XLOOKUP(C205,Anchieta!$C$55:$C$102,Anchieta!$J$55:$J$102)</f>
        <v>#N/A</v>
      </c>
      <c r="J205" s="224" t="e">
        <f>INDEX(Anchieta!$AR$55:$AR$102, MATCH(C205, Anchieta!$C$55:$C$102, 0))</f>
        <v>#N/A</v>
      </c>
      <c r="K205" s="224" t="e" cm="1">
        <f t="array" ref="K205">INDEX(Anchieta!$AR$55:$AR$102, MATCH(C205, Anchieta!$C$55:$C$102, 0)+1)</f>
        <v>#N/A</v>
      </c>
      <c r="L205" s="224" t="e">
        <f>INDEX(Anchieta!$AJ$55:$AJ$102, MATCH(C205, Anchieta!$C$55:$C$102, 0))</f>
        <v>#N/A</v>
      </c>
      <c r="M205" s="224"/>
      <c r="N205" s="224"/>
      <c r="O205" s="224"/>
      <c r="P205" s="224"/>
      <c r="R205" s="253" t="str">
        <f t="shared" si="73"/>
        <v xml:space="preserve"> </v>
      </c>
      <c r="Y205" s="716"/>
    </row>
    <row r="206" spans="1:26" x14ac:dyDescent="0.3">
      <c r="A206">
        <v>25</v>
      </c>
      <c r="B206" s="224" t="str">
        <f>IFERROR(LARGE(Anchieta!$I$59:$I$102,A206)," ")</f>
        <v xml:space="preserve"> </v>
      </c>
      <c r="C206" t="str">
        <f>IFERROR(INDEX(
    Anchieta!$C$59:$C$102,
    MATCH(
        B206,
        Anchieta!$I$59:$I$102,
        0
    )
), " ")</f>
        <v xml:space="preserve"> </v>
      </c>
      <c r="D206" s="719" t="str">
        <f t="shared" si="67"/>
        <v xml:space="preserve"> </v>
      </c>
      <c r="E206" s="339" t="str">
        <f t="shared" si="68"/>
        <v xml:space="preserve"> </v>
      </c>
      <c r="F206" t="str">
        <f t="shared" si="66"/>
        <v>Anchieta</v>
      </c>
      <c r="G206" t="e">
        <f>_xlfn.XLOOKUP(C206,Anchieta!$C$55:$C$102,Anchieta!$O$55:$O$102)</f>
        <v>#N/A</v>
      </c>
      <c r="H206" t="str">
        <f>_xlfn.XLOOKUP(C206,Anchieta!$C$55:$C$102,Anchieta!$M$55:$M$102," ")</f>
        <v xml:space="preserve"> </v>
      </c>
      <c r="I206" s="716" t="e">
        <f>_xlfn.XLOOKUP(C206,Anchieta!$C$55:$C$102,Anchieta!$J$55:$J$102)</f>
        <v>#N/A</v>
      </c>
      <c r="J206" s="224" t="e">
        <f>INDEX(Anchieta!$AR$55:$AR$102, MATCH(C206, Anchieta!$C$55:$C$102, 0))</f>
        <v>#N/A</v>
      </c>
      <c r="K206" s="224" t="e" cm="1">
        <f t="array" ref="K206">INDEX(Anchieta!$AR$55:$AR$102, MATCH(C206, Anchieta!$C$55:$C$102, 0)+1)</f>
        <v>#N/A</v>
      </c>
      <c r="L206" s="224" t="e">
        <f>INDEX(Anchieta!$AJ$55:$AJ$102, MATCH(C206, Anchieta!$C$55:$C$102, 0))</f>
        <v>#N/A</v>
      </c>
      <c r="M206" s="224"/>
      <c r="N206" s="224"/>
      <c r="O206" s="224"/>
      <c r="P206" s="224"/>
      <c r="R206" s="253" t="str">
        <f t="shared" si="73"/>
        <v xml:space="preserve"> </v>
      </c>
      <c r="Y206" s="716"/>
    </row>
    <row r="207" spans="1:26" x14ac:dyDescent="0.3">
      <c r="A207">
        <v>26</v>
      </c>
      <c r="B207" s="224" t="str">
        <f>IFERROR(LARGE(Anchieta!$I$59:$I$102,A207)," ")</f>
        <v xml:space="preserve"> </v>
      </c>
      <c r="C207" t="str">
        <f>IFERROR(INDEX(
    Anchieta!$C$59:$C$102,
    MATCH(
        B207,
        Anchieta!$I$59:$I$102,
        0
    )
), " ")</f>
        <v xml:space="preserve"> </v>
      </c>
      <c r="D207" s="719" t="str">
        <f t="shared" si="67"/>
        <v xml:space="preserve"> </v>
      </c>
      <c r="E207" s="339" t="str">
        <f t="shared" si="68"/>
        <v xml:space="preserve"> </v>
      </c>
      <c r="F207" t="str">
        <f t="shared" si="66"/>
        <v>Anchieta</v>
      </c>
      <c r="G207" t="e">
        <f>_xlfn.XLOOKUP(C207,Anchieta!$C$55:$C$102,Anchieta!$O$55:$O$102)</f>
        <v>#N/A</v>
      </c>
      <c r="H207" t="str">
        <f>_xlfn.XLOOKUP(C207,Anchieta!$C$55:$C$102,Anchieta!$M$55:$M$102," ")</f>
        <v xml:space="preserve"> </v>
      </c>
      <c r="I207" s="716" t="e">
        <f>_xlfn.XLOOKUP(C207,Anchieta!$C$55:$C$102,Anchieta!$J$55:$J$102)</f>
        <v>#N/A</v>
      </c>
      <c r="J207" s="224" t="e">
        <f>INDEX(Anchieta!$AR$55:$AR$102, MATCH(C207, Anchieta!$C$55:$C$102, 0))</f>
        <v>#N/A</v>
      </c>
      <c r="K207" s="224" t="e" cm="1">
        <f t="array" ref="K207">INDEX(Anchieta!$AR$55:$AR$102, MATCH(C207, Anchieta!$C$55:$C$102, 0)+1)</f>
        <v>#N/A</v>
      </c>
      <c r="L207" s="224" t="e">
        <f>INDEX(Anchieta!$AJ$55:$AJ$102, MATCH(C207, Anchieta!$C$55:$C$102, 0))</f>
        <v>#N/A</v>
      </c>
      <c r="M207" s="224"/>
      <c r="N207" s="224"/>
      <c r="O207" s="224"/>
      <c r="P207" s="224"/>
      <c r="R207" s="253" t="str">
        <f t="shared" si="73"/>
        <v xml:space="preserve"> </v>
      </c>
      <c r="Y207" s="716"/>
    </row>
    <row r="208" spans="1:26" x14ac:dyDescent="0.3">
      <c r="A208">
        <v>27</v>
      </c>
      <c r="B208" s="224" t="str">
        <f>IFERROR(LARGE(Anchieta!$I$59:$I$102,A208)," ")</f>
        <v xml:space="preserve"> </v>
      </c>
      <c r="C208" t="str">
        <f>IFERROR(INDEX(
    Anchieta!$C$59:$C$102,
    MATCH(
        B208,
        Anchieta!$I$59:$I$102,
        0
    )
), " ")</f>
        <v xml:space="preserve"> </v>
      </c>
      <c r="D208" s="719" t="str">
        <f t="shared" si="67"/>
        <v xml:space="preserve"> </v>
      </c>
      <c r="E208" s="339" t="str">
        <f t="shared" si="68"/>
        <v xml:space="preserve"> </v>
      </c>
      <c r="F208" t="str">
        <f t="shared" si="66"/>
        <v>Anchieta</v>
      </c>
      <c r="G208" t="e">
        <f>_xlfn.XLOOKUP(C208,Anchieta!$C$55:$C$102,Anchieta!$O$55:$O$102)</f>
        <v>#N/A</v>
      </c>
      <c r="H208" t="str">
        <f>_xlfn.XLOOKUP(C208,Anchieta!$C$55:$C$102,Anchieta!$M$55:$M$102," ")</f>
        <v xml:space="preserve"> </v>
      </c>
      <c r="I208" s="716" t="e">
        <f>_xlfn.XLOOKUP(C208,Anchieta!$C$55:$C$102,Anchieta!$J$55:$J$102)</f>
        <v>#N/A</v>
      </c>
      <c r="J208" s="224" t="e">
        <f>INDEX(Anchieta!$AR$55:$AR$102, MATCH(C208, Anchieta!$C$55:$C$102, 0))</f>
        <v>#N/A</v>
      </c>
      <c r="K208" s="224" t="e" cm="1">
        <f t="array" ref="K208">INDEX(Anchieta!$AR$55:$AR$102, MATCH(C208, Anchieta!$C$55:$C$102, 0)+1)</f>
        <v>#N/A</v>
      </c>
      <c r="L208" s="224" t="e">
        <f>INDEX(Anchieta!$AJ$55:$AJ$102, MATCH(C208, Anchieta!$C$55:$C$102, 0))</f>
        <v>#N/A</v>
      </c>
      <c r="M208" s="224"/>
      <c r="N208" s="224"/>
      <c r="O208" s="224"/>
      <c r="P208" s="224"/>
      <c r="R208" s="253" t="str">
        <f t="shared" si="73"/>
        <v xml:space="preserve"> </v>
      </c>
      <c r="Y208" s="716"/>
    </row>
    <row r="209" spans="1:25" x14ac:dyDescent="0.3">
      <c r="A209">
        <v>28</v>
      </c>
      <c r="B209" s="224" t="str">
        <f>IFERROR(LARGE(Anchieta!$I$59:$I$102,A209)," ")</f>
        <v xml:space="preserve"> </v>
      </c>
      <c r="C209" t="str">
        <f>IFERROR(INDEX(
    Anchieta!$C$59:$C$102,
    MATCH(
        B209,
        Anchieta!$I$59:$I$102,
        0
    )
), " ")</f>
        <v xml:space="preserve"> </v>
      </c>
      <c r="D209" s="719" t="str">
        <f t="shared" si="67"/>
        <v xml:space="preserve"> </v>
      </c>
      <c r="E209" s="339" t="str">
        <f t="shared" si="68"/>
        <v xml:space="preserve"> </v>
      </c>
      <c r="F209" t="str">
        <f t="shared" si="66"/>
        <v>Anchieta</v>
      </c>
      <c r="G209" t="e">
        <f>_xlfn.XLOOKUP(C209,Anchieta!$C$55:$C$102,Anchieta!$O$55:$O$102)</f>
        <v>#N/A</v>
      </c>
      <c r="H209" t="str">
        <f>_xlfn.XLOOKUP(C209,Anchieta!$C$55:$C$102,Anchieta!$M$55:$M$102," ")</f>
        <v xml:space="preserve"> </v>
      </c>
      <c r="I209" s="716" t="e">
        <f>_xlfn.XLOOKUP(C209,Anchieta!$C$55:$C$102,Anchieta!$J$55:$J$102)</f>
        <v>#N/A</v>
      </c>
      <c r="J209" s="224" t="e">
        <f>INDEX(Anchieta!$AR$55:$AR$102, MATCH(C209, Anchieta!$C$55:$C$102, 0))</f>
        <v>#N/A</v>
      </c>
      <c r="K209" s="224" t="e" cm="1">
        <f t="array" ref="K209">INDEX(Anchieta!$AR$55:$AR$102, MATCH(C209, Anchieta!$C$55:$C$102, 0)+1)</f>
        <v>#N/A</v>
      </c>
      <c r="L209" s="224" t="e">
        <f>INDEX(Anchieta!$AJ$55:$AJ$102, MATCH(C209, Anchieta!$C$55:$C$102, 0))</f>
        <v>#N/A</v>
      </c>
      <c r="M209" s="224"/>
      <c r="N209" s="224"/>
      <c r="O209" s="224"/>
      <c r="P209" s="224"/>
      <c r="R209" s="253" t="str">
        <f t="shared" si="73"/>
        <v xml:space="preserve"> </v>
      </c>
      <c r="Y209" s="716"/>
    </row>
    <row r="210" spans="1:25" x14ac:dyDescent="0.3">
      <c r="A210">
        <v>29</v>
      </c>
      <c r="B210" s="224" t="str">
        <f>IFERROR(LARGE(Anchieta!$I$59:$I$102,A210)," ")</f>
        <v xml:space="preserve"> </v>
      </c>
      <c r="C210" t="str">
        <f>IFERROR(INDEX(
    Anchieta!$C$59:$C$102,
    MATCH(
        B210,
        Anchieta!$I$59:$I$102,
        0
    )
), " ")</f>
        <v xml:space="preserve"> </v>
      </c>
      <c r="D210" s="719" t="str">
        <f t="shared" si="67"/>
        <v xml:space="preserve"> </v>
      </c>
      <c r="E210" s="339" t="str">
        <f t="shared" si="68"/>
        <v xml:space="preserve"> </v>
      </c>
      <c r="F210" t="str">
        <f t="shared" si="66"/>
        <v>Anchieta</v>
      </c>
      <c r="G210" t="e">
        <f>_xlfn.XLOOKUP(C210,Anchieta!$C$55:$C$102,Anchieta!$O$55:$O$102)</f>
        <v>#N/A</v>
      </c>
      <c r="H210" t="str">
        <f>_xlfn.XLOOKUP(C210,Anchieta!$C$55:$C$102,Anchieta!$M$55:$M$102," ")</f>
        <v xml:space="preserve"> </v>
      </c>
      <c r="I210" s="716" t="e">
        <f>_xlfn.XLOOKUP(C210,Anchieta!$C$55:$C$102,Anchieta!$J$55:$J$102)</f>
        <v>#N/A</v>
      </c>
      <c r="J210" s="224" t="e">
        <f>INDEX(Anchieta!$AR$55:$AR$102, MATCH(C210, Anchieta!$C$55:$C$102, 0))</f>
        <v>#N/A</v>
      </c>
      <c r="K210" s="224" t="e" cm="1">
        <f t="array" ref="K210">INDEX(Anchieta!$AR$55:$AR$102, MATCH(C210, Anchieta!$C$55:$C$102, 0)+1)</f>
        <v>#N/A</v>
      </c>
      <c r="L210" s="224" t="e">
        <f>INDEX(Anchieta!$AJ$55:$AJ$102, MATCH(C210, Anchieta!$C$55:$C$102, 0))</f>
        <v>#N/A</v>
      </c>
      <c r="M210" s="224"/>
      <c r="N210" s="224"/>
      <c r="O210" s="224"/>
      <c r="P210" s="224"/>
      <c r="R210" s="253" t="str">
        <f t="shared" si="73"/>
        <v xml:space="preserve"> </v>
      </c>
      <c r="Y210" s="716"/>
    </row>
    <row r="211" spans="1:25" x14ac:dyDescent="0.3">
      <c r="A211">
        <v>30</v>
      </c>
      <c r="B211" s="224" t="str">
        <f>IFERROR(LARGE(Anchieta!$I$59:$I$102,A211)," ")</f>
        <v xml:space="preserve"> </v>
      </c>
      <c r="C211" t="str">
        <f>IFERROR(INDEX(
    Anchieta!$C$59:$C$102,
    MATCH(
        B211,
        Anchieta!$I$59:$I$102,
        0
    )
), " ")</f>
        <v xml:space="preserve"> </v>
      </c>
      <c r="D211" s="719" t="str">
        <f t="shared" si="67"/>
        <v xml:space="preserve"> </v>
      </c>
      <c r="E211" s="339" t="str">
        <f t="shared" si="68"/>
        <v xml:space="preserve"> </v>
      </c>
      <c r="F211" t="str">
        <f t="shared" si="66"/>
        <v>Anchieta</v>
      </c>
      <c r="G211" t="e">
        <f>_xlfn.XLOOKUP(C211,Anchieta!$C$55:$C$102,Anchieta!$O$55:$O$102)</f>
        <v>#N/A</v>
      </c>
      <c r="H211" t="str">
        <f>_xlfn.XLOOKUP(C211,Anchieta!$C$55:$C$102,Anchieta!$M$55:$M$102," ")</f>
        <v xml:space="preserve"> </v>
      </c>
      <c r="I211" s="716" t="e">
        <f>_xlfn.XLOOKUP(C211,Anchieta!$C$55:$C$102,Anchieta!$J$55:$J$102)</f>
        <v>#N/A</v>
      </c>
      <c r="J211" s="224" t="e">
        <f>INDEX(Anchieta!$AR$55:$AR$102, MATCH(C211, Anchieta!$C$55:$C$102, 0))</f>
        <v>#N/A</v>
      </c>
      <c r="K211" s="224" t="e" cm="1">
        <f t="array" ref="K211">INDEX(Anchieta!$AR$55:$AR$102, MATCH(C211, Anchieta!$C$55:$C$102, 0)+1)</f>
        <v>#N/A</v>
      </c>
      <c r="L211" s="224" t="e">
        <f>INDEX(Anchieta!$AJ$55:$AJ$102, MATCH(C211, Anchieta!$C$55:$C$102, 0))</f>
        <v>#N/A</v>
      </c>
      <c r="M211" s="224"/>
      <c r="N211" s="224"/>
      <c r="O211" s="224"/>
      <c r="P211" s="224"/>
      <c r="R211" s="253" t="str">
        <f t="shared" si="73"/>
        <v xml:space="preserve"> </v>
      </c>
      <c r="Y211" s="716"/>
    </row>
    <row r="212" spans="1:25" x14ac:dyDescent="0.3">
      <c r="B212" s="224"/>
      <c r="D212" s="719"/>
      <c r="Y212" s="716"/>
    </row>
    <row r="213" spans="1:25" x14ac:dyDescent="0.3">
      <c r="B213" s="224"/>
      <c r="D213" s="719"/>
      <c r="Y213" s="716"/>
    </row>
    <row r="214" spans="1:25" ht="25.8" x14ac:dyDescent="0.3">
      <c r="A214" s="252" t="s">
        <v>26</v>
      </c>
      <c r="B214" s="252"/>
      <c r="C214" s="252"/>
      <c r="D214" s="718"/>
      <c r="E214" s="718"/>
      <c r="J214" s="2216" t="s">
        <v>2711</v>
      </c>
      <c r="K214" s="2216"/>
      <c r="Y214" s="716"/>
    </row>
    <row r="215" spans="1:25" ht="25.8" x14ac:dyDescent="0.3">
      <c r="A215" s="252"/>
      <c r="B215" s="252"/>
      <c r="C215" s="252"/>
      <c r="D215" s="718"/>
      <c r="E215" s="718"/>
      <c r="J215" s="552" t="s">
        <v>116</v>
      </c>
      <c r="K215" s="552" t="s">
        <v>117</v>
      </c>
      <c r="Y215" s="716"/>
    </row>
    <row r="216" spans="1:25" x14ac:dyDescent="0.3">
      <c r="A216" cm="1">
        <f t="array" ref="A216:A265">_xlfn.SEQUENCE(50)</f>
        <v>1</v>
      </c>
      <c r="B216" s="226">
        <f>MAX('Compras '!I31:I144)</f>
        <v>3256202</v>
      </c>
      <c r="C216" t="str">
        <f>IFERROR(INDEX(
    'Compras '!D31:D144,
    MATCH(
        B216,'Compras '!I31:I144,
        0
    )
), " ")</f>
        <v>Projeto DANA - Mudança de CH para BQ</v>
      </c>
      <c r="D216" s="719">
        <f t="shared" ref="D216:D245" si="74">IFERROR(B216/SUM($B$216:$B$245)," ")</f>
        <v>0.21846012379807322</v>
      </c>
      <c r="E216" s="339">
        <f>D216</f>
        <v>0.21846012379807322</v>
      </c>
      <c r="F216" t="str">
        <f>$A$214</f>
        <v>Compras</v>
      </c>
      <c r="G216" t="str">
        <f>_xlfn.XLOOKUP(C216,'Compras '!$D$31:$D$144,'Compras '!$O$31:$O$144)</f>
        <v>✓ Concluído</v>
      </c>
      <c r="H216" t="str">
        <f>_xlfn.XLOOKUP(C216,'Compras '!$D$31:$D$144,'Compras '!$M$31:$M$144," ")</f>
        <v>OK</v>
      </c>
      <c r="I216" s="716">
        <f>_xlfn.XLOOKUP(C216,'Compras '!$D$31:$D$144,'Compras '!$J$31:$J$144)</f>
        <v>46174</v>
      </c>
      <c r="J216" s="224">
        <f ca="1">INDEX('Compras '!$AS$31:$AS$144, MATCH(C216, 'Compras '!$D$31:$D$144, 0))</f>
        <v>412708.20857142855</v>
      </c>
      <c r="K216" s="224" t="str" cm="1">
        <f t="array" aca="1" ref="K216" ca="1">INDEX('Compras '!$AS$31:$AS$144, MATCH(C216, 'Compras '!$D$31:$D$144, 0)+1)</f>
        <v/>
      </c>
      <c r="L216" s="224">
        <f>INDEX('Compras '!$AL$31:$AL$144, MATCH(C216, 'Compras '!$D$31:$D$144, 0))</f>
        <v>1444478.7299999997</v>
      </c>
      <c r="M216" s="224"/>
      <c r="N216" s="224"/>
      <c r="O216" s="224"/>
      <c r="P216" s="224"/>
      <c r="Y216" s="716"/>
    </row>
    <row r="217" spans="1:25" x14ac:dyDescent="0.3">
      <c r="A217">
        <v>2</v>
      </c>
      <c r="B217" s="224">
        <f>IFERROR(LARGE('Compras '!$I$31:$I$144,A217)," ")</f>
        <v>2674685</v>
      </c>
      <c r="C217" t="str">
        <f>IFERROR(INDEX(
   'Compras '!$D$31:$D$144,
    MATCH(
        B217,
       'Compras '!$I$31:$I$144,
        0
    )
), " ")</f>
        <v>Negociação de preços materiais carcaça Dana</v>
      </c>
      <c r="D217" s="719">
        <f t="shared" si="74"/>
        <v>0.17944587474021867</v>
      </c>
      <c r="E217" s="339">
        <f>IFERROR(D217+E216," ")</f>
        <v>0.39790599853829189</v>
      </c>
      <c r="F217" t="str">
        <f t="shared" ref="F217:F265" si="75">$A$214</f>
        <v>Compras</v>
      </c>
      <c r="G217" t="str">
        <f>_xlfn.XLOOKUP(C217,'Compras '!$D$31:$D$144,'Compras '!$O$31:$O$144)</f>
        <v>✓ Concluído</v>
      </c>
      <c r="H217" t="str">
        <f>_xlfn.XLOOKUP(C217,'Compras '!$D$31:$D$144,'Compras '!$M$31:$M$144," ")</f>
        <v>OK</v>
      </c>
      <c r="I217" s="716">
        <f>_xlfn.XLOOKUP(C217,'Compras '!$D$31:$D$144,'Compras '!$J$31:$J$144)</f>
        <v>46023</v>
      </c>
      <c r="J217" s="224">
        <f ca="1">INDEX('Compras '!$AS$31:$AS$144, MATCH(C217, 'Compras '!$D$31:$D$144, 0))</f>
        <v>1546534.6866666665</v>
      </c>
      <c r="K217" s="224" cm="1">
        <f t="array" aca="1" ref="K217" ca="1">INDEX('Compras '!$AS$31:$AS$144, MATCH(C217, 'Compras '!$D$31:$D$144, 0)+1)</f>
        <v>1154706.2400000002</v>
      </c>
      <c r="L217" s="224">
        <f>INDEX('Compras '!$AL$31:$AL$144, MATCH(C217, 'Compras '!$D$31:$D$144, 0))</f>
        <v>2651202.3200000003</v>
      </c>
      <c r="M217" s="224"/>
      <c r="N217" s="224"/>
      <c r="O217" s="224"/>
      <c r="P217" s="224"/>
      <c r="Y217" s="716"/>
    </row>
    <row r="218" spans="1:25" x14ac:dyDescent="0.3">
      <c r="A218">
        <v>3</v>
      </c>
      <c r="B218" s="224">
        <f>IFERROR(LARGE('Compras '!$I$31:$I$144,A218)," ")</f>
        <v>1139000</v>
      </c>
      <c r="C218" t="str">
        <f>IFERROR(INDEX(
   'Compras '!$D$31:$D$144,
    MATCH(
        B218,
       'Compras '!$I$31:$I$144,
        0
    )
), " ")</f>
        <v>Recuperação de valores - Energia Elétrica</v>
      </c>
      <c r="D218" s="719">
        <f t="shared" si="74"/>
        <v>7.6416045750848816E-2</v>
      </c>
      <c r="E218" s="339">
        <f t="shared" ref="E218:E245" si="76">IFERROR(D218+E217," ")</f>
        <v>0.47432204428914071</v>
      </c>
      <c r="F218" t="str">
        <f t="shared" si="75"/>
        <v>Compras</v>
      </c>
      <c r="G218" t="str">
        <f>_xlfn.XLOOKUP(C218,'Compras '!$D$31:$D$144,'Compras '!$O$31:$O$144)</f>
        <v>⏳ Em Execução</v>
      </c>
      <c r="H218">
        <f>_xlfn.XLOOKUP(C218,'Compras '!$D$31:$D$144,'Compras '!$M$31:$M$144," ")</f>
        <v>0</v>
      </c>
      <c r="I218" s="716">
        <f>_xlfn.XLOOKUP(C218,'Compras '!$D$31:$D$144,'Compras '!$J$31:$J$144)</f>
        <v>46174</v>
      </c>
      <c r="J218" s="224" t="str">
        <f ca="1">INDEX('Compras '!$AS$31:$AS$144, MATCH(C218, 'Compras '!$D$31:$D$144, 0))</f>
        <v/>
      </c>
      <c r="K218" s="224" t="str" cm="1">
        <f t="array" aca="1" ref="K218" ca="1">INDEX('Compras '!$AS$31:$AS$144, MATCH(C218, 'Compras '!$D$31:$D$144, 0)+1)</f>
        <v/>
      </c>
      <c r="L218" s="224">
        <f>INDEX('Compras '!$AL$31:$AL$144, MATCH(C218, 'Compras '!$D$31:$D$144, 0))</f>
        <v>0</v>
      </c>
      <c r="M218" s="224"/>
      <c r="N218" s="224"/>
      <c r="O218" s="224"/>
      <c r="P218" s="224"/>
      <c r="Y218" s="716"/>
    </row>
    <row r="219" spans="1:25" x14ac:dyDescent="0.3">
      <c r="A219">
        <v>4</v>
      </c>
      <c r="B219" s="224">
        <f>IFERROR(LARGE('Compras '!$I$31:$I$144,A219)," ")</f>
        <v>794810</v>
      </c>
      <c r="C219" t="str">
        <f>IFERROR(INDEX(
   'Compras '!$D$31:$D$144,
    MATCH(
        B219,
       'Compras '!$I$31:$I$144,
        0
    )
), " ")</f>
        <v>Ex Tarifário Transfer Norda</v>
      </c>
      <c r="D219" s="719">
        <f t="shared" si="74"/>
        <v>5.332417675437414E-2</v>
      </c>
      <c r="E219" s="339">
        <f t="shared" si="76"/>
        <v>0.52764622104351488</v>
      </c>
      <c r="F219" t="str">
        <f t="shared" si="75"/>
        <v>Compras</v>
      </c>
      <c r="G219" t="str">
        <f>_xlfn.XLOOKUP(C219,'Compras '!$D$31:$D$144,'Compras '!$O$31:$O$144)</f>
        <v>⏳ Em Execução</v>
      </c>
      <c r="H219">
        <f>_xlfn.XLOOKUP(C219,'Compras '!$D$31:$D$144,'Compras '!$M$31:$M$144," ")</f>
        <v>0</v>
      </c>
      <c r="I219" s="716">
        <f>_xlfn.XLOOKUP(C219,'Compras '!$D$31:$D$144,'Compras '!$J$31:$J$144)</f>
        <v>46311</v>
      </c>
      <c r="J219" s="224" t="str">
        <f ca="1">INDEX('Compras '!$AS$31:$AS$144, MATCH(C219, 'Compras '!$D$31:$D$144, 0))</f>
        <v/>
      </c>
      <c r="K219" s="224" t="str" cm="1">
        <f t="array" aca="1" ref="K219" ca="1">INDEX('Compras '!$AS$31:$AS$144, MATCH(C219, 'Compras '!$D$31:$D$144, 0)+1)</f>
        <v/>
      </c>
      <c r="L219" s="224">
        <f>INDEX('Compras '!$AL$31:$AL$144, MATCH(C219, 'Compras '!$D$31:$D$144, 0))</f>
        <v>794810</v>
      </c>
      <c r="M219" s="224"/>
      <c r="N219" s="224"/>
      <c r="O219" s="224"/>
      <c r="P219" s="224"/>
      <c r="Y219" s="716"/>
    </row>
    <row r="220" spans="1:25" x14ac:dyDescent="0.3">
      <c r="A220">
        <v>5</v>
      </c>
      <c r="B220" s="224">
        <f>IFERROR(LARGE('Compras '!$I$31:$I$144,A220)," ")</f>
        <v>606000</v>
      </c>
      <c r="C220" t="str">
        <f>IFERROR(INDEX(
   'Compras '!$D$31:$D$144,
    MATCH(
        B220,
       'Compras '!$I$31:$I$144,
        0
    )
), " ")</f>
        <v>Negociação Produtos Pré tratamento</v>
      </c>
      <c r="D220" s="719">
        <f t="shared" si="74"/>
        <v>4.0656825043910778E-2</v>
      </c>
      <c r="E220" s="339">
        <f t="shared" si="76"/>
        <v>0.56830304608742566</v>
      </c>
      <c r="F220" t="str">
        <f t="shared" si="75"/>
        <v>Compras</v>
      </c>
      <c r="G220" t="str">
        <f>_xlfn.XLOOKUP(C220,'Compras '!$D$31:$D$144,'Compras '!$O$31:$O$144)</f>
        <v>⏳ Em Execução</v>
      </c>
      <c r="H220">
        <f>_xlfn.XLOOKUP(C220,'Compras '!$D$31:$D$144,'Compras '!$M$31:$M$144," ")</f>
        <v>0</v>
      </c>
      <c r="I220" s="716">
        <f>_xlfn.XLOOKUP(C220,'Compras '!$D$31:$D$144,'Compras '!$J$31:$J$144)</f>
        <v>46300</v>
      </c>
      <c r="J220" s="224" t="str">
        <f ca="1">INDEX('Compras '!$AS$31:$AS$144, MATCH(C220, 'Compras '!$D$31:$D$144, 0))</f>
        <v/>
      </c>
      <c r="K220" s="224" t="str" cm="1">
        <f t="array" aca="1" ref="K220" ca="1">INDEX('Compras '!$AS$31:$AS$144, MATCH(C220, 'Compras '!$D$31:$D$144, 0)+1)</f>
        <v/>
      </c>
      <c r="L220" s="224">
        <f>INDEX('Compras '!$AL$31:$AL$144, MATCH(C220, 'Compras '!$D$31:$D$144, 0))</f>
        <v>606000</v>
      </c>
      <c r="M220" s="224"/>
      <c r="N220" s="224"/>
      <c r="O220" s="224"/>
      <c r="P220" s="224"/>
      <c r="Y220" s="716"/>
    </row>
    <row r="221" spans="1:25" x14ac:dyDescent="0.3">
      <c r="A221">
        <v>6</v>
      </c>
      <c r="B221" s="224">
        <f>IFERROR(LARGE('Compras '!$I$31:$I$144,A221)," ")</f>
        <v>600868</v>
      </c>
      <c r="C221" t="str">
        <f>IFERROR(INDEX(
   'Compras '!$D$31:$D$144,
    MATCH(
        B221,
       'Compras '!$I$31:$I$144,
        0
    )
), " ")</f>
        <v>Mão de Obra Terceirizada</v>
      </c>
      <c r="D221" s="719">
        <f t="shared" si="74"/>
        <v>4.0312516749974561E-2</v>
      </c>
      <c r="E221" s="339">
        <f t="shared" si="76"/>
        <v>0.60861556283740026</v>
      </c>
      <c r="F221" t="str">
        <f t="shared" si="75"/>
        <v>Compras</v>
      </c>
      <c r="G221" t="str">
        <f>_xlfn.XLOOKUP(C221,'Compras '!$D$31:$D$144,'Compras '!$O$31:$O$144)</f>
        <v>✓ Concluído</v>
      </c>
      <c r="H221">
        <f>_xlfn.XLOOKUP(C221,'Compras '!$D$31:$D$144,'Compras '!$M$31:$M$144," ")</f>
        <v>0</v>
      </c>
      <c r="I221" s="716">
        <f>_xlfn.XLOOKUP(C221,'Compras '!$D$31:$D$144,'Compras '!$J$31:$J$144)</f>
        <v>46174</v>
      </c>
      <c r="J221" s="224">
        <f ca="1">INDEX('Compras '!$AS$31:$AS$144, MATCH(C221, 'Compras '!$D$31:$D$144, 0))</f>
        <v>171676.57142857142</v>
      </c>
      <c r="K221" s="224" t="str" cm="1">
        <f t="array" aca="1" ref="K221" ca="1">INDEX('Compras '!$AS$31:$AS$144, MATCH(C221, 'Compras '!$D$31:$D$144, 0)+1)</f>
        <v/>
      </c>
      <c r="L221" s="224">
        <f>INDEX('Compras '!$AL$31:$AL$144, MATCH(C221, 'Compras '!$D$31:$D$144, 0))</f>
        <v>600867.99999999988</v>
      </c>
      <c r="M221" s="224"/>
      <c r="N221" s="224"/>
      <c r="O221" s="224"/>
      <c r="P221" s="224"/>
      <c r="Y221" s="716"/>
    </row>
    <row r="222" spans="1:25" x14ac:dyDescent="0.3">
      <c r="A222">
        <v>7</v>
      </c>
      <c r="B222" s="224">
        <f>IFERROR(LARGE('Compras '!$I$31:$I$144,A222)," ")</f>
        <v>572763</v>
      </c>
      <c r="C222" t="str">
        <f>IFERROR(INDEX(
   'Compras '!$D$31:$D$144,
    MATCH(
        B222,
       'Compras '!$I$31:$I$144,
        0
    )
), " ")</f>
        <v>Negociação de itens Usiminas (SAR55 / scania / Mercedes / demais itens e reajuste frete)</v>
      </c>
      <c r="D222" s="719">
        <f t="shared" si="74"/>
        <v>3.8426939080240051E-2</v>
      </c>
      <c r="E222" s="339">
        <f t="shared" si="76"/>
        <v>0.64704250191764034</v>
      </c>
      <c r="F222" t="str">
        <f t="shared" si="75"/>
        <v>Compras</v>
      </c>
      <c r="G222" t="str">
        <f>_xlfn.XLOOKUP(C222,'Compras '!$D$31:$D$144,'Compras '!$O$31:$O$144)</f>
        <v>✓ Concluído</v>
      </c>
      <c r="H222">
        <f>_xlfn.XLOOKUP(C222,'Compras '!$D$31:$D$144,'Compras '!$M$31:$M$144," ")</f>
        <v>0</v>
      </c>
      <c r="I222" s="716">
        <f>_xlfn.XLOOKUP(C222,'Compras '!$D$31:$D$144,'Compras '!$J$31:$J$144)</f>
        <v>46174</v>
      </c>
      <c r="J222" s="224">
        <f ca="1">INDEX('Compras '!$AS$31:$AS$144, MATCH(C222, 'Compras '!$D$31:$D$144, 0))</f>
        <v>163646.57142857142</v>
      </c>
      <c r="K222" s="224" t="str" cm="1">
        <f t="array" aca="1" ref="K222" ca="1">INDEX('Compras '!$AS$31:$AS$144, MATCH(C222, 'Compras '!$D$31:$D$144, 0)+1)</f>
        <v/>
      </c>
      <c r="L222" s="224">
        <f>INDEX('Compras '!$AL$31:$AL$144, MATCH(C222, 'Compras '!$D$31:$D$144, 0))</f>
        <v>572762.99999999988</v>
      </c>
      <c r="M222" s="224"/>
      <c r="N222" s="224"/>
      <c r="O222" s="224"/>
      <c r="P222" s="224"/>
      <c r="Y222" s="716"/>
    </row>
    <row r="223" spans="1:25" x14ac:dyDescent="0.3">
      <c r="A223">
        <v>8</v>
      </c>
      <c r="B223" s="224">
        <f>IFERROR(LARGE('Compras '!$I$31:$I$144,A223)," ")</f>
        <v>500000</v>
      </c>
      <c r="C223" t="str">
        <f>IFERROR(INDEX(
   'Compras '!$D$31:$D$144,
    MATCH(
        B223,
       'Compras '!$I$31:$I$144,
        0
    )
), " ")</f>
        <v>Viabilizar Material Alternativo de Menor Custo para Utilização na Carcaça da Scania</v>
      </c>
      <c r="D223" s="719">
        <f t="shared" si="74"/>
        <v>3.3545235184744872E-2</v>
      </c>
      <c r="E223" s="339">
        <f t="shared" si="76"/>
        <v>0.68058773710238518</v>
      </c>
      <c r="F223" t="str">
        <f t="shared" si="75"/>
        <v>Compras</v>
      </c>
      <c r="G223" t="str">
        <f>_xlfn.XLOOKUP(C223,'Compras '!$D$31:$D$144,'Compras '!$O$31:$O$144)</f>
        <v>⏳ Em Execução</v>
      </c>
      <c r="H223">
        <f>_xlfn.XLOOKUP(C223,'Compras '!$D$31:$D$144,'Compras '!$M$31:$M$144," ")</f>
        <v>0</v>
      </c>
      <c r="I223" s="716">
        <f>_xlfn.XLOOKUP(C223,'Compras '!$D$31:$D$144,'Compras '!$J$31:$J$144)</f>
        <v>46447</v>
      </c>
      <c r="J223" s="224" t="str">
        <f ca="1">INDEX('Compras '!$AS$31:$AS$144, MATCH(C223, 'Compras '!$D$31:$D$144, 0))</f>
        <v/>
      </c>
      <c r="K223" s="224" t="str" cm="1">
        <f t="array" aca="1" ref="K223" ca="1">INDEX('Compras '!$AS$31:$AS$144, MATCH(C223, 'Compras '!$D$31:$D$144, 0)+1)</f>
        <v/>
      </c>
      <c r="L223" s="224">
        <f>INDEX('Compras '!$AL$31:$AL$144, MATCH(C223, 'Compras '!$D$31:$D$144, 0))</f>
        <v>0</v>
      </c>
      <c r="M223" s="224"/>
      <c r="N223" s="224"/>
      <c r="O223" s="224"/>
      <c r="P223" s="224"/>
      <c r="Y223" s="716"/>
    </row>
    <row r="224" spans="1:25" x14ac:dyDescent="0.3">
      <c r="A224">
        <v>9</v>
      </c>
      <c r="B224" s="224">
        <f>IFERROR(LARGE('Compras '!$I$31:$I$144,A224)," ")</f>
        <v>437338</v>
      </c>
      <c r="C224" t="str">
        <f>IFERROR(INDEX(
   'Compras '!$D$31:$D$144,
    MATCH(
        B224,
       'Compras '!$I$31:$I$144,
        0
    )
), " ")</f>
        <v>Nacionalização RIBE - 
Item 75640 (Pino Rebite M6 x 16)</v>
      </c>
      <c r="D224" s="719">
        <f t="shared" si="74"/>
        <v>2.9341212130451905E-2</v>
      </c>
      <c r="E224" s="339">
        <f t="shared" si="76"/>
        <v>0.70992894923283711</v>
      </c>
      <c r="F224" t="str">
        <f t="shared" si="75"/>
        <v>Compras</v>
      </c>
      <c r="G224" t="str">
        <f>_xlfn.XLOOKUP(C224,'Compras '!$D$31:$D$144,'Compras '!$O$31:$O$144)</f>
        <v>⏳ Em Execução</v>
      </c>
      <c r="H224">
        <f>_xlfn.XLOOKUP(C224,'Compras '!$D$31:$D$144,'Compras '!$M$31:$M$144," ")</f>
        <v>0</v>
      </c>
      <c r="I224" s="716">
        <f>_xlfn.XLOOKUP(C224,'Compras '!$D$31:$D$144,'Compras '!$J$31:$J$144)</f>
        <v>46371</v>
      </c>
      <c r="J224" s="224" t="str">
        <f ca="1">INDEX('Compras '!$AS$31:$AS$144, MATCH(C224, 'Compras '!$D$31:$D$144, 0))</f>
        <v/>
      </c>
      <c r="K224" s="224" t="str" cm="1">
        <f t="array" aca="1" ref="K224" ca="1">INDEX('Compras '!$AS$31:$AS$144, MATCH(C224, 'Compras '!$D$31:$D$144, 0)+1)</f>
        <v/>
      </c>
      <c r="L224" s="224">
        <f>INDEX('Compras '!$AL$31:$AL$144, MATCH(C224, 'Compras '!$D$31:$D$144, 0))</f>
        <v>437338</v>
      </c>
      <c r="M224" s="224"/>
      <c r="N224" s="224"/>
      <c r="O224" s="224"/>
      <c r="P224" s="224"/>
      <c r="Y224" s="716"/>
    </row>
    <row r="225" spans="1:25" x14ac:dyDescent="0.3">
      <c r="A225">
        <v>10</v>
      </c>
      <c r="B225" s="224">
        <f>IFERROR(LARGE('Compras '!$I$31:$I$144,A225)," ")</f>
        <v>408000</v>
      </c>
      <c r="C225" t="str">
        <f>IFERROR(INDEX(
   'Compras '!$D$31:$D$144,
    MATCH(
        B225,
       'Compras '!$I$31:$I$144,
        0
    )
), " ")</f>
        <v>Venda de Equipamentos</v>
      </c>
      <c r="D225" s="719">
        <f t="shared" si="74"/>
        <v>2.7372911910751814E-2</v>
      </c>
      <c r="E225" s="339">
        <f t="shared" si="76"/>
        <v>0.73730186114358898</v>
      </c>
      <c r="F225" t="str">
        <f t="shared" si="75"/>
        <v>Compras</v>
      </c>
      <c r="G225" t="str">
        <f>_xlfn.XLOOKUP(C225,'Compras '!$D$31:$D$144,'Compras '!$O$31:$O$144)</f>
        <v>⏳ Em Execução</v>
      </c>
      <c r="H225">
        <f>_xlfn.XLOOKUP(C225,'Compras '!$D$31:$D$144,'Compras '!$M$31:$M$144," ")</f>
        <v>0</v>
      </c>
      <c r="I225" s="716">
        <f>_xlfn.XLOOKUP(C225,'Compras '!$D$31:$D$144,'Compras '!$J$31:$J$144)</f>
        <v>46357</v>
      </c>
      <c r="J225" s="224" t="str">
        <f ca="1">INDEX('Compras '!$AS$31:$AS$144, MATCH(C225, 'Compras '!$D$31:$D$144, 0))</f>
        <v/>
      </c>
      <c r="K225" s="224" t="str" cm="1">
        <f t="array" aca="1" ref="K225" ca="1">INDEX('Compras '!$AS$31:$AS$144, MATCH(C225, 'Compras '!$D$31:$D$144, 0)+1)</f>
        <v/>
      </c>
      <c r="L225" s="224">
        <f>INDEX('Compras '!$AL$31:$AL$144, MATCH(C225, 'Compras '!$D$31:$D$144, 0))</f>
        <v>408000</v>
      </c>
      <c r="M225" s="224"/>
      <c r="N225" s="224"/>
      <c r="O225" s="224"/>
      <c r="P225" s="224"/>
      <c r="Y225" s="716"/>
    </row>
    <row r="226" spans="1:25" x14ac:dyDescent="0.3">
      <c r="A226">
        <v>11</v>
      </c>
      <c r="B226" s="224">
        <f>IFERROR(LARGE('Compras '!$I$31:$I$144,A226)," ")</f>
        <v>372095</v>
      </c>
      <c r="C226" t="str">
        <f>IFERROR(INDEX(
   'Compras '!$D$31:$D$144,
    MATCH(
        B226,
       'Compras '!$I$31:$I$144,
        0
    )
), " ")</f>
        <v>Redução de custo Porca 73189 da curva A</v>
      </c>
      <c r="D226" s="719">
        <f t="shared" si="74"/>
        <v>2.4964028572135283E-2</v>
      </c>
      <c r="E226" s="339">
        <f t="shared" si="76"/>
        <v>0.76226588971572429</v>
      </c>
      <c r="F226" t="str">
        <f t="shared" si="75"/>
        <v>Compras</v>
      </c>
      <c r="G226" t="str">
        <f>_xlfn.XLOOKUP(C226,'Compras '!$D$31:$D$144,'Compras '!$O$31:$O$144)</f>
        <v>✓ Concluído</v>
      </c>
      <c r="H226">
        <f>_xlfn.XLOOKUP(C226,'Compras '!$D$31:$D$144,'Compras '!$M$31:$M$144," ")</f>
        <v>0</v>
      </c>
      <c r="I226" s="716">
        <f>_xlfn.XLOOKUP(C226,'Compras '!$D$31:$D$144,'Compras '!$J$31:$J$144)</f>
        <v>46222</v>
      </c>
      <c r="J226" s="224">
        <f ca="1">INDEX('Compras '!$AS$31:$AS$144, MATCH(C226, 'Compras '!$D$31:$D$144, 0))</f>
        <v>62015.833333333336</v>
      </c>
      <c r="K226" s="224" t="str" cm="1">
        <f t="array" aca="1" ref="K226" ca="1">INDEX('Compras '!$AS$31:$AS$144, MATCH(C226, 'Compras '!$D$31:$D$144, 0)+1)</f>
        <v/>
      </c>
      <c r="L226" s="224">
        <f>INDEX('Compras '!$AL$31:$AL$144, MATCH(C226, 'Compras '!$D$31:$D$144, 0))</f>
        <v>372095</v>
      </c>
      <c r="M226" s="224"/>
      <c r="N226" s="224"/>
      <c r="O226" s="224"/>
      <c r="P226" s="224"/>
      <c r="Y226" s="716"/>
    </row>
    <row r="227" spans="1:25" x14ac:dyDescent="0.3">
      <c r="A227">
        <v>12</v>
      </c>
      <c r="B227" s="224">
        <f>IFERROR(LARGE('Compras '!$I$31:$I$144,A227)," ")</f>
        <v>364573</v>
      </c>
      <c r="C227" t="str">
        <f>IFERROR(INDEX(
   'Compras '!$D$31:$D$144,
    MATCH(
        B227,
       'Compras '!$I$31:$I$144,
        0
    )
), " ")</f>
        <v>Projeto DANA - Fornecimento MTL</v>
      </c>
      <c r="D227" s="719">
        <f t="shared" si="74"/>
        <v>2.4459374054015982E-2</v>
      </c>
      <c r="E227" s="339">
        <f t="shared" si="76"/>
        <v>0.78672526376974028</v>
      </c>
      <c r="F227" t="str">
        <f t="shared" si="75"/>
        <v>Compras</v>
      </c>
      <c r="G227" t="str">
        <f>_xlfn.XLOOKUP(C227,'Compras '!$D$31:$D$144,'Compras '!$O$31:$O$144)</f>
        <v>📝 Não iniciado</v>
      </c>
      <c r="H227">
        <f>_xlfn.XLOOKUP(C227,'Compras '!$D$31:$D$144,'Compras '!$M$31:$M$144," ")</f>
        <v>0</v>
      </c>
      <c r="I227" s="716">
        <f>_xlfn.XLOOKUP(C227,'Compras '!$D$31:$D$144,'Compras '!$J$31:$J$144)</f>
        <v>46366</v>
      </c>
      <c r="J227" s="224" t="str">
        <f ca="1">INDEX('Compras '!$AS$31:$AS$144, MATCH(C227, 'Compras '!$D$31:$D$144, 0))</f>
        <v/>
      </c>
      <c r="K227" s="224" t="str" cm="1">
        <f t="array" aca="1" ref="K227" ca="1">INDEX('Compras '!$AS$31:$AS$144, MATCH(C227, 'Compras '!$D$31:$D$144, 0)+1)</f>
        <v/>
      </c>
      <c r="L227" s="224">
        <f>INDEX('Compras '!$AL$31:$AL$144, MATCH(C227, 'Compras '!$D$31:$D$144, 0))</f>
        <v>364573</v>
      </c>
      <c r="M227" s="224"/>
      <c r="N227" s="224"/>
      <c r="O227" s="224"/>
      <c r="P227" s="224"/>
      <c r="Y227" s="716"/>
    </row>
    <row r="228" spans="1:25" x14ac:dyDescent="0.3">
      <c r="A228">
        <v>13</v>
      </c>
      <c r="B228" s="224">
        <f>IFERROR(LARGE('Compras '!$I$31:$I$144,A228)," ")</f>
        <v>353954</v>
      </c>
      <c r="C228" t="str">
        <f>IFERROR(INDEX(
   'Compras '!$D$31:$D$144,
    MATCH(
        B228,
       'Compras '!$I$31:$I$144,
        0
    )
), " ")</f>
        <v>Recuperação de valores - Água</v>
      </c>
      <c r="D228" s="719">
        <f t="shared" si="74"/>
        <v>2.374694034916237E-2</v>
      </c>
      <c r="E228" s="339">
        <f t="shared" si="76"/>
        <v>0.81047220411890264</v>
      </c>
      <c r="F228" t="str">
        <f t="shared" si="75"/>
        <v>Compras</v>
      </c>
      <c r="G228" t="str">
        <f>_xlfn.XLOOKUP(C228,'Compras '!$D$31:$D$144,'Compras '!$O$31:$O$144)</f>
        <v>⏳ Em Execução</v>
      </c>
      <c r="H228">
        <f>_xlfn.XLOOKUP(C228,'Compras '!$D$31:$D$144,'Compras '!$M$31:$M$144," ")</f>
        <v>0</v>
      </c>
      <c r="I228" s="716">
        <f>_xlfn.XLOOKUP(C228,'Compras '!$D$31:$D$144,'Compras '!$J$31:$J$144)</f>
        <v>46539</v>
      </c>
      <c r="J228" s="224" t="str">
        <f ca="1">INDEX('Compras '!$AS$31:$AS$144, MATCH(C228, 'Compras '!$D$31:$D$144, 0))</f>
        <v/>
      </c>
      <c r="K228" s="224" t="str" cm="1">
        <f t="array" aca="1" ref="K228" ca="1">INDEX('Compras '!$AS$31:$AS$144, MATCH(C228, 'Compras '!$D$31:$D$144, 0)+1)</f>
        <v/>
      </c>
      <c r="L228" s="224">
        <f>INDEX('Compras '!$AL$31:$AL$144, MATCH(C228, 'Compras '!$D$31:$D$144, 0))</f>
        <v>0</v>
      </c>
      <c r="M228" s="224"/>
      <c r="N228" s="224"/>
      <c r="O228" s="224"/>
      <c r="P228" s="224"/>
      <c r="Y228" s="716"/>
    </row>
    <row r="229" spans="1:25" x14ac:dyDescent="0.3">
      <c r="A229">
        <v>14</v>
      </c>
      <c r="B229" s="224">
        <f>IFERROR(LARGE('Compras '!$I$31:$I$144,A229)," ")</f>
        <v>317391</v>
      </c>
      <c r="C229" t="str">
        <f>IFERROR(INDEX(
   'Compras '!$D$31:$D$144,
    MATCH(
        B229,
       'Compras '!$I$31:$I$144,
        0
    )
), " ")</f>
        <v>Viabilizar itens Usiminas via Gonvarri-Full Service</v>
      </c>
      <c r="D229" s="719">
        <f t="shared" si="74"/>
        <v>2.1293911481042718E-2</v>
      </c>
      <c r="E229" s="339">
        <f t="shared" si="76"/>
        <v>0.8317661155999454</v>
      </c>
      <c r="F229" t="str">
        <f t="shared" si="75"/>
        <v>Compras</v>
      </c>
      <c r="G229" t="str">
        <f>_xlfn.XLOOKUP(C229,'Compras '!$D$31:$D$144,'Compras '!$O$31:$O$144)</f>
        <v>✓ Concluído</v>
      </c>
      <c r="H229">
        <f>_xlfn.XLOOKUP(C229,'Compras '!$D$31:$D$144,'Compras '!$M$31:$M$144," ")</f>
        <v>0</v>
      </c>
      <c r="I229" s="716">
        <f>_xlfn.XLOOKUP(C229,'Compras '!$D$31:$D$144,'Compras '!$J$31:$J$144)</f>
        <v>46082</v>
      </c>
      <c r="J229" s="224">
        <f ca="1">INDEX('Compras '!$AS$31:$AS$144, MATCH(C229, 'Compras '!$D$31:$D$144, 0))</f>
        <v>158695.5</v>
      </c>
      <c r="K229" s="224" t="str" cm="1">
        <f t="array" aca="1" ref="K229" ca="1">INDEX('Compras '!$AS$31:$AS$144, MATCH(C229, 'Compras '!$D$31:$D$144, 0)+1)</f>
        <v/>
      </c>
      <c r="L229" s="224">
        <f>INDEX('Compras '!$AL$31:$AL$144, MATCH(C229, 'Compras '!$D$31:$D$144, 0))</f>
        <v>317391</v>
      </c>
      <c r="M229" s="224"/>
      <c r="N229" s="224"/>
      <c r="O229" s="224"/>
      <c r="P229" s="224"/>
      <c r="Y229" s="716"/>
    </row>
    <row r="230" spans="1:25" x14ac:dyDescent="0.3">
      <c r="A230">
        <v>15</v>
      </c>
      <c r="B230" s="224">
        <f>IFERROR(LARGE('Compras '!$I$31:$I$144,A230)," ")</f>
        <v>274259.52</v>
      </c>
      <c r="C230" t="str">
        <f>IFERROR(INDEX(
   'Compras '!$D$31:$D$144,
    MATCH(
        B230,
       'Compras '!$I$31:$I$144,
        0
    )
), " ")</f>
        <v>Troca de fonte do arame de solda de Belgo para Gerdau</v>
      </c>
      <c r="D230" s="719">
        <f t="shared" si="74"/>
        <v>1.8400200200110479E-2</v>
      </c>
      <c r="E230" s="339">
        <f t="shared" si="76"/>
        <v>0.85016631580005586</v>
      </c>
      <c r="F230" t="str">
        <f t="shared" si="75"/>
        <v>Compras</v>
      </c>
      <c r="G230" t="str">
        <f>_xlfn.XLOOKUP(C230,'Compras '!$D$31:$D$144,'Compras '!$O$31:$O$144)</f>
        <v>✓ Concluído</v>
      </c>
      <c r="H230">
        <f>_xlfn.XLOOKUP(C230,'Compras '!$D$31:$D$144,'Compras '!$M$31:$M$144," ")</f>
        <v>0</v>
      </c>
      <c r="I230" s="716">
        <f>_xlfn.XLOOKUP(C230,'Compras '!$D$31:$D$144,'Compras '!$J$31:$J$144)</f>
        <v>46174</v>
      </c>
      <c r="J230" s="224">
        <f ca="1">INDEX('Compras '!$AS$31:$AS$144, MATCH(C230, 'Compras '!$D$31:$D$144, 0))</f>
        <v>78359.862857142856</v>
      </c>
      <c r="K230" s="224" t="str" cm="1">
        <f t="array" aca="1" ref="K230" ca="1">INDEX('Compras '!$AS$31:$AS$144, MATCH(C230, 'Compras '!$D$31:$D$144, 0)+1)</f>
        <v/>
      </c>
      <c r="L230" s="224">
        <f>INDEX('Compras '!$AL$31:$AL$144, MATCH(C230, 'Compras '!$D$31:$D$144, 0))</f>
        <v>274259.52</v>
      </c>
      <c r="M230" s="224"/>
      <c r="N230" s="224"/>
      <c r="O230" s="224"/>
      <c r="P230" s="224"/>
      <c r="Y230" s="716"/>
    </row>
    <row r="231" spans="1:25" x14ac:dyDescent="0.3">
      <c r="A231">
        <v>16</v>
      </c>
      <c r="B231" s="224">
        <f>IFERROR(LARGE('Compras '!$I$31:$I$144,A231)," ")</f>
        <v>226617</v>
      </c>
      <c r="C231" t="str">
        <f>IFERROR(INDEX(
   'Compras '!$D$31:$D$144,
    MATCH(
        B231,
       'Compras '!$I$31:$I$144,
        0
    )
), " ")</f>
        <v>MIGRAÇÃO ITENS CSN PARA ARCELOR MITTAL</v>
      </c>
      <c r="D231" s="719">
        <f t="shared" si="74"/>
        <v>1.5203841123722656E-2</v>
      </c>
      <c r="E231" s="339">
        <f t="shared" si="76"/>
        <v>0.8653701569237785</v>
      </c>
      <c r="F231" t="str">
        <f t="shared" si="75"/>
        <v>Compras</v>
      </c>
      <c r="G231" t="str">
        <f>_xlfn.XLOOKUP(C231,'Compras '!$D$31:$D$144,'Compras '!$O$31:$O$144)</f>
        <v>⏳ Em Execução</v>
      </c>
      <c r="H231">
        <f>_xlfn.XLOOKUP(C231,'Compras '!$D$31:$D$144,'Compras '!$M$31:$M$144," ")</f>
        <v>0</v>
      </c>
      <c r="I231" s="716">
        <f>_xlfn.XLOOKUP(C231,'Compras '!$D$31:$D$144,'Compras '!$J$31:$J$144)</f>
        <v>46366</v>
      </c>
      <c r="J231" s="224" t="str">
        <f ca="1">INDEX('Compras '!$AS$31:$AS$144, MATCH(C231, 'Compras '!$D$31:$D$144, 0))</f>
        <v/>
      </c>
      <c r="K231" s="224" t="str" cm="1">
        <f t="array" aca="1" ref="K231" ca="1">INDEX('Compras '!$AS$31:$AS$144, MATCH(C231, 'Compras '!$D$31:$D$144, 0)+1)</f>
        <v/>
      </c>
      <c r="L231" s="224">
        <f>INDEX('Compras '!$AL$31:$AL$144, MATCH(C231, 'Compras '!$D$31:$D$144, 0))</f>
        <v>226617</v>
      </c>
      <c r="M231" s="224"/>
      <c r="N231" s="224"/>
      <c r="O231" s="224"/>
      <c r="P231" s="224"/>
      <c r="Y231" s="716"/>
    </row>
    <row r="232" spans="1:25" x14ac:dyDescent="0.3">
      <c r="A232">
        <v>17</v>
      </c>
      <c r="B232" s="224">
        <f>IFERROR(LARGE('Compras '!$I$31:$I$144,A232)," ")</f>
        <v>219761</v>
      </c>
      <c r="C232" t="str">
        <f>IFERROR(INDEX(
   'Compras '!$D$31:$D$144,
    MATCH(
        B232,
       'Compras '!$I$31:$I$144,
        0
    )
), " ")</f>
        <v>Resourcing Maletas Man (Mercante para Cartec)</v>
      </c>
      <c r="D232" s="719">
        <f t="shared" si="74"/>
        <v>1.4743868858869434E-2</v>
      </c>
      <c r="E232" s="339">
        <f t="shared" si="76"/>
        <v>0.88011402578264797</v>
      </c>
      <c r="F232" t="str">
        <f t="shared" si="75"/>
        <v>Compras</v>
      </c>
      <c r="G232" t="str">
        <f>_xlfn.XLOOKUP(C232,'Compras '!$D$31:$D$144,'Compras '!$O$31:$O$144)</f>
        <v>✓ Concluído</v>
      </c>
      <c r="H232" t="str">
        <f>_xlfn.XLOOKUP(C232,'Compras '!$D$31:$D$144,'Compras '!$M$31:$M$144," ")</f>
        <v>OK</v>
      </c>
      <c r="I232" s="716">
        <f>_xlfn.XLOOKUP(C232,'Compras '!$D$31:$D$144,'Compras '!$J$31:$J$144)</f>
        <v>46097</v>
      </c>
      <c r="J232" s="224">
        <f ca="1">INDEX('Compras '!$AS$31:$AS$144, MATCH(C232, 'Compras '!$D$31:$D$144, 0))</f>
        <v>109880.5</v>
      </c>
      <c r="K232" s="224" t="str" cm="1">
        <f t="array" aca="1" ref="K232" ca="1">INDEX('Compras '!$AS$31:$AS$144, MATCH(C232, 'Compras '!$D$31:$D$144, 0)+1)</f>
        <v/>
      </c>
      <c r="L232" s="224">
        <f>INDEX('Compras '!$AL$31:$AL$144, MATCH(C232, 'Compras '!$D$31:$D$144, 0))</f>
        <v>219761.00000000003</v>
      </c>
      <c r="M232" s="224"/>
      <c r="N232" s="224"/>
      <c r="O232" s="224"/>
      <c r="P232" s="224"/>
      <c r="Y232" s="716"/>
    </row>
    <row r="233" spans="1:25" x14ac:dyDescent="0.3">
      <c r="A233">
        <v>18</v>
      </c>
      <c r="B233" s="224">
        <f>IFERROR(LARGE('Compras '!$I$31:$I$144,A233)," ")</f>
        <v>214329</v>
      </c>
      <c r="C233" t="str">
        <f>IFERROR(INDEX(
   'Compras '!$D$31:$D$144,
    MATCH(
        B233,
       'Compras '!$I$31:$I$144,
        0
    )
), " ")</f>
        <v>Redução Itens Mercedes</v>
      </c>
      <c r="D233" s="719">
        <f t="shared" si="74"/>
        <v>1.4379433423822367E-2</v>
      </c>
      <c r="E233" s="339">
        <f t="shared" si="76"/>
        <v>0.89449345920647039</v>
      </c>
      <c r="F233" t="str">
        <f t="shared" si="75"/>
        <v>Compras</v>
      </c>
      <c r="G233" t="str">
        <f>_xlfn.XLOOKUP(C233,'Compras '!$D$31:$D$144,'Compras '!$O$31:$O$144)</f>
        <v>✓ Concluído</v>
      </c>
      <c r="H233">
        <f>_xlfn.XLOOKUP(C233,'Compras '!$D$31:$D$144,'Compras '!$M$31:$M$144," ")</f>
        <v>0</v>
      </c>
      <c r="I233" s="716">
        <f>_xlfn.XLOOKUP(C233,'Compras '!$D$31:$D$144,'Compras '!$J$31:$J$144)</f>
        <v>46113</v>
      </c>
      <c r="J233" s="224">
        <f ca="1">INDEX('Compras '!$AS$31:$AS$144, MATCH(C233, 'Compras '!$D$31:$D$144, 0))</f>
        <v>95257.333333333328</v>
      </c>
      <c r="K233" s="224" t="str" cm="1">
        <f t="array" aca="1" ref="K233" ca="1">INDEX('Compras '!$AS$31:$AS$144, MATCH(C233, 'Compras '!$D$31:$D$144, 0)+1)</f>
        <v/>
      </c>
      <c r="L233" s="224">
        <f>INDEX('Compras '!$AL$31:$AL$144, MATCH(C233, 'Compras '!$D$31:$D$144, 0))</f>
        <v>214329.00000000003</v>
      </c>
      <c r="M233" s="224"/>
      <c r="N233" s="224"/>
      <c r="O233" s="224"/>
      <c r="P233" s="224"/>
      <c r="Y233" s="716"/>
    </row>
    <row r="234" spans="1:25" x14ac:dyDescent="0.3">
      <c r="A234">
        <v>19</v>
      </c>
      <c r="B234" s="224">
        <f>IFERROR(LARGE('Compras '!$I$31:$I$144,A234)," ")</f>
        <v>189797</v>
      </c>
      <c r="C234" t="str">
        <f>IFERROR(INDEX(
   'Compras '!$D$31:$D$144,
    MATCH(
        B234,
       'Compras '!$I$31:$I$144,
        0
    )
), " ")</f>
        <v>Negociação Mercante (Laser)</v>
      </c>
      <c r="D234" s="719">
        <f t="shared" si="74"/>
        <v>1.2733570004718043E-2</v>
      </c>
      <c r="E234" s="339">
        <f t="shared" si="76"/>
        <v>0.90722702921118847</v>
      </c>
      <c r="F234" t="str">
        <f t="shared" si="75"/>
        <v>Compras</v>
      </c>
      <c r="G234" t="str">
        <f>_xlfn.XLOOKUP(C234,'Compras '!$D$31:$D$144,'Compras '!$O$31:$O$144)</f>
        <v>⏳ Em Execução</v>
      </c>
      <c r="H234">
        <f>_xlfn.XLOOKUP(C234,'Compras '!$D$31:$D$144,'Compras '!$M$31:$M$144," ")</f>
        <v>0</v>
      </c>
      <c r="I234" s="716">
        <f>_xlfn.XLOOKUP(C234,'Compras '!$D$31:$D$144,'Compras '!$J$31:$J$144)</f>
        <v>46293</v>
      </c>
      <c r="J234" s="224" t="str">
        <f ca="1">INDEX('Compras '!$AS$31:$AS$144, MATCH(C234, 'Compras '!$D$31:$D$144, 0))</f>
        <v/>
      </c>
      <c r="K234" s="224" t="str" cm="1">
        <f t="array" aca="1" ref="K234" ca="1">INDEX('Compras '!$AS$31:$AS$144, MATCH(C234, 'Compras '!$D$31:$D$144, 0)+1)</f>
        <v/>
      </c>
      <c r="L234" s="224">
        <f>INDEX('Compras '!$AL$31:$AL$144, MATCH(C234, 'Compras '!$D$31:$D$144, 0))</f>
        <v>189797</v>
      </c>
      <c r="M234" s="224"/>
      <c r="N234" s="224"/>
      <c r="O234" s="224"/>
      <c r="P234" s="224"/>
    </row>
    <row r="235" spans="1:25" x14ac:dyDescent="0.3">
      <c r="A235">
        <v>20</v>
      </c>
      <c r="B235" s="224">
        <f>IFERROR(LARGE('Compras '!$I$31:$I$144,A235)," ")</f>
        <v>171002</v>
      </c>
      <c r="C235" t="str">
        <f>IFERROR(INDEX(
   'Compras '!$D$31:$D$144,
    MATCH(
        B235,
       'Compras '!$I$31:$I$144,
        0
    )
), " ")</f>
        <v>Troca de fonte fita zebrada e etiqueta litografada</v>
      </c>
      <c r="D235" s="719">
        <f t="shared" si="74"/>
        <v>1.1472604614123484E-2</v>
      </c>
      <c r="E235" s="339">
        <f t="shared" si="76"/>
        <v>0.91869963382531195</v>
      </c>
      <c r="F235" t="str">
        <f t="shared" si="75"/>
        <v>Compras</v>
      </c>
      <c r="G235" t="str">
        <f>_xlfn.XLOOKUP(C235,'Compras '!$D$31:$D$144,'Compras '!$O$31:$O$144)</f>
        <v>⏳ Em Execução</v>
      </c>
      <c r="H235">
        <f>_xlfn.XLOOKUP(C235,'Compras '!$D$31:$D$144,'Compras '!$M$31:$M$144," ")</f>
        <v>0</v>
      </c>
      <c r="I235" s="716">
        <f>_xlfn.XLOOKUP(C235,'Compras '!$D$31:$D$144,'Compras '!$J$31:$J$144)</f>
        <v>46433</v>
      </c>
      <c r="J235" s="224" t="str">
        <f ca="1">INDEX('Compras '!$AS$31:$AS$144, MATCH(C235, 'Compras '!$D$31:$D$144, 0))</f>
        <v/>
      </c>
      <c r="K235" s="224" t="str" cm="1">
        <f t="array" aca="1" ref="K235" ca="1">INDEX('Compras '!$AS$31:$AS$144, MATCH(C235, 'Compras '!$D$31:$D$144, 0)+1)</f>
        <v/>
      </c>
      <c r="L235" s="224">
        <f>INDEX('Compras '!$AL$31:$AL$144, MATCH(C235, 'Compras '!$D$31:$D$144, 0))</f>
        <v>0</v>
      </c>
      <c r="M235" s="224"/>
      <c r="N235" s="224"/>
      <c r="O235" s="224"/>
      <c r="P235" s="224"/>
    </row>
    <row r="236" spans="1:25" x14ac:dyDescent="0.3">
      <c r="A236">
        <v>21</v>
      </c>
      <c r="B236" s="224">
        <f>IFERROR(LARGE('Compras '!$I$31:$I$144,A236)," ")</f>
        <v>158990</v>
      </c>
      <c r="C236" t="str">
        <f>IFERROR(INDEX(
   'Compras '!$D$31:$D$144,
    MATCH(
        B236,
       'Compras '!$I$31:$I$144,
        0
    )
), " ")</f>
        <v>Redução de custo Abrasivos Curva A Ferraz</v>
      </c>
      <c r="D236" s="719">
        <f t="shared" si="74"/>
        <v>1.0666713884045173E-2</v>
      </c>
      <c r="E236" s="339">
        <f t="shared" si="76"/>
        <v>0.92936634770935711</v>
      </c>
      <c r="F236" t="str">
        <f t="shared" si="75"/>
        <v>Compras</v>
      </c>
      <c r="G236" t="str">
        <f>_xlfn.XLOOKUP(C236,'Compras '!$D$31:$D$144,'Compras '!$O$31:$O$144)</f>
        <v>✓ Concluído</v>
      </c>
      <c r="H236" t="str">
        <f>_xlfn.XLOOKUP(C236,'Compras '!$D$31:$D$144,'Compras '!$M$31:$M$144," ")</f>
        <v>OK</v>
      </c>
      <c r="I236" s="716">
        <f>_xlfn.XLOOKUP(C236,'Compras '!$D$31:$D$144,'Compras '!$J$31:$J$144)</f>
        <v>46048</v>
      </c>
      <c r="J236" s="224">
        <f ca="1">INDEX('Compras '!$AS$31:$AS$144, MATCH(C236, 'Compras '!$D$31:$D$144, 0))</f>
        <v>116666.66666666669</v>
      </c>
      <c r="K236" s="224" t="str" cm="1">
        <f t="array" aca="1" ref="K236" ca="1">INDEX('Compras '!$AS$31:$AS$144, MATCH(C236, 'Compras '!$D$31:$D$144, 0)+1)</f>
        <v/>
      </c>
      <c r="L236" s="224">
        <f>INDEX('Compras '!$AL$31:$AL$144, MATCH(C236, 'Compras '!$D$31:$D$144, 0))</f>
        <v>199999.99999999997</v>
      </c>
      <c r="M236" s="224"/>
      <c r="N236" s="224"/>
      <c r="O236" s="224"/>
      <c r="P236" s="224"/>
    </row>
    <row r="237" spans="1:25" x14ac:dyDescent="0.3">
      <c r="A237">
        <v>22</v>
      </c>
      <c r="B237" s="224">
        <f>IFERROR(LARGE('Compras '!$I$31:$I$144,A237)," ")</f>
        <v>155799</v>
      </c>
      <c r="C237" t="str">
        <f>IFERROR(INDEX(
   'Compras '!$D$31:$D$144,
    MATCH(
        B237,
       'Compras '!$I$31:$I$144,
        0
    )
), " ")</f>
        <v>Resourcing Hasmman para Metalac</v>
      </c>
      <c r="D237" s="719">
        <f t="shared" si="74"/>
        <v>1.0452628193096131E-2</v>
      </c>
      <c r="E237" s="339">
        <f t="shared" si="76"/>
        <v>0.93981897590245322</v>
      </c>
      <c r="F237" t="str">
        <f t="shared" si="75"/>
        <v>Compras</v>
      </c>
      <c r="G237" t="str">
        <f>_xlfn.XLOOKUP(C237,'Compras '!$D$31:$D$144,'Compras '!$O$31:$O$144)</f>
        <v>✓ Concluído</v>
      </c>
      <c r="H237" t="str">
        <f>_xlfn.XLOOKUP(C237,'Compras '!$D$31:$D$144,'Compras '!$M$31:$M$144," ")</f>
        <v>OK</v>
      </c>
      <c r="I237" s="716">
        <f>_xlfn.XLOOKUP(C237,'Compras '!$D$31:$D$144,'Compras '!$J$31:$J$144)</f>
        <v>46072</v>
      </c>
      <c r="J237" s="224">
        <f ca="1">INDEX('Compras '!$AS$31:$AS$144, MATCH(C237, 'Compras '!$D$31:$D$144, 0))</f>
        <v>84511.090909090912</v>
      </c>
      <c r="K237" s="224" cm="1">
        <f t="array" aca="1" ref="K237" ca="1">INDEX('Compras '!$AS$31:$AS$144, MATCH(C237, 'Compras '!$D$31:$D$144, 0)+1)</f>
        <v>63944.37074916</v>
      </c>
      <c r="L237" s="224">
        <f>INDEX('Compras '!$AL$31:$AL$144, MATCH(C237, 'Compras '!$D$31:$D$144, 0))</f>
        <v>154937.00000000003</v>
      </c>
      <c r="M237" s="224"/>
      <c r="N237" s="224"/>
      <c r="O237" s="224"/>
      <c r="P237" s="224"/>
    </row>
    <row r="238" spans="1:25" x14ac:dyDescent="0.3">
      <c r="A238">
        <v>23</v>
      </c>
      <c r="B238" s="224">
        <f>IFERROR(LARGE('Compras '!$I$31:$I$144,A238)," ")</f>
        <v>130748</v>
      </c>
      <c r="C238" t="str">
        <f>IFERROR(INDEX(
   'Compras '!$D$31:$D$144,
    MATCH(
        B238,
       'Compras '!$I$31:$I$144,
        0
    )
), " ")</f>
        <v>Testes e troca do fornecedor de insumos de usinagem</v>
      </c>
      <c r="D238" s="719">
        <f t="shared" si="74"/>
        <v>8.7719448198700437E-3</v>
      </c>
      <c r="E238" s="339">
        <f t="shared" si="76"/>
        <v>0.94859092072232332</v>
      </c>
      <c r="F238" t="str">
        <f t="shared" si="75"/>
        <v>Compras</v>
      </c>
      <c r="G238" t="str">
        <f>_xlfn.XLOOKUP(C238,'Compras '!$D$31:$D$144,'Compras '!$O$31:$O$144)</f>
        <v>⏳ Em Execução</v>
      </c>
      <c r="H238">
        <f>_xlfn.XLOOKUP(C238,'Compras '!$D$31:$D$144,'Compras '!$M$31:$M$144," ")</f>
        <v>0</v>
      </c>
      <c r="I238" s="716">
        <f>_xlfn.XLOOKUP(C238,'Compras '!$D$31:$D$144,'Compras '!$J$31:$J$144)</f>
        <v>46296</v>
      </c>
      <c r="J238" s="224" t="str">
        <f ca="1">INDEX('Compras '!$AS$31:$AS$144, MATCH(C238, 'Compras '!$D$31:$D$144, 0))</f>
        <v/>
      </c>
      <c r="K238" s="224" t="str" cm="1">
        <f t="array" aca="1" ref="K238" ca="1">INDEX('Compras '!$AS$31:$AS$144, MATCH(C238, 'Compras '!$D$31:$D$144, 0)+1)</f>
        <v/>
      </c>
      <c r="L238" s="224">
        <f>INDEX('Compras '!$AL$31:$AL$144, MATCH(C238, 'Compras '!$D$31:$D$144, 0))</f>
        <v>130748</v>
      </c>
      <c r="M238" s="224"/>
      <c r="N238" s="224"/>
      <c r="O238" s="224"/>
      <c r="P238" s="224"/>
    </row>
    <row r="239" spans="1:25" x14ac:dyDescent="0.3">
      <c r="A239">
        <v>24</v>
      </c>
      <c r="B239" s="224">
        <f>IFERROR(LARGE('Compras '!$I$31:$I$144,A239)," ")</f>
        <v>130308</v>
      </c>
      <c r="C239" t="str">
        <f>IFERROR(INDEX(
   'Compras '!$D$31:$D$144,
    MATCH(
        B239,
       'Compras '!$I$31:$I$144,
        0
    )
), " ")</f>
        <v>MIGRAÇÃO ITENS USIMINAS PARA ARCELOR</v>
      </c>
      <c r="D239" s="719">
        <f t="shared" si="74"/>
        <v>8.7424250129074683E-3</v>
      </c>
      <c r="E239" s="339">
        <f t="shared" si="76"/>
        <v>0.95733334573523077</v>
      </c>
      <c r="F239" t="str">
        <f t="shared" si="75"/>
        <v>Compras</v>
      </c>
      <c r="G239" t="str">
        <f>_xlfn.XLOOKUP(C239,'Compras '!$D$31:$D$144,'Compras '!$O$31:$O$144)</f>
        <v>✓ Concluído</v>
      </c>
      <c r="H239">
        <f>_xlfn.XLOOKUP(C239,'Compras '!$D$31:$D$144,'Compras '!$M$31:$M$144," ")</f>
        <v>0</v>
      </c>
      <c r="I239" s="716">
        <f>_xlfn.XLOOKUP(C239,'Compras '!$D$31:$D$144,'Compras '!$J$31:$J$144)</f>
        <v>46235</v>
      </c>
      <c r="J239" s="224" t="str">
        <f ca="1">INDEX('Compras '!$AS$31:$AS$144, MATCH(C239, 'Compras '!$D$31:$D$144, 0))</f>
        <v/>
      </c>
      <c r="K239" s="224" t="str" cm="1">
        <f t="array" aca="1" ref="K239" ca="1">INDEX('Compras '!$AS$31:$AS$144, MATCH(C239, 'Compras '!$D$31:$D$144, 0)+1)</f>
        <v/>
      </c>
      <c r="L239" s="224">
        <f>INDEX('Compras '!$AL$31:$AL$144, MATCH(C239, 'Compras '!$D$31:$D$144, 0))</f>
        <v>130308</v>
      </c>
      <c r="M239" s="224"/>
      <c r="N239" s="224"/>
      <c r="O239" s="224"/>
      <c r="P239" s="224"/>
    </row>
    <row r="240" spans="1:25" x14ac:dyDescent="0.3">
      <c r="A240">
        <v>25</v>
      </c>
      <c r="B240" s="224">
        <f>IFERROR(LARGE('Compras '!$I$31:$I$144,A240)," ")</f>
        <v>126386</v>
      </c>
      <c r="C240" t="str">
        <f>IFERROR(INDEX(
   'Compras '!$D$31:$D$144,
    MATCH(
        B240,
       'Compras '!$I$31:$I$144,
        0
    )
), " ")</f>
        <v>Troca fornecedor decapagem gancheiras Ferraz</v>
      </c>
      <c r="D240" s="719">
        <f t="shared" si="74"/>
        <v>8.4792961881183307E-3</v>
      </c>
      <c r="E240" s="339">
        <f t="shared" si="76"/>
        <v>0.96581264192334915</v>
      </c>
      <c r="F240" t="str">
        <f t="shared" si="75"/>
        <v>Compras</v>
      </c>
      <c r="G240" t="str">
        <f>_xlfn.XLOOKUP(C240,'Compras '!$D$31:$D$144,'Compras '!$O$31:$O$144)</f>
        <v>✓ Concluído</v>
      </c>
      <c r="H240" t="str">
        <f>_xlfn.XLOOKUP(C240,'Compras '!$D$31:$D$144,'Compras '!$M$31:$M$144," ")</f>
        <v>OK</v>
      </c>
      <c r="I240" s="716">
        <f>_xlfn.XLOOKUP(C240,'Compras '!$D$31:$D$144,'Compras '!$J$31:$J$144)</f>
        <v>46071</v>
      </c>
      <c r="J240" s="224">
        <f ca="1">INDEX('Compras '!$AS$31:$AS$144, MATCH(C240, 'Compras '!$D$31:$D$144, 0))</f>
        <v>53950.80000000001</v>
      </c>
      <c r="K240" s="224" cm="1">
        <f t="array" aca="1" ref="K240" ca="1">INDEX('Compras '!$AS$31:$AS$144, MATCH(C240, 'Compras '!$D$31:$D$144, 0)+1)</f>
        <v>822.6</v>
      </c>
      <c r="L240" s="224">
        <f>INDEX('Compras '!$AL$31:$AL$144, MATCH(C240, 'Compras '!$D$31:$D$144, 0))</f>
        <v>98909.800000000017</v>
      </c>
      <c r="M240" s="224"/>
      <c r="N240" s="224"/>
      <c r="O240" s="224"/>
      <c r="P240" s="224"/>
    </row>
    <row r="241" spans="1:16" x14ac:dyDescent="0.3">
      <c r="A241">
        <v>26</v>
      </c>
      <c r="B241" s="224">
        <f>IFERROR(LARGE('Compras '!$I$31:$I$144,A241)," ")</f>
        <v>112000</v>
      </c>
      <c r="C241" t="str">
        <f>IFERROR(INDEX(
   'Compras '!$D$31:$D$144,
    MATCH(
        B241,
       'Compras '!$I$31:$I$144,
        0
    )
), " ")</f>
        <v>Resourcing Pino Esférico GM Lipos p/ Maxdel</v>
      </c>
      <c r="D241" s="719">
        <f t="shared" si="74"/>
        <v>7.5141326813828509E-3</v>
      </c>
      <c r="E241" s="339">
        <f t="shared" si="76"/>
        <v>0.97332677460473205</v>
      </c>
      <c r="F241" t="str">
        <f t="shared" si="75"/>
        <v>Compras</v>
      </c>
      <c r="G241" t="str">
        <f>_xlfn.XLOOKUP(C241,'Compras '!$D$31:$D$144,'Compras '!$O$31:$O$144)</f>
        <v>⏳ Em Execução</v>
      </c>
      <c r="H241">
        <f>_xlfn.XLOOKUP(C241,'Compras '!$D$31:$D$144,'Compras '!$M$31:$M$144," ")</f>
        <v>0</v>
      </c>
      <c r="I241" s="716">
        <f>_xlfn.XLOOKUP(C241,'Compras '!$D$31:$D$144,'Compras '!$J$31:$J$144)</f>
        <v>46371</v>
      </c>
      <c r="J241" s="224" t="str">
        <f ca="1">INDEX('Compras '!$AS$31:$AS$144, MATCH(C241, 'Compras '!$D$31:$D$144, 0))</f>
        <v/>
      </c>
      <c r="K241" s="224" t="str" cm="1">
        <f t="array" aca="1" ref="K241" ca="1">INDEX('Compras '!$AS$31:$AS$144, MATCH(C241, 'Compras '!$D$31:$D$144, 0)+1)</f>
        <v/>
      </c>
      <c r="L241" s="224">
        <f>INDEX('Compras '!$AL$31:$AL$144, MATCH(C241, 'Compras '!$D$31:$D$144, 0))</f>
        <v>112000</v>
      </c>
      <c r="M241" s="224"/>
      <c r="N241" s="224"/>
      <c r="O241" s="224"/>
      <c r="P241" s="224"/>
    </row>
    <row r="242" spans="1:16" x14ac:dyDescent="0.3">
      <c r="A242">
        <v>27</v>
      </c>
      <c r="B242" s="224">
        <f>IFERROR(LARGE('Compras '!$I$31:$I$144,A242)," ")</f>
        <v>101100</v>
      </c>
      <c r="C242" t="str">
        <f>IFERROR(INDEX(
   'Compras '!$D$31:$D$144,
    MATCH(
        B242,
       'Compras '!$I$31:$I$144,
        0
    )
), " ")</f>
        <v>Estudo de viabilidade lixadeiras</v>
      </c>
      <c r="D242" s="719">
        <f t="shared" si="74"/>
        <v>6.7828465543554126E-3</v>
      </c>
      <c r="E242" s="339">
        <f t="shared" si="76"/>
        <v>0.98010962115908751</v>
      </c>
      <c r="F242" t="str">
        <f t="shared" si="75"/>
        <v>Compras</v>
      </c>
      <c r="G242" t="str">
        <f>_xlfn.XLOOKUP(C242,'Compras '!$D$31:$D$144,'Compras '!$O$31:$O$144)</f>
        <v>⏳ Em Execução</v>
      </c>
      <c r="H242">
        <f>_xlfn.XLOOKUP(C242,'Compras '!$D$31:$D$144,'Compras '!$M$31:$M$144," ")</f>
        <v>0</v>
      </c>
      <c r="I242" s="716">
        <f>_xlfn.XLOOKUP(C242,'Compras '!$D$31:$D$144,'Compras '!$J$31:$J$144)</f>
        <v>46023</v>
      </c>
      <c r="J242" s="224">
        <f ca="1">INDEX('Compras '!$AS$31:$AS$144, MATCH(C242, 'Compras '!$D$31:$D$144, 0))</f>
        <v>58975</v>
      </c>
      <c r="K242" s="224" t="str" cm="1">
        <f t="array" aca="1" ref="K242" ca="1">INDEX('Compras '!$AS$31:$AS$144, MATCH(C242, 'Compras '!$D$31:$D$144, 0)+1)</f>
        <v/>
      </c>
      <c r="L242" s="224">
        <f>INDEX('Compras '!$AL$31:$AL$144, MATCH(C242, 'Compras '!$D$31:$D$144, 0))</f>
        <v>101100</v>
      </c>
      <c r="M242" s="224"/>
      <c r="N242" s="224"/>
      <c r="O242" s="224"/>
      <c r="P242" s="224"/>
    </row>
    <row r="243" spans="1:16" x14ac:dyDescent="0.3">
      <c r="A243">
        <v>28</v>
      </c>
      <c r="B243" s="224">
        <f>IFERROR(LARGE('Compras '!$I$31:$I$144,A243)," ")</f>
        <v>100871</v>
      </c>
      <c r="C243" t="str">
        <f>IFERROR(INDEX(
   'Compras '!$D$31:$D$144,
    MATCH(
        B243,
       'Compras '!$I$31:$I$144,
        0
    )
), " ")</f>
        <v>Negociação Boellhoff
85290 - PORCA QUADRADA SOLDA PROJEÇÃO - M5</v>
      </c>
      <c r="D243" s="719">
        <f t="shared" si="74"/>
        <v>6.7674828366407992E-3</v>
      </c>
      <c r="E243" s="339">
        <f t="shared" si="76"/>
        <v>0.98687710399572826</v>
      </c>
      <c r="F243" t="str">
        <f t="shared" si="75"/>
        <v>Compras</v>
      </c>
      <c r="G243" t="str">
        <f>_xlfn.XLOOKUP(C243,'Compras '!$D$31:$D$144,'Compras '!$O$31:$O$144)</f>
        <v>⏳ Em Execução</v>
      </c>
      <c r="H243">
        <f>_xlfn.XLOOKUP(C243,'Compras '!$D$31:$D$144,'Compras '!$M$31:$M$144," ")</f>
        <v>0</v>
      </c>
      <c r="I243" s="716">
        <f>_xlfn.XLOOKUP(C243,'Compras '!$D$31:$D$144,'Compras '!$J$31:$J$144)</f>
        <v>46282</v>
      </c>
      <c r="J243" s="224" t="str">
        <f ca="1">INDEX('Compras '!$AS$31:$AS$144, MATCH(C243, 'Compras '!$D$31:$D$144, 0))</f>
        <v/>
      </c>
      <c r="K243" s="224" t="str" cm="1">
        <f t="array" aca="1" ref="K243" ca="1">INDEX('Compras '!$AS$31:$AS$144, MATCH(C243, 'Compras '!$D$31:$D$144, 0)+1)</f>
        <v/>
      </c>
      <c r="L243" s="224">
        <f>INDEX('Compras '!$AL$31:$AL$144, MATCH(C243, 'Compras '!$D$31:$D$144, 0))</f>
        <v>100871</v>
      </c>
      <c r="M243" s="224"/>
      <c r="N243" s="224"/>
      <c r="O243" s="224"/>
      <c r="P243" s="224"/>
    </row>
    <row r="244" spans="1:16" x14ac:dyDescent="0.3">
      <c r="A244">
        <v>29</v>
      </c>
      <c r="B244" s="224">
        <f>IFERROR(LARGE('Compras '!$I$31:$I$144,A244)," ")</f>
        <v>99600</v>
      </c>
      <c r="C244" t="str">
        <f>IFERROR(INDEX(
   'Compras '!$D$31:$D$144,
    MATCH(
        B244,
       'Compras '!$I$31:$I$144,
        0
    )
), " ")</f>
        <v>Locação de Compressores</v>
      </c>
      <c r="D244" s="719">
        <f t="shared" si="74"/>
        <v>6.6822108488011778E-3</v>
      </c>
      <c r="E244" s="339">
        <f t="shared" si="76"/>
        <v>0.99355931484452942</v>
      </c>
      <c r="F244" t="str">
        <f t="shared" si="75"/>
        <v>Compras</v>
      </c>
      <c r="G244" t="str">
        <f>_xlfn.XLOOKUP(C244,'Compras '!$D$31:$D$144,'Compras '!$O$31:$O$144)</f>
        <v>⏳ Em Execução</v>
      </c>
      <c r="H244">
        <f>_xlfn.XLOOKUP(C244,'Compras '!$D$31:$D$144,'Compras '!$M$31:$M$144," ")</f>
        <v>0</v>
      </c>
      <c r="I244" s="716">
        <f>_xlfn.XLOOKUP(C244,'Compras '!$D$31:$D$144,'Compras '!$J$31:$J$144)</f>
        <v>46174</v>
      </c>
      <c r="J244" s="224">
        <f ca="1">INDEX('Compras '!$AS$31:$AS$144, MATCH(C244, 'Compras '!$D$31:$D$144, 0))</f>
        <v>28457.142857142859</v>
      </c>
      <c r="K244" s="224" t="str" cm="1">
        <f t="array" aca="1" ref="K244" ca="1">INDEX('Compras '!$AS$31:$AS$144, MATCH(C244, 'Compras '!$D$31:$D$144, 0)+1)</f>
        <v/>
      </c>
      <c r="L244" s="224">
        <f>INDEX('Compras '!$AL$31:$AL$144, MATCH(C244, 'Compras '!$D$31:$D$144, 0))</f>
        <v>99600.000000000015</v>
      </c>
      <c r="M244" s="224"/>
      <c r="N244" s="224"/>
      <c r="O244" s="224"/>
      <c r="P244" s="224"/>
    </row>
    <row r="245" spans="1:16" x14ac:dyDescent="0.3">
      <c r="A245">
        <v>30</v>
      </c>
      <c r="B245" s="224">
        <f>IFERROR(LARGE('Compras '!$I$31:$I$144,A245)," ")</f>
        <v>96000</v>
      </c>
      <c r="C245" t="str">
        <f>IFERROR(INDEX(
   'Compras '!$D$31:$D$144,
    MATCH(
        B245,
       'Compras '!$I$31:$I$144,
        0
    )
), " ")</f>
        <v>ULTRASOM</v>
      </c>
      <c r="D245" s="719">
        <f t="shared" si="74"/>
        <v>6.4406851554710152E-3</v>
      </c>
      <c r="E245" s="339">
        <f t="shared" si="76"/>
        <v>1.0000000000000004</v>
      </c>
      <c r="F245" t="str">
        <f t="shared" si="75"/>
        <v>Compras</v>
      </c>
      <c r="G245" t="str">
        <f>_xlfn.XLOOKUP(C245,'Compras '!$D$31:$D$144,'Compras '!$O$31:$O$144)</f>
        <v>⏳ Em Execução</v>
      </c>
      <c r="H245">
        <f>_xlfn.XLOOKUP(C245,'Compras '!$D$31:$D$144,'Compras '!$M$31:$M$144," ")</f>
        <v>0</v>
      </c>
      <c r="I245" s="716">
        <f>_xlfn.XLOOKUP(C245,'Compras '!$D$31:$D$144,'Compras '!$J$31:$J$144)</f>
        <v>46237</v>
      </c>
      <c r="J245" s="224" t="str">
        <f ca="1">INDEX('Compras '!$AS$31:$AS$144, MATCH(C245, 'Compras '!$D$31:$D$144, 0))</f>
        <v/>
      </c>
      <c r="K245" s="224" t="str" cm="1">
        <f t="array" aca="1" ref="K245" ca="1">INDEX('Compras '!$AS$31:$AS$144, MATCH(C245, 'Compras '!$D$31:$D$144, 0)+1)</f>
        <v/>
      </c>
      <c r="L245" s="224">
        <f>INDEX('Compras '!$AL$31:$AL$144, MATCH(C245, 'Compras '!$D$31:$D$144, 0))</f>
        <v>96000</v>
      </c>
      <c r="M245" s="224"/>
      <c r="N245" s="224"/>
      <c r="O245" s="224"/>
      <c r="P245" s="224"/>
    </row>
    <row r="246" spans="1:16" x14ac:dyDescent="0.3">
      <c r="A246">
        <v>31</v>
      </c>
      <c r="B246" s="224">
        <f>IFERROR(LARGE('Compras '!$I$31:$I$144,A246)," ")</f>
        <v>83880.740000000005</v>
      </c>
      <c r="C246" t="str">
        <f>IFERROR(INDEX(
   'Compras '!$D$31:$D$144,
    MATCH(
        B246,
       'Compras '!$I$31:$I$144,
        0
    )
), " ")</f>
        <v>BID Poliuretano Expansivo</v>
      </c>
      <c r="D246" s="719">
        <f t="shared" ref="D246:D265" si="77">IFERROR(B246/SUM($B$216:$B$245)," ")</f>
        <v>5.6275983015408731E-3</v>
      </c>
      <c r="E246" s="339">
        <f t="shared" ref="E246:E265" si="78">IFERROR(D246+E245," ")</f>
        <v>1.0056275983015412</v>
      </c>
      <c r="F246" t="str">
        <f t="shared" si="75"/>
        <v>Compras</v>
      </c>
      <c r="G246" t="str">
        <f>_xlfn.XLOOKUP(C246,'Compras '!$D$31:$D$144,'Compras '!$O$31:$O$144)</f>
        <v>⏳ Em Execução</v>
      </c>
      <c r="H246">
        <f>_xlfn.XLOOKUP(C246,'Compras '!$D$31:$D$144,'Compras '!$M$31:$M$144," ")</f>
        <v>0</v>
      </c>
      <c r="I246" s="716">
        <f>_xlfn.XLOOKUP(C246,'Compras '!$D$31:$D$144,'Compras '!$J$31:$J$144)</f>
        <v>46266</v>
      </c>
      <c r="J246" s="224" t="str">
        <f ca="1">INDEX('Compras '!$AS$31:$AS$144, MATCH(C246, 'Compras '!$D$31:$D$144, 0))</f>
        <v/>
      </c>
      <c r="K246" s="224" t="str" cm="1">
        <f t="array" aca="1" ref="K246" ca="1">INDEX('Compras '!$AS$31:$AS$144, MATCH(C246, 'Compras '!$D$31:$D$144, 0)+1)</f>
        <v/>
      </c>
      <c r="L246" s="224">
        <f>INDEX('Compras '!$AL$31:$AL$144, MATCH(C246, 'Compras '!$D$31:$D$144, 0))</f>
        <v>83880.740000000005</v>
      </c>
      <c r="M246" s="224"/>
      <c r="N246" s="224"/>
      <c r="O246" s="224"/>
      <c r="P246" s="224"/>
    </row>
    <row r="247" spans="1:16" x14ac:dyDescent="0.3">
      <c r="A247">
        <v>32</v>
      </c>
      <c r="B247" s="224">
        <f>IFERROR(LARGE('Compras '!$I$31:$I$144,A247)," ")</f>
        <v>72408</v>
      </c>
      <c r="C247" t="str">
        <f>IFERROR(INDEX(
   'Compras '!$D$31:$D$144,
    MATCH(
        B247,
       'Compras '!$I$31:$I$144,
        0
    )
), " ")</f>
        <v>Modalidade Tarifária</v>
      </c>
      <c r="D247" s="719">
        <f t="shared" si="77"/>
        <v>4.8578867785140133E-3</v>
      </c>
      <c r="E247" s="339">
        <f t="shared" si="78"/>
        <v>1.0104854850800553</v>
      </c>
      <c r="F247" t="str">
        <f t="shared" si="75"/>
        <v>Compras</v>
      </c>
      <c r="G247" t="str">
        <f>_xlfn.XLOOKUP(C247,'Compras '!$D$31:$D$144,'Compras '!$O$31:$O$144)</f>
        <v>✓ Concluído</v>
      </c>
      <c r="H247">
        <f>_xlfn.XLOOKUP(C247,'Compras '!$D$31:$D$144,'Compras '!$M$31:$M$144," ")</f>
        <v>0</v>
      </c>
      <c r="I247" s="716">
        <f>_xlfn.XLOOKUP(C247,'Compras '!$D$31:$D$144,'Compras '!$J$31:$J$144)</f>
        <v>46111</v>
      </c>
      <c r="J247" s="224">
        <f ca="1">INDEX('Compras '!$AS$31:$AS$144, MATCH(C247, 'Compras '!$D$31:$D$144, 0))</f>
        <v>36204</v>
      </c>
      <c r="K247" s="224" t="str" cm="1">
        <f t="array" aca="1" ref="K247" ca="1">INDEX('Compras '!$AS$31:$AS$144, MATCH(C247, 'Compras '!$D$31:$D$144, 0)+1)</f>
        <v/>
      </c>
      <c r="L247" s="224">
        <f>INDEX('Compras '!$AL$31:$AL$144, MATCH(C247, 'Compras '!$D$31:$D$144, 0))</f>
        <v>72408.000000000015</v>
      </c>
      <c r="M247" s="224"/>
      <c r="N247" s="224"/>
      <c r="O247" s="224"/>
      <c r="P247" s="224"/>
    </row>
    <row r="248" spans="1:16" x14ac:dyDescent="0.3">
      <c r="A248">
        <v>33</v>
      </c>
      <c r="B248" s="224">
        <f>IFERROR(LARGE('Compras '!$I$31:$I$144,A248)," ")</f>
        <v>61965.48</v>
      </c>
      <c r="C248" t="str">
        <f>IFERROR(INDEX(
   'Compras '!$D$31:$D$144,
    MATCH(
        B248,
       'Compras '!$I$31:$I$144,
        0
    )
), " ")</f>
        <v>Destinação Borra Plasma Ferraz</v>
      </c>
      <c r="D248" s="719">
        <f t="shared" si="77"/>
        <v>4.1572931998712093E-3</v>
      </c>
      <c r="E248" s="339">
        <f t="shared" si="78"/>
        <v>1.0146427782799265</v>
      </c>
      <c r="F248" t="str">
        <f t="shared" si="75"/>
        <v>Compras</v>
      </c>
      <c r="G248" t="str">
        <f>_xlfn.XLOOKUP(C248,'Compras '!$D$31:$D$144,'Compras '!$O$31:$O$144)</f>
        <v>✓ Concluído</v>
      </c>
      <c r="H248">
        <f>_xlfn.XLOOKUP(C248,'Compras '!$D$31:$D$144,'Compras '!$M$31:$M$144," ")</f>
        <v>0</v>
      </c>
      <c r="I248" s="716">
        <f>_xlfn.XLOOKUP(C248,'Compras '!$D$31:$D$144,'Compras '!$J$31:$J$144)</f>
        <v>46143</v>
      </c>
      <c r="J248" s="224">
        <f ca="1">INDEX('Compras '!$AS$31:$AS$144, MATCH(C248, 'Compras '!$D$31:$D$144, 0))</f>
        <v>23237.055</v>
      </c>
      <c r="K248" s="224" t="str" cm="1">
        <f t="array" aca="1" ref="K248" ca="1">INDEX('Compras '!$AS$31:$AS$144, MATCH(C248, 'Compras '!$D$31:$D$144, 0)+1)</f>
        <v/>
      </c>
      <c r="L248" s="224">
        <f>INDEX('Compras '!$AL$31:$AL$144, MATCH(C248, 'Compras '!$D$31:$D$144, 0))</f>
        <v>61965.479999999996</v>
      </c>
      <c r="M248" s="224"/>
      <c r="N248" s="224"/>
      <c r="O248" s="224"/>
      <c r="P248" s="224"/>
    </row>
    <row r="249" spans="1:16" x14ac:dyDescent="0.3">
      <c r="A249">
        <v>34</v>
      </c>
      <c r="B249" s="224">
        <f>IFERROR(LARGE('Compras '!$I$31:$I$144,A249)," ")</f>
        <v>60231.6</v>
      </c>
      <c r="C249" t="str">
        <f>IFERROR(INDEX(
   'Compras '!$D$31:$D$144,
    MATCH(
        B249,
       'Compras '!$I$31:$I$144,
        0
    )
), " ")</f>
        <v>Substituição Plano Médico - São Leopoldo</v>
      </c>
      <c r="D249" s="719">
        <f t="shared" si="77"/>
        <v>4.0409663751069577E-3</v>
      </c>
      <c r="E249" s="339">
        <f t="shared" si="78"/>
        <v>1.0186837446550334</v>
      </c>
      <c r="F249" t="str">
        <f t="shared" si="75"/>
        <v>Compras</v>
      </c>
      <c r="G249" t="str">
        <f>_xlfn.XLOOKUP(C249,'Compras '!$D$31:$D$144,'Compras '!$O$31:$O$144)</f>
        <v>⏳ Em Execução</v>
      </c>
      <c r="H249">
        <f>_xlfn.XLOOKUP(C249,'Compras '!$D$31:$D$144,'Compras '!$M$31:$M$144," ")</f>
        <v>0</v>
      </c>
      <c r="I249" s="716">
        <f>_xlfn.XLOOKUP(C249,'Compras '!$D$31:$D$144,'Compras '!$J$31:$J$144)</f>
        <v>46327</v>
      </c>
      <c r="J249" s="224" t="str">
        <f ca="1">INDEX('Compras '!$AS$31:$AS$144, MATCH(C249, 'Compras '!$D$31:$D$144, 0))</f>
        <v/>
      </c>
      <c r="K249" s="224" t="str" cm="1">
        <f t="array" aca="1" ref="K249" ca="1">INDEX('Compras '!$AS$31:$AS$144, MATCH(C249, 'Compras '!$D$31:$D$144, 0)+1)</f>
        <v/>
      </c>
      <c r="L249" s="224">
        <f>INDEX('Compras '!$AL$31:$AL$144, MATCH(C249, 'Compras '!$D$31:$D$144, 0))</f>
        <v>60231.6</v>
      </c>
      <c r="M249" s="224"/>
      <c r="N249" s="224"/>
      <c r="O249" s="224"/>
      <c r="P249" s="224"/>
    </row>
    <row r="250" spans="1:16" x14ac:dyDescent="0.3">
      <c r="A250">
        <v>35</v>
      </c>
      <c r="B250" s="224">
        <f>IFERROR(LARGE('Compras '!$I$31:$I$144,A250)," ")</f>
        <v>51864.28</v>
      </c>
      <c r="C250" t="str">
        <f>IFERROR(INDEX(
   'Compras '!$D$31:$D$144,
    MATCH(
        B250,
       'Compras '!$I$31:$I$144,
        0
    )
), " ")</f>
        <v>Redução MP Viga Banana</v>
      </c>
      <c r="D250" s="719">
        <f t="shared" si="77"/>
        <v>3.4795989405749191E-3</v>
      </c>
      <c r="E250" s="339">
        <f t="shared" si="78"/>
        <v>1.0221633435956083</v>
      </c>
      <c r="F250" t="str">
        <f t="shared" si="75"/>
        <v>Compras</v>
      </c>
      <c r="G250" t="str">
        <f>_xlfn.XLOOKUP(C250,'Compras '!$D$31:$D$144,'Compras '!$O$31:$O$144)</f>
        <v>✓ Concluído</v>
      </c>
      <c r="H250" t="str">
        <f>_xlfn.XLOOKUP(C250,'Compras '!$D$31:$D$144,'Compras '!$M$31:$M$144," ")</f>
        <v>OK</v>
      </c>
      <c r="I250" s="716">
        <f>_xlfn.XLOOKUP(C250,'Compras '!$D$31:$D$144,'Compras '!$J$31:$J$144)</f>
        <v>46066</v>
      </c>
      <c r="J250" s="224">
        <f ca="1">INDEX('Compras '!$AS$31:$AS$144, MATCH(C250, 'Compras '!$D$31:$D$144, 0))</f>
        <v>47418</v>
      </c>
      <c r="K250" s="224" cm="1">
        <f t="array" aca="1" ref="K250" ca="1">INDEX('Compras '!$AS$31:$AS$144, MATCH(C250, 'Compras '!$D$31:$D$144, 0)+1)</f>
        <v>24738.13075764</v>
      </c>
      <c r="L250" s="224">
        <f>INDEX('Compras '!$AL$31:$AL$144, MATCH(C250, 'Compras '!$D$31:$D$144, 0))</f>
        <v>86933</v>
      </c>
      <c r="M250" s="224"/>
      <c r="N250" s="224"/>
      <c r="O250" s="224"/>
      <c r="P250" s="224"/>
    </row>
    <row r="251" spans="1:16" x14ac:dyDescent="0.3">
      <c r="A251">
        <v>36</v>
      </c>
      <c r="B251" s="224">
        <f>IFERROR(LARGE('Compras '!$I$31:$I$144,A251)," ")</f>
        <v>49053</v>
      </c>
      <c r="C251" t="str">
        <f>IFERROR(INDEX(
   'Compras '!$D$31:$D$144,
    MATCH(
        B251,
       'Compras '!$I$31:$I$144,
        0
    )
), " ")</f>
        <v>Negociação TCC00690/691</v>
      </c>
      <c r="D251" s="719">
        <f t="shared" si="77"/>
        <v>3.29098884303458E-3</v>
      </c>
      <c r="E251" s="339">
        <f t="shared" si="78"/>
        <v>1.0254543324386429</v>
      </c>
      <c r="F251" t="str">
        <f t="shared" si="75"/>
        <v>Compras</v>
      </c>
      <c r="G251" t="str">
        <f>_xlfn.XLOOKUP(C251,'Compras '!$D$31:$D$144,'Compras '!$O$31:$O$144)</f>
        <v>✓ Concluído</v>
      </c>
      <c r="H251">
        <f>_xlfn.XLOOKUP(C251,'Compras '!$D$31:$D$144,'Compras '!$M$31:$M$144," ")</f>
        <v>0</v>
      </c>
      <c r="I251" s="716">
        <f>_xlfn.XLOOKUP(C251,'Compras '!$D$31:$D$144,'Compras '!$J$31:$J$144)</f>
        <v>46196</v>
      </c>
      <c r="J251" s="224">
        <f ca="1">INDEX('Compras '!$AS$31:$AS$144, MATCH(C251, 'Compras '!$D$31:$D$144, 0))</f>
        <v>14015.142857142857</v>
      </c>
      <c r="K251" s="224" t="str" cm="1">
        <f t="array" aca="1" ref="K251" ca="1">INDEX('Compras '!$AS$31:$AS$144, MATCH(C251, 'Compras '!$D$31:$D$144, 0)+1)</f>
        <v/>
      </c>
      <c r="L251" s="224">
        <f>INDEX('Compras '!$AL$31:$AL$144, MATCH(C251, 'Compras '!$D$31:$D$144, 0))</f>
        <v>49053</v>
      </c>
      <c r="M251" s="224"/>
      <c r="N251" s="224"/>
      <c r="O251" s="224"/>
      <c r="P251" s="224"/>
    </row>
    <row r="252" spans="1:16" x14ac:dyDescent="0.3">
      <c r="A252">
        <v>37</v>
      </c>
      <c r="B252" s="224">
        <f>IFERROR(LARGE('Compras '!$I$31:$I$144,A252)," ")</f>
        <v>48787</v>
      </c>
      <c r="C252" t="str">
        <f>IFERROR(INDEX(
   'Compras '!$D$31:$D$144,
    MATCH(
        B252,
       'Compras '!$I$31:$I$144,
        0
    )
), " ")</f>
        <v>Unificação óleos utilizados nas plantas</v>
      </c>
      <c r="D252" s="719">
        <f t="shared" si="77"/>
        <v>3.2731427779162958E-3</v>
      </c>
      <c r="E252" s="339">
        <f t="shared" si="78"/>
        <v>1.0287274752165592</v>
      </c>
      <c r="F252" t="str">
        <f t="shared" si="75"/>
        <v>Compras</v>
      </c>
      <c r="G252" t="str">
        <f>_xlfn.XLOOKUP(C252,'Compras '!$D$31:$D$144,'Compras '!$O$31:$O$144)</f>
        <v>⏳ Em Execução</v>
      </c>
      <c r="H252">
        <f>_xlfn.XLOOKUP(C252,'Compras '!$D$31:$D$144,'Compras '!$M$31:$M$144," ")</f>
        <v>0</v>
      </c>
      <c r="I252" s="716">
        <f>_xlfn.XLOOKUP(C252,'Compras '!$D$31:$D$144,'Compras '!$J$31:$J$144)</f>
        <v>46433</v>
      </c>
      <c r="J252" s="224" t="str">
        <f ca="1">INDEX('Compras '!$AS$31:$AS$144, MATCH(C252, 'Compras '!$D$31:$D$144, 0))</f>
        <v/>
      </c>
      <c r="K252" s="224" t="str" cm="1">
        <f t="array" aca="1" ref="K252" ca="1">INDEX('Compras '!$AS$31:$AS$144, MATCH(C252, 'Compras '!$D$31:$D$144, 0)+1)</f>
        <v/>
      </c>
      <c r="L252" s="224">
        <f>INDEX('Compras '!$AL$31:$AL$144, MATCH(C252, 'Compras '!$D$31:$D$144, 0))</f>
        <v>0</v>
      </c>
      <c r="M252" s="224"/>
      <c r="N252" s="224"/>
      <c r="O252" s="224"/>
      <c r="P252" s="224"/>
    </row>
    <row r="253" spans="1:16" x14ac:dyDescent="0.3">
      <c r="A253">
        <v>38</v>
      </c>
      <c r="B253" s="224">
        <f>IFERROR(LARGE('Compras '!$I$31:$I$144,A253)," ")</f>
        <v>43500</v>
      </c>
      <c r="C253" t="str">
        <f>IFERROR(INDEX(
   'Compras '!$D$31:$D$144,
    MATCH(
        B253,
       'Compras '!$I$31:$I$144,
        0
    )
), " ")</f>
        <v>Mudança de Modalidade Gerador Anchieta</v>
      </c>
      <c r="D253" s="719">
        <f t="shared" si="77"/>
        <v>2.9184354610728037E-3</v>
      </c>
      <c r="E253" s="339">
        <f t="shared" si="78"/>
        <v>1.0316459106776319</v>
      </c>
      <c r="F253" t="str">
        <f t="shared" si="75"/>
        <v>Compras</v>
      </c>
      <c r="G253" t="str">
        <f>_xlfn.XLOOKUP(C253,'Compras '!$D$31:$D$144,'Compras '!$O$31:$O$144)</f>
        <v>✓ Concluído</v>
      </c>
      <c r="H253" t="str">
        <f>_xlfn.XLOOKUP(C253,'Compras '!$D$31:$D$144,'Compras '!$M$31:$M$144," ")</f>
        <v>OK</v>
      </c>
      <c r="I253" s="716">
        <f>_xlfn.XLOOKUP(C253,'Compras '!$D$31:$D$144,'Compras '!$J$31:$J$144)</f>
        <v>46038</v>
      </c>
      <c r="J253" s="224">
        <f ca="1">INDEX('Compras '!$AS$31:$AS$144, MATCH(C253, 'Compras '!$D$31:$D$144, 0))</f>
        <v>23027.829999999998</v>
      </c>
      <c r="K253" s="224" cm="1">
        <f t="array" aca="1" ref="K253" ca="1">INDEX('Compras '!$AS$31:$AS$144, MATCH(C253, 'Compras '!$D$31:$D$144, 0)+1)</f>
        <v>19738.14</v>
      </c>
      <c r="L253" s="224">
        <f>INDEX('Compras '!$AL$31:$AL$144, MATCH(C253, 'Compras '!$D$31:$D$144, 0))</f>
        <v>39476.28</v>
      </c>
      <c r="M253" s="224"/>
      <c r="N253" s="224"/>
      <c r="O253" s="224"/>
      <c r="P253" s="224"/>
    </row>
    <row r="254" spans="1:16" x14ac:dyDescent="0.3">
      <c r="A254">
        <v>39</v>
      </c>
      <c r="B254" s="224">
        <f>IFERROR(LARGE('Compras '!$I$31:$I$144,A254)," ")</f>
        <v>39383</v>
      </c>
      <c r="C254" t="str">
        <f>IFERROR(INDEX(
   'Compras '!$D$31:$D$144,
    MATCH(
        B254,
       'Compras '!$I$31:$I$144,
        0
    )
), " ")</f>
        <v>Negociação Porca Bollhoff 15341 Saga</v>
      </c>
      <c r="D254" s="719">
        <f t="shared" si="77"/>
        <v>2.6422239945616145E-3</v>
      </c>
      <c r="E254" s="339">
        <f t="shared" si="78"/>
        <v>1.0342881346721935</v>
      </c>
      <c r="F254" t="str">
        <f t="shared" si="75"/>
        <v>Compras</v>
      </c>
      <c r="G254" t="str">
        <f>_xlfn.XLOOKUP(C254,'Compras '!$D$31:$D$144,'Compras '!$O$31:$O$144)</f>
        <v>✓ Concluído</v>
      </c>
      <c r="H254" t="str">
        <f>_xlfn.XLOOKUP(C254,'Compras '!$D$31:$D$144,'Compras '!$M$31:$M$144," ")</f>
        <v>OK</v>
      </c>
      <c r="I254" s="716">
        <f>_xlfn.XLOOKUP(C254,'Compras '!$D$31:$D$144,'Compras '!$J$31:$J$144)</f>
        <v>46101</v>
      </c>
      <c r="J254" s="224">
        <f ca="1">INDEX('Compras '!$AS$31:$AS$144, MATCH(C254, 'Compras '!$D$31:$D$144, 0))</f>
        <v>19691.5</v>
      </c>
      <c r="K254" s="224" cm="1">
        <f t="array" aca="1" ref="K254" ca="1">INDEX('Compras '!$AS$31:$AS$144, MATCH(C254, 'Compras '!$D$31:$D$144, 0)+1)</f>
        <v>6833.58</v>
      </c>
      <c r="L254" s="224">
        <f>INDEX('Compras '!$AL$31:$AL$144, MATCH(C254, 'Compras '!$D$31:$D$144, 0))</f>
        <v>39383</v>
      </c>
      <c r="M254" s="224"/>
      <c r="N254" s="224"/>
      <c r="O254" s="224"/>
      <c r="P254" s="224"/>
    </row>
    <row r="255" spans="1:16" x14ac:dyDescent="0.3">
      <c r="A255">
        <v>40</v>
      </c>
      <c r="B255" s="224">
        <f>IFERROR(LARGE('Compras '!$I$31:$I$144,A255)," ")</f>
        <v>38422</v>
      </c>
      <c r="C255" t="str">
        <f>IFERROR(INDEX(
   'Compras '!$D$31:$D$144,
    MATCH(
        B255,
       'Compras '!$I$31:$I$144,
        0
    )
), " ")</f>
        <v>BID Corporativo Punções</v>
      </c>
      <c r="D255" s="719">
        <f t="shared" si="77"/>
        <v>2.5777500525365348E-3</v>
      </c>
      <c r="E255" s="339">
        <f t="shared" si="78"/>
        <v>1.0368658847247301</v>
      </c>
      <c r="F255" t="str">
        <f t="shared" si="75"/>
        <v>Compras</v>
      </c>
      <c r="G255" t="str">
        <f>_xlfn.XLOOKUP(C255,'Compras '!$D$31:$D$144,'Compras '!$O$31:$O$144)</f>
        <v>✓ Concluído</v>
      </c>
      <c r="H255">
        <f>_xlfn.XLOOKUP(C255,'Compras '!$D$31:$D$144,'Compras '!$M$31:$M$144," ")</f>
        <v>0</v>
      </c>
      <c r="I255" s="716">
        <f>_xlfn.XLOOKUP(C255,'Compras '!$D$31:$D$144,'Compras '!$J$31:$J$144)</f>
        <v>46235</v>
      </c>
      <c r="J255" s="224" t="str">
        <f ca="1">INDEX('Compras '!$AS$31:$AS$144, MATCH(C255, 'Compras '!$D$31:$D$144, 0))</f>
        <v/>
      </c>
      <c r="K255" s="224" t="str" cm="1">
        <f t="array" aca="1" ref="K255" ca="1">INDEX('Compras '!$AS$31:$AS$144, MATCH(C255, 'Compras '!$D$31:$D$144, 0)+1)</f>
        <v/>
      </c>
      <c r="L255" s="224">
        <f>INDEX('Compras '!$AL$31:$AL$144, MATCH(C255, 'Compras '!$D$31:$D$144, 0))</f>
        <v>38422</v>
      </c>
      <c r="M255" s="224"/>
      <c r="N255" s="224"/>
      <c r="O255" s="224"/>
      <c r="P255" s="224"/>
    </row>
    <row r="256" spans="1:16" x14ac:dyDescent="0.3">
      <c r="A256">
        <v>41</v>
      </c>
      <c r="B256" s="224">
        <f>IFERROR(LARGE('Compras '!$I$31:$I$144,A256)," ")</f>
        <v>35000</v>
      </c>
      <c r="C256" t="str">
        <f>IFERROR(INDEX(
   'Compras '!$D$31:$D$144,
    MATCH(
        B256,
       'Compras '!$I$31:$I$144,
        0
    )
), " ")</f>
        <v>Unificação itens de Distribuição Fixadores.</v>
      </c>
      <c r="D256" s="719">
        <f t="shared" si="77"/>
        <v>2.348166462932141E-3</v>
      </c>
      <c r="E256" s="339">
        <f t="shared" si="78"/>
        <v>1.0392140511876622</v>
      </c>
      <c r="F256" t="str">
        <f t="shared" si="75"/>
        <v>Compras</v>
      </c>
      <c r="G256" t="str">
        <f>_xlfn.XLOOKUP(C256,'Compras '!$D$31:$D$144,'Compras '!$O$31:$O$144)</f>
        <v>⏳ Em Execução</v>
      </c>
      <c r="H256">
        <f>_xlfn.XLOOKUP(C256,'Compras '!$D$31:$D$144,'Compras '!$M$31:$M$144," ")</f>
        <v>0</v>
      </c>
      <c r="I256" s="716">
        <f>_xlfn.XLOOKUP(C256,'Compras '!$D$31:$D$144,'Compras '!$J$31:$J$144)</f>
        <v>46366</v>
      </c>
      <c r="J256" s="224" t="str">
        <f ca="1">INDEX('Compras '!$AS$31:$AS$144, MATCH(C256, 'Compras '!$D$31:$D$144, 0))</f>
        <v/>
      </c>
      <c r="K256" s="224" t="str" cm="1">
        <f t="array" aca="1" ref="K256" ca="1">INDEX('Compras '!$AS$31:$AS$144, MATCH(C256, 'Compras '!$D$31:$D$144, 0)+1)</f>
        <v/>
      </c>
      <c r="L256" s="224">
        <f>INDEX('Compras '!$AL$31:$AL$144, MATCH(C256, 'Compras '!$D$31:$D$144, 0))</f>
        <v>35000</v>
      </c>
      <c r="M256" s="224"/>
      <c r="N256" s="224"/>
      <c r="O256" s="224"/>
      <c r="P256" s="224"/>
    </row>
    <row r="257" spans="1:16" x14ac:dyDescent="0.3">
      <c r="A257">
        <v>42</v>
      </c>
      <c r="B257" s="224">
        <f>IFERROR(LARGE('Compras '!$I$31:$I$144,A257)," ")</f>
        <v>33377.910000000003</v>
      </c>
      <c r="C257" t="str">
        <f>IFERROR(INDEX(
   'Compras '!$D$31:$D$144,
    MATCH(
        B257,
       'Compras '!$I$31:$I$144,
        0
    )
), " ")</f>
        <v>BID consumíveis laser</v>
      </c>
      <c r="D257" s="719">
        <f t="shared" si="77"/>
        <v>2.2393396818504952E-3</v>
      </c>
      <c r="E257" s="339">
        <f t="shared" si="78"/>
        <v>1.0414533908695127</v>
      </c>
      <c r="F257" t="str">
        <f t="shared" si="75"/>
        <v>Compras</v>
      </c>
      <c r="G257" t="str">
        <f>_xlfn.XLOOKUP(C257,'Compras '!$D$31:$D$144,'Compras '!$O$31:$O$144)</f>
        <v>✓ Concluído</v>
      </c>
      <c r="H257">
        <f>_xlfn.XLOOKUP(C257,'Compras '!$D$31:$D$144,'Compras '!$M$31:$M$144," ")</f>
        <v>0</v>
      </c>
      <c r="I257" s="716">
        <f>_xlfn.XLOOKUP(C257,'Compras '!$D$31:$D$144,'Compras '!$J$31:$J$144)</f>
        <v>46113</v>
      </c>
      <c r="J257" s="224">
        <f ca="1">INDEX('Compras '!$AS$31:$AS$144, MATCH(C257, 'Compras '!$D$31:$D$144, 0))</f>
        <v>14834.626666666669</v>
      </c>
      <c r="K257" s="224" t="str" cm="1">
        <f t="array" aca="1" ref="K257" ca="1">INDEX('Compras '!$AS$31:$AS$144, MATCH(C257, 'Compras '!$D$31:$D$144, 0)+1)</f>
        <v/>
      </c>
      <c r="L257" s="224">
        <f>INDEX('Compras '!$AL$31:$AL$144, MATCH(C257, 'Compras '!$D$31:$D$144, 0))</f>
        <v>33377.910000000003</v>
      </c>
      <c r="M257" s="224"/>
      <c r="N257" s="224"/>
      <c r="O257" s="224"/>
      <c r="P257" s="224"/>
    </row>
    <row r="258" spans="1:16" x14ac:dyDescent="0.3">
      <c r="A258">
        <v>43</v>
      </c>
      <c r="B258" s="224">
        <f>IFERROR(LARGE('Compras '!$I$31:$I$144,A258)," ")</f>
        <v>24522.880000000001</v>
      </c>
      <c r="C258" t="str">
        <f>IFERROR(INDEX(
   'Compras '!$D$31:$D$144,
    MATCH(
        B258,
       'Compras '!$I$31:$I$144,
        0
    )
), " ")</f>
        <v>BID Fita Alta Temp 3M + Anti-Slip 3M</v>
      </c>
      <c r="D258" s="719">
        <f t="shared" si="77"/>
        <v>1.6452515540145525E-3</v>
      </c>
      <c r="E258" s="339">
        <f t="shared" si="78"/>
        <v>1.0430986424235273</v>
      </c>
      <c r="F258" t="str">
        <f t="shared" si="75"/>
        <v>Compras</v>
      </c>
      <c r="G258" t="str">
        <f>_xlfn.XLOOKUP(C258,'Compras '!$D$31:$D$144,'Compras '!$O$31:$O$144)</f>
        <v>✓ Concluído</v>
      </c>
      <c r="H258">
        <f>_xlfn.XLOOKUP(C258,'Compras '!$D$31:$D$144,'Compras '!$M$31:$M$144," ")</f>
        <v>0</v>
      </c>
      <c r="I258" s="716">
        <f>_xlfn.XLOOKUP(C258,'Compras '!$D$31:$D$144,'Compras '!$J$31:$J$144)</f>
        <v>46098</v>
      </c>
      <c r="J258" s="224">
        <f ca="1">INDEX('Compras '!$AS$31:$AS$144, MATCH(C258, 'Compras '!$D$31:$D$144, 0))</f>
        <v>12261.44</v>
      </c>
      <c r="K258" s="224" t="str" cm="1">
        <f t="array" aca="1" ref="K258" ca="1">INDEX('Compras '!$AS$31:$AS$144, MATCH(C258, 'Compras '!$D$31:$D$144, 0)+1)</f>
        <v/>
      </c>
      <c r="L258" s="224">
        <f>INDEX('Compras '!$AL$31:$AL$144, MATCH(C258, 'Compras '!$D$31:$D$144, 0))</f>
        <v>24522.880000000001</v>
      </c>
      <c r="M258" s="224"/>
      <c r="N258" s="224"/>
      <c r="O258" s="224"/>
      <c r="P258" s="224"/>
    </row>
    <row r="259" spans="1:16" x14ac:dyDescent="0.3">
      <c r="A259">
        <v>44</v>
      </c>
      <c r="B259" s="224">
        <f>IFERROR(LARGE('Compras '!$I$31:$I$144,A259)," ")</f>
        <v>22612.28</v>
      </c>
      <c r="C259" t="str">
        <f>IFERROR(INDEX(
   'Compras '!$D$31:$D$144,
    MATCH(
        B259,
       'Compras '!$I$31:$I$144,
        0
    )
), " ")</f>
        <v>BID tampões pintura Anchieta</v>
      </c>
      <c r="D259" s="719">
        <f t="shared" si="77"/>
        <v>1.5170685013266053E-3</v>
      </c>
      <c r="E259" s="339">
        <f t="shared" si="78"/>
        <v>1.0446157109248539</v>
      </c>
      <c r="F259" t="str">
        <f t="shared" si="75"/>
        <v>Compras</v>
      </c>
      <c r="G259" t="str">
        <f>_xlfn.XLOOKUP(C259,'Compras '!$D$31:$D$144,'Compras '!$O$31:$O$144)</f>
        <v>✓ Concluído</v>
      </c>
      <c r="H259" t="str">
        <f>_xlfn.XLOOKUP(C259,'Compras '!$D$31:$D$144,'Compras '!$M$31:$M$144," ")</f>
        <v>OK</v>
      </c>
      <c r="I259" s="716">
        <f>_xlfn.XLOOKUP(C259,'Compras '!$D$31:$D$144,'Compras '!$J$31:$J$144)</f>
        <v>46023</v>
      </c>
      <c r="J259" s="224">
        <f ca="1">INDEX('Compras '!$AS$31:$AS$144, MATCH(C259, 'Compras '!$D$31:$D$144, 0))</f>
        <v>12307.6975</v>
      </c>
      <c r="K259" s="224" cm="1">
        <f t="array" aca="1" ref="K259" ca="1">INDEX('Compras '!$AS$31:$AS$144, MATCH(C259, 'Compras '!$D$31:$D$144, 0)+1)</f>
        <v>7788</v>
      </c>
      <c r="L259" s="224">
        <f>INDEX('Compras '!$AL$31:$AL$144, MATCH(C259, 'Compras '!$D$31:$D$144, 0))</f>
        <v>21098.91</v>
      </c>
      <c r="M259" s="224"/>
      <c r="N259" s="224"/>
      <c r="O259" s="224"/>
      <c r="P259" s="224"/>
    </row>
    <row r="260" spans="1:16" x14ac:dyDescent="0.3">
      <c r="A260">
        <v>45</v>
      </c>
      <c r="B260" s="224">
        <f>IFERROR(LARGE('Compras '!$I$31:$I$144,A260)," ")</f>
        <v>14893</v>
      </c>
      <c r="C260" t="str">
        <f>IFERROR(INDEX(
   'Compras '!$D$31:$D$144,
    MATCH(
        B260,
       'Compras '!$I$31:$I$144,
        0
    )
), " ")</f>
        <v>BID complementar punções Jarinu</v>
      </c>
      <c r="D260" s="719">
        <f t="shared" si="77"/>
        <v>9.9917837521281056E-4</v>
      </c>
      <c r="E260" s="339">
        <f t="shared" si="78"/>
        <v>1.0456148893000667</v>
      </c>
      <c r="F260" t="str">
        <f t="shared" si="75"/>
        <v>Compras</v>
      </c>
      <c r="G260" t="str">
        <f>_xlfn.XLOOKUP(C260,'Compras '!$D$31:$D$144,'Compras '!$O$31:$O$144)</f>
        <v>✓ Concluído</v>
      </c>
      <c r="H260" t="str">
        <f>_xlfn.XLOOKUP(C260,'Compras '!$D$31:$D$144,'Compras '!$M$31:$M$144," ")</f>
        <v>OK</v>
      </c>
      <c r="I260" s="716">
        <f>_xlfn.XLOOKUP(C260,'Compras '!$D$31:$D$144,'Compras '!$J$31:$J$144)</f>
        <v>46082</v>
      </c>
      <c r="J260" s="224">
        <f ca="1">INDEX('Compras '!$AS$31:$AS$144, MATCH(C260, 'Compras '!$D$31:$D$144, 0))</f>
        <v>12790.165000000001</v>
      </c>
      <c r="K260" s="224" cm="1">
        <f t="array" aca="1" ref="K260" ca="1">INDEX('Compras '!$AS$31:$AS$144, MATCH(C260, 'Compras '!$D$31:$D$144, 0)+1)</f>
        <v>1686.52</v>
      </c>
      <c r="L260" s="224">
        <f>INDEX('Compras '!$AL$31:$AL$144, MATCH(C260, 'Compras '!$D$31:$D$144, 0))</f>
        <v>25580.329999999998</v>
      </c>
      <c r="M260" s="224"/>
      <c r="N260" s="224"/>
      <c r="O260" s="224"/>
      <c r="P260" s="224"/>
    </row>
    <row r="261" spans="1:16" x14ac:dyDescent="0.3">
      <c r="A261">
        <v>46</v>
      </c>
      <c r="B261" s="224">
        <f>IFERROR(LARGE('Compras '!$I$31:$I$144,A261)," ")</f>
        <v>3852.73</v>
      </c>
      <c r="C261" t="str">
        <f>IFERROR(INDEX(
   'Compras '!$D$31:$D$144,
    MATCH(
        B261,
       'Compras '!$I$31:$I$144,
        0
    )
), " ")</f>
        <v>BID carimbos industriais</v>
      </c>
      <c r="D261" s="719">
        <f t="shared" si="77"/>
        <v>2.5848146790664422E-4</v>
      </c>
      <c r="E261" s="339">
        <f t="shared" si="78"/>
        <v>1.0458733707679735</v>
      </c>
      <c r="F261" t="str">
        <f t="shared" si="75"/>
        <v>Compras</v>
      </c>
      <c r="G261" t="str">
        <f>_xlfn.XLOOKUP(C261,'Compras '!$D$31:$D$144,'Compras '!$O$31:$O$144)</f>
        <v>✓ Concluído</v>
      </c>
      <c r="H261" t="str">
        <f>_xlfn.XLOOKUP(C261,'Compras '!$D$31:$D$144,'Compras '!$M$31:$M$144," ")</f>
        <v>OK</v>
      </c>
      <c r="I261" s="716">
        <f>_xlfn.XLOOKUP(C261,'Compras '!$D$31:$D$144,'Compras '!$J$31:$J$144)</f>
        <v>46082</v>
      </c>
      <c r="J261" s="224">
        <f ca="1">INDEX('Compras '!$AS$31:$AS$144, MATCH(C261, 'Compras '!$D$31:$D$144, 0))</f>
        <v>1524.9649999999999</v>
      </c>
      <c r="K261" s="224" cm="1">
        <f t="array" aca="1" ref="K261" ca="1">INDEX('Compras '!$AS$31:$AS$144, MATCH(C261, 'Compras '!$D$31:$D$144, 0)+1)</f>
        <v>2178.73</v>
      </c>
    </row>
    <row r="262" spans="1:16" x14ac:dyDescent="0.3">
      <c r="A262">
        <v>47</v>
      </c>
      <c r="B262" s="224">
        <f>IFERROR(LARGE('Compras '!$I$31:$I$144,A262)," ")</f>
        <v>0</v>
      </c>
      <c r="C262" t="str">
        <f>IFERROR(INDEX(
   'Compras '!$D$31:$D$144,
    MATCH(
        B262,
       'Compras '!$I$31:$I$144,
        0
    )
), " ")</f>
        <v>Estudo de viabilidade compressores</v>
      </c>
      <c r="D262" s="719">
        <f t="shared" si="77"/>
        <v>0</v>
      </c>
      <c r="E262" s="339">
        <f t="shared" si="78"/>
        <v>1.0458733707679735</v>
      </c>
      <c r="F262" t="str">
        <f t="shared" si="75"/>
        <v>Compras</v>
      </c>
      <c r="G262" t="str">
        <f>_xlfn.XLOOKUP(C262,'Compras '!$D$31:$D$144,'Compras '!$O$31:$O$144)</f>
        <v>📝 Não iniciado</v>
      </c>
      <c r="H262">
        <f>_xlfn.XLOOKUP(C262,'Compras '!$D$31:$D$144,'Compras '!$M$31:$M$144," ")</f>
        <v>0</v>
      </c>
      <c r="I262" s="716">
        <f>_xlfn.XLOOKUP(C262,'Compras '!$D$31:$D$144,'Compras '!$J$31:$J$144)</f>
        <v>0</v>
      </c>
      <c r="J262" s="224" t="str">
        <f ca="1">INDEX('Compras '!$AS$31:$AS$144, MATCH(C262, 'Compras '!$D$31:$D$144, 0))</f>
        <v/>
      </c>
      <c r="K262" s="224" t="str" cm="1">
        <f t="array" aca="1" ref="K262" ca="1">INDEX('Compras '!$AS$31:$AS$144, MATCH(C262, 'Compras '!$D$31:$D$144, 0)+1)</f>
        <v/>
      </c>
    </row>
    <row r="263" spans="1:16" x14ac:dyDescent="0.3">
      <c r="A263">
        <v>48</v>
      </c>
      <c r="B263" s="224">
        <f>IFERROR(LARGE('Compras '!$I$31:$I$144,A263)," ")</f>
        <v>0</v>
      </c>
      <c r="C263" t="str">
        <f>IFERROR(INDEX(
   'Compras '!$D$31:$D$144,
    MATCH(
        B263,
       'Compras '!$I$31:$I$144,
        0
    )
), " ")</f>
        <v>Estudo de viabilidade compressores</v>
      </c>
      <c r="D263" s="719">
        <f t="shared" si="77"/>
        <v>0</v>
      </c>
      <c r="E263" s="339">
        <f t="shared" si="78"/>
        <v>1.0458733707679735</v>
      </c>
      <c r="F263" t="str">
        <f t="shared" si="75"/>
        <v>Compras</v>
      </c>
      <c r="G263" t="str">
        <f>_xlfn.XLOOKUP(C263,'Compras '!$D$31:$D$144,'Compras '!$O$31:$O$144)</f>
        <v>📝 Não iniciado</v>
      </c>
      <c r="H263">
        <f>_xlfn.XLOOKUP(C263,'Compras '!$D$31:$D$144,'Compras '!$M$31:$M$144," ")</f>
        <v>0</v>
      </c>
      <c r="I263" s="716">
        <f>_xlfn.XLOOKUP(C263,'Compras '!$D$31:$D$144,'Compras '!$J$31:$J$144)</f>
        <v>0</v>
      </c>
      <c r="J263" s="224" t="str">
        <f ca="1">INDEX('Compras '!$AS$31:$AS$144, MATCH(C263, 'Compras '!$D$31:$D$144, 0))</f>
        <v/>
      </c>
      <c r="K263" s="224" t="str" cm="1">
        <f t="array" aca="1" ref="K263" ca="1">INDEX('Compras '!$AS$31:$AS$144, MATCH(C263, 'Compras '!$D$31:$D$144, 0)+1)</f>
        <v/>
      </c>
    </row>
    <row r="264" spans="1:16" x14ac:dyDescent="0.3">
      <c r="A264">
        <v>49</v>
      </c>
      <c r="B264" s="224" t="str">
        <f>IFERROR(LARGE('Compras '!$I$31:$I$144,A264)," ")</f>
        <v xml:space="preserve"> </v>
      </c>
      <c r="C264" t="str">
        <f>IFERROR(INDEX(
   'Compras '!$D$31:$D$144,
    MATCH(
        B264,
       'Compras '!$I$31:$I$144,
        0
    )
), " ")</f>
        <v xml:space="preserve"> </v>
      </c>
      <c r="D264" s="719" t="str">
        <f t="shared" si="77"/>
        <v xml:space="preserve"> </v>
      </c>
      <c r="E264" s="339" t="str">
        <f t="shared" si="78"/>
        <v xml:space="preserve"> </v>
      </c>
      <c r="F264" t="str">
        <f t="shared" si="75"/>
        <v>Compras</v>
      </c>
      <c r="G264" t="e">
        <f>_xlfn.XLOOKUP(C264,'Compras '!$D$31:$D$144,'Compras '!$O$31:$O$144)</f>
        <v>#N/A</v>
      </c>
      <c r="H264" t="str">
        <f>_xlfn.XLOOKUP(C264,'Compras '!$D$31:$D$144,'Compras '!$M$31:$M$144," ")</f>
        <v xml:space="preserve"> </v>
      </c>
      <c r="I264" s="716" t="e">
        <f>_xlfn.XLOOKUP(C264,'Compras '!$D$31:$D$144,'Compras '!$J$31:$J$144)</f>
        <v>#N/A</v>
      </c>
      <c r="J264" s="224" t="e">
        <f>INDEX('Compras '!$AS$31:$AS$144, MATCH(C264, 'Compras '!$D$31:$D$144, 0))</f>
        <v>#N/A</v>
      </c>
      <c r="K264" s="224" t="e" cm="1">
        <f t="array" ref="K264">INDEX('Compras '!$AS$31:$AS$144, MATCH(C264, 'Compras '!$D$31:$D$144, 0)+1)</f>
        <v>#N/A</v>
      </c>
    </row>
    <row r="265" spans="1:16" x14ac:dyDescent="0.3">
      <c r="A265">
        <v>50</v>
      </c>
      <c r="B265" s="224" t="str">
        <f>IFERROR(LARGE('Compras '!$I$31:$I$144,A265)," ")</f>
        <v xml:space="preserve"> </v>
      </c>
      <c r="C265" t="str">
        <f>IFERROR(INDEX(
   'Compras '!$D$31:$D$144,
    MATCH(
        B265,
       'Compras '!$I$31:$I$144,
        0
    )
), " ")</f>
        <v xml:space="preserve"> </v>
      </c>
      <c r="D265" s="719" t="str">
        <f t="shared" si="77"/>
        <v xml:space="preserve"> </v>
      </c>
      <c r="E265" s="339" t="str">
        <f t="shared" si="78"/>
        <v xml:space="preserve"> </v>
      </c>
      <c r="F265" t="str">
        <f t="shared" si="75"/>
        <v>Compras</v>
      </c>
      <c r="G265" t="e">
        <f>_xlfn.XLOOKUP(C265,'Compras '!$D$31:$D$144,'Compras '!$O$31:$O$144)</f>
        <v>#N/A</v>
      </c>
      <c r="H265" t="str">
        <f>_xlfn.XLOOKUP(C265,'Compras '!$D$31:$D$144,'Compras '!$M$31:$M$144," ")</f>
        <v xml:space="preserve"> </v>
      </c>
      <c r="I265" s="716" t="e">
        <f>_xlfn.XLOOKUP(C265,'Compras '!$D$31:$D$144,'Compras '!$J$31:$J$144)</f>
        <v>#N/A</v>
      </c>
      <c r="J265" s="224" t="e">
        <f>INDEX('Compras '!$AS$31:$AS$144, MATCH(C265, 'Compras '!$D$31:$D$144, 0))</f>
        <v>#N/A</v>
      </c>
      <c r="K265" s="224" t="e" cm="1">
        <f t="array" ref="K265">INDEX('Compras '!$AS$31:$AS$144, MATCH(C265, 'Compras '!$D$31:$D$144, 0)+1)</f>
        <v>#N/A</v>
      </c>
    </row>
  </sheetData>
  <autoFilter ref="A3:Z211" xr:uid="{463F0197-2D2C-4501-974E-27EA491570C7}"/>
  <mergeCells count="6">
    <mergeCell ref="J180:K180"/>
    <mergeCell ref="J214:K214"/>
    <mergeCell ref="J2:K2"/>
    <mergeCell ref="J68:K68"/>
    <mergeCell ref="J114:K114"/>
    <mergeCell ref="J147:K147"/>
  </mergeCells>
  <conditionalFormatting sqref="E4:E66">
    <cfRule type="cellIs" dxfId="7" priority="10" operator="lessThanOrEqual">
      <formula>0.8</formula>
    </cfRule>
  </conditionalFormatting>
  <conditionalFormatting sqref="E70:E111">
    <cfRule type="cellIs" dxfId="6" priority="5" operator="lessThanOrEqual">
      <formula>0.8</formula>
    </cfRule>
  </conditionalFormatting>
  <conditionalFormatting sqref="E116:E145">
    <cfRule type="cellIs" dxfId="5" priority="8" operator="lessThanOrEqual">
      <formula>0.81</formula>
    </cfRule>
  </conditionalFormatting>
  <conditionalFormatting sqref="E149:E178">
    <cfRule type="cellIs" dxfId="4" priority="6" operator="lessThanOrEqual">
      <formula>0.81</formula>
    </cfRule>
  </conditionalFormatting>
  <conditionalFormatting sqref="E182:E211">
    <cfRule type="cellIs" dxfId="3" priority="4" operator="lessThanOrEqual">
      <formula>0.8</formula>
    </cfRule>
  </conditionalFormatting>
  <conditionalFormatting sqref="E216:E265">
    <cfRule type="cellIs" dxfId="2" priority="2" operator="lessThanOrEqual">
      <formula>0.8</formula>
    </cfRule>
  </conditionalFormatting>
  <conditionalFormatting sqref="T1:U1 S2:S1048576">
    <cfRule type="expression" dxfId="1" priority="1">
      <formula>AND(S1&lt;&gt;"",COUNTIF($S:$S,S1)&gt;1)</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295FA-F0B5-4EED-88D3-552CBE653B08}">
  <dimension ref="A1:AI14"/>
  <sheetViews>
    <sheetView topLeftCell="A4" workbookViewId="0">
      <selection activeCell="D26" sqref="D26"/>
    </sheetView>
  </sheetViews>
  <sheetFormatPr defaultRowHeight="14.4" x14ac:dyDescent="0.3"/>
  <cols>
    <col min="5" max="5" width="17.44140625" bestFit="1" customWidth="1"/>
    <col min="6" max="6" width="13.44140625" bestFit="1" customWidth="1"/>
    <col min="7" max="8" width="12.5546875" customWidth="1"/>
    <col min="11" max="11" width="33.5546875" bestFit="1" customWidth="1"/>
    <col min="12" max="13" width="11.44140625" customWidth="1"/>
    <col min="16" max="16" width="11.44140625" bestFit="1" customWidth="1"/>
    <col min="19" max="19" width="37" bestFit="1" customWidth="1"/>
  </cols>
  <sheetData>
    <row r="1" spans="1:35" s="20" customFormat="1" ht="15" thickBot="1" x14ac:dyDescent="0.35"/>
    <row r="2" spans="1:35" ht="15.6" thickTop="1" thickBot="1" x14ac:dyDescent="0.35">
      <c r="A2" s="20"/>
      <c r="B2" s="43"/>
      <c r="C2" s="44"/>
      <c r="D2" s="44"/>
      <c r="E2" s="44"/>
      <c r="F2" s="44"/>
      <c r="G2" s="44"/>
      <c r="H2" s="44"/>
      <c r="I2" s="44"/>
      <c r="J2" s="44"/>
      <c r="K2" s="44"/>
      <c r="L2" s="44"/>
      <c r="M2" s="44"/>
      <c r="N2" s="44"/>
      <c r="O2" s="44"/>
      <c r="P2" s="44"/>
      <c r="Q2" s="44"/>
      <c r="R2" s="44"/>
      <c r="S2" s="44"/>
      <c r="T2" s="45"/>
      <c r="V2" s="20"/>
      <c r="W2" s="20"/>
      <c r="X2" s="20"/>
      <c r="Y2" s="20"/>
      <c r="Z2" s="20"/>
      <c r="AA2" s="20"/>
      <c r="AB2" s="20"/>
      <c r="AC2" s="20"/>
      <c r="AD2" s="20"/>
      <c r="AE2" s="20"/>
      <c r="AF2" s="20"/>
      <c r="AG2" s="20"/>
      <c r="AH2" s="20"/>
      <c r="AI2" s="20"/>
    </row>
    <row r="3" spans="1:35" ht="61.8" thickTop="1" x14ac:dyDescent="1.1000000000000001">
      <c r="A3" s="20"/>
      <c r="B3" s="36"/>
      <c r="C3" s="1584" t="s">
        <v>45</v>
      </c>
      <c r="D3" s="1585"/>
      <c r="E3" s="1585"/>
      <c r="F3" s="1585"/>
      <c r="G3" s="1585"/>
      <c r="H3" s="1585"/>
      <c r="I3" s="1585"/>
      <c r="J3" s="1585"/>
      <c r="K3" s="1585"/>
      <c r="L3" s="1585"/>
      <c r="M3" s="1585"/>
      <c r="N3" s="1585"/>
      <c r="O3" s="1585"/>
      <c r="P3" s="1585"/>
      <c r="Q3" s="1585"/>
      <c r="R3" s="1585"/>
      <c r="S3" s="46"/>
      <c r="T3" s="27"/>
      <c r="U3" s="20"/>
      <c r="V3" s="20"/>
      <c r="W3" s="20"/>
      <c r="X3" s="20"/>
      <c r="Y3" s="20"/>
      <c r="Z3" s="20"/>
      <c r="AA3" s="20"/>
      <c r="AB3" s="20"/>
      <c r="AC3" s="20"/>
      <c r="AD3" s="20"/>
      <c r="AE3" s="20"/>
      <c r="AF3" s="20"/>
      <c r="AG3" s="20"/>
      <c r="AH3" s="20"/>
      <c r="AI3" s="20"/>
    </row>
    <row r="4" spans="1:35" ht="16.2" thickBot="1" x14ac:dyDescent="0.35">
      <c r="A4" s="20"/>
      <c r="B4" s="37"/>
      <c r="C4" s="1586" t="s">
        <v>46</v>
      </c>
      <c r="D4" s="1587"/>
      <c r="E4" s="1587"/>
      <c r="F4" s="1587"/>
      <c r="G4" s="1587"/>
      <c r="H4" s="1587"/>
      <c r="I4" s="1587"/>
      <c r="J4" s="1587"/>
      <c r="K4" s="1587"/>
      <c r="L4" s="1587"/>
      <c r="M4" s="1587"/>
      <c r="N4" s="1587"/>
      <c r="O4" s="1587"/>
      <c r="P4" s="1587"/>
      <c r="Q4" s="1587"/>
      <c r="R4" s="1587"/>
      <c r="S4" s="1588"/>
      <c r="T4" s="33"/>
      <c r="U4" s="20"/>
      <c r="V4" s="20"/>
      <c r="W4" s="20"/>
      <c r="X4" s="20"/>
      <c r="Y4" s="20"/>
      <c r="Z4" s="20"/>
      <c r="AA4" s="20"/>
      <c r="AB4" s="20"/>
      <c r="AC4" s="20"/>
      <c r="AD4" s="20"/>
      <c r="AE4" s="20"/>
      <c r="AF4" s="20"/>
      <c r="AG4" s="20"/>
      <c r="AH4" s="20"/>
      <c r="AI4" s="20"/>
    </row>
    <row r="5" spans="1:35" ht="15" thickTop="1" x14ac:dyDescent="0.3">
      <c r="A5" s="20"/>
      <c r="B5" s="36"/>
      <c r="C5" s="47"/>
      <c r="D5" s="47"/>
      <c r="E5" s="47"/>
      <c r="F5" s="47"/>
      <c r="G5" s="47"/>
      <c r="H5" s="47"/>
      <c r="I5" s="47"/>
      <c r="J5" s="47"/>
      <c r="K5" s="47"/>
      <c r="L5" s="47"/>
      <c r="M5" s="47"/>
      <c r="N5" s="47"/>
      <c r="O5" s="47"/>
      <c r="P5" s="47"/>
      <c r="Q5" s="47"/>
      <c r="R5" s="47"/>
      <c r="S5" s="47"/>
      <c r="T5" s="27"/>
      <c r="U5" s="20"/>
      <c r="V5" s="20"/>
      <c r="W5" s="20"/>
      <c r="X5" s="20"/>
      <c r="Y5" s="20"/>
      <c r="Z5" s="20"/>
      <c r="AA5" s="20"/>
      <c r="AB5" s="20"/>
      <c r="AC5" s="20"/>
      <c r="AD5" s="20"/>
      <c r="AE5" s="20"/>
      <c r="AF5" s="20"/>
      <c r="AG5" s="20"/>
      <c r="AH5" s="20"/>
      <c r="AI5" s="20"/>
    </row>
    <row r="6" spans="1:35" x14ac:dyDescent="0.3">
      <c r="A6" s="20"/>
      <c r="B6" s="36"/>
      <c r="C6" s="2237" t="s">
        <v>2720</v>
      </c>
      <c r="D6" s="2237"/>
      <c r="E6" s="480" t="s">
        <v>96</v>
      </c>
      <c r="F6" s="478" t="s">
        <v>50</v>
      </c>
      <c r="G6" s="1589" t="s">
        <v>100</v>
      </c>
      <c r="H6" s="1589"/>
      <c r="I6" s="1687" t="s">
        <v>102</v>
      </c>
      <c r="J6" s="1688"/>
      <c r="K6" s="891" t="s">
        <v>2721</v>
      </c>
      <c r="L6" s="1590" t="s">
        <v>54</v>
      </c>
      <c r="M6" s="1590"/>
      <c r="N6" s="1590" t="s">
        <v>55</v>
      </c>
      <c r="O6" s="1591"/>
      <c r="P6" s="1592" t="s">
        <v>56</v>
      </c>
      <c r="Q6" s="1593"/>
      <c r="R6" s="1593"/>
      <c r="S6" s="1594"/>
      <c r="T6" s="27"/>
      <c r="U6" s="20"/>
      <c r="V6" s="20"/>
      <c r="W6" s="20"/>
      <c r="X6" s="20"/>
      <c r="Y6" s="20"/>
      <c r="Z6" s="20"/>
      <c r="AA6" s="20"/>
      <c r="AB6" s="20"/>
      <c r="AC6" s="20"/>
      <c r="AD6" s="20"/>
      <c r="AE6" s="20"/>
      <c r="AF6" s="20"/>
      <c r="AG6" s="20"/>
      <c r="AH6" s="20"/>
      <c r="AI6" s="20"/>
    </row>
    <row r="7" spans="1:35" ht="33.6" x14ac:dyDescent="0.3">
      <c r="A7" s="20"/>
      <c r="B7" s="36"/>
      <c r="C7" s="2487"/>
      <c r="D7" s="2488"/>
      <c r="E7" s="2493"/>
      <c r="F7" s="2496"/>
      <c r="G7" s="2499"/>
      <c r="H7" s="1617"/>
      <c r="I7" s="1634"/>
      <c r="J7" s="2502"/>
      <c r="K7" s="892"/>
      <c r="L7" s="1622"/>
      <c r="M7" s="1623"/>
      <c r="N7" s="1604"/>
      <c r="O7" s="1605"/>
      <c r="P7" s="766"/>
      <c r="Q7" s="1610"/>
      <c r="R7" s="1611"/>
      <c r="S7" s="768"/>
      <c r="T7" s="27"/>
      <c r="U7" s="20"/>
      <c r="V7" s="20"/>
      <c r="W7" s="20"/>
      <c r="X7" s="20"/>
      <c r="Y7" s="20"/>
      <c r="Z7" s="20"/>
      <c r="AA7" s="20"/>
      <c r="AB7" s="20"/>
      <c r="AC7" s="20"/>
      <c r="AD7" s="20"/>
      <c r="AE7" s="20"/>
      <c r="AF7" s="20"/>
      <c r="AG7" s="20"/>
      <c r="AH7" s="20"/>
      <c r="AI7" s="20"/>
    </row>
    <row r="8" spans="1:35" ht="33.6" x14ac:dyDescent="0.3">
      <c r="A8" s="20"/>
      <c r="B8" s="36"/>
      <c r="C8" s="2489"/>
      <c r="D8" s="2490"/>
      <c r="E8" s="2494"/>
      <c r="F8" s="2497"/>
      <c r="G8" s="2500"/>
      <c r="H8" s="1619"/>
      <c r="I8" s="1635"/>
      <c r="J8" s="2503"/>
      <c r="K8" s="892"/>
      <c r="L8" s="1624"/>
      <c r="M8" s="1625"/>
      <c r="N8" s="1606"/>
      <c r="O8" s="1607"/>
      <c r="P8" s="767"/>
      <c r="Q8" s="1612"/>
      <c r="R8" s="1613"/>
      <c r="S8" s="769"/>
      <c r="T8" s="27"/>
      <c r="U8" s="20"/>
      <c r="V8" s="20"/>
      <c r="W8" s="20"/>
      <c r="X8" s="20"/>
      <c r="Y8" s="20"/>
      <c r="Z8" s="20"/>
      <c r="AA8" s="20"/>
      <c r="AB8" s="20"/>
      <c r="AC8" s="20"/>
      <c r="AD8" s="20"/>
      <c r="AE8" s="20"/>
      <c r="AF8" s="20"/>
      <c r="AG8" s="20"/>
      <c r="AH8" s="20"/>
      <c r="AI8" s="20"/>
    </row>
    <row r="9" spans="1:35" ht="33.6" x14ac:dyDescent="0.3">
      <c r="A9" s="20"/>
      <c r="B9" s="36"/>
      <c r="C9" s="2491"/>
      <c r="D9" s="2492"/>
      <c r="E9" s="2495"/>
      <c r="F9" s="2498"/>
      <c r="G9" s="2501"/>
      <c r="H9" s="1621"/>
      <c r="I9" s="1636"/>
      <c r="J9" s="2504"/>
      <c r="K9" s="892"/>
      <c r="L9" s="1626"/>
      <c r="M9" s="1627"/>
      <c r="N9" s="1608"/>
      <c r="O9" s="1609"/>
      <c r="P9" s="766"/>
      <c r="Q9" s="1614"/>
      <c r="R9" s="1615"/>
      <c r="S9" s="768"/>
      <c r="T9" s="27"/>
      <c r="U9" s="20"/>
      <c r="V9" s="20"/>
      <c r="W9" s="20"/>
      <c r="X9" s="20"/>
      <c r="Y9" s="20"/>
      <c r="Z9" s="20"/>
      <c r="AA9" s="20"/>
      <c r="AB9" s="20"/>
      <c r="AC9" s="20"/>
      <c r="AD9" s="20"/>
      <c r="AE9" s="20"/>
      <c r="AF9" s="20"/>
      <c r="AG9" s="20"/>
      <c r="AH9" s="20"/>
      <c r="AI9" s="20"/>
    </row>
    <row r="10" spans="1:35" x14ac:dyDescent="0.3">
      <c r="A10" s="20"/>
      <c r="B10" s="36"/>
      <c r="C10" s="47"/>
      <c r="D10" s="47"/>
      <c r="E10" s="47"/>
      <c r="F10" s="47"/>
      <c r="G10" s="47"/>
      <c r="H10" s="47"/>
      <c r="I10" s="47"/>
      <c r="J10" s="47"/>
      <c r="K10" s="47"/>
      <c r="L10" s="47"/>
      <c r="M10" s="47"/>
      <c r="N10" s="47"/>
      <c r="O10" s="47"/>
      <c r="P10" s="47"/>
      <c r="Q10" s="47"/>
      <c r="R10" s="47"/>
      <c r="S10" s="47"/>
      <c r="T10" s="27"/>
      <c r="U10" s="20"/>
      <c r="V10" s="20"/>
      <c r="W10" s="20"/>
      <c r="X10" s="20"/>
      <c r="Y10" s="20"/>
      <c r="Z10" s="20"/>
      <c r="AA10" s="20"/>
      <c r="AB10" s="20"/>
      <c r="AC10" s="20"/>
      <c r="AD10" s="20"/>
      <c r="AE10" s="20"/>
      <c r="AF10" s="20"/>
      <c r="AG10" s="20"/>
      <c r="AH10" s="20"/>
      <c r="AI10" s="20"/>
    </row>
    <row r="13" spans="1:35" x14ac:dyDescent="0.3">
      <c r="E13" t="s">
        <v>2722</v>
      </c>
    </row>
    <row r="14" spans="1:35" x14ac:dyDescent="0.3">
      <c r="E14" t="s">
        <v>2723</v>
      </c>
    </row>
  </sheetData>
  <mergeCells count="18">
    <mergeCell ref="N7:O9"/>
    <mergeCell ref="Q7:R7"/>
    <mergeCell ref="Q8:R8"/>
    <mergeCell ref="Q9:R9"/>
    <mergeCell ref="C7:D9"/>
    <mergeCell ref="E7:E9"/>
    <mergeCell ref="F7:F9"/>
    <mergeCell ref="G7:H9"/>
    <mergeCell ref="I7:J9"/>
    <mergeCell ref="L7:M9"/>
    <mergeCell ref="C3:R3"/>
    <mergeCell ref="C4:S4"/>
    <mergeCell ref="C6:D6"/>
    <mergeCell ref="G6:H6"/>
    <mergeCell ref="I6:J6"/>
    <mergeCell ref="L6:M6"/>
    <mergeCell ref="N6:O6"/>
    <mergeCell ref="P6:S6"/>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D4FD3E39-7332-474E-AE81-CEBCFE984A05}">
            <x14:iconSet iconSet="3Stars">
              <x14:cfvo type="percent">
                <xm:f>0</xm:f>
              </x14:cfvo>
              <x14:cfvo type="percent">
                <xm:f>33</xm:f>
              </x14:cfvo>
              <x14:cfvo type="percent">
                <xm:f>67</xm:f>
              </x14:cfvo>
            </x14:iconSet>
          </x14:cfRule>
          <xm:sqref>P7:P9</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0B71B-2F8E-4E2A-BA7B-7486774F5123}">
  <dimension ref="A1:D201"/>
  <sheetViews>
    <sheetView workbookViewId="0">
      <selection activeCell="A2" sqref="A2"/>
    </sheetView>
  </sheetViews>
  <sheetFormatPr defaultRowHeight="14.4" x14ac:dyDescent="0.3"/>
  <cols>
    <col min="1" max="1" width="3.5546875" bestFit="1" customWidth="1"/>
    <col min="2" max="2" width="27.44140625" style="224" bestFit="1" customWidth="1"/>
    <col min="3" max="3" width="58.44140625" bestFit="1" customWidth="1"/>
    <col min="4" max="4" width="12" bestFit="1" customWidth="1"/>
  </cols>
  <sheetData>
    <row r="1" spans="1:4" x14ac:dyDescent="0.3">
      <c r="A1" t="s">
        <v>2724</v>
      </c>
      <c r="B1" s="224" t="s">
        <v>2725</v>
      </c>
      <c r="C1" t="s">
        <v>2712</v>
      </c>
      <c r="D1" t="s">
        <v>78</v>
      </c>
    </row>
    <row r="2" spans="1:4" x14ac:dyDescent="0.3">
      <c r="A2" cm="1">
        <f t="array" ref="A2:A201">_xlfn.SEQUENCE(200)</f>
        <v>1</v>
      </c>
      <c r="B2" s="224">
        <f ca="1">MAX(Pareto!W:W)</f>
        <v>1154706.2400000002</v>
      </c>
      <c r="C2" t="str">
        <f ca="1">_xlfn.XLOOKUP(B2,Pareto!W:W,Pareto!S:S)</f>
        <v>Negociação de preços materiais carcaça Dana</v>
      </c>
      <c r="D2" t="str">
        <f ca="1">_xlfn.XLOOKUP(C2,Pareto!S:S,Pareto!T:T)</f>
        <v>Compras</v>
      </c>
    </row>
    <row r="3" spans="1:4" x14ac:dyDescent="0.3">
      <c r="A3">
        <v>2</v>
      </c>
      <c r="B3" s="224">
        <f ca="1">IFERROR(LARGE(Pareto!W:W,A3)," ")</f>
        <v>933084</v>
      </c>
      <c r="C3" t="str">
        <f ca="1">_xlfn.XLOOKUP(B3,Pareto!W:W,Pareto!S:S)</f>
        <v>07- Reestruturação</v>
      </c>
      <c r="D3" t="str">
        <f ca="1">_xlfn.XLOOKUP(C3,Pareto!S:S,Pareto!T:T)</f>
        <v>São leopoldo</v>
      </c>
    </row>
    <row r="4" spans="1:4" x14ac:dyDescent="0.3">
      <c r="A4">
        <v>3</v>
      </c>
      <c r="B4" s="224">
        <f ca="1">IFERROR(LARGE(Pareto!W:W,A4)," ")</f>
        <v>525129.73</v>
      </c>
      <c r="C4" t="str">
        <f ca="1">_xlfn.XLOOKUP(B4,Pareto!W:W,Pareto!S:S)</f>
        <v xml:space="preserve">03 - Consumo de desmoldante </v>
      </c>
      <c r="D4" t="str">
        <f ca="1">_xlfn.XLOOKUP(C4,Pareto!S:S,Pareto!T:T)</f>
        <v>Ferraz</v>
      </c>
    </row>
    <row r="5" spans="1:4" x14ac:dyDescent="0.3">
      <c r="A5">
        <v>4</v>
      </c>
      <c r="B5" s="224">
        <f ca="1">IFERROR(LARGE(Pareto!W:W,A5)," ")</f>
        <v>525129.73</v>
      </c>
      <c r="C5" t="str">
        <f ca="1">_xlfn.XLOOKUP(B5,Pareto!W:W,Pareto!S:S)</f>
        <v xml:space="preserve">03 - Consumo de desmoldante </v>
      </c>
      <c r="D5" t="str">
        <f ca="1">_xlfn.XLOOKUP(C5,Pareto!S:S,Pareto!T:T)</f>
        <v>Ferraz</v>
      </c>
    </row>
    <row r="6" spans="1:4" x14ac:dyDescent="0.3">
      <c r="A6">
        <v>5</v>
      </c>
      <c r="B6" s="224">
        <f ca="1">IFERROR(LARGE(Pareto!W:W,A6)," ")</f>
        <v>413825.56999999995</v>
      </c>
      <c r="C6" t="str">
        <f ca="1">_xlfn.XLOOKUP(B6,Pareto!W:W,Pareto!S:S)</f>
        <v xml:space="preserve">07 - Consumo de gás </v>
      </c>
      <c r="D6" t="str">
        <f ca="1">_xlfn.XLOOKUP(C6,Pareto!S:S,Pareto!T:T)</f>
        <v>Ferraz</v>
      </c>
    </row>
    <row r="7" spans="1:4" x14ac:dyDescent="0.3">
      <c r="A7">
        <v>6</v>
      </c>
      <c r="B7" s="224">
        <f ca="1">IFERROR(LARGE(Pareto!W:W,A7)," ")</f>
        <v>390000</v>
      </c>
      <c r="C7" t="str">
        <f ca="1">_xlfn.XLOOKUP(B7,Pareto!W:W,Pareto!S:S)</f>
        <v>36 - Venda Robos</v>
      </c>
      <c r="D7" t="str">
        <f ca="1">_xlfn.XLOOKUP(C7,Pareto!S:S,Pareto!T:T)</f>
        <v>Jarinu</v>
      </c>
    </row>
    <row r="8" spans="1:4" x14ac:dyDescent="0.3">
      <c r="A8">
        <v>7</v>
      </c>
      <c r="B8" s="224">
        <f ca="1">IFERROR(LARGE(Pareto!W:W,A8)," ")</f>
        <v>282888.46469920909</v>
      </c>
      <c r="C8" t="str">
        <f ca="1">_xlfn.XLOOKUP(B8,Pareto!W:W,Pareto!S:S)</f>
        <v>29 - DA000489Z_DA000490Z - STC Scania M_</v>
      </c>
      <c r="D8" t="str">
        <f ca="1">_xlfn.XLOOKUP(C8,Pareto!S:S,Pareto!T:T)</f>
        <v>Diadema</v>
      </c>
    </row>
    <row r="9" spans="1:4" x14ac:dyDescent="0.3">
      <c r="A9">
        <v>8</v>
      </c>
      <c r="B9" s="224">
        <f ca="1">IFERROR(LARGE(Pareto!W:W,A9)," ")</f>
        <v>276395.48</v>
      </c>
      <c r="C9" t="str">
        <f ca="1">_xlfn.XLOOKUP(B9,Pareto!W:W,Pareto!S:S)</f>
        <v xml:space="preserve">06 - Reaproveitamento de lixas </v>
      </c>
      <c r="D9" t="str">
        <f ca="1">_xlfn.XLOOKUP(C9,Pareto!S:S,Pareto!T:T)</f>
        <v>Ferraz</v>
      </c>
    </row>
    <row r="10" spans="1:4" x14ac:dyDescent="0.3">
      <c r="A10">
        <v>9</v>
      </c>
      <c r="B10" s="224">
        <f ca="1">IFERROR(LARGE(Pareto!W:W,A10)," ")</f>
        <v>226234.58900000001</v>
      </c>
      <c r="C10" t="str">
        <f ca="1">_xlfn.XLOOKUP(B10,Pareto!W:W,Pareto!S:S)</f>
        <v>03 - PRODUTOS QUÍMICOS KTL</v>
      </c>
      <c r="D10" t="str">
        <f ca="1">_xlfn.XLOOKUP(C10,Pareto!S:S,Pareto!T:T)</f>
        <v>Anchieta</v>
      </c>
    </row>
    <row r="11" spans="1:4" x14ac:dyDescent="0.3">
      <c r="A11">
        <v>10</v>
      </c>
      <c r="B11" s="224">
        <f ca="1">IFERROR(LARGE(Pareto!W:W,A11)," ")</f>
        <v>186458.31</v>
      </c>
      <c r="C11" t="str">
        <f ca="1">_xlfn.XLOOKUP(B11,Pareto!W:W,Pareto!S:S)</f>
        <v>01 - Redução de Refugo</v>
      </c>
      <c r="D11" t="str">
        <f ca="1">_xlfn.XLOOKUP(C11,Pareto!S:S,Pareto!T:T)</f>
        <v>São leopoldo</v>
      </c>
    </row>
    <row r="12" spans="1:4" x14ac:dyDescent="0.3">
      <c r="A12">
        <v>11</v>
      </c>
      <c r="B12" s="224">
        <f ca="1">IFERROR(LARGE(Pareto!W:W,A12)," ")</f>
        <v>105134.24000000002</v>
      </c>
      <c r="C12" t="str">
        <f ca="1">_xlfn.XLOOKUP(B12,Pareto!W:W,Pareto!S:S)</f>
        <v>14 - Consumo de EPI's</v>
      </c>
      <c r="D12" t="str">
        <f ca="1">_xlfn.XLOOKUP(C12,Pareto!S:S,Pareto!T:T)</f>
        <v>Ferraz</v>
      </c>
    </row>
    <row r="13" spans="1:4" x14ac:dyDescent="0.3">
      <c r="A13">
        <v>12</v>
      </c>
      <c r="B13" s="224">
        <f ca="1">IFERROR(LARGE(Pareto!W:W,A13)," ")</f>
        <v>84365.272032240013</v>
      </c>
      <c r="C13" t="str">
        <f ca="1">_xlfn.XLOOKUP(B13,Pareto!W:W,Pareto!S:S)</f>
        <v>01 - Redução de peso bruto DA000489A</v>
      </c>
      <c r="D13" t="str">
        <f ca="1">_xlfn.XLOOKUP(C13,Pareto!S:S,Pareto!T:T)</f>
        <v>Diadema</v>
      </c>
    </row>
    <row r="14" spans="1:4" x14ac:dyDescent="0.3">
      <c r="A14">
        <v>13</v>
      </c>
      <c r="B14" s="224">
        <f ca="1">IFERROR(LARGE(Pareto!W:W,A14)," ")</f>
        <v>76638.269723999692</v>
      </c>
      <c r="C14" t="str">
        <f ca="1">_xlfn.XLOOKUP(B14,Pareto!W:W,Pareto!S:S)</f>
        <v>45 - Redução de MP GM000409Z</v>
      </c>
      <c r="D14" t="str">
        <f ca="1">_xlfn.XLOOKUP(C14,Pareto!S:S,Pareto!T:T)</f>
        <v>Diadema</v>
      </c>
    </row>
    <row r="15" spans="1:4" x14ac:dyDescent="0.3">
      <c r="A15">
        <v>14</v>
      </c>
      <c r="B15" s="224">
        <f ca="1">IFERROR(LARGE(Pareto!W:W,A15)," ")</f>
        <v>72521</v>
      </c>
      <c r="C15" t="str">
        <f ca="1">_xlfn.XLOOKUP(B15,Pareto!W:W,Pareto!S:S)</f>
        <v>16 - Eficiência de MO na linha de Solda e Montagem</v>
      </c>
      <c r="D15" t="str">
        <f ca="1">_xlfn.XLOOKUP(C15,Pareto!S:S,Pareto!T:T)</f>
        <v>Diadema</v>
      </c>
    </row>
    <row r="16" spans="1:4" x14ac:dyDescent="0.3">
      <c r="A16">
        <v>15</v>
      </c>
      <c r="B16" s="224">
        <f ca="1">IFERROR(LARGE(Pareto!W:W,A16)," ")</f>
        <v>63944.37074916</v>
      </c>
      <c r="C16" t="str">
        <f ca="1">_xlfn.XLOOKUP(B16,Pareto!W:W,Pareto!S:S)</f>
        <v>Resourcing Hasmman para Metalac</v>
      </c>
      <c r="D16" t="str">
        <f ca="1">_xlfn.XLOOKUP(C16,Pareto!S:S,Pareto!T:T)</f>
        <v>Compras</v>
      </c>
    </row>
    <row r="17" spans="1:4" x14ac:dyDescent="0.3">
      <c r="A17">
        <v>16</v>
      </c>
      <c r="B17" s="224">
        <f ca="1">IFERROR(LARGE(Pareto!W:W,A17)," ")</f>
        <v>62700</v>
      </c>
      <c r="C17" t="str">
        <f ca="1">_xlfn.XLOOKUP(B17,Pareto!W:W,Pareto!S:S)</f>
        <v xml:space="preserve">38 - Venda de sucata </v>
      </c>
      <c r="D17" t="str">
        <f ca="1">_xlfn.XLOOKUP(C17,Pareto!S:S,Pareto!T:T)</f>
        <v>Jarinu</v>
      </c>
    </row>
    <row r="18" spans="1:4" x14ac:dyDescent="0.3">
      <c r="A18">
        <v>17</v>
      </c>
      <c r="B18" s="224">
        <f ca="1">IFERROR(LARGE(Pareto!W:W,A18)," ")</f>
        <v>51802.779346892305</v>
      </c>
      <c r="C18" t="str">
        <f ca="1">_xlfn.XLOOKUP(B18,Pareto!W:W,Pareto!S:S)</f>
        <v>26 - Redução_de_MP - DJ000059Z_DJ000060Z</v>
      </c>
      <c r="D18" t="str">
        <f ca="1">_xlfn.XLOOKUP(C18,Pareto!S:S,Pareto!T:T)</f>
        <v>Diadema</v>
      </c>
    </row>
    <row r="19" spans="1:4" x14ac:dyDescent="0.3">
      <c r="A19">
        <v>18</v>
      </c>
      <c r="B19" s="224">
        <f ca="1">IFERROR(LARGE(Pareto!W:W,A19)," ")</f>
        <v>50000</v>
      </c>
      <c r="C19" t="str">
        <f ca="1">_xlfn.XLOOKUP(B19,Pareto!W:W,Pareto!S:S)</f>
        <v>01 - VENDA DE ATIVOS</v>
      </c>
      <c r="D19" t="str">
        <f ca="1">_xlfn.XLOOKUP(C19,Pareto!S:S,Pareto!T:T)</f>
        <v>Anchieta</v>
      </c>
    </row>
    <row r="20" spans="1:4" x14ac:dyDescent="0.3">
      <c r="A20">
        <v>19</v>
      </c>
      <c r="B20" s="224">
        <f ca="1">IFERROR(LARGE(Pareto!W:W,A20)," ")</f>
        <v>46052</v>
      </c>
      <c r="C20" t="str">
        <f ca="1">_xlfn.XLOOKUP(B20,Pareto!W:W,Pareto!S:S)</f>
        <v>18 - Venda de Embalagens, ativos e sucatas</v>
      </c>
      <c r="D20" t="str">
        <f ca="1">_xlfn.XLOOKUP(C20,Pareto!S:S,Pareto!T:T)</f>
        <v>Diadema</v>
      </c>
    </row>
    <row r="21" spans="1:4" x14ac:dyDescent="0.3">
      <c r="A21">
        <v>20</v>
      </c>
      <c r="B21" s="224">
        <f ca="1">IFERROR(LARGE(Pareto!W:W,A21)," ")</f>
        <v>45098</v>
      </c>
      <c r="C21" t="str">
        <f ca="1">_xlfn.XLOOKUP(B21,Pareto!W:W,Pareto!S:S)</f>
        <v xml:space="preserve">17 - Consumo de água </v>
      </c>
      <c r="D21" t="str">
        <f ca="1">_xlfn.XLOOKUP(C21,Pareto!S:S,Pareto!T:T)</f>
        <v>Ferraz</v>
      </c>
    </row>
    <row r="22" spans="1:4" x14ac:dyDescent="0.3">
      <c r="A22">
        <v>21</v>
      </c>
      <c r="B22" s="224">
        <f ca="1">IFERROR(LARGE(Pareto!W:W,A22)," ")</f>
        <v>42066.009999999995</v>
      </c>
      <c r="C22" t="str">
        <f ca="1">_xlfn.XLOOKUP(B22,Pareto!W:W,Pareto!S:S)</f>
        <v>10 - CONSUMO PERNA DE MOÇA</v>
      </c>
      <c r="D22" t="str">
        <f ca="1">_xlfn.XLOOKUP(C22,Pareto!S:S,Pareto!T:T)</f>
        <v>Anchieta</v>
      </c>
    </row>
    <row r="23" spans="1:4" x14ac:dyDescent="0.3">
      <c r="A23">
        <v>22</v>
      </c>
      <c r="B23" s="224">
        <f ca="1">IFERROR(LARGE(Pareto!W:W,A23)," ")</f>
        <v>40335.03043738514</v>
      </c>
      <c r="C23" t="str">
        <f ca="1">_xlfn.XLOOKUP(B23,Pareto!W:W,Pareto!S:S)</f>
        <v>31 - Comunização da chapa CHQ0475ED12502650</v>
      </c>
      <c r="D23" t="str">
        <f ca="1">_xlfn.XLOOKUP(C23,Pareto!S:S,Pareto!T:T)</f>
        <v>Diadema</v>
      </c>
    </row>
    <row r="24" spans="1:4" x14ac:dyDescent="0.3">
      <c r="A24">
        <v>23</v>
      </c>
      <c r="B24" s="224">
        <f ca="1">IFERROR(LARGE(Pareto!W:W,A24)," ")</f>
        <v>37746.6</v>
      </c>
      <c r="C24" t="str">
        <f ca="1">_xlfn.XLOOKUP(B24,Pareto!W:W,Pareto!S:S)</f>
        <v>12 - Aproveitamento de peças Obsoletas - A9583176540</v>
      </c>
      <c r="D24" t="str">
        <f ca="1">_xlfn.XLOOKUP(C24,Pareto!S:S,Pareto!T:T)</f>
        <v>Diadema</v>
      </c>
    </row>
    <row r="25" spans="1:4" x14ac:dyDescent="0.3">
      <c r="A25">
        <v>24</v>
      </c>
      <c r="B25" s="224">
        <f ca="1">IFERROR(LARGE(Pareto!W:W,A25)," ")</f>
        <v>35000</v>
      </c>
      <c r="C25" t="str">
        <f ca="1">_xlfn.XLOOKUP(B25,Pareto!W:W,Pareto!S:S)</f>
        <v>42 - Aluguel de Compressor</v>
      </c>
      <c r="D25" t="str">
        <f ca="1">_xlfn.XLOOKUP(C25,Pareto!S:S,Pareto!T:T)</f>
        <v>Diadema</v>
      </c>
    </row>
    <row r="26" spans="1:4" x14ac:dyDescent="0.3">
      <c r="A26">
        <v>25</v>
      </c>
      <c r="B26" s="224">
        <f ca="1">IFERROR(LARGE(Pareto!W:W,A26)," ")</f>
        <v>31364.078207856248</v>
      </c>
      <c r="C26" t="str">
        <f ca="1">_xlfn.XLOOKUP(B26,Pareto!W:W,Pareto!S:S)</f>
        <v>14 - REDUÇÃO DE MP DA000518Z (Anchieta) Código DD - VB000324Z</v>
      </c>
      <c r="D26" t="str">
        <f ca="1">_xlfn.XLOOKUP(C26,Pareto!S:S,Pareto!T:T)</f>
        <v>Diadema</v>
      </c>
    </row>
    <row r="27" spans="1:4" x14ac:dyDescent="0.3">
      <c r="A27">
        <v>26</v>
      </c>
      <c r="B27" s="224">
        <f ca="1">IFERROR(LARGE(Pareto!W:W,A27)," ")</f>
        <v>28959.052121999986</v>
      </c>
      <c r="C27" t="str">
        <f ca="1">_xlfn.XLOOKUP(B27,Pareto!W:W,Pareto!S:S)</f>
        <v>44 - Mudança de fonte Usiminas para Arcelor</v>
      </c>
      <c r="D27" t="str">
        <f ca="1">_xlfn.XLOOKUP(C27,Pareto!S:S,Pareto!T:T)</f>
        <v>Diadema</v>
      </c>
    </row>
    <row r="28" spans="1:4" x14ac:dyDescent="0.3">
      <c r="A28">
        <v>27</v>
      </c>
      <c r="B28" s="224">
        <f ca="1">IFERROR(LARGE(Pareto!W:W,A28)," ")</f>
        <v>27146.623922454113</v>
      </c>
      <c r="C28" t="str">
        <f ca="1">_xlfn.XLOOKUP(B28,Pareto!W:W,Pareto!S:S)</f>
        <v>57 - AlmaCAM_Redução de Peso</v>
      </c>
      <c r="D28" t="str">
        <f ca="1">_xlfn.XLOOKUP(C28,Pareto!S:S,Pareto!T:T)</f>
        <v>Diadema</v>
      </c>
    </row>
    <row r="29" spans="1:4" x14ac:dyDescent="0.3">
      <c r="A29">
        <v>28</v>
      </c>
      <c r="B29" s="224">
        <f ca="1">IFERROR(LARGE(Pareto!W:W,A29)," ")</f>
        <v>25732.162500000013</v>
      </c>
      <c r="C29" t="str">
        <f ca="1">_xlfn.XLOOKUP(B29,Pareto!W:W,Pareto!S:S)</f>
        <v>05 - Empilhadeira - Diadema</v>
      </c>
      <c r="D29" t="str">
        <f ca="1">_xlfn.XLOOKUP(C29,Pareto!S:S,Pareto!T:T)</f>
        <v>Diadema</v>
      </c>
    </row>
    <row r="30" spans="1:4" x14ac:dyDescent="0.3">
      <c r="A30">
        <v>29</v>
      </c>
      <c r="B30" s="224">
        <f ca="1">IFERROR(LARGE(Pareto!W:W,A30)," ")</f>
        <v>24738.13075764</v>
      </c>
      <c r="C30" t="str">
        <f ca="1">_xlfn.XLOOKUP(B30,Pareto!W:W,Pareto!S:S)</f>
        <v>Redução MP Viga Banana</v>
      </c>
      <c r="D30" t="str">
        <f ca="1">_xlfn.XLOOKUP(C30,Pareto!S:S,Pareto!T:T)</f>
        <v>Compras</v>
      </c>
    </row>
    <row r="31" spans="1:4" x14ac:dyDescent="0.3">
      <c r="A31">
        <v>30</v>
      </c>
      <c r="B31" s="224">
        <f ca="1">IFERROR(LARGE(Pareto!W:W,A31)," ")</f>
        <v>23795.34</v>
      </c>
      <c r="C31" t="str">
        <f ca="1">_xlfn.XLOOKUP(B31,Pareto!W:W,Pareto!S:S)</f>
        <v>13- Redução do custo mensal de empilhadeira locada (LOCAPEX).</v>
      </c>
      <c r="D31" t="str">
        <f ca="1">_xlfn.XLOOKUP(C31,Pareto!S:S,Pareto!T:T)</f>
        <v>São leopoldo</v>
      </c>
    </row>
    <row r="32" spans="1:4" x14ac:dyDescent="0.3">
      <c r="A32">
        <v>31</v>
      </c>
      <c r="B32" s="224">
        <f ca="1">IFERROR(LARGE(Pareto!W:W,A32)," ")</f>
        <v>23365.017324000008</v>
      </c>
      <c r="C32" t="str">
        <f ca="1">_xlfn.XLOOKUP(B32,Pareto!W:W,Pareto!S:S)</f>
        <v>41 - Redução de Peso Bruto do item SV001141LA</v>
      </c>
      <c r="D32" t="str">
        <f ca="1">_xlfn.XLOOKUP(C32,Pareto!S:S,Pareto!T:T)</f>
        <v>Diadema</v>
      </c>
    </row>
    <row r="33" spans="1:4" x14ac:dyDescent="0.3">
      <c r="A33">
        <v>32</v>
      </c>
      <c r="B33" s="224">
        <f ca="1">IFERROR(LARGE(Pareto!W:W,A33)," ")</f>
        <v>20341.199999999997</v>
      </c>
      <c r="C33" t="str">
        <f ca="1">_xlfn.XLOOKUP(B33,Pareto!W:W,Pareto!S:S)</f>
        <v>05 - Acabamento capo CN13</v>
      </c>
      <c r="D33" t="str">
        <f ca="1">_xlfn.XLOOKUP(C33,Pareto!S:S,Pareto!T:T)</f>
        <v>São leopoldo</v>
      </c>
    </row>
    <row r="34" spans="1:4" x14ac:dyDescent="0.3">
      <c r="A34">
        <v>33</v>
      </c>
      <c r="B34" s="224">
        <f ca="1">IFERROR(LARGE(Pareto!W:W,A34)," ")</f>
        <v>19738.14</v>
      </c>
      <c r="C34" t="str">
        <f ca="1">_xlfn.XLOOKUP(B34,Pareto!W:W,Pareto!S:S)</f>
        <v>Mudança de Modalidade Gerador Anchieta</v>
      </c>
      <c r="D34" t="str">
        <f ca="1">_xlfn.XLOOKUP(C34,Pareto!S:S,Pareto!T:T)</f>
        <v>Compras</v>
      </c>
    </row>
    <row r="35" spans="1:4" x14ac:dyDescent="0.3">
      <c r="A35">
        <v>34</v>
      </c>
      <c r="B35" s="224">
        <f ca="1">IFERROR(LARGE(Pareto!W:W,A35)," ")</f>
        <v>18873.367845683777</v>
      </c>
      <c r="C35" t="str">
        <f ca="1">_xlfn.XLOOKUP(B35,Pareto!W:W,Pareto!S:S)</f>
        <v>21 - Kaizen_Redução de peso bruto MB003537LA_MB003538LA</v>
      </c>
      <c r="D35" t="str">
        <f ca="1">_xlfn.XLOOKUP(C35,Pareto!S:S,Pareto!T:T)</f>
        <v>Diadema</v>
      </c>
    </row>
    <row r="36" spans="1:4" x14ac:dyDescent="0.3">
      <c r="A36">
        <v>35</v>
      </c>
      <c r="B36" s="224">
        <f ca="1">IFERROR(LARGE(Pareto!W:W,A36)," ")</f>
        <v>17242</v>
      </c>
      <c r="C36" t="str">
        <f ca="1">_xlfn.XLOOKUP(B36,Pareto!W:W,Pareto!S:S)</f>
        <v>06 - Produtividade</v>
      </c>
      <c r="D36" t="str">
        <f ca="1">_xlfn.XLOOKUP(C36,Pareto!S:S,Pareto!T:T)</f>
        <v>Diadema</v>
      </c>
    </row>
    <row r="37" spans="1:4" x14ac:dyDescent="0.3">
      <c r="A37">
        <v>36</v>
      </c>
      <c r="B37" s="224">
        <f ca="1">IFERROR(LARGE(Pareto!W:W,A37)," ")</f>
        <v>17091.616335776573</v>
      </c>
      <c r="C37" t="str">
        <f ca="1">_xlfn.XLOOKUP(B37,Pareto!W:W,Pareto!S:S)</f>
        <v>17 - MB003537LB_MB003538LB</v>
      </c>
      <c r="D37" t="str">
        <f ca="1">_xlfn.XLOOKUP(C37,Pareto!S:S,Pareto!T:T)</f>
        <v>Diadema</v>
      </c>
    </row>
    <row r="38" spans="1:4" x14ac:dyDescent="0.3">
      <c r="A38">
        <v>37</v>
      </c>
      <c r="B38" s="224">
        <f ca="1">IFERROR(LARGE(Pareto!W:W,A38)," ")</f>
        <v>12498.573232819546</v>
      </c>
      <c r="C38" t="str">
        <f ca="1">_xlfn.XLOOKUP(B38,Pareto!W:W,Pareto!S:S)</f>
        <v>52 - Redução de MP - GM000458Z / GM000459Z</v>
      </c>
      <c r="D38" t="str">
        <f ca="1">_xlfn.XLOOKUP(C38,Pareto!S:S,Pareto!T:T)</f>
        <v>Diadema</v>
      </c>
    </row>
    <row r="39" spans="1:4" x14ac:dyDescent="0.3">
      <c r="A39">
        <v>38</v>
      </c>
      <c r="B39" s="224">
        <f ca="1">IFERROR(LARGE(Pareto!W:W,A39)," ")</f>
        <v>12258.22</v>
      </c>
      <c r="C39" t="str">
        <f ca="1">_xlfn.XLOOKUP(B39,Pareto!W:W,Pareto!S:S)</f>
        <v>04 - GÁS</v>
      </c>
      <c r="D39" t="str">
        <f ca="1">_xlfn.XLOOKUP(C39,Pareto!S:S,Pareto!T:T)</f>
        <v>Anchieta</v>
      </c>
    </row>
    <row r="40" spans="1:4" x14ac:dyDescent="0.3">
      <c r="A40">
        <v>39</v>
      </c>
      <c r="B40" s="224">
        <f ca="1">IFERROR(LARGE(Pareto!W:W,A40)," ")</f>
        <v>11274.224968243983</v>
      </c>
      <c r="C40" t="str">
        <f ca="1">_xlfn.XLOOKUP(B40,Pareto!W:W,Pareto!S:S)</f>
        <v>51 - Redução de MP - GM000402Z_403Z_Passo</v>
      </c>
      <c r="D40" t="str">
        <f ca="1">_xlfn.XLOOKUP(C40,Pareto!S:S,Pareto!T:T)</f>
        <v>Diadema</v>
      </c>
    </row>
    <row r="41" spans="1:4" x14ac:dyDescent="0.3">
      <c r="A41">
        <v>40</v>
      </c>
      <c r="B41" s="224">
        <f ca="1">IFERROR(LARGE(Pareto!W:W,A41)," ")</f>
        <v>11219.737999999988</v>
      </c>
      <c r="C41" t="str">
        <f ca="1">_xlfn.XLOOKUP(B41,Pareto!W:W,Pareto!S:S)</f>
        <v>27 - DA000459AA - STC Volvo_</v>
      </c>
      <c r="D41" t="str">
        <f ca="1">_xlfn.XLOOKUP(C41,Pareto!S:S,Pareto!T:T)</f>
        <v>Diadema</v>
      </c>
    </row>
    <row r="42" spans="1:4" x14ac:dyDescent="0.3">
      <c r="A42">
        <v>41</v>
      </c>
      <c r="B42" s="224">
        <f ca="1">IFERROR(LARGE(Pareto!W:W,A42)," ")</f>
        <v>11080.218600000006</v>
      </c>
      <c r="C42" t="str">
        <f ca="1">_xlfn.XLOOKUP(B42,Pareto!W:W,Pareto!S:S)</f>
        <v>08 - Redução de peso bruto MB002446LA / MB003670LA / MB003671LA</v>
      </c>
      <c r="D42" t="str">
        <f ca="1">_xlfn.XLOOKUP(C42,Pareto!S:S,Pareto!T:T)</f>
        <v>Diadema</v>
      </c>
    </row>
    <row r="43" spans="1:4" x14ac:dyDescent="0.3">
      <c r="A43">
        <v>42</v>
      </c>
      <c r="B43" s="224">
        <f ca="1">IFERROR(LARGE(Pareto!W:W,A43)," ")</f>
        <v>9809.1508793681278</v>
      </c>
      <c r="C43" t="str">
        <f ca="1">_xlfn.XLOOKUP(B43,Pareto!W:W,Pareto!S:S)</f>
        <v>24 - KAIZEN - Redução de peso bruto_MB002289LA_MB002290LA_Rev00_Bruno Manachini</v>
      </c>
      <c r="D43" t="str">
        <f ca="1">_xlfn.XLOOKUP(C43,Pareto!S:S,Pareto!T:T)</f>
        <v>Diadema</v>
      </c>
    </row>
    <row r="44" spans="1:4" x14ac:dyDescent="0.3">
      <c r="A44">
        <v>43</v>
      </c>
      <c r="B44" s="224">
        <f ca="1">IFERROR(LARGE(Pareto!W:W,A44)," ")</f>
        <v>7788</v>
      </c>
      <c r="C44" t="str">
        <f ca="1">_xlfn.XLOOKUP(B44,Pareto!W:W,Pareto!S:S)</f>
        <v>BID tampões pintura Anchieta</v>
      </c>
      <c r="D44" t="str">
        <f ca="1">_xlfn.XLOOKUP(C44,Pareto!S:S,Pareto!T:T)</f>
        <v>Compras</v>
      </c>
    </row>
    <row r="45" spans="1:4" x14ac:dyDescent="0.3">
      <c r="A45">
        <v>44</v>
      </c>
      <c r="B45" s="224">
        <f ca="1">IFERROR(LARGE(Pareto!W:W,A45)," ")</f>
        <v>6833.58</v>
      </c>
      <c r="C45" t="str">
        <f ca="1">_xlfn.XLOOKUP(B45,Pareto!W:W,Pareto!S:S)</f>
        <v>Negociação Porca Bollhoff 15341 Saga</v>
      </c>
      <c r="D45" t="str">
        <f ca="1">_xlfn.XLOOKUP(C45,Pareto!S:S,Pareto!T:T)</f>
        <v>Compras</v>
      </c>
    </row>
    <row r="46" spans="1:4" x14ac:dyDescent="0.3">
      <c r="A46">
        <v>45</v>
      </c>
      <c r="B46" s="224">
        <f ca="1">IFERROR(LARGE(Pareto!W:W,A46)," ")</f>
        <v>6770.261755117438</v>
      </c>
      <c r="C46" t="str">
        <f ca="1">_xlfn.XLOOKUP(B46,Pareto!W:W,Pareto!S:S)</f>
        <v>35 - Redução de Peso Bruto do item MB003597LA</v>
      </c>
      <c r="D46" t="str">
        <f ca="1">_xlfn.XLOOKUP(C46,Pareto!S:S,Pareto!T:T)</f>
        <v>Diadema</v>
      </c>
    </row>
    <row r="47" spans="1:4" x14ac:dyDescent="0.3">
      <c r="A47">
        <v>46</v>
      </c>
      <c r="B47" s="224">
        <f ca="1">IFERROR(LARGE(Pareto!W:W,A47)," ")</f>
        <v>6254.5117253472336</v>
      </c>
      <c r="C47" t="str">
        <f ca="1">_xlfn.XLOOKUP(B47,Pareto!W:W,Pareto!S:S)</f>
        <v>23 - Redução do consumo de MTP VW000938AB (- 3 mm no passo)</v>
      </c>
      <c r="D47" t="str">
        <f ca="1">_xlfn.XLOOKUP(C47,Pareto!S:S,Pareto!T:T)</f>
        <v>Jarinu</v>
      </c>
    </row>
    <row r="48" spans="1:4" x14ac:dyDescent="0.3">
      <c r="A48">
        <v>47</v>
      </c>
      <c r="B48" s="224">
        <f ca="1">IFERROR(LARGE(Pareto!W:W,A48)," ")</f>
        <v>6011.0914499999808</v>
      </c>
      <c r="C48" t="str">
        <f ca="1">_xlfn.XLOOKUP(B48,Pareto!W:W,Pareto!S:S)</f>
        <v>25 - KAIZEN - Redução de peso bruto_MB003601LA_Rev00_Bruno Manachini</v>
      </c>
      <c r="D48" t="str">
        <f ca="1">_xlfn.XLOOKUP(C48,Pareto!S:S,Pareto!T:T)</f>
        <v>Diadema</v>
      </c>
    </row>
    <row r="49" spans="1:4" x14ac:dyDescent="0.3">
      <c r="A49">
        <v>48</v>
      </c>
      <c r="B49" s="224">
        <f ca="1">IFERROR(LARGE(Pareto!W:W,A49)," ")</f>
        <v>5323.1352569422743</v>
      </c>
      <c r="C49" t="str">
        <f ca="1">_xlfn.XLOOKUP(B49,Pareto!W:W,Pareto!S:S)</f>
        <v>33 - Redução de Peso Bruto do item MB003610LA</v>
      </c>
      <c r="D49" t="str">
        <f ca="1">_xlfn.XLOOKUP(C49,Pareto!S:S,Pareto!T:T)</f>
        <v>Diadema</v>
      </c>
    </row>
    <row r="50" spans="1:4" x14ac:dyDescent="0.3">
      <c r="A50">
        <v>49</v>
      </c>
      <c r="B50" s="224">
        <f ca="1">IFERROR(LARGE(Pareto!W:W,A50)," ")</f>
        <v>4110.9371626224101</v>
      </c>
      <c r="C50" t="str">
        <f ca="1">_xlfn.XLOOKUP(B50,Pareto!W:W,Pareto!S:S)</f>
        <v>14 - Redução de consumo no passo do blank dos itens VW000950AA/951AA</v>
      </c>
      <c r="D50" t="str">
        <f ca="1">_xlfn.XLOOKUP(C50,Pareto!S:S,Pareto!T:T)</f>
        <v>Jarinu</v>
      </c>
    </row>
    <row r="51" spans="1:4" x14ac:dyDescent="0.3">
      <c r="A51">
        <v>50</v>
      </c>
      <c r="B51" s="224">
        <f ca="1">IFERROR(LARGE(Pareto!W:W,A51)," ")</f>
        <v>3614.0313599999999</v>
      </c>
      <c r="C51" t="str">
        <f ca="1">_xlfn.XLOOKUP(B51,Pareto!W:W,Pareto!S:S)</f>
        <v>56 -Redução de Peso Bruto do item SV001141LA / SV001142LA</v>
      </c>
      <c r="D51" t="str">
        <f ca="1">_xlfn.XLOOKUP(C51,Pareto!S:S,Pareto!T:T)</f>
        <v>Diadema</v>
      </c>
    </row>
    <row r="52" spans="1:4" x14ac:dyDescent="0.3">
      <c r="A52">
        <v>51</v>
      </c>
      <c r="B52" s="224">
        <f ca="1">IFERROR(LARGE(Pareto!W:W,A52)," ")</f>
        <v>2542.9240818315002</v>
      </c>
      <c r="C52" t="str">
        <f ca="1">_xlfn.XLOOKUP(B52,Pareto!W:W,Pareto!S:S)</f>
        <v>38 - Redução de Peso Bruto do item SV000205LB</v>
      </c>
      <c r="D52" t="str">
        <f ca="1">_xlfn.XLOOKUP(C52,Pareto!S:S,Pareto!T:T)</f>
        <v>Diadema</v>
      </c>
    </row>
    <row r="53" spans="1:4" x14ac:dyDescent="0.3">
      <c r="A53">
        <v>52</v>
      </c>
      <c r="B53" s="224">
        <f ca="1">IFERROR(LARGE(Pareto!W:W,A53)," ")</f>
        <v>2178.73</v>
      </c>
      <c r="C53" t="str">
        <f ca="1">_xlfn.XLOOKUP(B53,Pareto!W:W,Pareto!S:S)</f>
        <v>BID carimbos industriais</v>
      </c>
      <c r="D53" t="str">
        <f ca="1">_xlfn.XLOOKUP(C53,Pareto!S:S,Pareto!T:T)</f>
        <v>Compras</v>
      </c>
    </row>
    <row r="54" spans="1:4" x14ac:dyDescent="0.3">
      <c r="A54">
        <v>53</v>
      </c>
      <c r="B54" s="224">
        <f ca="1">IFERROR(LARGE(Pareto!W:W,A54)," ")</f>
        <v>1882.6200000000001</v>
      </c>
      <c r="C54" t="str">
        <f ca="1">_xlfn.XLOOKUP(B54,Pareto!W:W,Pareto!S:S)</f>
        <v xml:space="preserve">02 - Eficiência dos planos de corte </v>
      </c>
      <c r="D54" t="str">
        <f ca="1">_xlfn.XLOOKUP(C54,Pareto!S:S,Pareto!T:T)</f>
        <v>Ferraz</v>
      </c>
    </row>
    <row r="55" spans="1:4" x14ac:dyDescent="0.3">
      <c r="A55">
        <v>54</v>
      </c>
      <c r="B55" s="224">
        <f ca="1">IFERROR(LARGE(Pareto!W:W,A55)," ")</f>
        <v>1721.8300000000002</v>
      </c>
      <c r="C55" t="str">
        <f ca="1">_xlfn.XLOOKUP(B55,Pareto!W:W,Pareto!S:S)</f>
        <v>08 - REDUÇÃO DE CUSTO LOCAÇÃO DE PTA (12METROS)</v>
      </c>
      <c r="D55" t="str">
        <f ca="1">_xlfn.XLOOKUP(C55,Pareto!S:S,Pareto!T:T)</f>
        <v>São leopoldo</v>
      </c>
    </row>
    <row r="56" spans="1:4" x14ac:dyDescent="0.3">
      <c r="A56">
        <v>55</v>
      </c>
      <c r="B56" s="224">
        <f ca="1">IFERROR(LARGE(Pareto!W:W,A56)," ")</f>
        <v>1686.52</v>
      </c>
      <c r="C56" t="str">
        <f ca="1">_xlfn.XLOOKUP(B56,Pareto!W:W,Pareto!S:S)</f>
        <v>BID complementar punções Jarinu</v>
      </c>
      <c r="D56" t="str">
        <f ca="1">_xlfn.XLOOKUP(C56,Pareto!S:S,Pareto!T:T)</f>
        <v>Compras</v>
      </c>
    </row>
    <row r="57" spans="1:4" x14ac:dyDescent="0.3">
      <c r="A57">
        <v>56</v>
      </c>
      <c r="B57" s="224">
        <f ca="1">IFERROR(LARGE(Pareto!W:W,A57)," ")</f>
        <v>885.12817433047076</v>
      </c>
      <c r="C57" t="str">
        <f ca="1">_xlfn.XLOOKUP(B57,Pareto!W:W,Pareto!S:S)</f>
        <v>07 - CONSUMO DE EPI e SERVIÇOS</v>
      </c>
      <c r="D57" t="str">
        <f ca="1">_xlfn.XLOOKUP(C57,Pareto!S:S,Pareto!T:T)</f>
        <v>Anchieta</v>
      </c>
    </row>
    <row r="58" spans="1:4" x14ac:dyDescent="0.3">
      <c r="A58">
        <v>57</v>
      </c>
      <c r="B58" s="224">
        <f ca="1">IFERROR(LARGE(Pareto!W:W,A58)," ")</f>
        <v>822.6</v>
      </c>
      <c r="C58" t="str">
        <f ca="1">_xlfn.XLOOKUP(B58,Pareto!W:W,Pareto!S:S)</f>
        <v>Troca fornecedor decapagem gancheiras Ferraz</v>
      </c>
      <c r="D58" t="str">
        <f ca="1">_xlfn.XLOOKUP(C58,Pareto!S:S,Pareto!T:T)</f>
        <v>Compras</v>
      </c>
    </row>
    <row r="59" spans="1:4" x14ac:dyDescent="0.3">
      <c r="A59">
        <v>58</v>
      </c>
      <c r="B59" s="224">
        <f ca="1">IFERROR(LARGE(Pareto!W:W,A59)," ")</f>
        <v>442</v>
      </c>
      <c r="C59" t="str">
        <f ca="1">_xlfn.XLOOKUP(B59,Pareto!W:W,Pareto!S:S)</f>
        <v>31 - Redução impressora Backup</v>
      </c>
      <c r="D59" t="str">
        <f ca="1">_xlfn.XLOOKUP(C59,Pareto!S:S,Pareto!T:T)</f>
        <v>Jarinu</v>
      </c>
    </row>
    <row r="60" spans="1:4" x14ac:dyDescent="0.3">
      <c r="A60">
        <v>59</v>
      </c>
      <c r="B60" s="224">
        <f ca="1">IFERROR(LARGE(Pareto!W:W,A60)," ")</f>
        <v>0</v>
      </c>
      <c r="C60" t="str">
        <f ca="1">_xlfn.XLOOKUP(B60,Pareto!W:W,Pareto!S:S)</f>
        <v>15 - Kaizem - Botões BI - MANUAL</v>
      </c>
      <c r="D60" t="str">
        <f ca="1">_xlfn.XLOOKUP(C60,Pareto!S:S,Pareto!T:T)</f>
        <v>Diadema</v>
      </c>
    </row>
    <row r="61" spans="1:4" x14ac:dyDescent="0.3">
      <c r="A61">
        <v>60</v>
      </c>
      <c r="B61" s="224">
        <f ca="1">IFERROR(LARGE(Pareto!W:W,A61)," ")</f>
        <v>0</v>
      </c>
      <c r="C61" t="str">
        <f ca="1">_xlfn.XLOOKUP(B61,Pareto!W:W,Pareto!S:S)</f>
        <v>15 - Kaizem - Botões BI - MANUAL</v>
      </c>
      <c r="D61" t="str">
        <f ca="1">_xlfn.XLOOKUP(C61,Pareto!S:S,Pareto!T:T)</f>
        <v>Diadema</v>
      </c>
    </row>
    <row r="62" spans="1:4" x14ac:dyDescent="0.3">
      <c r="A62">
        <v>61</v>
      </c>
      <c r="B62" s="224">
        <f ca="1">IFERROR(LARGE(Pareto!W:W,A62)," ")</f>
        <v>0</v>
      </c>
      <c r="C62" t="str">
        <f ca="1">_xlfn.XLOOKUP(B62,Pareto!W:W,Pareto!S:S)</f>
        <v>15 - Kaizem - Botões BI - MANUAL</v>
      </c>
      <c r="D62" t="str">
        <f ca="1">_xlfn.XLOOKUP(C62,Pareto!S:S,Pareto!T:T)</f>
        <v>Diadema</v>
      </c>
    </row>
    <row r="63" spans="1:4" x14ac:dyDescent="0.3">
      <c r="A63">
        <v>62</v>
      </c>
      <c r="B63" s="224">
        <f ca="1">IFERROR(LARGE(Pareto!W:W,A63)," ")</f>
        <v>0</v>
      </c>
      <c r="C63" t="str">
        <f ca="1">_xlfn.XLOOKUP(B63,Pareto!W:W,Pareto!S:S)</f>
        <v>15 - Kaizem - Botões BI - MANUAL</v>
      </c>
      <c r="D63" t="str">
        <f ca="1">_xlfn.XLOOKUP(C63,Pareto!S:S,Pareto!T:T)</f>
        <v>Diadema</v>
      </c>
    </row>
    <row r="64" spans="1:4" x14ac:dyDescent="0.3">
      <c r="A64">
        <v>63</v>
      </c>
      <c r="B64" s="224">
        <f ca="1">IFERROR(LARGE(Pareto!W:W,A64)," ")</f>
        <v>0</v>
      </c>
      <c r="C64" t="str">
        <f ca="1">_xlfn.XLOOKUP(B64,Pareto!W:W,Pareto!S:S)</f>
        <v>15 - Kaizem - Botões BI - MANUAL</v>
      </c>
      <c r="D64" t="str">
        <f ca="1">_xlfn.XLOOKUP(C64,Pareto!S:S,Pareto!T:T)</f>
        <v>Diadema</v>
      </c>
    </row>
    <row r="65" spans="1:4" x14ac:dyDescent="0.3">
      <c r="A65">
        <v>64</v>
      </c>
      <c r="B65" s="224">
        <f ca="1">IFERROR(LARGE(Pareto!W:W,A65)," ")</f>
        <v>0</v>
      </c>
      <c r="C65" t="str">
        <f ca="1">_xlfn.XLOOKUP(B65,Pareto!W:W,Pareto!S:S)</f>
        <v>15 - Kaizem - Botões BI - MANUAL</v>
      </c>
      <c r="D65" t="str">
        <f ca="1">_xlfn.XLOOKUP(C65,Pareto!S:S,Pareto!T:T)</f>
        <v>Diadema</v>
      </c>
    </row>
    <row r="66" spans="1:4" x14ac:dyDescent="0.3">
      <c r="A66">
        <v>65</v>
      </c>
      <c r="B66" s="224">
        <f ca="1">IFERROR(LARGE(Pareto!W:W,A66)," ")</f>
        <v>0</v>
      </c>
      <c r="C66" t="str">
        <f ca="1">_xlfn.XLOOKUP(B66,Pareto!W:W,Pareto!S:S)</f>
        <v>15 - Kaizem - Botões BI - MANUAL</v>
      </c>
      <c r="D66" t="str">
        <f ca="1">_xlfn.XLOOKUP(C66,Pareto!S:S,Pareto!T:T)</f>
        <v>Diadema</v>
      </c>
    </row>
    <row r="67" spans="1:4" x14ac:dyDescent="0.3">
      <c r="A67">
        <v>66</v>
      </c>
      <c r="B67" s="224">
        <f ca="1">IFERROR(LARGE(Pareto!W:W,A67)," ")</f>
        <v>0</v>
      </c>
      <c r="C67" t="str">
        <f ca="1">_xlfn.XLOOKUP(B67,Pareto!W:W,Pareto!S:S)</f>
        <v>15 - Kaizem - Botões BI - MANUAL</v>
      </c>
      <c r="D67" t="str">
        <f ca="1">_xlfn.XLOOKUP(C67,Pareto!S:S,Pareto!T:T)</f>
        <v>Diadema</v>
      </c>
    </row>
    <row r="68" spans="1:4" x14ac:dyDescent="0.3">
      <c r="A68">
        <v>67</v>
      </c>
      <c r="B68" s="224">
        <f ca="1">IFERROR(LARGE(Pareto!W:W,A68)," ")</f>
        <v>0</v>
      </c>
      <c r="C68" t="str">
        <f ca="1">_xlfn.XLOOKUP(B68,Pareto!W:W,Pareto!S:S)</f>
        <v>15 - Kaizem - Botões BI - MANUAL</v>
      </c>
      <c r="D68" t="str">
        <f ca="1">_xlfn.XLOOKUP(C68,Pareto!S:S,Pareto!T:T)</f>
        <v>Diadema</v>
      </c>
    </row>
    <row r="69" spans="1:4" x14ac:dyDescent="0.3">
      <c r="A69">
        <v>68</v>
      </c>
      <c r="B69" s="224">
        <f ca="1">IFERROR(LARGE(Pareto!W:W,A69)," ")</f>
        <v>0</v>
      </c>
      <c r="C69" t="str">
        <f ca="1">_xlfn.XLOOKUP(B69,Pareto!W:W,Pareto!S:S)</f>
        <v>15 - Kaizem - Botões BI - MANUAL</v>
      </c>
      <c r="D69" t="str">
        <f ca="1">_xlfn.XLOOKUP(C69,Pareto!S:S,Pareto!T:T)</f>
        <v>Diadema</v>
      </c>
    </row>
    <row r="70" spans="1:4" x14ac:dyDescent="0.3">
      <c r="A70">
        <v>69</v>
      </c>
      <c r="B70" s="224">
        <f ca="1">IFERROR(LARGE(Pareto!W:W,A70)," ")</f>
        <v>-6700</v>
      </c>
      <c r="C70" t="str">
        <f ca="1">_xlfn.XLOOKUP(B70,Pareto!W:W,Pareto!S:S)</f>
        <v>11- REDUZIR A QUANTIDADE DE MÁQUINAS DE SOLDA MIG/MAG LOCADAS</v>
      </c>
      <c r="D70" t="str">
        <f ca="1">_xlfn.XLOOKUP(C70,Pareto!S:S,Pareto!T:T)</f>
        <v>São leopoldo</v>
      </c>
    </row>
    <row r="71" spans="1:4" x14ac:dyDescent="0.3">
      <c r="A71">
        <v>70</v>
      </c>
      <c r="B71" s="224" t="str">
        <f ca="1">IFERROR(LARGE(Pareto!W:W,A71)," ")</f>
        <v xml:space="preserve"> </v>
      </c>
      <c r="C71" t="e">
        <f ca="1">_xlfn.XLOOKUP(B71,Pareto!W:W,Pareto!S:S)</f>
        <v>#N/A</v>
      </c>
      <c r="D71" t="e">
        <f ca="1">_xlfn.XLOOKUP(C71,Pareto!S:S,Pareto!T:T)</f>
        <v>#N/A</v>
      </c>
    </row>
    <row r="72" spans="1:4" x14ac:dyDescent="0.3">
      <c r="A72">
        <v>71</v>
      </c>
      <c r="B72" s="224" t="str">
        <f ca="1">IFERROR(LARGE(Pareto!W:W,A72)," ")</f>
        <v xml:space="preserve"> </v>
      </c>
      <c r="C72" t="e">
        <f ca="1">_xlfn.XLOOKUP(B72,Pareto!W:W,Pareto!S:S)</f>
        <v>#N/A</v>
      </c>
      <c r="D72" t="e">
        <f ca="1">_xlfn.XLOOKUP(C72,Pareto!S:S,Pareto!T:T)</f>
        <v>#N/A</v>
      </c>
    </row>
    <row r="73" spans="1:4" x14ac:dyDescent="0.3">
      <c r="A73">
        <v>72</v>
      </c>
      <c r="B73" s="224" t="str">
        <f ca="1">IFERROR(LARGE(Pareto!W:W,A73)," ")</f>
        <v xml:space="preserve"> </v>
      </c>
      <c r="C73" t="e">
        <f ca="1">_xlfn.XLOOKUP(B73,Pareto!W:W,Pareto!S:S)</f>
        <v>#N/A</v>
      </c>
      <c r="D73" t="e">
        <f ca="1">_xlfn.XLOOKUP(C73,Pareto!S:S,Pareto!T:T)</f>
        <v>#N/A</v>
      </c>
    </row>
    <row r="74" spans="1:4" x14ac:dyDescent="0.3">
      <c r="A74">
        <v>73</v>
      </c>
      <c r="B74" s="224" t="str">
        <f ca="1">IFERROR(LARGE(Pareto!W:W,A74)," ")</f>
        <v xml:space="preserve"> </v>
      </c>
      <c r="C74" t="e">
        <f ca="1">_xlfn.XLOOKUP(B74,Pareto!W:W,Pareto!S:S)</f>
        <v>#N/A</v>
      </c>
      <c r="D74" t="e">
        <f ca="1">_xlfn.XLOOKUP(C74,Pareto!S:S,Pareto!T:T)</f>
        <v>#N/A</v>
      </c>
    </row>
    <row r="75" spans="1:4" x14ac:dyDescent="0.3">
      <c r="A75">
        <v>74</v>
      </c>
      <c r="B75" s="224" t="str">
        <f ca="1">IFERROR(LARGE(Pareto!W:W,A75)," ")</f>
        <v xml:space="preserve"> </v>
      </c>
      <c r="C75" t="e">
        <f ca="1">_xlfn.XLOOKUP(B75,Pareto!W:W,Pareto!S:S)</f>
        <v>#N/A</v>
      </c>
      <c r="D75" t="e">
        <f ca="1">_xlfn.XLOOKUP(C75,Pareto!S:S,Pareto!T:T)</f>
        <v>#N/A</v>
      </c>
    </row>
    <row r="76" spans="1:4" x14ac:dyDescent="0.3">
      <c r="A76">
        <v>75</v>
      </c>
      <c r="B76" s="224" t="str">
        <f ca="1">IFERROR(LARGE(Pareto!W:W,A76)," ")</f>
        <v xml:space="preserve"> </v>
      </c>
      <c r="C76" t="e">
        <f ca="1">_xlfn.XLOOKUP(B76,Pareto!W:W,Pareto!S:S)</f>
        <v>#N/A</v>
      </c>
      <c r="D76" t="e">
        <f ca="1">_xlfn.XLOOKUP(C76,Pareto!S:S,Pareto!T:T)</f>
        <v>#N/A</v>
      </c>
    </row>
    <row r="77" spans="1:4" x14ac:dyDescent="0.3">
      <c r="A77">
        <v>76</v>
      </c>
      <c r="B77" s="224" t="str">
        <f ca="1">IFERROR(LARGE(Pareto!W:W,A77)," ")</f>
        <v xml:space="preserve"> </v>
      </c>
      <c r="C77" t="e">
        <f ca="1">_xlfn.XLOOKUP(B77,Pareto!W:W,Pareto!S:S)</f>
        <v>#N/A</v>
      </c>
      <c r="D77" t="e">
        <f ca="1">_xlfn.XLOOKUP(C77,Pareto!S:S,Pareto!T:T)</f>
        <v>#N/A</v>
      </c>
    </row>
    <row r="78" spans="1:4" x14ac:dyDescent="0.3">
      <c r="A78">
        <v>77</v>
      </c>
      <c r="B78" s="224" t="str">
        <f ca="1">IFERROR(LARGE(Pareto!W:W,A78)," ")</f>
        <v xml:space="preserve"> </v>
      </c>
      <c r="C78" t="e">
        <f ca="1">_xlfn.XLOOKUP(B78,Pareto!W:W,Pareto!S:S)</f>
        <v>#N/A</v>
      </c>
      <c r="D78" t="e">
        <f ca="1">_xlfn.XLOOKUP(C78,Pareto!S:S,Pareto!T:T)</f>
        <v>#N/A</v>
      </c>
    </row>
    <row r="79" spans="1:4" x14ac:dyDescent="0.3">
      <c r="A79">
        <v>78</v>
      </c>
      <c r="B79" s="224" t="str">
        <f ca="1">IFERROR(LARGE(Pareto!W:W,A79)," ")</f>
        <v xml:space="preserve"> </v>
      </c>
      <c r="C79" t="e">
        <f ca="1">_xlfn.XLOOKUP(B79,Pareto!W:W,Pareto!S:S)</f>
        <v>#N/A</v>
      </c>
      <c r="D79" t="e">
        <f ca="1">_xlfn.XLOOKUP(C79,Pareto!S:S,Pareto!T:T)</f>
        <v>#N/A</v>
      </c>
    </row>
    <row r="80" spans="1:4" x14ac:dyDescent="0.3">
      <c r="A80">
        <v>79</v>
      </c>
      <c r="B80" s="224" t="str">
        <f ca="1">IFERROR(LARGE(Pareto!W:W,A80)," ")</f>
        <v xml:space="preserve"> </v>
      </c>
      <c r="C80" t="e">
        <f ca="1">_xlfn.XLOOKUP(B80,Pareto!W:W,Pareto!S:S)</f>
        <v>#N/A</v>
      </c>
      <c r="D80" t="e">
        <f ca="1">_xlfn.XLOOKUP(C80,Pareto!S:S,Pareto!T:T)</f>
        <v>#N/A</v>
      </c>
    </row>
    <row r="81" spans="1:4" x14ac:dyDescent="0.3">
      <c r="A81">
        <v>80</v>
      </c>
      <c r="B81" s="224" t="str">
        <f ca="1">IFERROR(LARGE(Pareto!W:W,A81)," ")</f>
        <v xml:space="preserve"> </v>
      </c>
      <c r="C81" t="e">
        <f ca="1">_xlfn.XLOOKUP(B81,Pareto!W:W,Pareto!S:S)</f>
        <v>#N/A</v>
      </c>
      <c r="D81" t="e">
        <f ca="1">_xlfn.XLOOKUP(C81,Pareto!S:S,Pareto!T:T)</f>
        <v>#N/A</v>
      </c>
    </row>
    <row r="82" spans="1:4" x14ac:dyDescent="0.3">
      <c r="A82">
        <v>81</v>
      </c>
      <c r="B82" s="224" t="str">
        <f ca="1">IFERROR(LARGE(Pareto!W:W,A82)," ")</f>
        <v xml:space="preserve"> </v>
      </c>
      <c r="C82" t="e">
        <f ca="1">_xlfn.XLOOKUP(B82,Pareto!W:W,Pareto!S:S)</f>
        <v>#N/A</v>
      </c>
      <c r="D82" t="e">
        <f ca="1">_xlfn.XLOOKUP(C82,Pareto!S:S,Pareto!T:T)</f>
        <v>#N/A</v>
      </c>
    </row>
    <row r="83" spans="1:4" x14ac:dyDescent="0.3">
      <c r="A83">
        <v>82</v>
      </c>
      <c r="B83" s="224" t="str">
        <f ca="1">IFERROR(LARGE(Pareto!W:W,A83)," ")</f>
        <v xml:space="preserve"> </v>
      </c>
      <c r="C83" t="e">
        <f ca="1">_xlfn.XLOOKUP(B83,Pareto!W:W,Pareto!S:S)</f>
        <v>#N/A</v>
      </c>
      <c r="D83" t="e">
        <f ca="1">_xlfn.XLOOKUP(C83,Pareto!S:S,Pareto!T:T)</f>
        <v>#N/A</v>
      </c>
    </row>
    <row r="84" spans="1:4" x14ac:dyDescent="0.3">
      <c r="A84">
        <v>83</v>
      </c>
      <c r="B84" s="224" t="str">
        <f ca="1">IFERROR(LARGE(Pareto!W:W,A84)," ")</f>
        <v xml:space="preserve"> </v>
      </c>
      <c r="C84" t="e">
        <f ca="1">_xlfn.XLOOKUP(B84,Pareto!W:W,Pareto!S:S)</f>
        <v>#N/A</v>
      </c>
      <c r="D84" t="e">
        <f ca="1">_xlfn.XLOOKUP(C84,Pareto!S:S,Pareto!T:T)</f>
        <v>#N/A</v>
      </c>
    </row>
    <row r="85" spans="1:4" x14ac:dyDescent="0.3">
      <c r="A85">
        <v>84</v>
      </c>
      <c r="B85" s="224" t="str">
        <f ca="1">IFERROR(LARGE(Pareto!W:W,A85)," ")</f>
        <v xml:space="preserve"> </v>
      </c>
      <c r="C85" t="e">
        <f ca="1">_xlfn.XLOOKUP(B85,Pareto!W:W,Pareto!S:S)</f>
        <v>#N/A</v>
      </c>
      <c r="D85" t="e">
        <f ca="1">_xlfn.XLOOKUP(C85,Pareto!S:S,Pareto!T:T)</f>
        <v>#N/A</v>
      </c>
    </row>
    <row r="86" spans="1:4" x14ac:dyDescent="0.3">
      <c r="A86">
        <v>85</v>
      </c>
      <c r="B86" s="224" t="str">
        <f ca="1">IFERROR(LARGE(Pareto!W:W,A86)," ")</f>
        <v xml:space="preserve"> </v>
      </c>
      <c r="C86" t="e">
        <f ca="1">_xlfn.XLOOKUP(B86,Pareto!W:W,Pareto!S:S)</f>
        <v>#N/A</v>
      </c>
      <c r="D86" t="e">
        <f ca="1">_xlfn.XLOOKUP(C86,Pareto!S:S,Pareto!T:T)</f>
        <v>#N/A</v>
      </c>
    </row>
    <row r="87" spans="1:4" x14ac:dyDescent="0.3">
      <c r="A87">
        <v>86</v>
      </c>
      <c r="B87" s="224" t="str">
        <f ca="1">IFERROR(LARGE(Pareto!W:W,A87)," ")</f>
        <v xml:space="preserve"> </v>
      </c>
      <c r="C87" t="e">
        <f ca="1">_xlfn.XLOOKUP(B87,Pareto!W:W,Pareto!S:S)</f>
        <v>#N/A</v>
      </c>
      <c r="D87" t="e">
        <f ca="1">_xlfn.XLOOKUP(C87,Pareto!S:S,Pareto!T:T)</f>
        <v>#N/A</v>
      </c>
    </row>
    <row r="88" spans="1:4" x14ac:dyDescent="0.3">
      <c r="A88">
        <v>87</v>
      </c>
      <c r="B88" s="224" t="str">
        <f ca="1">IFERROR(LARGE(Pareto!W:W,A88)," ")</f>
        <v xml:space="preserve"> </v>
      </c>
      <c r="C88" t="e">
        <f ca="1">_xlfn.XLOOKUP(B88,Pareto!W:W,Pareto!S:S)</f>
        <v>#N/A</v>
      </c>
      <c r="D88" t="e">
        <f ca="1">_xlfn.XLOOKUP(C88,Pareto!S:S,Pareto!T:T)</f>
        <v>#N/A</v>
      </c>
    </row>
    <row r="89" spans="1:4" x14ac:dyDescent="0.3">
      <c r="A89">
        <v>88</v>
      </c>
      <c r="B89" s="224" t="str">
        <f ca="1">IFERROR(LARGE(Pareto!W:W,A89)," ")</f>
        <v xml:space="preserve"> </v>
      </c>
      <c r="C89" t="e">
        <f ca="1">_xlfn.XLOOKUP(B89,Pareto!W:W,Pareto!S:S)</f>
        <v>#N/A</v>
      </c>
      <c r="D89" t="e">
        <f ca="1">_xlfn.XLOOKUP(C89,Pareto!S:S,Pareto!T:T)</f>
        <v>#N/A</v>
      </c>
    </row>
    <row r="90" spans="1:4" x14ac:dyDescent="0.3">
      <c r="A90">
        <v>89</v>
      </c>
      <c r="B90" s="224" t="str">
        <f ca="1">IFERROR(LARGE(Pareto!W:W,A90)," ")</f>
        <v xml:space="preserve"> </v>
      </c>
      <c r="C90" t="e">
        <f ca="1">_xlfn.XLOOKUP(B90,Pareto!W:W,Pareto!S:S)</f>
        <v>#N/A</v>
      </c>
      <c r="D90" t="e">
        <f ca="1">_xlfn.XLOOKUP(C90,Pareto!S:S,Pareto!T:T)</f>
        <v>#N/A</v>
      </c>
    </row>
    <row r="91" spans="1:4" x14ac:dyDescent="0.3">
      <c r="A91">
        <v>90</v>
      </c>
      <c r="B91" s="224" t="str">
        <f ca="1">IFERROR(LARGE(Pareto!W:W,A91)," ")</f>
        <v xml:space="preserve"> </v>
      </c>
      <c r="C91" t="e">
        <f ca="1">_xlfn.XLOOKUP(B91,Pareto!W:W,Pareto!S:S)</f>
        <v>#N/A</v>
      </c>
      <c r="D91" t="e">
        <f ca="1">_xlfn.XLOOKUP(C91,Pareto!S:S,Pareto!T:T)</f>
        <v>#N/A</v>
      </c>
    </row>
    <row r="92" spans="1:4" x14ac:dyDescent="0.3">
      <c r="A92">
        <v>91</v>
      </c>
      <c r="B92" s="224" t="str">
        <f ca="1">IFERROR(LARGE(Pareto!W:W,A92)," ")</f>
        <v xml:space="preserve"> </v>
      </c>
      <c r="C92" t="e">
        <f ca="1">_xlfn.XLOOKUP(B92,Pareto!W:W,Pareto!S:S)</f>
        <v>#N/A</v>
      </c>
      <c r="D92" t="e">
        <f ca="1">_xlfn.XLOOKUP(C92,Pareto!S:S,Pareto!T:T)</f>
        <v>#N/A</v>
      </c>
    </row>
    <row r="93" spans="1:4" x14ac:dyDescent="0.3">
      <c r="A93">
        <v>92</v>
      </c>
      <c r="B93" s="224" t="str">
        <f ca="1">IFERROR(LARGE(Pareto!W:W,A93)," ")</f>
        <v xml:space="preserve"> </v>
      </c>
      <c r="C93" t="e">
        <f ca="1">_xlfn.XLOOKUP(B93,Pareto!W:W,Pareto!S:S)</f>
        <v>#N/A</v>
      </c>
      <c r="D93" t="e">
        <f ca="1">_xlfn.XLOOKUP(C93,Pareto!S:S,Pareto!T:T)</f>
        <v>#N/A</v>
      </c>
    </row>
    <row r="94" spans="1:4" x14ac:dyDescent="0.3">
      <c r="A94">
        <v>93</v>
      </c>
      <c r="B94" s="224" t="str">
        <f ca="1">IFERROR(LARGE(Pareto!W:W,A94)," ")</f>
        <v xml:space="preserve"> </v>
      </c>
      <c r="C94" t="e">
        <f ca="1">_xlfn.XLOOKUP(B94,Pareto!W:W,Pareto!S:S)</f>
        <v>#N/A</v>
      </c>
      <c r="D94" t="e">
        <f ca="1">_xlfn.XLOOKUP(C94,Pareto!S:S,Pareto!T:T)</f>
        <v>#N/A</v>
      </c>
    </row>
    <row r="95" spans="1:4" x14ac:dyDescent="0.3">
      <c r="A95">
        <v>94</v>
      </c>
      <c r="B95" s="224" t="str">
        <f ca="1">IFERROR(LARGE(Pareto!W:W,A95)," ")</f>
        <v xml:space="preserve"> </v>
      </c>
      <c r="C95" t="e">
        <f ca="1">_xlfn.XLOOKUP(B95,Pareto!W:W,Pareto!S:S)</f>
        <v>#N/A</v>
      </c>
      <c r="D95" t="e">
        <f ca="1">_xlfn.XLOOKUP(C95,Pareto!S:S,Pareto!T:T)</f>
        <v>#N/A</v>
      </c>
    </row>
    <row r="96" spans="1:4" x14ac:dyDescent="0.3">
      <c r="A96">
        <v>95</v>
      </c>
      <c r="B96" s="224" t="str">
        <f ca="1">IFERROR(LARGE(Pareto!W:W,A96)," ")</f>
        <v xml:space="preserve"> </v>
      </c>
      <c r="C96" t="e">
        <f ca="1">_xlfn.XLOOKUP(B96,Pareto!W:W,Pareto!S:S)</f>
        <v>#N/A</v>
      </c>
      <c r="D96" t="e">
        <f ca="1">_xlfn.XLOOKUP(C96,Pareto!S:S,Pareto!T:T)</f>
        <v>#N/A</v>
      </c>
    </row>
    <row r="97" spans="1:4" x14ac:dyDescent="0.3">
      <c r="A97">
        <v>96</v>
      </c>
      <c r="B97" s="224" t="str">
        <f ca="1">IFERROR(LARGE(Pareto!W:W,A97)," ")</f>
        <v xml:space="preserve"> </v>
      </c>
      <c r="C97" t="e">
        <f ca="1">_xlfn.XLOOKUP(B97,Pareto!W:W,Pareto!S:S)</f>
        <v>#N/A</v>
      </c>
      <c r="D97" t="e">
        <f ca="1">_xlfn.XLOOKUP(C97,Pareto!S:S,Pareto!T:T)</f>
        <v>#N/A</v>
      </c>
    </row>
    <row r="98" spans="1:4" x14ac:dyDescent="0.3">
      <c r="A98">
        <v>97</v>
      </c>
      <c r="B98" s="224" t="str">
        <f ca="1">IFERROR(LARGE(Pareto!W:W,A98)," ")</f>
        <v xml:space="preserve"> </v>
      </c>
      <c r="C98" t="e">
        <f ca="1">_xlfn.XLOOKUP(B98,Pareto!W:W,Pareto!S:S)</f>
        <v>#N/A</v>
      </c>
      <c r="D98" t="e">
        <f ca="1">_xlfn.XLOOKUP(C98,Pareto!S:S,Pareto!T:T)</f>
        <v>#N/A</v>
      </c>
    </row>
    <row r="99" spans="1:4" x14ac:dyDescent="0.3">
      <c r="A99">
        <v>98</v>
      </c>
      <c r="B99" s="224" t="str">
        <f ca="1">IFERROR(LARGE(Pareto!W:W,A99)," ")</f>
        <v xml:space="preserve"> </v>
      </c>
      <c r="C99" t="e">
        <f ca="1">_xlfn.XLOOKUP(B99,Pareto!W:W,Pareto!S:S)</f>
        <v>#N/A</v>
      </c>
      <c r="D99" t="e">
        <f ca="1">_xlfn.XLOOKUP(C99,Pareto!S:S,Pareto!T:T)</f>
        <v>#N/A</v>
      </c>
    </row>
    <row r="100" spans="1:4" x14ac:dyDescent="0.3">
      <c r="A100">
        <v>99</v>
      </c>
      <c r="B100" s="224" t="str">
        <f ca="1">IFERROR(LARGE(Pareto!W:W,A100)," ")</f>
        <v xml:space="preserve"> </v>
      </c>
      <c r="C100" t="e">
        <f ca="1">_xlfn.XLOOKUP(B100,Pareto!W:W,Pareto!S:S)</f>
        <v>#N/A</v>
      </c>
      <c r="D100" t="e">
        <f ca="1">_xlfn.XLOOKUP(C100,Pareto!S:S,Pareto!T:T)</f>
        <v>#N/A</v>
      </c>
    </row>
    <row r="101" spans="1:4" x14ac:dyDescent="0.3">
      <c r="A101">
        <v>100</v>
      </c>
      <c r="B101" s="224" t="str">
        <f ca="1">IFERROR(LARGE(Pareto!W:W,A101)," ")</f>
        <v xml:space="preserve"> </v>
      </c>
      <c r="C101" t="e">
        <f ca="1">_xlfn.XLOOKUP(B101,Pareto!W:W,Pareto!S:S)</f>
        <v>#N/A</v>
      </c>
      <c r="D101" t="e">
        <f ca="1">_xlfn.XLOOKUP(C101,Pareto!S:S,Pareto!T:T)</f>
        <v>#N/A</v>
      </c>
    </row>
    <row r="102" spans="1:4" x14ac:dyDescent="0.3">
      <c r="A102">
        <v>101</v>
      </c>
      <c r="B102" s="224" t="str">
        <f ca="1">IFERROR(LARGE(Pareto!W:W,A102)," ")</f>
        <v xml:space="preserve"> </v>
      </c>
      <c r="C102" t="e">
        <f ca="1">_xlfn.XLOOKUP(B102,Pareto!W:W,Pareto!S:S)</f>
        <v>#N/A</v>
      </c>
      <c r="D102" t="e">
        <f ca="1">_xlfn.XLOOKUP(C102,Pareto!S:S,Pareto!T:T)</f>
        <v>#N/A</v>
      </c>
    </row>
    <row r="103" spans="1:4" x14ac:dyDescent="0.3">
      <c r="A103">
        <v>102</v>
      </c>
      <c r="B103" s="224" t="str">
        <f ca="1">IFERROR(LARGE(Pareto!W:W,A103)," ")</f>
        <v xml:space="preserve"> </v>
      </c>
      <c r="C103" t="e">
        <f ca="1">_xlfn.XLOOKUP(B103,Pareto!W:W,Pareto!S:S)</f>
        <v>#N/A</v>
      </c>
      <c r="D103" t="e">
        <f ca="1">_xlfn.XLOOKUP(C103,Pareto!S:S,Pareto!T:T)</f>
        <v>#N/A</v>
      </c>
    </row>
    <row r="104" spans="1:4" x14ac:dyDescent="0.3">
      <c r="A104">
        <v>103</v>
      </c>
      <c r="B104" s="224" t="str">
        <f ca="1">IFERROR(LARGE(Pareto!W:W,A104)," ")</f>
        <v xml:space="preserve"> </v>
      </c>
      <c r="C104" t="e">
        <f ca="1">_xlfn.XLOOKUP(B104,Pareto!W:W,Pareto!S:S)</f>
        <v>#N/A</v>
      </c>
      <c r="D104" t="e">
        <f ca="1">_xlfn.XLOOKUP(C104,Pareto!S:S,Pareto!T:T)</f>
        <v>#N/A</v>
      </c>
    </row>
    <row r="105" spans="1:4" x14ac:dyDescent="0.3">
      <c r="A105">
        <v>104</v>
      </c>
      <c r="B105" s="224" t="str">
        <f ca="1">IFERROR(LARGE(Pareto!W:W,A105)," ")</f>
        <v xml:space="preserve"> </v>
      </c>
      <c r="C105" t="e">
        <f ca="1">_xlfn.XLOOKUP(B105,Pareto!W:W,Pareto!S:S)</f>
        <v>#N/A</v>
      </c>
      <c r="D105" t="e">
        <f ca="1">_xlfn.XLOOKUP(C105,Pareto!S:S,Pareto!T:T)</f>
        <v>#N/A</v>
      </c>
    </row>
    <row r="106" spans="1:4" x14ac:dyDescent="0.3">
      <c r="A106">
        <v>105</v>
      </c>
      <c r="B106" s="224" t="str">
        <f ca="1">IFERROR(LARGE(Pareto!W:W,A106)," ")</f>
        <v xml:space="preserve"> </v>
      </c>
      <c r="C106" t="e">
        <f ca="1">_xlfn.XLOOKUP(B106,Pareto!W:W,Pareto!S:S)</f>
        <v>#N/A</v>
      </c>
      <c r="D106" t="e">
        <f ca="1">_xlfn.XLOOKUP(C106,Pareto!S:S,Pareto!T:T)</f>
        <v>#N/A</v>
      </c>
    </row>
    <row r="107" spans="1:4" x14ac:dyDescent="0.3">
      <c r="A107">
        <v>106</v>
      </c>
      <c r="B107" s="224" t="str">
        <f ca="1">IFERROR(LARGE(Pareto!W:W,A107)," ")</f>
        <v xml:space="preserve"> </v>
      </c>
      <c r="C107" t="e">
        <f ca="1">_xlfn.XLOOKUP(B107,Pareto!W:W,Pareto!S:S)</f>
        <v>#N/A</v>
      </c>
      <c r="D107" t="e">
        <f ca="1">_xlfn.XLOOKUP(C107,Pareto!S:S,Pareto!T:T)</f>
        <v>#N/A</v>
      </c>
    </row>
    <row r="108" spans="1:4" x14ac:dyDescent="0.3">
      <c r="A108">
        <v>107</v>
      </c>
      <c r="B108" s="224" t="str">
        <f ca="1">IFERROR(LARGE(Pareto!W:W,A108)," ")</f>
        <v xml:space="preserve"> </v>
      </c>
      <c r="C108" t="e">
        <f ca="1">_xlfn.XLOOKUP(B108,Pareto!W:W,Pareto!S:S)</f>
        <v>#N/A</v>
      </c>
      <c r="D108" t="e">
        <f ca="1">_xlfn.XLOOKUP(C108,Pareto!S:S,Pareto!T:T)</f>
        <v>#N/A</v>
      </c>
    </row>
    <row r="109" spans="1:4" x14ac:dyDescent="0.3">
      <c r="A109">
        <v>108</v>
      </c>
      <c r="B109" s="224" t="str">
        <f ca="1">IFERROR(LARGE(Pareto!W:W,A109)," ")</f>
        <v xml:space="preserve"> </v>
      </c>
      <c r="C109" t="e">
        <f ca="1">_xlfn.XLOOKUP(B109,Pareto!W:W,Pareto!S:S)</f>
        <v>#N/A</v>
      </c>
      <c r="D109" t="e">
        <f ca="1">_xlfn.XLOOKUP(C109,Pareto!S:S,Pareto!T:T)</f>
        <v>#N/A</v>
      </c>
    </row>
    <row r="110" spans="1:4" x14ac:dyDescent="0.3">
      <c r="A110">
        <v>109</v>
      </c>
      <c r="B110" s="224" t="str">
        <f ca="1">IFERROR(LARGE(Pareto!W:W,A110)," ")</f>
        <v xml:space="preserve"> </v>
      </c>
      <c r="C110" t="e">
        <f ca="1">_xlfn.XLOOKUP(B110,Pareto!W:W,Pareto!S:S)</f>
        <v>#N/A</v>
      </c>
      <c r="D110" t="e">
        <f ca="1">_xlfn.XLOOKUP(C110,Pareto!S:S,Pareto!T:T)</f>
        <v>#N/A</v>
      </c>
    </row>
    <row r="111" spans="1:4" x14ac:dyDescent="0.3">
      <c r="A111">
        <v>110</v>
      </c>
      <c r="B111" s="224" t="str">
        <f ca="1">IFERROR(LARGE(Pareto!W:W,A111)," ")</f>
        <v xml:space="preserve"> </v>
      </c>
      <c r="C111" t="e">
        <f ca="1">_xlfn.XLOOKUP(B111,Pareto!W:W,Pareto!S:S)</f>
        <v>#N/A</v>
      </c>
      <c r="D111" t="e">
        <f ca="1">_xlfn.XLOOKUP(C111,Pareto!S:S,Pareto!T:T)</f>
        <v>#N/A</v>
      </c>
    </row>
    <row r="112" spans="1:4" x14ac:dyDescent="0.3">
      <c r="A112">
        <v>111</v>
      </c>
      <c r="B112" s="224" t="str">
        <f ca="1">IFERROR(LARGE(Pareto!W:W,A112)," ")</f>
        <v xml:space="preserve"> </v>
      </c>
      <c r="C112" t="e">
        <f ca="1">_xlfn.XLOOKUP(B112,Pareto!W:W,Pareto!S:S)</f>
        <v>#N/A</v>
      </c>
      <c r="D112" t="e">
        <f ca="1">_xlfn.XLOOKUP(C112,Pareto!S:S,Pareto!T:T)</f>
        <v>#N/A</v>
      </c>
    </row>
    <row r="113" spans="1:4" x14ac:dyDescent="0.3">
      <c r="A113">
        <v>112</v>
      </c>
      <c r="B113" s="224" t="str">
        <f ca="1">IFERROR(LARGE(Pareto!W:W,A113)," ")</f>
        <v xml:space="preserve"> </v>
      </c>
      <c r="C113" t="e">
        <f ca="1">_xlfn.XLOOKUP(B113,Pareto!W:W,Pareto!S:S)</f>
        <v>#N/A</v>
      </c>
      <c r="D113" t="e">
        <f ca="1">_xlfn.XLOOKUP(C113,Pareto!S:S,Pareto!T:T)</f>
        <v>#N/A</v>
      </c>
    </row>
    <row r="114" spans="1:4" x14ac:dyDescent="0.3">
      <c r="A114">
        <v>113</v>
      </c>
      <c r="B114" s="224" t="str">
        <f ca="1">IFERROR(LARGE(Pareto!W:W,A114)," ")</f>
        <v xml:space="preserve"> </v>
      </c>
      <c r="C114" t="e">
        <f ca="1">_xlfn.XLOOKUP(B114,Pareto!W:W,Pareto!S:S)</f>
        <v>#N/A</v>
      </c>
      <c r="D114" t="e">
        <f ca="1">_xlfn.XLOOKUP(C114,Pareto!S:S,Pareto!T:T)</f>
        <v>#N/A</v>
      </c>
    </row>
    <row r="115" spans="1:4" x14ac:dyDescent="0.3">
      <c r="A115">
        <v>114</v>
      </c>
      <c r="B115" s="224" t="str">
        <f ca="1">IFERROR(LARGE(Pareto!W:W,A115)," ")</f>
        <v xml:space="preserve"> </v>
      </c>
      <c r="C115" t="e">
        <f ca="1">_xlfn.XLOOKUP(B115,Pareto!W:W,Pareto!S:S)</f>
        <v>#N/A</v>
      </c>
      <c r="D115" t="e">
        <f ca="1">_xlfn.XLOOKUP(C115,Pareto!S:S,Pareto!T:T)</f>
        <v>#N/A</v>
      </c>
    </row>
    <row r="116" spans="1:4" x14ac:dyDescent="0.3">
      <c r="A116">
        <v>115</v>
      </c>
      <c r="B116" s="224" t="str">
        <f ca="1">IFERROR(LARGE(Pareto!W:W,A116)," ")</f>
        <v xml:space="preserve"> </v>
      </c>
      <c r="C116" t="e">
        <f ca="1">_xlfn.XLOOKUP(B116,Pareto!W:W,Pareto!S:S)</f>
        <v>#N/A</v>
      </c>
      <c r="D116" t="e">
        <f ca="1">_xlfn.XLOOKUP(C116,Pareto!S:S,Pareto!T:T)</f>
        <v>#N/A</v>
      </c>
    </row>
    <row r="117" spans="1:4" x14ac:dyDescent="0.3">
      <c r="A117">
        <v>116</v>
      </c>
      <c r="B117" s="224" t="str">
        <f ca="1">IFERROR(LARGE(Pareto!W:W,A117)," ")</f>
        <v xml:space="preserve"> </v>
      </c>
      <c r="C117" t="e">
        <f ca="1">_xlfn.XLOOKUP(B117,Pareto!W:W,Pareto!S:S)</f>
        <v>#N/A</v>
      </c>
      <c r="D117" t="e">
        <f ca="1">_xlfn.XLOOKUP(C117,Pareto!S:S,Pareto!T:T)</f>
        <v>#N/A</v>
      </c>
    </row>
    <row r="118" spans="1:4" x14ac:dyDescent="0.3">
      <c r="A118">
        <v>117</v>
      </c>
      <c r="B118" s="224" t="str">
        <f ca="1">IFERROR(LARGE(Pareto!W:W,A118)," ")</f>
        <v xml:space="preserve"> </v>
      </c>
      <c r="C118" t="e">
        <f ca="1">_xlfn.XLOOKUP(B118,Pareto!W:W,Pareto!S:S)</f>
        <v>#N/A</v>
      </c>
      <c r="D118" t="e">
        <f ca="1">_xlfn.XLOOKUP(C118,Pareto!S:S,Pareto!T:T)</f>
        <v>#N/A</v>
      </c>
    </row>
    <row r="119" spans="1:4" x14ac:dyDescent="0.3">
      <c r="A119">
        <v>118</v>
      </c>
      <c r="B119" s="224" t="str">
        <f ca="1">IFERROR(LARGE(Pareto!W:W,A119)," ")</f>
        <v xml:space="preserve"> </v>
      </c>
      <c r="C119" t="e">
        <f ca="1">_xlfn.XLOOKUP(B119,Pareto!W:W,Pareto!S:S)</f>
        <v>#N/A</v>
      </c>
      <c r="D119" t="e">
        <f ca="1">_xlfn.XLOOKUP(C119,Pareto!S:S,Pareto!T:T)</f>
        <v>#N/A</v>
      </c>
    </row>
    <row r="120" spans="1:4" x14ac:dyDescent="0.3">
      <c r="A120">
        <v>119</v>
      </c>
      <c r="B120" s="224" t="str">
        <f ca="1">IFERROR(LARGE(Pareto!W:W,A120)," ")</f>
        <v xml:space="preserve"> </v>
      </c>
      <c r="C120" t="e">
        <f ca="1">_xlfn.XLOOKUP(B120,Pareto!W:W,Pareto!S:S)</f>
        <v>#N/A</v>
      </c>
      <c r="D120" t="e">
        <f ca="1">_xlfn.XLOOKUP(C120,Pareto!S:S,Pareto!T:T)</f>
        <v>#N/A</v>
      </c>
    </row>
    <row r="121" spans="1:4" x14ac:dyDescent="0.3">
      <c r="A121">
        <v>120</v>
      </c>
      <c r="B121" s="224" t="str">
        <f ca="1">IFERROR(LARGE(Pareto!W:W,A121)," ")</f>
        <v xml:space="preserve"> </v>
      </c>
      <c r="C121" t="e">
        <f ca="1">_xlfn.XLOOKUP(B121,Pareto!W:W,Pareto!S:S)</f>
        <v>#N/A</v>
      </c>
      <c r="D121" t="e">
        <f ca="1">_xlfn.XLOOKUP(C121,Pareto!S:S,Pareto!T:T)</f>
        <v>#N/A</v>
      </c>
    </row>
    <row r="122" spans="1:4" x14ac:dyDescent="0.3">
      <c r="A122">
        <v>121</v>
      </c>
      <c r="B122" s="224" t="str">
        <f ca="1">IFERROR(LARGE(Pareto!W:W,A122)," ")</f>
        <v xml:space="preserve"> </v>
      </c>
      <c r="C122" t="e">
        <f ca="1">_xlfn.XLOOKUP(B122,Pareto!W:W,Pareto!S:S)</f>
        <v>#N/A</v>
      </c>
      <c r="D122" t="e">
        <f ca="1">_xlfn.XLOOKUP(C122,Pareto!S:S,Pareto!T:T)</f>
        <v>#N/A</v>
      </c>
    </row>
    <row r="123" spans="1:4" x14ac:dyDescent="0.3">
      <c r="A123">
        <v>122</v>
      </c>
      <c r="B123" s="224" t="str">
        <f ca="1">IFERROR(LARGE(Pareto!W:W,A123)," ")</f>
        <v xml:space="preserve"> </v>
      </c>
      <c r="C123" t="e">
        <f ca="1">_xlfn.XLOOKUP(B123,Pareto!W:W,Pareto!S:S)</f>
        <v>#N/A</v>
      </c>
      <c r="D123" t="e">
        <f ca="1">_xlfn.XLOOKUP(C123,Pareto!S:S,Pareto!T:T)</f>
        <v>#N/A</v>
      </c>
    </row>
    <row r="124" spans="1:4" x14ac:dyDescent="0.3">
      <c r="A124">
        <v>123</v>
      </c>
      <c r="B124" s="224" t="str">
        <f ca="1">IFERROR(LARGE(Pareto!W:W,A124)," ")</f>
        <v xml:space="preserve"> </v>
      </c>
      <c r="C124" t="e">
        <f ca="1">_xlfn.XLOOKUP(B124,Pareto!W:W,Pareto!S:S)</f>
        <v>#N/A</v>
      </c>
      <c r="D124" t="e">
        <f ca="1">_xlfn.XLOOKUP(C124,Pareto!S:S,Pareto!T:T)</f>
        <v>#N/A</v>
      </c>
    </row>
    <row r="125" spans="1:4" x14ac:dyDescent="0.3">
      <c r="A125">
        <v>124</v>
      </c>
      <c r="B125" s="224" t="str">
        <f ca="1">IFERROR(LARGE(Pareto!W:W,A125)," ")</f>
        <v xml:space="preserve"> </v>
      </c>
      <c r="C125" t="e">
        <f ca="1">_xlfn.XLOOKUP(B125,Pareto!W:W,Pareto!S:S)</f>
        <v>#N/A</v>
      </c>
      <c r="D125" t="e">
        <f ca="1">_xlfn.XLOOKUP(C125,Pareto!S:S,Pareto!T:T)</f>
        <v>#N/A</v>
      </c>
    </row>
    <row r="126" spans="1:4" x14ac:dyDescent="0.3">
      <c r="A126">
        <v>125</v>
      </c>
      <c r="B126" s="224" t="str">
        <f ca="1">IFERROR(LARGE(Pareto!W:W,A126)," ")</f>
        <v xml:space="preserve"> </v>
      </c>
      <c r="C126" t="e">
        <f ca="1">_xlfn.XLOOKUP(B126,Pareto!W:W,Pareto!S:S)</f>
        <v>#N/A</v>
      </c>
      <c r="D126" t="e">
        <f ca="1">_xlfn.XLOOKUP(C126,Pareto!S:S,Pareto!T:T)</f>
        <v>#N/A</v>
      </c>
    </row>
    <row r="127" spans="1:4" x14ac:dyDescent="0.3">
      <c r="A127">
        <v>126</v>
      </c>
      <c r="B127" s="224" t="str">
        <f ca="1">IFERROR(LARGE(Pareto!W:W,A127)," ")</f>
        <v xml:space="preserve"> </v>
      </c>
      <c r="C127" t="e">
        <f ca="1">_xlfn.XLOOKUP(B127,Pareto!W:W,Pareto!S:S)</f>
        <v>#N/A</v>
      </c>
      <c r="D127" t="e">
        <f ca="1">_xlfn.XLOOKUP(C127,Pareto!S:S,Pareto!T:T)</f>
        <v>#N/A</v>
      </c>
    </row>
    <row r="128" spans="1:4" x14ac:dyDescent="0.3">
      <c r="A128">
        <v>127</v>
      </c>
      <c r="B128" s="224" t="str">
        <f ca="1">IFERROR(LARGE(Pareto!W:W,A128)," ")</f>
        <v xml:space="preserve"> </v>
      </c>
      <c r="C128" t="e">
        <f ca="1">_xlfn.XLOOKUP(B128,Pareto!W:W,Pareto!S:S)</f>
        <v>#N/A</v>
      </c>
      <c r="D128" t="e">
        <f ca="1">_xlfn.XLOOKUP(C128,Pareto!S:S,Pareto!T:T)</f>
        <v>#N/A</v>
      </c>
    </row>
    <row r="129" spans="1:4" x14ac:dyDescent="0.3">
      <c r="A129">
        <v>128</v>
      </c>
      <c r="B129" s="224" t="str">
        <f ca="1">IFERROR(LARGE(Pareto!W:W,A129)," ")</f>
        <v xml:space="preserve"> </v>
      </c>
      <c r="C129" t="e">
        <f ca="1">_xlfn.XLOOKUP(B129,Pareto!W:W,Pareto!S:S)</f>
        <v>#N/A</v>
      </c>
      <c r="D129" t="e">
        <f ca="1">_xlfn.XLOOKUP(C129,Pareto!S:S,Pareto!T:T)</f>
        <v>#N/A</v>
      </c>
    </row>
    <row r="130" spans="1:4" x14ac:dyDescent="0.3">
      <c r="A130">
        <v>129</v>
      </c>
      <c r="B130" s="224" t="str">
        <f ca="1">IFERROR(LARGE(Pareto!W:W,A130)," ")</f>
        <v xml:space="preserve"> </v>
      </c>
      <c r="C130" t="e">
        <f ca="1">_xlfn.XLOOKUP(B130,Pareto!W:W,Pareto!S:S)</f>
        <v>#N/A</v>
      </c>
      <c r="D130" t="e">
        <f ca="1">_xlfn.XLOOKUP(C130,Pareto!S:S,Pareto!T:T)</f>
        <v>#N/A</v>
      </c>
    </row>
    <row r="131" spans="1:4" x14ac:dyDescent="0.3">
      <c r="A131">
        <v>130</v>
      </c>
      <c r="B131" s="224" t="str">
        <f ca="1">IFERROR(LARGE(Pareto!W:W,A131)," ")</f>
        <v xml:space="preserve"> </v>
      </c>
      <c r="C131" t="e">
        <f ca="1">_xlfn.XLOOKUP(B131,Pareto!W:W,Pareto!S:S)</f>
        <v>#N/A</v>
      </c>
      <c r="D131" t="e">
        <f ca="1">_xlfn.XLOOKUP(C131,Pareto!S:S,Pareto!T:T)</f>
        <v>#N/A</v>
      </c>
    </row>
    <row r="132" spans="1:4" x14ac:dyDescent="0.3">
      <c r="A132">
        <v>131</v>
      </c>
      <c r="B132" s="224" t="str">
        <f ca="1">IFERROR(LARGE(Pareto!W:W,A132)," ")</f>
        <v xml:space="preserve"> </v>
      </c>
      <c r="C132" t="e">
        <f ca="1">_xlfn.XLOOKUP(B132,Pareto!W:W,Pareto!S:S)</f>
        <v>#N/A</v>
      </c>
      <c r="D132" t="e">
        <f ca="1">_xlfn.XLOOKUP(C132,Pareto!S:S,Pareto!T:T)</f>
        <v>#N/A</v>
      </c>
    </row>
    <row r="133" spans="1:4" x14ac:dyDescent="0.3">
      <c r="A133">
        <v>132</v>
      </c>
      <c r="B133" s="224" t="str">
        <f ca="1">IFERROR(LARGE(Pareto!W:W,A133)," ")</f>
        <v xml:space="preserve"> </v>
      </c>
      <c r="C133" t="e">
        <f ca="1">_xlfn.XLOOKUP(B133,Pareto!W:W,Pareto!S:S)</f>
        <v>#N/A</v>
      </c>
      <c r="D133" t="e">
        <f ca="1">_xlfn.XLOOKUP(C133,Pareto!S:S,Pareto!T:T)</f>
        <v>#N/A</v>
      </c>
    </row>
    <row r="134" spans="1:4" x14ac:dyDescent="0.3">
      <c r="A134">
        <v>133</v>
      </c>
      <c r="B134" s="224" t="str">
        <f ca="1">IFERROR(LARGE(Pareto!W:W,A134)," ")</f>
        <v xml:space="preserve"> </v>
      </c>
      <c r="C134" t="e">
        <f ca="1">_xlfn.XLOOKUP(B134,Pareto!W:W,Pareto!S:S)</f>
        <v>#N/A</v>
      </c>
      <c r="D134" t="e">
        <f ca="1">_xlfn.XLOOKUP(C134,Pareto!S:S,Pareto!T:T)</f>
        <v>#N/A</v>
      </c>
    </row>
    <row r="135" spans="1:4" x14ac:dyDescent="0.3">
      <c r="A135">
        <v>134</v>
      </c>
      <c r="B135" s="224" t="str">
        <f ca="1">IFERROR(LARGE(Pareto!W:W,A135)," ")</f>
        <v xml:space="preserve"> </v>
      </c>
      <c r="C135" t="e">
        <f ca="1">_xlfn.XLOOKUP(B135,Pareto!W:W,Pareto!S:S)</f>
        <v>#N/A</v>
      </c>
      <c r="D135" t="e">
        <f ca="1">_xlfn.XLOOKUP(C135,Pareto!S:S,Pareto!T:T)</f>
        <v>#N/A</v>
      </c>
    </row>
    <row r="136" spans="1:4" x14ac:dyDescent="0.3">
      <c r="A136">
        <v>135</v>
      </c>
      <c r="B136" s="224" t="str">
        <f ca="1">IFERROR(LARGE(Pareto!W:W,A136)," ")</f>
        <v xml:space="preserve"> </v>
      </c>
      <c r="C136" t="e">
        <f ca="1">_xlfn.XLOOKUP(B136,Pareto!W:W,Pareto!S:S)</f>
        <v>#N/A</v>
      </c>
      <c r="D136" t="e">
        <f ca="1">_xlfn.XLOOKUP(C136,Pareto!S:S,Pareto!T:T)</f>
        <v>#N/A</v>
      </c>
    </row>
    <row r="137" spans="1:4" x14ac:dyDescent="0.3">
      <c r="A137">
        <v>136</v>
      </c>
      <c r="B137" s="224" t="str">
        <f ca="1">IFERROR(LARGE(Pareto!W:W,A137)," ")</f>
        <v xml:space="preserve"> </v>
      </c>
      <c r="C137" t="e">
        <f ca="1">_xlfn.XLOOKUP(B137,Pareto!W:W,Pareto!S:S)</f>
        <v>#N/A</v>
      </c>
      <c r="D137" t="e">
        <f ca="1">_xlfn.XLOOKUP(C137,Pareto!S:S,Pareto!T:T)</f>
        <v>#N/A</v>
      </c>
    </row>
    <row r="138" spans="1:4" x14ac:dyDescent="0.3">
      <c r="A138">
        <v>137</v>
      </c>
      <c r="B138" s="224" t="str">
        <f ca="1">IFERROR(LARGE(Pareto!W:W,A138)," ")</f>
        <v xml:space="preserve"> </v>
      </c>
      <c r="C138" t="e">
        <f ca="1">_xlfn.XLOOKUP(B138,Pareto!W:W,Pareto!S:S)</f>
        <v>#N/A</v>
      </c>
      <c r="D138" t="e">
        <f ca="1">_xlfn.XLOOKUP(C138,Pareto!S:S,Pareto!T:T)</f>
        <v>#N/A</v>
      </c>
    </row>
    <row r="139" spans="1:4" x14ac:dyDescent="0.3">
      <c r="A139">
        <v>138</v>
      </c>
      <c r="B139" s="224" t="str">
        <f ca="1">IFERROR(LARGE(Pareto!W:W,A139)," ")</f>
        <v xml:space="preserve"> </v>
      </c>
      <c r="C139" t="e">
        <f ca="1">_xlfn.XLOOKUP(B139,Pareto!W:W,Pareto!S:S)</f>
        <v>#N/A</v>
      </c>
      <c r="D139" t="e">
        <f ca="1">_xlfn.XLOOKUP(C139,Pareto!S:S,Pareto!T:T)</f>
        <v>#N/A</v>
      </c>
    </row>
    <row r="140" spans="1:4" x14ac:dyDescent="0.3">
      <c r="A140">
        <v>139</v>
      </c>
      <c r="B140" s="224" t="str">
        <f ca="1">IFERROR(LARGE(Pareto!W:W,A140)," ")</f>
        <v xml:space="preserve"> </v>
      </c>
      <c r="C140" t="e">
        <f ca="1">_xlfn.XLOOKUP(B140,Pareto!W:W,Pareto!S:S)</f>
        <v>#N/A</v>
      </c>
      <c r="D140" t="e">
        <f ca="1">_xlfn.XLOOKUP(C140,Pareto!S:S,Pareto!T:T)</f>
        <v>#N/A</v>
      </c>
    </row>
    <row r="141" spans="1:4" x14ac:dyDescent="0.3">
      <c r="A141">
        <v>140</v>
      </c>
      <c r="B141" s="224" t="str">
        <f ca="1">IFERROR(LARGE(Pareto!W:W,A141)," ")</f>
        <v xml:space="preserve"> </v>
      </c>
      <c r="C141" t="e">
        <f ca="1">_xlfn.XLOOKUP(B141,Pareto!W:W,Pareto!S:S)</f>
        <v>#N/A</v>
      </c>
      <c r="D141" t="e">
        <f ca="1">_xlfn.XLOOKUP(C141,Pareto!S:S,Pareto!T:T)</f>
        <v>#N/A</v>
      </c>
    </row>
    <row r="142" spans="1:4" x14ac:dyDescent="0.3">
      <c r="A142">
        <v>141</v>
      </c>
      <c r="B142" s="224" t="str">
        <f ca="1">IFERROR(LARGE(Pareto!W:W,A142)," ")</f>
        <v xml:space="preserve"> </v>
      </c>
      <c r="C142" t="e">
        <f ca="1">_xlfn.XLOOKUP(B142,Pareto!W:W,Pareto!S:S)</f>
        <v>#N/A</v>
      </c>
      <c r="D142" t="e">
        <f ca="1">_xlfn.XLOOKUP(C142,Pareto!S:S,Pareto!T:T)</f>
        <v>#N/A</v>
      </c>
    </row>
    <row r="143" spans="1:4" x14ac:dyDescent="0.3">
      <c r="A143">
        <v>142</v>
      </c>
      <c r="B143" s="224" t="str">
        <f ca="1">IFERROR(LARGE(Pareto!W:W,A143)," ")</f>
        <v xml:space="preserve"> </v>
      </c>
      <c r="C143" t="e">
        <f ca="1">_xlfn.XLOOKUP(B143,Pareto!W:W,Pareto!S:S)</f>
        <v>#N/A</v>
      </c>
      <c r="D143" t="e">
        <f ca="1">_xlfn.XLOOKUP(C143,Pareto!S:S,Pareto!T:T)</f>
        <v>#N/A</v>
      </c>
    </row>
    <row r="144" spans="1:4" x14ac:dyDescent="0.3">
      <c r="A144">
        <v>143</v>
      </c>
      <c r="B144" s="224" t="str">
        <f ca="1">IFERROR(LARGE(Pareto!W:W,A144)," ")</f>
        <v xml:space="preserve"> </v>
      </c>
      <c r="C144" t="e">
        <f ca="1">_xlfn.XLOOKUP(B144,Pareto!W:W,Pareto!S:S)</f>
        <v>#N/A</v>
      </c>
      <c r="D144" t="e">
        <f ca="1">_xlfn.XLOOKUP(C144,Pareto!S:S,Pareto!T:T)</f>
        <v>#N/A</v>
      </c>
    </row>
    <row r="145" spans="1:4" x14ac:dyDescent="0.3">
      <c r="A145">
        <v>144</v>
      </c>
      <c r="B145" s="224" t="str">
        <f ca="1">IFERROR(LARGE(Pareto!W:W,A145)," ")</f>
        <v xml:space="preserve"> </v>
      </c>
      <c r="C145" t="e">
        <f ca="1">_xlfn.XLOOKUP(B145,Pareto!W:W,Pareto!S:S)</f>
        <v>#N/A</v>
      </c>
      <c r="D145" t="e">
        <f ca="1">_xlfn.XLOOKUP(C145,Pareto!S:S,Pareto!T:T)</f>
        <v>#N/A</v>
      </c>
    </row>
    <row r="146" spans="1:4" x14ac:dyDescent="0.3">
      <c r="A146">
        <v>145</v>
      </c>
      <c r="B146" s="224" t="str">
        <f ca="1">IFERROR(LARGE(Pareto!W:W,A146)," ")</f>
        <v xml:space="preserve"> </v>
      </c>
      <c r="C146" t="e">
        <f ca="1">_xlfn.XLOOKUP(B146,Pareto!W:W,Pareto!S:S)</f>
        <v>#N/A</v>
      </c>
      <c r="D146" t="e">
        <f ca="1">_xlfn.XLOOKUP(C146,Pareto!S:S,Pareto!T:T)</f>
        <v>#N/A</v>
      </c>
    </row>
    <row r="147" spans="1:4" x14ac:dyDescent="0.3">
      <c r="A147">
        <v>146</v>
      </c>
      <c r="B147" s="224" t="str">
        <f ca="1">IFERROR(LARGE(Pareto!W:W,A147)," ")</f>
        <v xml:space="preserve"> </v>
      </c>
      <c r="C147" t="e">
        <f ca="1">_xlfn.XLOOKUP(B147,Pareto!W:W,Pareto!S:S)</f>
        <v>#N/A</v>
      </c>
      <c r="D147" t="e">
        <f ca="1">_xlfn.XLOOKUP(C147,Pareto!S:S,Pareto!T:T)</f>
        <v>#N/A</v>
      </c>
    </row>
    <row r="148" spans="1:4" x14ac:dyDescent="0.3">
      <c r="A148">
        <v>147</v>
      </c>
      <c r="B148" s="224" t="str">
        <f ca="1">IFERROR(LARGE(Pareto!W:W,A148)," ")</f>
        <v xml:space="preserve"> </v>
      </c>
      <c r="C148" t="e">
        <f ca="1">_xlfn.XLOOKUP(B148,Pareto!W:W,Pareto!S:S)</f>
        <v>#N/A</v>
      </c>
      <c r="D148" t="e">
        <f ca="1">_xlfn.XLOOKUP(C148,Pareto!S:S,Pareto!T:T)</f>
        <v>#N/A</v>
      </c>
    </row>
    <row r="149" spans="1:4" x14ac:dyDescent="0.3">
      <c r="A149">
        <v>148</v>
      </c>
      <c r="B149" s="224" t="str">
        <f ca="1">IFERROR(LARGE(Pareto!W:W,A149)," ")</f>
        <v xml:space="preserve"> </v>
      </c>
      <c r="C149" t="e">
        <f ca="1">_xlfn.XLOOKUP(B149,Pareto!W:W,Pareto!S:S)</f>
        <v>#N/A</v>
      </c>
      <c r="D149" t="e">
        <f ca="1">_xlfn.XLOOKUP(C149,Pareto!S:S,Pareto!T:T)</f>
        <v>#N/A</v>
      </c>
    </row>
    <row r="150" spans="1:4" x14ac:dyDescent="0.3">
      <c r="A150">
        <v>149</v>
      </c>
      <c r="B150" s="224" t="str">
        <f ca="1">IFERROR(LARGE(Pareto!W:W,A150)," ")</f>
        <v xml:space="preserve"> </v>
      </c>
      <c r="C150" t="e">
        <f ca="1">_xlfn.XLOOKUP(B150,Pareto!W:W,Pareto!S:S)</f>
        <v>#N/A</v>
      </c>
      <c r="D150" t="e">
        <f ca="1">_xlfn.XLOOKUP(C150,Pareto!S:S,Pareto!T:T)</f>
        <v>#N/A</v>
      </c>
    </row>
    <row r="151" spans="1:4" x14ac:dyDescent="0.3">
      <c r="A151">
        <v>150</v>
      </c>
      <c r="B151" s="224" t="str">
        <f ca="1">IFERROR(LARGE(Pareto!W:W,A151)," ")</f>
        <v xml:space="preserve"> </v>
      </c>
      <c r="C151" t="e">
        <f ca="1">_xlfn.XLOOKUP(B151,Pareto!W:W,Pareto!S:S)</f>
        <v>#N/A</v>
      </c>
      <c r="D151" t="e">
        <f ca="1">_xlfn.XLOOKUP(C151,Pareto!S:S,Pareto!T:T)</f>
        <v>#N/A</v>
      </c>
    </row>
    <row r="152" spans="1:4" x14ac:dyDescent="0.3">
      <c r="A152">
        <v>151</v>
      </c>
      <c r="B152" s="224" t="str">
        <f ca="1">IFERROR(LARGE(Pareto!W:W,A152)," ")</f>
        <v xml:space="preserve"> </v>
      </c>
      <c r="C152" t="e">
        <f ca="1">_xlfn.XLOOKUP(B152,Pareto!W:W,Pareto!S:S)</f>
        <v>#N/A</v>
      </c>
      <c r="D152" t="e">
        <f ca="1">_xlfn.XLOOKUP(C152,Pareto!S:S,Pareto!T:T)</f>
        <v>#N/A</v>
      </c>
    </row>
    <row r="153" spans="1:4" x14ac:dyDescent="0.3">
      <c r="A153">
        <v>152</v>
      </c>
      <c r="B153" s="224" t="str">
        <f ca="1">IFERROR(LARGE(Pareto!W:W,A153)," ")</f>
        <v xml:space="preserve"> </v>
      </c>
      <c r="C153" t="e">
        <f ca="1">_xlfn.XLOOKUP(B153,Pareto!W:W,Pareto!S:S)</f>
        <v>#N/A</v>
      </c>
      <c r="D153" t="e">
        <f ca="1">_xlfn.XLOOKUP(C153,Pareto!S:S,Pareto!T:T)</f>
        <v>#N/A</v>
      </c>
    </row>
    <row r="154" spans="1:4" x14ac:dyDescent="0.3">
      <c r="A154">
        <v>153</v>
      </c>
      <c r="B154" s="224" t="str">
        <f ca="1">IFERROR(LARGE(Pareto!W:W,A154)," ")</f>
        <v xml:space="preserve"> </v>
      </c>
      <c r="C154" t="e">
        <f ca="1">_xlfn.XLOOKUP(B154,Pareto!W:W,Pareto!S:S)</f>
        <v>#N/A</v>
      </c>
      <c r="D154" t="e">
        <f ca="1">_xlfn.XLOOKUP(C154,Pareto!S:S,Pareto!T:T)</f>
        <v>#N/A</v>
      </c>
    </row>
    <row r="155" spans="1:4" x14ac:dyDescent="0.3">
      <c r="A155">
        <v>154</v>
      </c>
      <c r="B155" s="224" t="str">
        <f ca="1">IFERROR(LARGE(Pareto!W:W,A155)," ")</f>
        <v xml:space="preserve"> </v>
      </c>
      <c r="C155" t="e">
        <f ca="1">_xlfn.XLOOKUP(B155,Pareto!W:W,Pareto!S:S)</f>
        <v>#N/A</v>
      </c>
      <c r="D155" t="e">
        <f ca="1">_xlfn.XLOOKUP(C155,Pareto!S:S,Pareto!T:T)</f>
        <v>#N/A</v>
      </c>
    </row>
    <row r="156" spans="1:4" x14ac:dyDescent="0.3">
      <c r="A156">
        <v>155</v>
      </c>
      <c r="B156" s="224" t="str">
        <f ca="1">IFERROR(LARGE(Pareto!W:W,A156)," ")</f>
        <v xml:space="preserve"> </v>
      </c>
      <c r="C156" t="e">
        <f ca="1">_xlfn.XLOOKUP(B156,Pareto!W:W,Pareto!S:S)</f>
        <v>#N/A</v>
      </c>
      <c r="D156" t="e">
        <f ca="1">_xlfn.XLOOKUP(C156,Pareto!S:S,Pareto!T:T)</f>
        <v>#N/A</v>
      </c>
    </row>
    <row r="157" spans="1:4" x14ac:dyDescent="0.3">
      <c r="A157">
        <v>156</v>
      </c>
      <c r="B157" s="224" t="str">
        <f ca="1">IFERROR(LARGE(Pareto!W:W,A157)," ")</f>
        <v xml:space="preserve"> </v>
      </c>
      <c r="C157" t="e">
        <f ca="1">_xlfn.XLOOKUP(B157,Pareto!W:W,Pareto!S:S)</f>
        <v>#N/A</v>
      </c>
      <c r="D157" t="e">
        <f ca="1">_xlfn.XLOOKUP(C157,Pareto!S:S,Pareto!T:T)</f>
        <v>#N/A</v>
      </c>
    </row>
    <row r="158" spans="1:4" x14ac:dyDescent="0.3">
      <c r="A158">
        <v>157</v>
      </c>
      <c r="B158" s="224" t="str">
        <f ca="1">IFERROR(LARGE(Pareto!W:W,A158)," ")</f>
        <v xml:space="preserve"> </v>
      </c>
      <c r="C158" t="e">
        <f ca="1">_xlfn.XLOOKUP(B158,Pareto!W:W,Pareto!S:S)</f>
        <v>#N/A</v>
      </c>
      <c r="D158" t="e">
        <f ca="1">_xlfn.XLOOKUP(C158,Pareto!S:S,Pareto!T:T)</f>
        <v>#N/A</v>
      </c>
    </row>
    <row r="159" spans="1:4" x14ac:dyDescent="0.3">
      <c r="A159">
        <v>158</v>
      </c>
      <c r="B159" s="224" t="str">
        <f ca="1">IFERROR(LARGE(Pareto!W:W,A159)," ")</f>
        <v xml:space="preserve"> </v>
      </c>
      <c r="C159" t="e">
        <f ca="1">_xlfn.XLOOKUP(B159,Pareto!W:W,Pareto!S:S)</f>
        <v>#N/A</v>
      </c>
      <c r="D159" t="e">
        <f ca="1">_xlfn.XLOOKUP(C159,Pareto!S:S,Pareto!T:T)</f>
        <v>#N/A</v>
      </c>
    </row>
    <row r="160" spans="1:4" x14ac:dyDescent="0.3">
      <c r="A160">
        <v>159</v>
      </c>
      <c r="B160" s="224" t="str">
        <f ca="1">IFERROR(LARGE(Pareto!W:W,A160)," ")</f>
        <v xml:space="preserve"> </v>
      </c>
      <c r="C160" t="e">
        <f ca="1">_xlfn.XLOOKUP(B160,Pareto!W:W,Pareto!S:S)</f>
        <v>#N/A</v>
      </c>
      <c r="D160" t="e">
        <f ca="1">_xlfn.XLOOKUP(C160,Pareto!S:S,Pareto!T:T)</f>
        <v>#N/A</v>
      </c>
    </row>
    <row r="161" spans="1:4" x14ac:dyDescent="0.3">
      <c r="A161">
        <v>160</v>
      </c>
      <c r="B161" s="224" t="str">
        <f ca="1">IFERROR(LARGE(Pareto!W:W,A161)," ")</f>
        <v xml:space="preserve"> </v>
      </c>
      <c r="C161" t="e">
        <f ca="1">_xlfn.XLOOKUP(B161,Pareto!W:W,Pareto!S:S)</f>
        <v>#N/A</v>
      </c>
      <c r="D161" t="e">
        <f ca="1">_xlfn.XLOOKUP(C161,Pareto!S:S,Pareto!T:T)</f>
        <v>#N/A</v>
      </c>
    </row>
    <row r="162" spans="1:4" x14ac:dyDescent="0.3">
      <c r="A162">
        <v>161</v>
      </c>
      <c r="B162" s="224" t="str">
        <f ca="1">IFERROR(LARGE(Pareto!W:W,A162)," ")</f>
        <v xml:space="preserve"> </v>
      </c>
      <c r="C162" t="e">
        <f ca="1">_xlfn.XLOOKUP(B162,Pareto!W:W,Pareto!S:S)</f>
        <v>#N/A</v>
      </c>
      <c r="D162" t="e">
        <f ca="1">_xlfn.XLOOKUP(C162,Pareto!S:S,Pareto!T:T)</f>
        <v>#N/A</v>
      </c>
    </row>
    <row r="163" spans="1:4" x14ac:dyDescent="0.3">
      <c r="A163">
        <v>162</v>
      </c>
      <c r="B163" s="224" t="str">
        <f ca="1">IFERROR(LARGE(Pareto!W:W,A163)," ")</f>
        <v xml:space="preserve"> </v>
      </c>
      <c r="C163" t="e">
        <f ca="1">_xlfn.XLOOKUP(B163,Pareto!W:W,Pareto!S:S)</f>
        <v>#N/A</v>
      </c>
      <c r="D163" t="e">
        <f ca="1">_xlfn.XLOOKUP(C163,Pareto!S:S,Pareto!T:T)</f>
        <v>#N/A</v>
      </c>
    </row>
    <row r="164" spans="1:4" x14ac:dyDescent="0.3">
      <c r="A164">
        <v>163</v>
      </c>
      <c r="B164" s="224" t="str">
        <f ca="1">IFERROR(LARGE(Pareto!W:W,A164)," ")</f>
        <v xml:space="preserve"> </v>
      </c>
      <c r="C164" t="e">
        <f ca="1">_xlfn.XLOOKUP(B164,Pareto!W:W,Pareto!S:S)</f>
        <v>#N/A</v>
      </c>
      <c r="D164" t="e">
        <f ca="1">_xlfn.XLOOKUP(C164,Pareto!S:S,Pareto!T:T)</f>
        <v>#N/A</v>
      </c>
    </row>
    <row r="165" spans="1:4" x14ac:dyDescent="0.3">
      <c r="A165">
        <v>164</v>
      </c>
      <c r="B165" s="224" t="str">
        <f ca="1">IFERROR(LARGE(Pareto!W:W,A165)," ")</f>
        <v xml:space="preserve"> </v>
      </c>
      <c r="C165" t="e">
        <f ca="1">_xlfn.XLOOKUP(B165,Pareto!W:W,Pareto!S:S)</f>
        <v>#N/A</v>
      </c>
      <c r="D165" t="e">
        <f ca="1">_xlfn.XLOOKUP(C165,Pareto!S:S,Pareto!T:T)</f>
        <v>#N/A</v>
      </c>
    </row>
    <row r="166" spans="1:4" x14ac:dyDescent="0.3">
      <c r="A166">
        <v>165</v>
      </c>
      <c r="B166" s="224" t="str">
        <f ca="1">IFERROR(LARGE(Pareto!W:W,A166)," ")</f>
        <v xml:space="preserve"> </v>
      </c>
      <c r="C166" t="e">
        <f ca="1">_xlfn.XLOOKUP(B166,Pareto!W:W,Pareto!S:S)</f>
        <v>#N/A</v>
      </c>
      <c r="D166" t="e">
        <f ca="1">_xlfn.XLOOKUP(C166,Pareto!S:S,Pareto!T:T)</f>
        <v>#N/A</v>
      </c>
    </row>
    <row r="167" spans="1:4" x14ac:dyDescent="0.3">
      <c r="A167">
        <v>166</v>
      </c>
      <c r="B167" s="224" t="str">
        <f ca="1">IFERROR(LARGE(Pareto!W:W,A167)," ")</f>
        <v xml:space="preserve"> </v>
      </c>
      <c r="C167" t="e">
        <f ca="1">_xlfn.XLOOKUP(B167,Pareto!W:W,Pareto!S:S)</f>
        <v>#N/A</v>
      </c>
      <c r="D167" t="e">
        <f ca="1">_xlfn.XLOOKUP(C167,Pareto!S:S,Pareto!T:T)</f>
        <v>#N/A</v>
      </c>
    </row>
    <row r="168" spans="1:4" x14ac:dyDescent="0.3">
      <c r="A168">
        <v>167</v>
      </c>
      <c r="B168" s="224" t="str">
        <f ca="1">IFERROR(LARGE(Pareto!W:W,A168)," ")</f>
        <v xml:space="preserve"> </v>
      </c>
      <c r="C168" t="e">
        <f ca="1">_xlfn.XLOOKUP(B168,Pareto!W:W,Pareto!S:S)</f>
        <v>#N/A</v>
      </c>
      <c r="D168" t="e">
        <f ca="1">_xlfn.XLOOKUP(C168,Pareto!S:S,Pareto!T:T)</f>
        <v>#N/A</v>
      </c>
    </row>
    <row r="169" spans="1:4" x14ac:dyDescent="0.3">
      <c r="A169">
        <v>168</v>
      </c>
      <c r="B169" s="224" t="str">
        <f ca="1">IFERROR(LARGE(Pareto!W:W,A169)," ")</f>
        <v xml:space="preserve"> </v>
      </c>
      <c r="C169" t="e">
        <f ca="1">_xlfn.XLOOKUP(B169,Pareto!W:W,Pareto!S:S)</f>
        <v>#N/A</v>
      </c>
      <c r="D169" t="e">
        <f ca="1">_xlfn.XLOOKUP(C169,Pareto!S:S,Pareto!T:T)</f>
        <v>#N/A</v>
      </c>
    </row>
    <row r="170" spans="1:4" x14ac:dyDescent="0.3">
      <c r="A170">
        <v>169</v>
      </c>
      <c r="B170" s="224" t="str">
        <f ca="1">IFERROR(LARGE(Pareto!W:W,A170)," ")</f>
        <v xml:space="preserve"> </v>
      </c>
      <c r="C170" t="e">
        <f ca="1">_xlfn.XLOOKUP(B170,Pareto!W:W,Pareto!S:S)</f>
        <v>#N/A</v>
      </c>
      <c r="D170" t="e">
        <f ca="1">_xlfn.XLOOKUP(C170,Pareto!S:S,Pareto!T:T)</f>
        <v>#N/A</v>
      </c>
    </row>
    <row r="171" spans="1:4" x14ac:dyDescent="0.3">
      <c r="A171">
        <v>170</v>
      </c>
      <c r="B171" s="224" t="str">
        <f ca="1">IFERROR(LARGE(Pareto!W:W,A171)," ")</f>
        <v xml:space="preserve"> </v>
      </c>
      <c r="C171" t="e">
        <f ca="1">_xlfn.XLOOKUP(B171,Pareto!W:W,Pareto!S:S)</f>
        <v>#N/A</v>
      </c>
      <c r="D171" t="e">
        <f ca="1">_xlfn.XLOOKUP(C171,Pareto!S:S,Pareto!T:T)</f>
        <v>#N/A</v>
      </c>
    </row>
    <row r="172" spans="1:4" x14ac:dyDescent="0.3">
      <c r="A172">
        <v>171</v>
      </c>
      <c r="B172" s="224" t="str">
        <f ca="1">IFERROR(LARGE(Pareto!W:W,A172)," ")</f>
        <v xml:space="preserve"> </v>
      </c>
      <c r="C172" t="e">
        <f ca="1">_xlfn.XLOOKUP(B172,Pareto!W:W,Pareto!S:S)</f>
        <v>#N/A</v>
      </c>
      <c r="D172" t="e">
        <f ca="1">_xlfn.XLOOKUP(C172,Pareto!S:S,Pareto!T:T)</f>
        <v>#N/A</v>
      </c>
    </row>
    <row r="173" spans="1:4" x14ac:dyDescent="0.3">
      <c r="A173">
        <v>172</v>
      </c>
      <c r="B173" s="224" t="str">
        <f ca="1">IFERROR(LARGE(Pareto!W:W,A173)," ")</f>
        <v xml:space="preserve"> </v>
      </c>
      <c r="C173" t="e">
        <f ca="1">_xlfn.XLOOKUP(B173,Pareto!W:W,Pareto!S:S)</f>
        <v>#N/A</v>
      </c>
      <c r="D173" t="e">
        <f ca="1">_xlfn.XLOOKUP(C173,Pareto!S:S,Pareto!T:T)</f>
        <v>#N/A</v>
      </c>
    </row>
    <row r="174" spans="1:4" x14ac:dyDescent="0.3">
      <c r="A174">
        <v>173</v>
      </c>
      <c r="B174" s="224" t="str">
        <f ca="1">IFERROR(LARGE(Pareto!W:W,A174)," ")</f>
        <v xml:space="preserve"> </v>
      </c>
      <c r="C174" t="e">
        <f ca="1">_xlfn.XLOOKUP(B174,Pareto!W:W,Pareto!S:S)</f>
        <v>#N/A</v>
      </c>
      <c r="D174" t="e">
        <f ca="1">_xlfn.XLOOKUP(C174,Pareto!S:S,Pareto!T:T)</f>
        <v>#N/A</v>
      </c>
    </row>
    <row r="175" spans="1:4" x14ac:dyDescent="0.3">
      <c r="A175">
        <v>174</v>
      </c>
      <c r="B175" s="224" t="str">
        <f ca="1">IFERROR(LARGE(Pareto!W:W,A175)," ")</f>
        <v xml:space="preserve"> </v>
      </c>
      <c r="C175" t="e">
        <f ca="1">_xlfn.XLOOKUP(B175,Pareto!W:W,Pareto!S:S)</f>
        <v>#N/A</v>
      </c>
      <c r="D175" t="e">
        <f ca="1">_xlfn.XLOOKUP(C175,Pareto!S:S,Pareto!T:T)</f>
        <v>#N/A</v>
      </c>
    </row>
    <row r="176" spans="1:4" x14ac:dyDescent="0.3">
      <c r="A176">
        <v>175</v>
      </c>
      <c r="B176" s="224" t="str">
        <f ca="1">IFERROR(LARGE(Pareto!W:W,A176)," ")</f>
        <v xml:space="preserve"> </v>
      </c>
      <c r="C176" t="e">
        <f ca="1">_xlfn.XLOOKUP(B176,Pareto!W:W,Pareto!S:S)</f>
        <v>#N/A</v>
      </c>
      <c r="D176" t="e">
        <f ca="1">_xlfn.XLOOKUP(C176,Pareto!S:S,Pareto!T:T)</f>
        <v>#N/A</v>
      </c>
    </row>
    <row r="177" spans="1:4" x14ac:dyDescent="0.3">
      <c r="A177">
        <v>176</v>
      </c>
      <c r="B177" s="224" t="str">
        <f ca="1">IFERROR(LARGE(Pareto!W:W,A177)," ")</f>
        <v xml:space="preserve"> </v>
      </c>
      <c r="C177" t="e">
        <f ca="1">_xlfn.XLOOKUP(B177,Pareto!W:W,Pareto!S:S)</f>
        <v>#N/A</v>
      </c>
      <c r="D177" t="e">
        <f ca="1">_xlfn.XLOOKUP(C177,Pareto!S:S,Pareto!T:T)</f>
        <v>#N/A</v>
      </c>
    </row>
    <row r="178" spans="1:4" x14ac:dyDescent="0.3">
      <c r="A178">
        <v>177</v>
      </c>
      <c r="B178" s="224" t="str">
        <f ca="1">IFERROR(LARGE(Pareto!W:W,A178)," ")</f>
        <v xml:space="preserve"> </v>
      </c>
      <c r="C178" t="e">
        <f ca="1">_xlfn.XLOOKUP(B178,Pareto!W:W,Pareto!S:S)</f>
        <v>#N/A</v>
      </c>
      <c r="D178" t="e">
        <f ca="1">_xlfn.XLOOKUP(C178,Pareto!S:S,Pareto!T:T)</f>
        <v>#N/A</v>
      </c>
    </row>
    <row r="179" spans="1:4" x14ac:dyDescent="0.3">
      <c r="A179">
        <v>178</v>
      </c>
      <c r="B179" s="224" t="str">
        <f ca="1">IFERROR(LARGE(Pareto!W:W,A179)," ")</f>
        <v xml:space="preserve"> </v>
      </c>
      <c r="C179" t="e">
        <f ca="1">_xlfn.XLOOKUP(B179,Pareto!W:W,Pareto!S:S)</f>
        <v>#N/A</v>
      </c>
      <c r="D179" t="e">
        <f ca="1">_xlfn.XLOOKUP(C179,Pareto!S:S,Pareto!T:T)</f>
        <v>#N/A</v>
      </c>
    </row>
    <row r="180" spans="1:4" x14ac:dyDescent="0.3">
      <c r="A180">
        <v>179</v>
      </c>
      <c r="B180" s="224" t="str">
        <f ca="1">IFERROR(LARGE(Pareto!W:W,A180)," ")</f>
        <v xml:space="preserve"> </v>
      </c>
      <c r="C180" t="e">
        <f ca="1">_xlfn.XLOOKUP(B180,Pareto!W:W,Pareto!S:S)</f>
        <v>#N/A</v>
      </c>
      <c r="D180" t="e">
        <f ca="1">_xlfn.XLOOKUP(C180,Pareto!S:S,Pareto!T:T)</f>
        <v>#N/A</v>
      </c>
    </row>
    <row r="181" spans="1:4" x14ac:dyDescent="0.3">
      <c r="A181">
        <v>180</v>
      </c>
      <c r="B181" s="224" t="str">
        <f ca="1">IFERROR(LARGE(Pareto!W:W,A181)," ")</f>
        <v xml:space="preserve"> </v>
      </c>
      <c r="C181" t="e">
        <f ca="1">_xlfn.XLOOKUP(B181,Pareto!W:W,Pareto!S:S)</f>
        <v>#N/A</v>
      </c>
      <c r="D181" t="e">
        <f ca="1">_xlfn.XLOOKUP(C181,Pareto!S:S,Pareto!T:T)</f>
        <v>#N/A</v>
      </c>
    </row>
    <row r="182" spans="1:4" x14ac:dyDescent="0.3">
      <c r="A182">
        <v>181</v>
      </c>
      <c r="B182" s="224" t="str">
        <f ca="1">IFERROR(LARGE(Pareto!W:W,A182)," ")</f>
        <v xml:space="preserve"> </v>
      </c>
      <c r="C182" t="e">
        <f ca="1">_xlfn.XLOOKUP(B182,Pareto!W:W,Pareto!S:S)</f>
        <v>#N/A</v>
      </c>
      <c r="D182" t="e">
        <f ca="1">_xlfn.XLOOKUP(C182,Pareto!S:S,Pareto!T:T)</f>
        <v>#N/A</v>
      </c>
    </row>
    <row r="183" spans="1:4" x14ac:dyDescent="0.3">
      <c r="A183">
        <v>182</v>
      </c>
      <c r="B183" s="224" t="str">
        <f ca="1">IFERROR(LARGE(Pareto!W:W,A183)," ")</f>
        <v xml:space="preserve"> </v>
      </c>
      <c r="C183" t="e">
        <f ca="1">_xlfn.XLOOKUP(B183,Pareto!W:W,Pareto!S:S)</f>
        <v>#N/A</v>
      </c>
      <c r="D183" t="e">
        <f ca="1">_xlfn.XLOOKUP(C183,Pareto!S:S,Pareto!T:T)</f>
        <v>#N/A</v>
      </c>
    </row>
    <row r="184" spans="1:4" x14ac:dyDescent="0.3">
      <c r="A184">
        <v>183</v>
      </c>
      <c r="B184" s="224" t="str">
        <f ca="1">IFERROR(LARGE(Pareto!W:W,A184)," ")</f>
        <v xml:space="preserve"> </v>
      </c>
      <c r="C184" t="e">
        <f ca="1">_xlfn.XLOOKUP(B184,Pareto!W:W,Pareto!S:S)</f>
        <v>#N/A</v>
      </c>
      <c r="D184" t="e">
        <f ca="1">_xlfn.XLOOKUP(C184,Pareto!S:S,Pareto!T:T)</f>
        <v>#N/A</v>
      </c>
    </row>
    <row r="185" spans="1:4" x14ac:dyDescent="0.3">
      <c r="A185">
        <v>184</v>
      </c>
      <c r="B185" s="224" t="str">
        <f ca="1">IFERROR(LARGE(Pareto!W:W,A185)," ")</f>
        <v xml:space="preserve"> </v>
      </c>
      <c r="C185" t="e">
        <f ca="1">_xlfn.XLOOKUP(B185,Pareto!W:W,Pareto!S:S)</f>
        <v>#N/A</v>
      </c>
      <c r="D185" t="e">
        <f ca="1">_xlfn.XLOOKUP(C185,Pareto!S:S,Pareto!T:T)</f>
        <v>#N/A</v>
      </c>
    </row>
    <row r="186" spans="1:4" x14ac:dyDescent="0.3">
      <c r="A186">
        <v>185</v>
      </c>
      <c r="B186" s="224" t="str">
        <f ca="1">IFERROR(LARGE(Pareto!W:W,A186)," ")</f>
        <v xml:space="preserve"> </v>
      </c>
      <c r="C186" t="e">
        <f ca="1">_xlfn.XLOOKUP(B186,Pareto!W:W,Pareto!S:S)</f>
        <v>#N/A</v>
      </c>
      <c r="D186" t="e">
        <f ca="1">_xlfn.XLOOKUP(C186,Pareto!S:S,Pareto!T:T)</f>
        <v>#N/A</v>
      </c>
    </row>
    <row r="187" spans="1:4" x14ac:dyDescent="0.3">
      <c r="A187">
        <v>186</v>
      </c>
      <c r="B187" s="224" t="str">
        <f ca="1">IFERROR(LARGE(Pareto!W:W,A187)," ")</f>
        <v xml:space="preserve"> </v>
      </c>
      <c r="C187" t="e">
        <f ca="1">_xlfn.XLOOKUP(B187,Pareto!W:W,Pareto!S:S)</f>
        <v>#N/A</v>
      </c>
      <c r="D187" t="e">
        <f ca="1">_xlfn.XLOOKUP(C187,Pareto!S:S,Pareto!T:T)</f>
        <v>#N/A</v>
      </c>
    </row>
    <row r="188" spans="1:4" x14ac:dyDescent="0.3">
      <c r="A188">
        <v>187</v>
      </c>
      <c r="B188" s="224" t="str">
        <f ca="1">IFERROR(LARGE(Pareto!W:W,A188)," ")</f>
        <v xml:space="preserve"> </v>
      </c>
      <c r="C188" t="e">
        <f ca="1">_xlfn.XLOOKUP(B188,Pareto!W:W,Pareto!S:S)</f>
        <v>#N/A</v>
      </c>
      <c r="D188" t="e">
        <f ca="1">_xlfn.XLOOKUP(C188,Pareto!S:S,Pareto!T:T)</f>
        <v>#N/A</v>
      </c>
    </row>
    <row r="189" spans="1:4" x14ac:dyDescent="0.3">
      <c r="A189">
        <v>188</v>
      </c>
      <c r="B189" s="224" t="str">
        <f ca="1">IFERROR(LARGE(Pareto!W:W,A189)," ")</f>
        <v xml:space="preserve"> </v>
      </c>
      <c r="C189" t="e">
        <f ca="1">_xlfn.XLOOKUP(B189,Pareto!W:W,Pareto!S:S)</f>
        <v>#N/A</v>
      </c>
      <c r="D189" t="e">
        <f ca="1">_xlfn.XLOOKUP(C189,Pareto!S:S,Pareto!T:T)</f>
        <v>#N/A</v>
      </c>
    </row>
    <row r="190" spans="1:4" x14ac:dyDescent="0.3">
      <c r="A190">
        <v>189</v>
      </c>
      <c r="B190" s="224" t="str">
        <f ca="1">IFERROR(LARGE(Pareto!W:W,A190)," ")</f>
        <v xml:space="preserve"> </v>
      </c>
      <c r="C190" t="e">
        <f ca="1">_xlfn.XLOOKUP(B190,Pareto!W:W,Pareto!S:S)</f>
        <v>#N/A</v>
      </c>
      <c r="D190" t="e">
        <f ca="1">_xlfn.XLOOKUP(C190,Pareto!S:S,Pareto!T:T)</f>
        <v>#N/A</v>
      </c>
    </row>
    <row r="191" spans="1:4" x14ac:dyDescent="0.3">
      <c r="A191">
        <v>190</v>
      </c>
      <c r="B191" s="224" t="str">
        <f ca="1">IFERROR(LARGE(Pareto!W:W,A191)," ")</f>
        <v xml:space="preserve"> </v>
      </c>
      <c r="C191" t="e">
        <f ca="1">_xlfn.XLOOKUP(B191,Pareto!W:W,Pareto!S:S)</f>
        <v>#N/A</v>
      </c>
      <c r="D191" t="e">
        <f ca="1">_xlfn.XLOOKUP(C191,Pareto!S:S,Pareto!T:T)</f>
        <v>#N/A</v>
      </c>
    </row>
    <row r="192" spans="1:4" x14ac:dyDescent="0.3">
      <c r="A192">
        <v>191</v>
      </c>
      <c r="B192" s="224" t="str">
        <f ca="1">IFERROR(LARGE(Pareto!W:W,A192)," ")</f>
        <v xml:space="preserve"> </v>
      </c>
      <c r="C192" t="e">
        <f ca="1">_xlfn.XLOOKUP(B192,Pareto!W:W,Pareto!S:S)</f>
        <v>#N/A</v>
      </c>
      <c r="D192" t="e">
        <f ca="1">_xlfn.XLOOKUP(C192,Pareto!S:S,Pareto!T:T)</f>
        <v>#N/A</v>
      </c>
    </row>
    <row r="193" spans="1:4" x14ac:dyDescent="0.3">
      <c r="A193">
        <v>192</v>
      </c>
      <c r="B193" s="224" t="str">
        <f ca="1">IFERROR(LARGE(Pareto!W:W,A193)," ")</f>
        <v xml:space="preserve"> </v>
      </c>
      <c r="C193" t="e">
        <f ca="1">_xlfn.XLOOKUP(B193,Pareto!W:W,Pareto!S:S)</f>
        <v>#N/A</v>
      </c>
      <c r="D193" t="e">
        <f ca="1">_xlfn.XLOOKUP(C193,Pareto!S:S,Pareto!T:T)</f>
        <v>#N/A</v>
      </c>
    </row>
    <row r="194" spans="1:4" x14ac:dyDescent="0.3">
      <c r="A194">
        <v>193</v>
      </c>
      <c r="B194" s="224" t="str">
        <f ca="1">IFERROR(LARGE(Pareto!W:W,A194)," ")</f>
        <v xml:space="preserve"> </v>
      </c>
      <c r="C194" t="e">
        <f ca="1">_xlfn.XLOOKUP(B194,Pareto!W:W,Pareto!S:S)</f>
        <v>#N/A</v>
      </c>
      <c r="D194" t="e">
        <f ca="1">_xlfn.XLOOKUP(C194,Pareto!S:S,Pareto!T:T)</f>
        <v>#N/A</v>
      </c>
    </row>
    <row r="195" spans="1:4" x14ac:dyDescent="0.3">
      <c r="A195">
        <v>194</v>
      </c>
      <c r="B195" s="224" t="str">
        <f ca="1">IFERROR(LARGE(Pareto!W:W,A195)," ")</f>
        <v xml:space="preserve"> </v>
      </c>
      <c r="C195" t="e">
        <f ca="1">_xlfn.XLOOKUP(B195,Pareto!W:W,Pareto!S:S)</f>
        <v>#N/A</v>
      </c>
      <c r="D195" t="e">
        <f ca="1">_xlfn.XLOOKUP(C195,Pareto!S:S,Pareto!T:T)</f>
        <v>#N/A</v>
      </c>
    </row>
    <row r="196" spans="1:4" x14ac:dyDescent="0.3">
      <c r="A196">
        <v>195</v>
      </c>
      <c r="B196" s="224" t="str">
        <f ca="1">IFERROR(LARGE(Pareto!W:W,A196)," ")</f>
        <v xml:space="preserve"> </v>
      </c>
      <c r="C196" t="e">
        <f ca="1">_xlfn.XLOOKUP(B196,Pareto!W:W,Pareto!S:S)</f>
        <v>#N/A</v>
      </c>
      <c r="D196" t="e">
        <f ca="1">_xlfn.XLOOKUP(C196,Pareto!S:S,Pareto!T:T)</f>
        <v>#N/A</v>
      </c>
    </row>
    <row r="197" spans="1:4" x14ac:dyDescent="0.3">
      <c r="A197">
        <v>196</v>
      </c>
      <c r="B197" s="224" t="str">
        <f ca="1">IFERROR(LARGE(Pareto!W:W,A197)," ")</f>
        <v xml:space="preserve"> </v>
      </c>
      <c r="C197" t="e">
        <f ca="1">_xlfn.XLOOKUP(B197,Pareto!W:W,Pareto!S:S)</f>
        <v>#N/A</v>
      </c>
      <c r="D197" t="e">
        <f ca="1">_xlfn.XLOOKUP(C197,Pareto!S:S,Pareto!T:T)</f>
        <v>#N/A</v>
      </c>
    </row>
    <row r="198" spans="1:4" x14ac:dyDescent="0.3">
      <c r="A198">
        <v>197</v>
      </c>
      <c r="B198" s="224" t="str">
        <f ca="1">IFERROR(LARGE(Pareto!W:W,A198)," ")</f>
        <v xml:space="preserve"> </v>
      </c>
      <c r="C198" t="e">
        <f ca="1">_xlfn.XLOOKUP(B198,Pareto!W:W,Pareto!S:S)</f>
        <v>#N/A</v>
      </c>
      <c r="D198" t="e">
        <f ca="1">_xlfn.XLOOKUP(C198,Pareto!S:S,Pareto!T:T)</f>
        <v>#N/A</v>
      </c>
    </row>
    <row r="199" spans="1:4" x14ac:dyDescent="0.3">
      <c r="A199">
        <v>198</v>
      </c>
      <c r="B199" s="224" t="str">
        <f ca="1">IFERROR(LARGE(Pareto!W:W,A199)," ")</f>
        <v xml:space="preserve"> </v>
      </c>
      <c r="C199" t="e">
        <f ca="1">_xlfn.XLOOKUP(B199,Pareto!W:W,Pareto!S:S)</f>
        <v>#N/A</v>
      </c>
      <c r="D199" t="e">
        <f ca="1">_xlfn.XLOOKUP(C199,Pareto!S:S,Pareto!T:T)</f>
        <v>#N/A</v>
      </c>
    </row>
    <row r="200" spans="1:4" x14ac:dyDescent="0.3">
      <c r="A200">
        <v>199</v>
      </c>
      <c r="B200" s="224" t="str">
        <f ca="1">IFERROR(LARGE(Pareto!W:W,A200)," ")</f>
        <v xml:space="preserve"> </v>
      </c>
      <c r="C200" t="e">
        <f ca="1">_xlfn.XLOOKUP(B200,Pareto!W:W,Pareto!S:S)</f>
        <v>#N/A</v>
      </c>
      <c r="D200" t="e">
        <f ca="1">_xlfn.XLOOKUP(C200,Pareto!S:S,Pareto!T:T)</f>
        <v>#N/A</v>
      </c>
    </row>
    <row r="201" spans="1:4" x14ac:dyDescent="0.3">
      <c r="A201">
        <v>200</v>
      </c>
      <c r="B201" s="224" t="str">
        <f ca="1">IFERROR(LARGE(Pareto!W:W,A201)," ")</f>
        <v xml:space="preserve"> </v>
      </c>
      <c r="C201" t="e">
        <f ca="1">_xlfn.XLOOKUP(B201,Pareto!W:W,Pareto!S:S)</f>
        <v>#N/A</v>
      </c>
      <c r="D201" t="e">
        <f ca="1">_xlfn.XLOOKUP(C201,Pareto!S:S,Pareto!T:T)</f>
        <v>#N/A</v>
      </c>
    </row>
  </sheetData>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77255-D4EC-4A07-AFDC-53B2A8646398}">
  <sheetPr filterMode="1"/>
  <dimension ref="A1:N501"/>
  <sheetViews>
    <sheetView topLeftCell="A37" workbookViewId="0">
      <selection activeCell="G39" sqref="G39"/>
    </sheetView>
  </sheetViews>
  <sheetFormatPr defaultRowHeight="14.4" x14ac:dyDescent="0.3"/>
  <cols>
    <col min="2" max="2" width="96.44140625" bestFit="1" customWidth="1"/>
    <col min="3" max="3" width="15.44140625" bestFit="1" customWidth="1"/>
    <col min="4" max="4" width="15.5546875" bestFit="1" customWidth="1"/>
    <col min="5" max="5" width="14" bestFit="1" customWidth="1"/>
    <col min="7" max="7" width="15.44140625" bestFit="1" customWidth="1"/>
    <col min="10" max="10" width="15.44140625" bestFit="1" customWidth="1"/>
  </cols>
  <sheetData>
    <row r="1" spans="1:14" x14ac:dyDescent="0.3">
      <c r="G1" t="s">
        <v>81</v>
      </c>
      <c r="J1" t="s">
        <v>83</v>
      </c>
      <c r="M1" t="s">
        <v>85</v>
      </c>
    </row>
    <row r="2" spans="1:14" x14ac:dyDescent="0.3">
      <c r="G2" t="s">
        <v>21</v>
      </c>
      <c r="H2">
        <f t="shared" ref="H2:H7" si="0">COUNTIFS(A:A,G2,C:C,$G$1)</f>
        <v>45</v>
      </c>
      <c r="J2" t="s">
        <v>21</v>
      </c>
      <c r="K2">
        <f t="shared" ref="K2:K7" si="1">COUNTIFS(A:A,J2,C:C,$J$1)</f>
        <v>12</v>
      </c>
      <c r="M2" t="s">
        <v>21</v>
      </c>
      <c r="N2">
        <f t="shared" ref="N2:N7" si="2">COUNTIFS(A:A,M2,C:C,$M$1)</f>
        <v>0</v>
      </c>
    </row>
    <row r="3" spans="1:14" x14ac:dyDescent="0.3">
      <c r="G3" t="s">
        <v>22</v>
      </c>
      <c r="H3">
        <f t="shared" si="0"/>
        <v>10</v>
      </c>
      <c r="J3" t="s">
        <v>22</v>
      </c>
      <c r="K3">
        <f t="shared" si="1"/>
        <v>6</v>
      </c>
      <c r="M3" t="s">
        <v>22</v>
      </c>
      <c r="N3">
        <f t="shared" si="2"/>
        <v>2</v>
      </c>
    </row>
    <row r="4" spans="1:14" x14ac:dyDescent="0.3">
      <c r="G4" t="s">
        <v>2726</v>
      </c>
      <c r="H4">
        <f t="shared" si="0"/>
        <v>10</v>
      </c>
      <c r="J4" t="s">
        <v>2726</v>
      </c>
      <c r="K4">
        <f t="shared" si="1"/>
        <v>5</v>
      </c>
      <c r="M4" t="s">
        <v>2726</v>
      </c>
      <c r="N4">
        <f t="shared" si="2"/>
        <v>0</v>
      </c>
    </row>
    <row r="5" spans="1:14" x14ac:dyDescent="0.3">
      <c r="G5" t="s">
        <v>24</v>
      </c>
      <c r="H5">
        <f t="shared" si="0"/>
        <v>10</v>
      </c>
      <c r="J5" t="s">
        <v>24</v>
      </c>
      <c r="K5">
        <f t="shared" si="1"/>
        <v>21</v>
      </c>
      <c r="M5" t="s">
        <v>24</v>
      </c>
      <c r="N5">
        <f t="shared" si="2"/>
        <v>4</v>
      </c>
    </row>
    <row r="6" spans="1:14" x14ac:dyDescent="0.3">
      <c r="G6" t="s">
        <v>25</v>
      </c>
      <c r="H6">
        <f t="shared" si="0"/>
        <v>4</v>
      </c>
      <c r="J6" t="s">
        <v>25</v>
      </c>
      <c r="K6">
        <f t="shared" si="1"/>
        <v>12</v>
      </c>
      <c r="M6" t="s">
        <v>25</v>
      </c>
      <c r="N6">
        <f t="shared" si="2"/>
        <v>0</v>
      </c>
    </row>
    <row r="7" spans="1:14" x14ac:dyDescent="0.3">
      <c r="G7" t="s">
        <v>26</v>
      </c>
      <c r="H7">
        <f t="shared" si="0"/>
        <v>21</v>
      </c>
      <c r="J7" t="s">
        <v>26</v>
      </c>
      <c r="K7">
        <f t="shared" si="1"/>
        <v>14</v>
      </c>
      <c r="M7" t="s">
        <v>26</v>
      </c>
      <c r="N7">
        <f t="shared" si="2"/>
        <v>2</v>
      </c>
    </row>
    <row r="8" spans="1:14" x14ac:dyDescent="0.3">
      <c r="A8" t="s">
        <v>78</v>
      </c>
      <c r="B8" t="s">
        <v>2727</v>
      </c>
      <c r="C8" t="s">
        <v>2713</v>
      </c>
      <c r="D8" t="s">
        <v>2728</v>
      </c>
      <c r="E8" s="552" t="s">
        <v>116</v>
      </c>
    </row>
    <row r="9" spans="1:14" x14ac:dyDescent="0.3">
      <c r="A9" t="s">
        <v>21</v>
      </c>
      <c r="B9" t="str">
        <f>Diadema!C55</f>
        <v>01 - Redução de peso bruto DA000489A</v>
      </c>
      <c r="C9" t="str">
        <f>_xlfn.XLOOKUP(B9,Diadema!$C$55:$C$176,Diadema!$O$55:$O$176)</f>
        <v>✓ Concluído</v>
      </c>
      <c r="D9" s="717">
        <f>_xlfn.XLOOKUP(B9,Diadema!$C$55:$C$176,Diadema!$J$55:$J$176)</f>
        <v>46082</v>
      </c>
      <c r="E9" s="224">
        <f ca="1">_xlfn.XLOOKUP(B9,Pareto!S:S,Pareto!V:V)</f>
        <v>80089.145000000004</v>
      </c>
    </row>
    <row r="10" spans="1:14" hidden="1" x14ac:dyDescent="0.3">
      <c r="A10" t="s">
        <v>21</v>
      </c>
      <c r="B10">
        <f>Diadema!C56</f>
        <v>0</v>
      </c>
      <c r="C10" t="e">
        <f>_xlfn.XLOOKUP(B10,Diadema!$C$55:$C$176,Diadema!$O$55:$O$176)</f>
        <v>#N/A</v>
      </c>
      <c r="D10" s="716" t="e">
        <f>_xlfn.XLOOKUP(B10,Diadema!$C$55:$C$176,Diadema!$J$55:$J$176)</f>
        <v>#N/A</v>
      </c>
    </row>
    <row r="11" spans="1:14" x14ac:dyDescent="0.3">
      <c r="A11" t="s">
        <v>21</v>
      </c>
      <c r="B11" t="str">
        <f>Diadema!C57</f>
        <v>02 - Redução na quantidade de lâmpadas acessa, na produção</v>
      </c>
      <c r="C11" t="str">
        <f>_xlfn.XLOOKUP(B11,Diadema!$C$55:$C$176,Diadema!$O$55:$O$176)</f>
        <v>✓ Concluído</v>
      </c>
      <c r="D11" s="717">
        <f>_xlfn.XLOOKUP(B11,Diadema!$C$55:$C$176,Diadema!$J$55:$J$176)</f>
        <v>46054</v>
      </c>
      <c r="E11" s="224">
        <f ca="1">_xlfn.XLOOKUP(B11,Pareto!S:S,Pareto!V:V)</f>
        <v>58234.45090909092</v>
      </c>
    </row>
    <row r="12" spans="1:14" hidden="1" x14ac:dyDescent="0.3">
      <c r="A12" t="s">
        <v>21</v>
      </c>
      <c r="B12">
        <f>Diadema!C58</f>
        <v>0</v>
      </c>
      <c r="C12" t="e">
        <f>_xlfn.XLOOKUP(B12,Diadema!$C$55:$C$176,Diadema!$O$55:$O$176)</f>
        <v>#N/A</v>
      </c>
      <c r="D12" s="716" t="e">
        <f>_xlfn.XLOOKUP(B12,Diadema!$C$55:$C$176,Diadema!$J$55:$J$176)</f>
        <v>#N/A</v>
      </c>
    </row>
    <row r="13" spans="1:14" x14ac:dyDescent="0.3">
      <c r="A13" t="s">
        <v>21</v>
      </c>
      <c r="B13" t="str">
        <f>Diadema!C59</f>
        <v>03 - Otimização de processo - Cavalo Marinho</v>
      </c>
      <c r="C13" t="str">
        <f>_xlfn.XLOOKUP(B13,Diadema!$C$55:$C$176,Diadema!$O$55:$O$176)</f>
        <v>✓ Concluído</v>
      </c>
      <c r="D13" s="717">
        <f>_xlfn.XLOOKUP(B13,Diadema!$C$55:$C$176,Diadema!$J$55:$J$176)</f>
        <v>46082</v>
      </c>
      <c r="E13" s="224">
        <f ca="1">_xlfn.XLOOKUP(B13,Pareto!S:S,Pareto!V:V)</f>
        <v>12000.00045</v>
      </c>
    </row>
    <row r="14" spans="1:14" hidden="1" x14ac:dyDescent="0.3">
      <c r="A14" t="s">
        <v>21</v>
      </c>
      <c r="B14">
        <f>Diadema!C60</f>
        <v>0</v>
      </c>
      <c r="C14" t="e">
        <f>_xlfn.XLOOKUP(B14,Diadema!$C$55:$C$176,Diadema!$O$55:$O$176)</f>
        <v>#N/A</v>
      </c>
      <c r="D14" s="716" t="e">
        <f>_xlfn.XLOOKUP(B14,Diadema!$C$55:$C$176,Diadema!$J$55:$J$176)</f>
        <v>#N/A</v>
      </c>
    </row>
    <row r="15" spans="1:14" x14ac:dyDescent="0.3">
      <c r="A15" t="s">
        <v>21</v>
      </c>
      <c r="B15" t="str">
        <f>Diadema!C61</f>
        <v>04 - Otimização de processo - Pulmão</v>
      </c>
      <c r="C15" t="str">
        <f>_xlfn.XLOOKUP(B15,Diadema!$C$55:$C$176,Diadema!$O$55:$O$176)</f>
        <v>✓ Concluído</v>
      </c>
      <c r="D15" s="717">
        <f>_xlfn.XLOOKUP(B15,Diadema!$C$55:$C$176,Diadema!$J$55:$J$176)</f>
        <v>46082</v>
      </c>
      <c r="E15" s="224">
        <f ca="1">_xlfn.XLOOKUP(B15,Pareto!S:S,Pareto!V:V)</f>
        <v>21000</v>
      </c>
    </row>
    <row r="16" spans="1:14" hidden="1" x14ac:dyDescent="0.3">
      <c r="A16" t="s">
        <v>21</v>
      </c>
      <c r="B16">
        <f>Diadema!C62</f>
        <v>0</v>
      </c>
      <c r="C16" t="e">
        <f>_xlfn.XLOOKUP(B16,Diadema!$C$55:$C$176,Diadema!$O$55:$O$176)</f>
        <v>#N/A</v>
      </c>
      <c r="D16" s="716" t="e">
        <f>_xlfn.XLOOKUP(B16,Diadema!$C$55:$C$176,Diadema!$J$55:$J$176)</f>
        <v>#N/A</v>
      </c>
    </row>
    <row r="17" spans="1:5" x14ac:dyDescent="0.3">
      <c r="A17" t="s">
        <v>21</v>
      </c>
      <c r="B17" t="str">
        <f>Diadema!C63</f>
        <v>05 - Empilhadeira - Diadema</v>
      </c>
      <c r="C17" t="str">
        <f>_xlfn.XLOOKUP(B17,Diadema!$C$55:$C$176,Diadema!$O$55:$O$176)</f>
        <v>✓ Concluído</v>
      </c>
      <c r="D17" s="717">
        <f>_xlfn.XLOOKUP(B17,Diadema!$C$55:$C$176,Diadema!$J$55:$J$176)</f>
        <v>46082</v>
      </c>
      <c r="E17" s="224">
        <f ca="1">_xlfn.XLOOKUP(B17,Pareto!S:S,Pareto!V:V)</f>
        <v>28305.38</v>
      </c>
    </row>
    <row r="18" spans="1:5" hidden="1" x14ac:dyDescent="0.3">
      <c r="A18" t="s">
        <v>21</v>
      </c>
      <c r="B18">
        <f>Diadema!C64</f>
        <v>0</v>
      </c>
      <c r="C18" t="e">
        <f>_xlfn.XLOOKUP(B18,Diadema!$C$55:$C$176,Diadema!$O$55:$O$176)</f>
        <v>#N/A</v>
      </c>
      <c r="D18" s="716" t="e">
        <f>_xlfn.XLOOKUP(B18,Diadema!$C$55:$C$176,Diadema!$J$55:$J$176)</f>
        <v>#N/A</v>
      </c>
    </row>
    <row r="19" spans="1:5" hidden="1" x14ac:dyDescent="0.3">
      <c r="A19" t="s">
        <v>21</v>
      </c>
      <c r="B19" t="str">
        <f>Diadema!C65</f>
        <v>06 - Produtividade</v>
      </c>
      <c r="C19" t="str">
        <f>_xlfn.XLOOKUP(B19,Diadema!$C$55:$C$176,Diadema!$O$55:$O$176)</f>
        <v>✓ Concluído</v>
      </c>
      <c r="D19" s="716">
        <f>_xlfn.XLOOKUP(B19,Diadema!$C$55:$C$176,Diadema!$J$55:$J$176)</f>
        <v>46143</v>
      </c>
    </row>
    <row r="20" spans="1:5" hidden="1" x14ac:dyDescent="0.3">
      <c r="A20" t="s">
        <v>21</v>
      </c>
      <c r="B20">
        <f>Diadema!C66</f>
        <v>0</v>
      </c>
      <c r="C20" t="e">
        <f>_xlfn.XLOOKUP(B20,Diadema!$C$55:$C$176,Diadema!$O$55:$O$176)</f>
        <v>#N/A</v>
      </c>
      <c r="D20" s="716" t="e">
        <f>_xlfn.XLOOKUP(B20,Diadema!$C$55:$C$176,Diadema!$J$55:$J$176)</f>
        <v>#N/A</v>
      </c>
    </row>
    <row r="21" spans="1:5" hidden="1" x14ac:dyDescent="0.3">
      <c r="A21" t="s">
        <v>21</v>
      </c>
      <c r="B21" t="str">
        <f>Diadema!C67</f>
        <v xml:space="preserve"> 07 - Consumo de água</v>
      </c>
      <c r="C21" t="str">
        <f>_xlfn.XLOOKUP(B21,Diadema!$C$55:$C$176,Diadema!$O$55:$O$176)</f>
        <v>✓ Concluído</v>
      </c>
      <c r="D21" s="716">
        <f>_xlfn.XLOOKUP(B21,Diadema!$C$55:$C$176,Diadema!$J$55:$J$176)</f>
        <v>46143</v>
      </c>
    </row>
    <row r="22" spans="1:5" hidden="1" x14ac:dyDescent="0.3">
      <c r="A22" t="s">
        <v>21</v>
      </c>
      <c r="B22">
        <f>Diadema!C68</f>
        <v>0</v>
      </c>
      <c r="C22" t="e">
        <f>_xlfn.XLOOKUP(B22,Diadema!$C$55:$C$176,Diadema!$O$55:$O$176)</f>
        <v>#N/A</v>
      </c>
      <c r="D22" s="716" t="e">
        <f>_xlfn.XLOOKUP(B22,Diadema!$C$55:$C$176,Diadema!$J$55:$J$176)</f>
        <v>#N/A</v>
      </c>
    </row>
    <row r="23" spans="1:5" hidden="1" x14ac:dyDescent="0.3">
      <c r="A23" t="s">
        <v>21</v>
      </c>
      <c r="B23" t="str">
        <f>Diadema!C69</f>
        <v>08 - Redução de peso bruto MB002446LA / MB003670LA / MB003671LA</v>
      </c>
      <c r="C23" t="str">
        <f>_xlfn.XLOOKUP(B23,Diadema!$C$55:$C$176,Diadema!$O$55:$O$176)</f>
        <v>✓ Concluído</v>
      </c>
      <c r="D23" s="716">
        <f>_xlfn.XLOOKUP(B23,Diadema!$C$55:$C$176,Diadema!$J$55:$J$176)</f>
        <v>46143</v>
      </c>
    </row>
    <row r="24" spans="1:5" hidden="1" x14ac:dyDescent="0.3">
      <c r="A24" t="s">
        <v>21</v>
      </c>
      <c r="B24">
        <f>Diadema!C70</f>
        <v>0</v>
      </c>
      <c r="C24" t="e">
        <f>_xlfn.XLOOKUP(B24,Diadema!$C$55:$C$176,Diadema!$O$55:$O$176)</f>
        <v>#N/A</v>
      </c>
      <c r="D24" s="716" t="e">
        <f>_xlfn.XLOOKUP(B24,Diadema!$C$55:$C$176,Diadema!$J$55:$J$176)</f>
        <v>#N/A</v>
      </c>
    </row>
    <row r="25" spans="1:5" hidden="1" x14ac:dyDescent="0.3">
      <c r="A25" t="s">
        <v>21</v>
      </c>
      <c r="B25" t="str">
        <f>Diadema!C71</f>
        <v>09 - Taxa de Esgoto</v>
      </c>
      <c r="C25" t="str">
        <f>_xlfn.XLOOKUP(B25,Diadema!$C$55:$C$176,Diadema!$O$55:$O$176)</f>
        <v>⏳ Em Execução</v>
      </c>
      <c r="D25" s="716">
        <f>_xlfn.XLOOKUP(B25,Diadema!$C$55:$C$176,Diadema!$J$55:$J$176)</f>
        <v>46235</v>
      </c>
    </row>
    <row r="26" spans="1:5" hidden="1" x14ac:dyDescent="0.3">
      <c r="A26" t="s">
        <v>21</v>
      </c>
      <c r="B26">
        <f>Diadema!C72</f>
        <v>0</v>
      </c>
      <c r="C26" t="e">
        <f>_xlfn.XLOOKUP(B26,Diadema!$C$55:$C$176,Diadema!$O$55:$O$176)</f>
        <v>#N/A</v>
      </c>
      <c r="D26" s="716" t="e">
        <f>_xlfn.XLOOKUP(B26,Diadema!$C$55:$C$176,Diadema!$J$55:$J$176)</f>
        <v>#N/A</v>
      </c>
    </row>
    <row r="27" spans="1:5" hidden="1" x14ac:dyDescent="0.3">
      <c r="A27" t="s">
        <v>21</v>
      </c>
      <c r="B27" t="str">
        <f>Diadema!C73</f>
        <v>10 - Padronização de arame de solda</v>
      </c>
      <c r="C27" t="str">
        <f>_xlfn.XLOOKUP(B27,Diadema!$C$55:$C$176,Diadema!$O$55:$O$176)</f>
        <v>⏳ Em Execução</v>
      </c>
      <c r="D27" s="716">
        <f>_xlfn.XLOOKUP(B27,Diadema!$C$55:$C$176,Diadema!$J$55:$J$176)</f>
        <v>0</v>
      </c>
    </row>
    <row r="28" spans="1:5" hidden="1" x14ac:dyDescent="0.3">
      <c r="A28" t="s">
        <v>21</v>
      </c>
      <c r="B28">
        <f>Diadema!C74</f>
        <v>0</v>
      </c>
      <c r="C28" t="e">
        <f>_xlfn.XLOOKUP(B28,Diadema!$C$55:$C$176,Diadema!$O$55:$O$176)</f>
        <v>#N/A</v>
      </c>
      <c r="D28" s="716" t="e">
        <f>_xlfn.XLOOKUP(B28,Diadema!$C$55:$C$176,Diadema!$J$55:$J$176)</f>
        <v>#N/A</v>
      </c>
    </row>
    <row r="29" spans="1:5" hidden="1" x14ac:dyDescent="0.3">
      <c r="A29" t="s">
        <v>21</v>
      </c>
      <c r="B29" t="str">
        <f>Diadema!C75</f>
        <v>11 - Resourcing de DSL para DD</v>
      </c>
      <c r="C29" t="str">
        <f>_xlfn.XLOOKUP(B29,Diadema!$C$55:$C$176,Diadema!$O$55:$O$176)</f>
        <v>✓ Concluído</v>
      </c>
      <c r="D29" s="716">
        <f>_xlfn.XLOOKUP(B29,Diadema!$C$55:$C$176,Diadema!$J$55:$J$176)</f>
        <v>46143</v>
      </c>
    </row>
    <row r="30" spans="1:5" hidden="1" x14ac:dyDescent="0.3">
      <c r="A30" t="s">
        <v>21</v>
      </c>
      <c r="B30">
        <f>Diadema!C76</f>
        <v>0</v>
      </c>
      <c r="C30" t="e">
        <f>_xlfn.XLOOKUP(B30,Diadema!$C$55:$C$176,Diadema!$O$55:$O$176)</f>
        <v>#N/A</v>
      </c>
      <c r="D30" s="716" t="e">
        <f>_xlfn.XLOOKUP(B30,Diadema!$C$55:$C$176,Diadema!$J$55:$J$176)</f>
        <v>#N/A</v>
      </c>
    </row>
    <row r="31" spans="1:5" x14ac:dyDescent="0.3">
      <c r="A31" t="s">
        <v>21</v>
      </c>
      <c r="B31" t="str">
        <f>Diadema!C77</f>
        <v>12 - Aproveitamento de peças Obsoletas - A9583176540</v>
      </c>
      <c r="C31" t="str">
        <f>_xlfn.XLOOKUP(B31,Diadema!$C$55:$C$176,Diadema!$O$55:$O$176)</f>
        <v>✓ Concluído</v>
      </c>
      <c r="D31" s="717">
        <f>_xlfn.XLOOKUP(B31,Diadema!$C$55:$C$176,Diadema!$J$55:$J$176)</f>
        <v>46023</v>
      </c>
      <c r="E31" s="224">
        <f ca="1">_xlfn.XLOOKUP(B31,Pareto!S:S,Pareto!V:V)</f>
        <v>37746.6</v>
      </c>
    </row>
    <row r="32" spans="1:5" hidden="1" x14ac:dyDescent="0.3">
      <c r="A32" t="s">
        <v>21</v>
      </c>
      <c r="B32">
        <f>Diadema!C78</f>
        <v>0</v>
      </c>
      <c r="C32" t="e">
        <f>_xlfn.XLOOKUP(B32,Diadema!$C$55:$C$176,Diadema!$O$55:$O$176)</f>
        <v>#N/A</v>
      </c>
      <c r="D32" s="716" t="e">
        <f>_xlfn.XLOOKUP(B32,Diadema!$C$55:$C$176,Diadema!$J$55:$J$176)</f>
        <v>#N/A</v>
      </c>
    </row>
    <row r="33" spans="1:5" hidden="1" x14ac:dyDescent="0.3">
      <c r="A33" t="s">
        <v>21</v>
      </c>
      <c r="B33" t="str">
        <f>Diadema!C79</f>
        <v>13 - Redução de Componente - 4065 de 6 para 4</v>
      </c>
      <c r="C33" t="str">
        <f>_xlfn.XLOOKUP(B33,Diadema!$C$55:$C$176,Diadema!$O$55:$O$176)</f>
        <v>✓ Concluído</v>
      </c>
      <c r="D33" s="716">
        <f>_xlfn.XLOOKUP(B33,Diadema!$C$55:$C$176,Diadema!$J$55:$J$176)</f>
        <v>46113</v>
      </c>
    </row>
    <row r="34" spans="1:5" hidden="1" x14ac:dyDescent="0.3">
      <c r="A34" t="s">
        <v>21</v>
      </c>
      <c r="B34">
        <f>Diadema!C80</f>
        <v>0</v>
      </c>
      <c r="C34" t="e">
        <f>_xlfn.XLOOKUP(B34,Diadema!$C$55:$C$176,Diadema!$O$55:$O$176)</f>
        <v>#N/A</v>
      </c>
      <c r="D34" s="716" t="e">
        <f>_xlfn.XLOOKUP(B34,Diadema!$C$55:$C$176,Diadema!$J$55:$J$176)</f>
        <v>#N/A</v>
      </c>
    </row>
    <row r="35" spans="1:5" x14ac:dyDescent="0.3">
      <c r="A35" t="s">
        <v>21</v>
      </c>
      <c r="B35" t="str">
        <f>Diadema!C81</f>
        <v>14 - REDUÇÃO DE MP DA000518Z (Anchieta) Código DD - VB000324Z</v>
      </c>
      <c r="C35" t="str">
        <f>_xlfn.XLOOKUP(B35,Diadema!$C$55:$C$176,Diadema!$O$55:$O$176)</f>
        <v>✓ Concluído</v>
      </c>
      <c r="D35" s="717">
        <f>_xlfn.XLOOKUP(B35,Diadema!$C$55:$C$176,Diadema!$J$55:$J$176)</f>
        <v>46054</v>
      </c>
      <c r="E35" s="224">
        <f ca="1">_xlfn.XLOOKUP(B35,Pareto!S:S,Pareto!V:V)</f>
        <v>25634.690221729801</v>
      </c>
    </row>
    <row r="36" spans="1:5" hidden="1" x14ac:dyDescent="0.3">
      <c r="A36" t="s">
        <v>21</v>
      </c>
      <c r="B36">
        <f>Diadema!C82</f>
        <v>0</v>
      </c>
      <c r="C36" t="e">
        <f>_xlfn.XLOOKUP(B36,Diadema!$C$55:$C$176,Diadema!$O$55:$O$176)</f>
        <v>#N/A</v>
      </c>
      <c r="D36" s="716" t="e">
        <f>_xlfn.XLOOKUP(B36,Diadema!$C$55:$C$176,Diadema!$J$55:$J$176)</f>
        <v>#N/A</v>
      </c>
    </row>
    <row r="37" spans="1:5" x14ac:dyDescent="0.3">
      <c r="A37" t="s">
        <v>21</v>
      </c>
      <c r="B37" t="str">
        <f>Diadema!C83</f>
        <v>15 - Kaizem - Botões BI - MANUAL</v>
      </c>
      <c r="C37" t="str">
        <f>_xlfn.XLOOKUP(B37,Diadema!$C$55:$C$176,Diadema!$O$55:$O$176)</f>
        <v>✓ Concluído</v>
      </c>
      <c r="D37" s="717">
        <f>_xlfn.XLOOKUP(B37,Diadema!$C$55:$C$176,Diadema!$J$55:$J$176)</f>
        <v>46023</v>
      </c>
      <c r="E37" s="224">
        <f ca="1">_xlfn.XLOOKUP(B37,Pareto!S:S,Pareto!V:V)</f>
        <v>3656.94</v>
      </c>
    </row>
    <row r="38" spans="1:5" hidden="1" x14ac:dyDescent="0.3">
      <c r="A38" t="s">
        <v>21</v>
      </c>
      <c r="B38">
        <f>Diadema!C84</f>
        <v>0</v>
      </c>
      <c r="C38" t="e">
        <f>_xlfn.XLOOKUP(B38,Diadema!$C$55:$C$176,Diadema!$O$55:$O$176)</f>
        <v>#N/A</v>
      </c>
      <c r="D38" s="716" t="e">
        <f>_xlfn.XLOOKUP(B38,Diadema!$C$55:$C$176,Diadema!$J$55:$J$176)</f>
        <v>#N/A</v>
      </c>
    </row>
    <row r="39" spans="1:5" x14ac:dyDescent="0.3">
      <c r="A39" t="s">
        <v>21</v>
      </c>
      <c r="B39" t="str">
        <f>Diadema!C85</f>
        <v>16 - Eficiência de MO na linha de Solda e Montagem</v>
      </c>
      <c r="C39" t="str">
        <f>_xlfn.XLOOKUP(B39,Diadema!$C$55:$C$176,Diadema!$O$55:$O$176)</f>
        <v>✓ Concluído</v>
      </c>
      <c r="D39" s="717">
        <f>_xlfn.XLOOKUP(B39,Diadema!$C$55:$C$176,Diadema!$J$55:$J$176)</f>
        <v>46082</v>
      </c>
      <c r="E39" s="224">
        <f ca="1">_xlfn.XLOOKUP(B39,Pareto!S:S,Pareto!V:V)</f>
        <v>76198</v>
      </c>
    </row>
    <row r="40" spans="1:5" hidden="1" x14ac:dyDescent="0.3">
      <c r="A40" t="s">
        <v>21</v>
      </c>
      <c r="B40">
        <f>Diadema!C86</f>
        <v>0</v>
      </c>
      <c r="C40" t="e">
        <f>_xlfn.XLOOKUP(B40,Diadema!$C$55:$C$176,Diadema!$O$55:$O$176)</f>
        <v>#N/A</v>
      </c>
      <c r="D40" s="716" t="e">
        <f>_xlfn.XLOOKUP(B40,Diadema!$C$55:$C$176,Diadema!$J$55:$J$176)</f>
        <v>#N/A</v>
      </c>
    </row>
    <row r="41" spans="1:5" x14ac:dyDescent="0.3">
      <c r="A41" t="s">
        <v>21</v>
      </c>
      <c r="B41" t="str">
        <f>Diadema!C87</f>
        <v>17 - MB003537LB_MB003538LB</v>
      </c>
      <c r="C41" t="str">
        <f>_xlfn.XLOOKUP(B41,Diadema!$C$55:$C$176,Diadema!$O$55:$O$176)</f>
        <v>✓ Concluído</v>
      </c>
      <c r="D41" s="717">
        <f>_xlfn.XLOOKUP(B41,Diadema!$C$55:$C$176,Diadema!$J$55:$J$176)</f>
        <v>46082</v>
      </c>
      <c r="E41" s="224">
        <f ca="1">_xlfn.XLOOKUP(B41,Pareto!S:S,Pareto!V:V)</f>
        <v>16919.03</v>
      </c>
    </row>
    <row r="42" spans="1:5" hidden="1" x14ac:dyDescent="0.3">
      <c r="A42" t="s">
        <v>21</v>
      </c>
      <c r="B42">
        <f>Diadema!C88</f>
        <v>0</v>
      </c>
      <c r="C42" t="e">
        <f>_xlfn.XLOOKUP(B42,Diadema!$C$55:$C$176,Diadema!$O$55:$O$176)</f>
        <v>#N/A</v>
      </c>
      <c r="D42" s="716" t="e">
        <f>_xlfn.XLOOKUP(B42,Diadema!$C$55:$C$176,Diadema!$J$55:$J$176)</f>
        <v>#N/A</v>
      </c>
    </row>
    <row r="43" spans="1:5" hidden="1" x14ac:dyDescent="0.3">
      <c r="A43" t="s">
        <v>21</v>
      </c>
      <c r="B43" t="str">
        <f>Diadema!C89</f>
        <v>18 - Venda de Embalagens, ativos e sucatas</v>
      </c>
      <c r="C43" t="str">
        <f>_xlfn.XLOOKUP(B43,Diadema!$C$55:$C$176,Diadema!$O$55:$O$176)</f>
        <v>✓ Concluído</v>
      </c>
      <c r="D43" s="716">
        <f>_xlfn.XLOOKUP(B43,Diadema!$C$55:$C$176,Diadema!$J$55:$J$176)</f>
        <v>0</v>
      </c>
    </row>
    <row r="44" spans="1:5" hidden="1" x14ac:dyDescent="0.3">
      <c r="A44" t="s">
        <v>21</v>
      </c>
      <c r="B44">
        <f>Diadema!C90</f>
        <v>0</v>
      </c>
      <c r="C44" t="e">
        <f>_xlfn.XLOOKUP(B44,Diadema!$C$55:$C$176,Diadema!$O$55:$O$176)</f>
        <v>#N/A</v>
      </c>
      <c r="D44" s="716" t="e">
        <f>_xlfn.XLOOKUP(B44,Diadema!$C$55:$C$176,Diadema!$J$55:$J$176)</f>
        <v>#N/A</v>
      </c>
    </row>
    <row r="45" spans="1:5" x14ac:dyDescent="0.3">
      <c r="A45" t="s">
        <v>21</v>
      </c>
      <c r="B45" t="str">
        <f>Diadema!C91</f>
        <v>19 - Kaizen Facão. DA000481Z - PRODUTIVIDADE</v>
      </c>
      <c r="C45" t="str">
        <f>_xlfn.XLOOKUP(B45,Diadema!$C$55:$C$176,Diadema!$O$55:$O$176)</f>
        <v>✓ Concluído</v>
      </c>
      <c r="D45" s="717">
        <f>_xlfn.XLOOKUP(B45,Diadema!$C$55:$C$176,Diadema!$J$55:$J$176)</f>
        <v>46082</v>
      </c>
      <c r="E45" s="224">
        <f ca="1">_xlfn.XLOOKUP(B45,Pareto!S:S,Pareto!V:V)</f>
        <v>27000</v>
      </c>
    </row>
    <row r="46" spans="1:5" hidden="1" x14ac:dyDescent="0.3">
      <c r="A46" t="s">
        <v>21</v>
      </c>
      <c r="B46">
        <f>Diadema!C92</f>
        <v>0</v>
      </c>
      <c r="C46" t="e">
        <f>_xlfn.XLOOKUP(B46,Diadema!$C$55:$C$176,Diadema!$O$55:$O$176)</f>
        <v>#N/A</v>
      </c>
      <c r="D46" s="716" t="e">
        <f>_xlfn.XLOOKUP(B46,Diadema!$C$55:$C$176,Diadema!$J$55:$J$176)</f>
        <v>#N/A</v>
      </c>
    </row>
    <row r="47" spans="1:5" x14ac:dyDescent="0.3">
      <c r="A47" t="s">
        <v>21</v>
      </c>
      <c r="B47" t="str">
        <f>Diadema!C93</f>
        <v>20 - Redução refugo em relação ao budget</v>
      </c>
      <c r="C47" t="str">
        <f>_xlfn.XLOOKUP(B47,Diadema!$C$55:$C$176,Diadema!$O$55:$O$176)</f>
        <v>✓ Concluído</v>
      </c>
      <c r="D47" s="717">
        <f>_xlfn.XLOOKUP(B47,Diadema!$C$55:$C$176,Diadema!$J$55:$J$176)</f>
        <v>0</v>
      </c>
      <c r="E47" s="224" t="e">
        <f>_xlfn.XLOOKUP(B47,Pareto!S:S,Pareto!V:V)</f>
        <v>#N/A</v>
      </c>
    </row>
    <row r="48" spans="1:5" hidden="1" x14ac:dyDescent="0.3">
      <c r="A48" t="s">
        <v>21</v>
      </c>
      <c r="B48">
        <f>Diadema!C94</f>
        <v>0</v>
      </c>
      <c r="C48" t="e">
        <f>_xlfn.XLOOKUP(B48,Diadema!$C$55:$C$176,Diadema!$O$55:$O$176)</f>
        <v>#N/A</v>
      </c>
      <c r="D48" s="716" t="e">
        <f>_xlfn.XLOOKUP(B48,Diadema!$C$55:$C$176,Diadema!$J$55:$J$176)</f>
        <v>#N/A</v>
      </c>
    </row>
    <row r="49" spans="1:5" x14ac:dyDescent="0.3">
      <c r="A49" t="s">
        <v>21</v>
      </c>
      <c r="B49" t="str">
        <f>Diadema!C95</f>
        <v>21 - Kaizen_Redução de peso bruto MB003537LA_MB003538LA</v>
      </c>
      <c r="C49" t="str">
        <f>_xlfn.XLOOKUP(B49,Diadema!$C$55:$C$176,Diadema!$O$55:$O$176)</f>
        <v>✓ Concluído</v>
      </c>
      <c r="D49" s="717">
        <f>_xlfn.XLOOKUP(B49,Diadema!$C$55:$C$176,Diadema!$J$55:$J$176)</f>
        <v>46082</v>
      </c>
      <c r="E49" s="224">
        <f ca="1">_xlfn.XLOOKUP(B49,Pareto!S:S,Pareto!V:V)</f>
        <v>18682.79</v>
      </c>
    </row>
    <row r="50" spans="1:5" hidden="1" x14ac:dyDescent="0.3">
      <c r="A50" t="s">
        <v>21</v>
      </c>
      <c r="B50">
        <f>Diadema!C96</f>
        <v>0</v>
      </c>
      <c r="C50" t="e">
        <f>_xlfn.XLOOKUP(B50,Diadema!$C$55:$C$176,Diadema!$O$55:$O$176)</f>
        <v>#N/A</v>
      </c>
      <c r="D50" s="716" t="e">
        <f>_xlfn.XLOOKUP(B50,Diadema!$C$55:$C$176,Diadema!$J$55:$J$176)</f>
        <v>#N/A</v>
      </c>
    </row>
    <row r="51" spans="1:5" hidden="1" x14ac:dyDescent="0.3">
      <c r="A51" t="s">
        <v>21</v>
      </c>
      <c r="B51" t="str">
        <f>Diadema!C97</f>
        <v>22 - Aproveitamento de Retalho do corte laser - MB002316LA_MB003533LA_MB003673LC</v>
      </c>
      <c r="C51" t="str">
        <f>_xlfn.XLOOKUP(B51,Diadema!$C$55:$C$176,Diadema!$O$55:$O$176)</f>
        <v>✓ Concluído</v>
      </c>
      <c r="D51" s="717">
        <f>_xlfn.XLOOKUP(B51,Diadema!$C$55:$C$176,Diadema!$J$55:$J$176)</f>
        <v>0</v>
      </c>
    </row>
    <row r="52" spans="1:5" hidden="1" x14ac:dyDescent="0.3">
      <c r="A52" t="s">
        <v>21</v>
      </c>
      <c r="B52">
        <f>Diadema!C98</f>
        <v>0</v>
      </c>
      <c r="C52" t="e">
        <f>_xlfn.XLOOKUP(B52,Diadema!$C$55:$C$176,Diadema!$O$55:$O$176)</f>
        <v>#N/A</v>
      </c>
      <c r="D52" s="716" t="e">
        <f>_xlfn.XLOOKUP(B52,Diadema!$C$55:$C$176,Diadema!$J$55:$J$176)</f>
        <v>#N/A</v>
      </c>
    </row>
    <row r="53" spans="1:5" hidden="1" x14ac:dyDescent="0.3">
      <c r="A53" t="s">
        <v>21</v>
      </c>
      <c r="B53" t="str">
        <f>Diadema!C99</f>
        <v>23 - Redução do peso bruto VW000581Z / VW000582Z</v>
      </c>
      <c r="C53" t="str">
        <f>_xlfn.XLOOKUP(B53,Diadema!$C$55:$C$176,Diadema!$O$55:$O$176)</f>
        <v>⏳ Em Execução</v>
      </c>
      <c r="D53" s="716">
        <f>_xlfn.XLOOKUP(B53,Diadema!$C$55:$C$176,Diadema!$J$55:$J$176)</f>
        <v>46235</v>
      </c>
    </row>
    <row r="54" spans="1:5" hidden="1" x14ac:dyDescent="0.3">
      <c r="A54" t="s">
        <v>21</v>
      </c>
      <c r="B54">
        <f>Diadema!C100</f>
        <v>0</v>
      </c>
      <c r="C54" t="e">
        <f>_xlfn.XLOOKUP(B54,Diadema!$C$55:$C$176,Diadema!$O$55:$O$176)</f>
        <v>#N/A</v>
      </c>
      <c r="D54" s="716" t="e">
        <f>_xlfn.XLOOKUP(B54,Diadema!$C$55:$C$176,Diadema!$J$55:$J$176)</f>
        <v>#N/A</v>
      </c>
    </row>
    <row r="55" spans="1:5" hidden="1" x14ac:dyDescent="0.3">
      <c r="A55" t="s">
        <v>21</v>
      </c>
      <c r="B55" t="str">
        <f>Diadema!C101</f>
        <v>24 - KAIZEN - Redução de peso bruto_MB002289LA_MB002290LA_Rev00_Bruno Manachini</v>
      </c>
      <c r="C55" t="str">
        <f>_xlfn.XLOOKUP(B55,Diadema!$C$55:$C$176,Diadema!$O$55:$O$176)</f>
        <v>✓ Concluído</v>
      </c>
      <c r="D55" s="717">
        <f>_xlfn.XLOOKUP(B55,Diadema!$C$55:$C$176,Diadema!$J$55:$J$176)</f>
        <v>46143</v>
      </c>
    </row>
    <row r="56" spans="1:5" hidden="1" x14ac:dyDescent="0.3">
      <c r="A56" t="s">
        <v>21</v>
      </c>
      <c r="B56">
        <f>Diadema!C102</f>
        <v>0</v>
      </c>
      <c r="C56" t="e">
        <f>_xlfn.XLOOKUP(B56,Diadema!$C$55:$C$176,Diadema!$O$55:$O$176)</f>
        <v>#N/A</v>
      </c>
      <c r="D56" s="716" t="e">
        <f>_xlfn.XLOOKUP(B56,Diadema!$C$55:$C$176,Diadema!$J$55:$J$176)</f>
        <v>#N/A</v>
      </c>
    </row>
    <row r="57" spans="1:5" hidden="1" x14ac:dyDescent="0.3">
      <c r="A57" t="s">
        <v>21</v>
      </c>
      <c r="B57" t="str">
        <f>Diadema!C103</f>
        <v>25 - KAIZEN - Redução de peso bruto_MB003601LA_Rev00_Bruno Manachini</v>
      </c>
      <c r="C57" t="str">
        <f>_xlfn.XLOOKUP(B57,Diadema!$C$55:$C$176,Diadema!$O$55:$O$176)</f>
        <v>✓ Concluído</v>
      </c>
      <c r="D57" s="716">
        <f>_xlfn.XLOOKUP(B57,Diadema!$C$55:$C$176,Diadema!$J$55:$J$176)</f>
        <v>46143</v>
      </c>
    </row>
    <row r="58" spans="1:5" hidden="1" x14ac:dyDescent="0.3">
      <c r="A58" t="s">
        <v>21</v>
      </c>
      <c r="B58">
        <f>Diadema!C104</f>
        <v>0</v>
      </c>
      <c r="C58" t="e">
        <f>_xlfn.XLOOKUP(B58,Diadema!$C$55:$C$176,Diadema!$O$55:$O$176)</f>
        <v>#N/A</v>
      </c>
      <c r="D58" s="716" t="e">
        <f>_xlfn.XLOOKUP(B58,Diadema!$C$55:$C$176,Diadema!$J$55:$J$176)</f>
        <v>#N/A</v>
      </c>
    </row>
    <row r="59" spans="1:5" hidden="1" x14ac:dyDescent="0.3">
      <c r="A59" t="s">
        <v>21</v>
      </c>
      <c r="B59" t="str">
        <f>Diadema!C105</f>
        <v>26 - Redução_de_MP - DJ000059Z_DJ000060Z</v>
      </c>
      <c r="C59" t="str">
        <f>_xlfn.XLOOKUP(B59,Diadema!$C$55:$C$176,Diadema!$O$55:$O$176)</f>
        <v>✓ Concluído</v>
      </c>
      <c r="D59" s="716">
        <f>_xlfn.XLOOKUP(B59,Diadema!$C$55:$C$176,Diadema!$J$55:$J$176)</f>
        <v>46143</v>
      </c>
    </row>
    <row r="60" spans="1:5" hidden="1" x14ac:dyDescent="0.3">
      <c r="A60" t="s">
        <v>21</v>
      </c>
      <c r="B60">
        <f>Diadema!C106</f>
        <v>0</v>
      </c>
      <c r="C60" t="e">
        <f>_xlfn.XLOOKUP(B60,Diadema!$C$55:$C$176,Diadema!$O$55:$O$176)</f>
        <v>#N/A</v>
      </c>
      <c r="D60" s="716" t="e">
        <f>_xlfn.XLOOKUP(B60,Diadema!$C$55:$C$176,Diadema!$J$55:$J$176)</f>
        <v>#N/A</v>
      </c>
    </row>
    <row r="61" spans="1:5" x14ac:dyDescent="0.3">
      <c r="A61" t="s">
        <v>21</v>
      </c>
      <c r="B61" t="str">
        <f>Diadema!C107</f>
        <v>27 - DA000459AA - STC Volvo_</v>
      </c>
      <c r="C61" t="str">
        <f>_xlfn.XLOOKUP(B61,Diadema!$C$55:$C$176,Diadema!$O$55:$O$176)</f>
        <v>✓ Concluído</v>
      </c>
      <c r="D61" s="717">
        <f>_xlfn.XLOOKUP(B61,Diadema!$C$55:$C$176,Diadema!$J$55:$J$176)</f>
        <v>46174</v>
      </c>
      <c r="E61" s="224">
        <f ca="1">_xlfn.XLOOKUP(B61,Pareto!S:S,Pareto!V:V)</f>
        <v>11895.037142857142</v>
      </c>
    </row>
    <row r="62" spans="1:5" hidden="1" x14ac:dyDescent="0.3">
      <c r="A62" t="s">
        <v>21</v>
      </c>
      <c r="B62">
        <f>Diadema!C108</f>
        <v>0</v>
      </c>
      <c r="C62" t="e">
        <f>_xlfn.XLOOKUP(B62,Diadema!$C$55:$C$176,Diadema!$O$55:$O$176)</f>
        <v>#N/A</v>
      </c>
      <c r="D62" s="716" t="e">
        <f>_xlfn.XLOOKUP(B62,Diadema!$C$55:$C$176,Diadema!$J$55:$J$176)</f>
        <v>#N/A</v>
      </c>
    </row>
    <row r="63" spans="1:5" x14ac:dyDescent="0.3">
      <c r="A63" t="s">
        <v>21</v>
      </c>
      <c r="B63" t="str">
        <f>Diadema!C109</f>
        <v>28 - DA000487Z_DA000488Z - STC Scania P</v>
      </c>
      <c r="C63" t="str">
        <f>_xlfn.XLOOKUP(B63,Diadema!$C$55:$C$176,Diadema!$O$55:$O$176)</f>
        <v>✓ Concluído</v>
      </c>
      <c r="D63" s="717">
        <f>_xlfn.XLOOKUP(B63,Diadema!$C$55:$C$176,Diadema!$J$55:$J$176)</f>
        <v>46174</v>
      </c>
      <c r="E63" s="224">
        <f ca="1">_xlfn.XLOOKUP(B63,Pareto!S:S,Pareto!V:V)</f>
        <v>1200.0001902857143</v>
      </c>
    </row>
    <row r="64" spans="1:5" hidden="1" x14ac:dyDescent="0.3">
      <c r="A64" t="s">
        <v>21</v>
      </c>
      <c r="B64">
        <f>Diadema!C110</f>
        <v>0</v>
      </c>
      <c r="C64" t="e">
        <f>_xlfn.XLOOKUP(B64,Diadema!$C$55:$C$176,Diadema!$O$55:$O$176)</f>
        <v>#N/A</v>
      </c>
      <c r="D64" s="716" t="e">
        <f>_xlfn.XLOOKUP(B64,Diadema!$C$55:$C$176,Diadema!$J$55:$J$176)</f>
        <v>#N/A</v>
      </c>
    </row>
    <row r="65" spans="1:5" x14ac:dyDescent="0.3">
      <c r="A65" t="s">
        <v>21</v>
      </c>
      <c r="B65" t="str">
        <f>Diadema!C111</f>
        <v>29 - DA000489Z_DA000490Z - STC Scania M_</v>
      </c>
      <c r="C65" t="str">
        <f>_xlfn.XLOOKUP(B65,Diadema!$C$55:$C$176,Diadema!$O$55:$O$176)</f>
        <v>✓ Concluído</v>
      </c>
      <c r="D65" s="717">
        <f>_xlfn.XLOOKUP(B65,Diadema!$C$55:$C$176,Diadema!$J$55:$J$176)</f>
        <v>46082</v>
      </c>
      <c r="E65" s="224">
        <f ca="1">_xlfn.XLOOKUP(B65,Pareto!S:S,Pareto!V:V)</f>
        <v>223211.89500000002</v>
      </c>
    </row>
    <row r="66" spans="1:5" hidden="1" x14ac:dyDescent="0.3">
      <c r="A66" t="s">
        <v>21</v>
      </c>
      <c r="B66">
        <f>Diadema!C112</f>
        <v>0</v>
      </c>
      <c r="C66" t="e">
        <f>_xlfn.XLOOKUP(B66,Diadema!$C$55:$C$176,Diadema!$O$55:$O$176)</f>
        <v>#N/A</v>
      </c>
      <c r="D66" s="716" t="e">
        <f>_xlfn.XLOOKUP(B66,Diadema!$C$55:$C$176,Diadema!$J$55:$J$176)</f>
        <v>#N/A</v>
      </c>
    </row>
    <row r="67" spans="1:5" hidden="1" x14ac:dyDescent="0.3">
      <c r="A67" t="s">
        <v>21</v>
      </c>
      <c r="B67" t="str">
        <f>Diadema!C113</f>
        <v>30 - DA000491Z_DE000492Z - STC Scania G_</v>
      </c>
      <c r="C67" t="str">
        <f>_xlfn.XLOOKUP(B67,Diadema!$C$55:$C$176,Diadema!$O$55:$O$176)</f>
        <v>⏳ Em Execução</v>
      </c>
      <c r="D67" s="716">
        <f>_xlfn.XLOOKUP(B67,Diadema!$C$55:$C$176,Diadema!$J$55:$J$176)</f>
        <v>46235</v>
      </c>
    </row>
    <row r="68" spans="1:5" hidden="1" x14ac:dyDescent="0.3">
      <c r="A68" t="s">
        <v>21</v>
      </c>
      <c r="B68">
        <f>Diadema!C114</f>
        <v>0</v>
      </c>
      <c r="C68" t="e">
        <f>_xlfn.XLOOKUP(B68,Diadema!$C$55:$C$176,Diadema!$O$55:$O$176)</f>
        <v>#N/A</v>
      </c>
      <c r="D68" s="716" t="e">
        <f>_xlfn.XLOOKUP(B68,Diadema!$C$55:$C$176,Diadema!$J$55:$J$176)</f>
        <v>#N/A</v>
      </c>
    </row>
    <row r="69" spans="1:5" hidden="1" x14ac:dyDescent="0.3">
      <c r="A69" t="s">
        <v>21</v>
      </c>
      <c r="B69" t="str">
        <f>Diadema!C115</f>
        <v>31 - Comunização da chapa CHQ0475ED12502650</v>
      </c>
      <c r="C69" t="str">
        <f>_xlfn.XLOOKUP(B69,Diadema!$C$55:$C$176,Diadema!$O$55:$O$176)</f>
        <v>✓ Concluído</v>
      </c>
      <c r="D69" s="716">
        <f>_xlfn.XLOOKUP(B69,Diadema!$C$55:$C$176,Diadema!$J$55:$J$176)</f>
        <v>46143</v>
      </c>
    </row>
    <row r="70" spans="1:5" hidden="1" x14ac:dyDescent="0.3">
      <c r="A70" t="s">
        <v>21</v>
      </c>
      <c r="B70">
        <f>Diadema!C116</f>
        <v>0</v>
      </c>
      <c r="C70" t="e">
        <f>_xlfn.XLOOKUP(B70,Diadema!$C$55:$C$176,Diadema!$O$55:$O$176)</f>
        <v>#N/A</v>
      </c>
      <c r="D70" s="716" t="e">
        <f>_xlfn.XLOOKUP(B70,Diadema!$C$55:$C$176,Diadema!$J$55:$J$176)</f>
        <v>#N/A</v>
      </c>
    </row>
    <row r="71" spans="1:5" x14ac:dyDescent="0.3">
      <c r="A71" t="s">
        <v>21</v>
      </c>
      <c r="B71" t="str">
        <f>Diadema!C117</f>
        <v>32 - Redução de Peso Bruto do item MB003594LA</v>
      </c>
      <c r="C71" t="str">
        <f>_xlfn.XLOOKUP(B71,Diadema!$C$55:$C$176,Diadema!$O$55:$O$176)</f>
        <v>✓ Concluído</v>
      </c>
      <c r="D71" s="717">
        <f>_xlfn.XLOOKUP(B71,Diadema!$C$55:$C$176,Diadema!$J$55:$J$176)</f>
        <v>46082</v>
      </c>
      <c r="E71" s="224">
        <f ca="1">_xlfn.XLOOKUP(B71,Pareto!S:S,Pareto!V:V)</f>
        <v>262.625</v>
      </c>
    </row>
    <row r="72" spans="1:5" hidden="1" x14ac:dyDescent="0.3">
      <c r="A72" t="s">
        <v>21</v>
      </c>
      <c r="B72">
        <f>Diadema!C118</f>
        <v>0</v>
      </c>
      <c r="C72" t="e">
        <f>_xlfn.XLOOKUP(B72,Diadema!$C$55:$C$176,Diadema!$O$55:$O$176)</f>
        <v>#N/A</v>
      </c>
      <c r="D72" s="716" t="e">
        <f>_xlfn.XLOOKUP(B72,Diadema!$C$55:$C$176,Diadema!$J$55:$J$176)</f>
        <v>#N/A</v>
      </c>
    </row>
    <row r="73" spans="1:5" x14ac:dyDescent="0.3">
      <c r="A73" t="s">
        <v>21</v>
      </c>
      <c r="B73" t="str">
        <f>Diadema!C119</f>
        <v>33 - Redução de Peso Bruto do item MB003610LA</v>
      </c>
      <c r="C73" t="str">
        <f>_xlfn.XLOOKUP(B73,Diadema!$C$55:$C$176,Diadema!$O$55:$O$176)</f>
        <v>✓ Concluído</v>
      </c>
      <c r="D73" s="717">
        <f>_xlfn.XLOOKUP(B73,Diadema!$C$55:$C$176,Diadema!$J$55:$J$176)</f>
        <v>46082</v>
      </c>
      <c r="E73" s="224">
        <f ca="1">_xlfn.XLOOKUP(B73,Pareto!S:S,Pareto!V:V)</f>
        <v>5611.72</v>
      </c>
    </row>
    <row r="74" spans="1:5" hidden="1" x14ac:dyDescent="0.3">
      <c r="A74" t="s">
        <v>21</v>
      </c>
      <c r="B74">
        <f>Diadema!C120</f>
        <v>0</v>
      </c>
      <c r="C74" t="e">
        <f>_xlfn.XLOOKUP(B74,Diadema!$C$55:$C$176,Diadema!$O$55:$O$176)</f>
        <v>#N/A</v>
      </c>
      <c r="D74" s="716" t="e">
        <f>_xlfn.XLOOKUP(B74,Diadema!$C$55:$C$176,Diadema!$J$55:$J$176)</f>
        <v>#N/A</v>
      </c>
    </row>
    <row r="75" spans="1:5" x14ac:dyDescent="0.3">
      <c r="A75" t="s">
        <v>21</v>
      </c>
      <c r="B75" t="str">
        <f>Diadema!C121</f>
        <v>34 - Redução de Peso Bruto do item MB003554LA</v>
      </c>
      <c r="C75" t="str">
        <f>_xlfn.XLOOKUP(B75,Diadema!$C$55:$C$176,Diadema!$O$55:$O$176)</f>
        <v>✓ Concluído</v>
      </c>
      <c r="D75" s="717">
        <f>_xlfn.XLOOKUP(B75,Diadema!$C$55:$C$176,Diadema!$J$55:$J$176)</f>
        <v>46082</v>
      </c>
      <c r="E75" s="224">
        <f ca="1">_xlfn.XLOOKUP(B75,Pareto!S:S,Pareto!V:V)</f>
        <v>1193.5350000000001</v>
      </c>
    </row>
    <row r="76" spans="1:5" hidden="1" x14ac:dyDescent="0.3">
      <c r="A76" t="s">
        <v>21</v>
      </c>
      <c r="B76">
        <f>Diadema!C122</f>
        <v>0</v>
      </c>
      <c r="C76" t="e">
        <f>_xlfn.XLOOKUP(B76,Diadema!$C$55:$C$176,Diadema!$O$55:$O$176)</f>
        <v>#N/A</v>
      </c>
      <c r="D76" s="716" t="e">
        <f>_xlfn.XLOOKUP(B76,Diadema!$C$55:$C$176,Diadema!$J$55:$J$176)</f>
        <v>#N/A</v>
      </c>
    </row>
    <row r="77" spans="1:5" x14ac:dyDescent="0.3">
      <c r="A77" t="s">
        <v>21</v>
      </c>
      <c r="B77" t="str">
        <f>Diadema!C123</f>
        <v>35 - Redução de Peso Bruto do item MB003597LA</v>
      </c>
      <c r="C77" t="str">
        <f>_xlfn.XLOOKUP(B77,Diadema!$C$55:$C$176,Diadema!$O$55:$O$176)</f>
        <v>✓ Concluído</v>
      </c>
      <c r="D77" s="717">
        <f>_xlfn.XLOOKUP(B77,Diadema!$C$55:$C$176,Diadema!$J$55:$J$176)</f>
        <v>46082</v>
      </c>
      <c r="E77" s="224">
        <f ca="1">_xlfn.XLOOKUP(B77,Pareto!S:S,Pareto!V:V)</f>
        <v>7170.5249999999996</v>
      </c>
    </row>
    <row r="78" spans="1:5" hidden="1" x14ac:dyDescent="0.3">
      <c r="A78" t="s">
        <v>21</v>
      </c>
      <c r="B78">
        <f>Diadema!C124</f>
        <v>0</v>
      </c>
      <c r="C78" t="e">
        <f>_xlfn.XLOOKUP(B78,Diadema!$C$55:$C$176,Diadema!$O$55:$O$176)</f>
        <v>#N/A</v>
      </c>
      <c r="D78" s="716" t="e">
        <f>_xlfn.XLOOKUP(B78,Diadema!$C$55:$C$176,Diadema!$J$55:$J$176)</f>
        <v>#N/A</v>
      </c>
    </row>
    <row r="79" spans="1:5" x14ac:dyDescent="0.3">
      <c r="A79" t="s">
        <v>21</v>
      </c>
      <c r="B79" t="str">
        <f>Diadema!C125</f>
        <v>36 - Redução de Peso Bruto do item MB003673LA</v>
      </c>
      <c r="C79" t="str">
        <f>_xlfn.XLOOKUP(B79,Diadema!$C$55:$C$176,Diadema!$O$55:$O$176)</f>
        <v>✓ Concluído</v>
      </c>
      <c r="D79" s="717">
        <f>_xlfn.XLOOKUP(B79,Diadema!$C$55:$C$176,Diadema!$J$55:$J$176)</f>
        <v>46082</v>
      </c>
      <c r="E79" s="224">
        <f ca="1">_xlfn.XLOOKUP(B79,Pareto!S:S,Pareto!V:V)</f>
        <v>317.85000000000002</v>
      </c>
    </row>
    <row r="80" spans="1:5" hidden="1" x14ac:dyDescent="0.3">
      <c r="A80" t="s">
        <v>21</v>
      </c>
      <c r="B80">
        <f>Diadema!C126</f>
        <v>0</v>
      </c>
      <c r="C80" t="e">
        <f>_xlfn.XLOOKUP(B80,Diadema!$C$55:$C$176,Diadema!$O$55:$O$176)</f>
        <v>#N/A</v>
      </c>
      <c r="D80" s="716" t="e">
        <f>_xlfn.XLOOKUP(B80,Diadema!$C$55:$C$176,Diadema!$J$55:$J$176)</f>
        <v>#N/A</v>
      </c>
    </row>
    <row r="81" spans="1:5" x14ac:dyDescent="0.3">
      <c r="A81" t="s">
        <v>21</v>
      </c>
      <c r="B81" t="str">
        <f>Diadema!C127</f>
        <v>37 - Redução de Peso Bruto do item MB003673LD</v>
      </c>
      <c r="C81" t="str">
        <f>_xlfn.XLOOKUP(B81,Diadema!$C$55:$C$176,Diadema!$O$55:$O$176)</f>
        <v>✓ Concluído</v>
      </c>
      <c r="D81" s="717">
        <f>_xlfn.XLOOKUP(B81,Diadema!$C$55:$C$176,Diadema!$J$55:$J$176)</f>
        <v>46082</v>
      </c>
      <c r="E81" s="224">
        <f ca="1">_xlfn.XLOOKUP(B81,Pareto!S:S,Pareto!V:V)</f>
        <v>1120.9549999999999</v>
      </c>
    </row>
    <row r="82" spans="1:5" hidden="1" x14ac:dyDescent="0.3">
      <c r="A82" t="s">
        <v>21</v>
      </c>
      <c r="B82">
        <f>Diadema!C128</f>
        <v>0</v>
      </c>
      <c r="C82" t="e">
        <f>_xlfn.XLOOKUP(B82,Diadema!$C$55:$C$176,Diadema!$O$55:$O$176)</f>
        <v>#N/A</v>
      </c>
      <c r="D82" s="716" t="e">
        <f>_xlfn.XLOOKUP(B82,Diadema!$C$55:$C$176,Diadema!$J$55:$J$176)</f>
        <v>#N/A</v>
      </c>
    </row>
    <row r="83" spans="1:5" x14ac:dyDescent="0.3">
      <c r="A83" t="s">
        <v>21</v>
      </c>
      <c r="B83" t="str">
        <f>Diadema!C129</f>
        <v>38 - Redução de Peso Bruto do item SV000205LB</v>
      </c>
      <c r="C83" t="str">
        <f>_xlfn.XLOOKUP(B83,Diadema!$C$55:$C$176,Diadema!$O$55:$O$176)</f>
        <v>✓ Concluído</v>
      </c>
      <c r="D83" s="717">
        <f>_xlfn.XLOOKUP(B83,Diadema!$C$55:$C$176,Diadema!$J$55:$J$176)</f>
        <v>46082</v>
      </c>
      <c r="E83" s="224">
        <f ca="1">_xlfn.XLOOKUP(B83,Pareto!S:S,Pareto!V:V)</f>
        <v>1773.42</v>
      </c>
    </row>
    <row r="84" spans="1:5" hidden="1" x14ac:dyDescent="0.3">
      <c r="A84" t="s">
        <v>21</v>
      </c>
      <c r="B84">
        <f>Diadema!C130</f>
        <v>0</v>
      </c>
      <c r="C84" t="e">
        <f>_xlfn.XLOOKUP(B84,Diadema!$C$55:$C$176,Diadema!$O$55:$O$176)</f>
        <v>#N/A</v>
      </c>
      <c r="D84" s="716" t="e">
        <f>_xlfn.XLOOKUP(B84,Diadema!$C$55:$C$176,Diadema!$J$55:$J$176)</f>
        <v>#N/A</v>
      </c>
    </row>
    <row r="85" spans="1:5" x14ac:dyDescent="0.3">
      <c r="A85" t="s">
        <v>21</v>
      </c>
      <c r="B85" t="str">
        <f>Diadema!C131</f>
        <v>39 - Redução de Peso Bruto do item VB000323LA</v>
      </c>
      <c r="C85" t="str">
        <f>_xlfn.XLOOKUP(B85,Diadema!$C$55:$C$176,Diadema!$O$55:$O$176)</f>
        <v>✓ Concluído</v>
      </c>
      <c r="D85" s="717">
        <f>_xlfn.XLOOKUP(B85,Diadema!$C$55:$C$176,Diadema!$J$55:$J$176)</f>
        <v>46082</v>
      </c>
      <c r="E85" s="224">
        <f ca="1">_xlfn.XLOOKUP(B85,Pareto!S:S,Pareto!V:V)</f>
        <v>792.43499999999995</v>
      </c>
    </row>
    <row r="86" spans="1:5" hidden="1" x14ac:dyDescent="0.3">
      <c r="A86" t="s">
        <v>21</v>
      </c>
      <c r="B86">
        <f>Diadema!C132</f>
        <v>0</v>
      </c>
      <c r="C86" t="e">
        <f>_xlfn.XLOOKUP(B86,Diadema!$C$55:$C$176,Diadema!$O$55:$O$176)</f>
        <v>#N/A</v>
      </c>
      <c r="D86" s="716" t="e">
        <f>_xlfn.XLOOKUP(B86,Diadema!$C$55:$C$176,Diadema!$J$55:$J$176)</f>
        <v>#N/A</v>
      </c>
    </row>
    <row r="87" spans="1:5" x14ac:dyDescent="0.3">
      <c r="A87" t="s">
        <v>21</v>
      </c>
      <c r="B87" t="str">
        <f>Diadema!C133</f>
        <v>40 - Redução de Peso Bruto do item VW001138LA</v>
      </c>
      <c r="C87" t="str">
        <f>_xlfn.XLOOKUP(B87,Diadema!$C$55:$C$176,Diadema!$O$55:$O$176)</f>
        <v>✓ Concluído</v>
      </c>
      <c r="D87" s="717">
        <f>_xlfn.XLOOKUP(B87,Diadema!$C$55:$C$176,Diadema!$J$55:$J$176)</f>
        <v>46082</v>
      </c>
      <c r="E87" s="224">
        <f ca="1">_xlfn.XLOOKUP(B87,Pareto!S:S,Pareto!V:V)</f>
        <v>948.26</v>
      </c>
    </row>
    <row r="88" spans="1:5" hidden="1" x14ac:dyDescent="0.3">
      <c r="A88" t="s">
        <v>21</v>
      </c>
      <c r="B88">
        <f>Diadema!C134</f>
        <v>0</v>
      </c>
      <c r="C88" t="e">
        <f>_xlfn.XLOOKUP(B88,Diadema!$C$55:$C$176,Diadema!$O$55:$O$176)</f>
        <v>#N/A</v>
      </c>
      <c r="D88" s="716" t="e">
        <f>_xlfn.XLOOKUP(B88,Diadema!$C$55:$C$176,Diadema!$J$55:$J$176)</f>
        <v>#N/A</v>
      </c>
    </row>
    <row r="89" spans="1:5" x14ac:dyDescent="0.3">
      <c r="A89" t="s">
        <v>21</v>
      </c>
      <c r="B89" t="str">
        <f>Diadema!C135</f>
        <v>41 - Redução de Peso Bruto do item SV001141LA</v>
      </c>
      <c r="C89" t="str">
        <f>_xlfn.XLOOKUP(B89,Diadema!$C$55:$C$176,Diadema!$O$55:$O$176)</f>
        <v>✓ Concluído</v>
      </c>
      <c r="D89" s="717">
        <f>_xlfn.XLOOKUP(B89,Diadema!$C$55:$C$176,Diadema!$J$55:$J$176)</f>
        <v>46082</v>
      </c>
      <c r="E89" s="224">
        <f ca="1">_xlfn.XLOOKUP(B89,Pareto!S:S,Pareto!V:V)</f>
        <v>20552.285000000003</v>
      </c>
    </row>
    <row r="90" spans="1:5" hidden="1" x14ac:dyDescent="0.3">
      <c r="A90" t="s">
        <v>21</v>
      </c>
      <c r="B90">
        <f>Diadema!C136</f>
        <v>0</v>
      </c>
      <c r="C90" t="e">
        <f>_xlfn.XLOOKUP(B90,Diadema!$C$55:$C$176,Diadema!$O$55:$O$176)</f>
        <v>#N/A</v>
      </c>
      <c r="D90" s="716" t="e">
        <f>_xlfn.XLOOKUP(B90,Diadema!$C$55:$C$176,Diadema!$J$55:$J$176)</f>
        <v>#N/A</v>
      </c>
    </row>
    <row r="91" spans="1:5" hidden="1" x14ac:dyDescent="0.3">
      <c r="A91" t="s">
        <v>21</v>
      </c>
      <c r="B91" t="str">
        <f>Diadema!C137</f>
        <v>42 - Aluguel de Compressor</v>
      </c>
      <c r="C91" t="str">
        <f>_xlfn.XLOOKUP(B91,Diadema!$C$55:$C$176,Diadema!$O$55:$O$176)</f>
        <v>✓ Concluído</v>
      </c>
      <c r="D91" s="716">
        <f>_xlfn.XLOOKUP(B91,Diadema!$C$55:$C$176,Diadema!$J$55:$J$176)</f>
        <v>46174</v>
      </c>
    </row>
    <row r="92" spans="1:5" hidden="1" x14ac:dyDescent="0.3">
      <c r="A92" t="s">
        <v>21</v>
      </c>
      <c r="B92">
        <f>Diadema!C138</f>
        <v>0</v>
      </c>
      <c r="C92" t="e">
        <f>_xlfn.XLOOKUP(B92,Diadema!$C$55:$C$176,Diadema!$O$55:$O$176)</f>
        <v>#N/A</v>
      </c>
      <c r="D92" s="716" t="e">
        <f>_xlfn.XLOOKUP(B92,Diadema!$C$55:$C$176,Diadema!$J$55:$J$176)</f>
        <v>#N/A</v>
      </c>
    </row>
    <row r="93" spans="1:5" hidden="1" x14ac:dyDescent="0.3">
      <c r="A93" t="s">
        <v>21</v>
      </c>
      <c r="B93" t="str">
        <f>Diadema!C139</f>
        <v>43 - Automação Boomerang</v>
      </c>
      <c r="C93" t="str">
        <f>_xlfn.XLOOKUP(B93,Diadema!$C$55:$C$176,Diadema!$O$55:$O$176)</f>
        <v>⏳ Em Execução</v>
      </c>
      <c r="D93" s="716">
        <f>_xlfn.XLOOKUP(B93,Diadema!$C$55:$C$176,Diadema!$J$55:$J$176)</f>
        <v>46235</v>
      </c>
    </row>
    <row r="94" spans="1:5" hidden="1" x14ac:dyDescent="0.3">
      <c r="A94" t="s">
        <v>21</v>
      </c>
      <c r="B94">
        <f>Diadema!C140</f>
        <v>0</v>
      </c>
      <c r="C94" t="e">
        <f>_xlfn.XLOOKUP(B94,Diadema!$C$55:$C$176,Diadema!$O$55:$O$176)</f>
        <v>#N/A</v>
      </c>
      <c r="D94" s="716" t="e">
        <f>_xlfn.XLOOKUP(B94,Diadema!$C$55:$C$176,Diadema!$J$55:$J$176)</f>
        <v>#N/A</v>
      </c>
    </row>
    <row r="95" spans="1:5" hidden="1" x14ac:dyDescent="0.3">
      <c r="A95" t="s">
        <v>21</v>
      </c>
      <c r="B95" t="str">
        <f>Diadema!C141</f>
        <v>44 - Mudança de fonte Usiminas para Arcelor</v>
      </c>
      <c r="C95" t="str">
        <f>_xlfn.XLOOKUP(B95,Diadema!$C$55:$C$176,Diadema!$O$55:$O$176)</f>
        <v>⏳ Em Execução</v>
      </c>
      <c r="D95" s="716">
        <f>_xlfn.XLOOKUP(B95,Diadema!$C$55:$C$176,Diadema!$J$55:$J$176)</f>
        <v>46204</v>
      </c>
    </row>
    <row r="96" spans="1:5" hidden="1" x14ac:dyDescent="0.3">
      <c r="A96" t="s">
        <v>21</v>
      </c>
      <c r="B96">
        <f>Diadema!C142</f>
        <v>0</v>
      </c>
      <c r="C96" t="e">
        <f>_xlfn.XLOOKUP(B96,Diadema!$C$55:$C$176,Diadema!$O$55:$O$176)</f>
        <v>#N/A</v>
      </c>
      <c r="D96" s="716" t="e">
        <f>_xlfn.XLOOKUP(B96,Diadema!$C$55:$C$176,Diadema!$J$55:$J$176)</f>
        <v>#N/A</v>
      </c>
    </row>
    <row r="97" spans="1:4" hidden="1" x14ac:dyDescent="0.3">
      <c r="A97" t="s">
        <v>21</v>
      </c>
      <c r="B97" t="str">
        <f>Diadema!C143</f>
        <v>45 - Redução de MP GM000409Z</v>
      </c>
      <c r="C97" t="str">
        <f>_xlfn.XLOOKUP(B97,Diadema!$C$55:$C$176,Diadema!$O$55:$O$176)</f>
        <v>✓ Concluído</v>
      </c>
      <c r="D97" s="716">
        <f>_xlfn.XLOOKUP(B97,Diadema!$C$55:$C$176,Diadema!$J$55:$J$176)</f>
        <v>46136</v>
      </c>
    </row>
    <row r="98" spans="1:4" hidden="1" x14ac:dyDescent="0.3">
      <c r="A98" t="s">
        <v>21</v>
      </c>
      <c r="B98">
        <f>Diadema!C144</f>
        <v>0</v>
      </c>
      <c r="C98" t="e">
        <f>_xlfn.XLOOKUP(B98,Diadema!$C$55:$C$176,Diadema!$O$55:$O$176)</f>
        <v>#N/A</v>
      </c>
      <c r="D98" s="716" t="e">
        <f>_xlfn.XLOOKUP(B98,Diadema!$C$55:$C$176,Diadema!$J$55:$J$176)</f>
        <v>#N/A</v>
      </c>
    </row>
    <row r="99" spans="1:4" hidden="1" x14ac:dyDescent="0.3">
      <c r="A99" t="s">
        <v>21</v>
      </c>
      <c r="B99" t="str">
        <f>Diadema!C145</f>
        <v>46 - AGUA DESMINERALIZADA</v>
      </c>
      <c r="C99" t="str">
        <f>_xlfn.XLOOKUP(B99,Diadema!$C$55:$C$176,Diadema!$O$55:$O$176)</f>
        <v>✓ Concluído</v>
      </c>
      <c r="D99" s="717">
        <f>_xlfn.XLOOKUP(B99,Diadema!$C$55:$C$176,Diadema!$J$55:$J$176)</f>
        <v>46113</v>
      </c>
    </row>
    <row r="100" spans="1:4" hidden="1" x14ac:dyDescent="0.3">
      <c r="A100" t="s">
        <v>21</v>
      </c>
      <c r="B100">
        <f>Diadema!C146</f>
        <v>0</v>
      </c>
      <c r="C100" t="e">
        <f>_xlfn.XLOOKUP(B100,Diadema!$C$55:$C$176,Diadema!$O$55:$O$176)</f>
        <v>#N/A</v>
      </c>
      <c r="D100" s="716" t="e">
        <f>_xlfn.XLOOKUP(B100,Diadema!$C$55:$C$176,Diadema!$J$55:$J$176)</f>
        <v>#N/A</v>
      </c>
    </row>
    <row r="101" spans="1:4" hidden="1" x14ac:dyDescent="0.3">
      <c r="A101" t="s">
        <v>21</v>
      </c>
      <c r="B101" t="str">
        <f>Diadema!C147</f>
        <v>47 - REDUÇÃO DE MP DJ000079Z – 80Z</v>
      </c>
      <c r="C101" t="str">
        <f>_xlfn.XLOOKUP(B101,Diadema!$C$55:$C$176,Diadema!$O$55:$O$176)</f>
        <v>⏳ Em Execução</v>
      </c>
      <c r="D101" s="716">
        <f>_xlfn.XLOOKUP(B101,Diadema!$C$55:$C$176,Diadema!$J$55:$J$176)</f>
        <v>46235</v>
      </c>
    </row>
    <row r="102" spans="1:4" hidden="1" x14ac:dyDescent="0.3">
      <c r="A102" t="s">
        <v>21</v>
      </c>
      <c r="B102">
        <f>Diadema!C148</f>
        <v>0</v>
      </c>
      <c r="C102" t="e">
        <f>_xlfn.XLOOKUP(B102,Diadema!$C$55:$C$176,Diadema!$O$55:$O$176)</f>
        <v>#N/A</v>
      </c>
      <c r="D102" s="716" t="e">
        <f>_xlfn.XLOOKUP(B102,Diadema!$C$55:$C$176,Diadema!$J$55:$J$176)</f>
        <v>#N/A</v>
      </c>
    </row>
    <row r="103" spans="1:4" hidden="1" x14ac:dyDescent="0.3">
      <c r="A103" t="s">
        <v>21</v>
      </c>
      <c r="B103" t="str">
        <f>Diadema!C149</f>
        <v>48 - REDUÇÃO DE MP BOZ0150HX1000</v>
      </c>
      <c r="C103" t="str">
        <f>_xlfn.XLOOKUP(B103,Diadema!$C$55:$C$176,Diadema!$O$55:$O$176)</f>
        <v>⏳ Em Execução</v>
      </c>
      <c r="D103" s="716">
        <f>_xlfn.XLOOKUP(B103,Diadema!$C$55:$C$176,Diadema!$J$55:$J$176)</f>
        <v>46235</v>
      </c>
    </row>
    <row r="104" spans="1:4" hidden="1" x14ac:dyDescent="0.3">
      <c r="A104" t="s">
        <v>21</v>
      </c>
      <c r="B104">
        <f>Diadema!C150</f>
        <v>0</v>
      </c>
      <c r="C104" t="e">
        <f>_xlfn.XLOOKUP(B104,Diadema!$C$55:$C$176,Diadema!$O$55:$O$176)</f>
        <v>#N/A</v>
      </c>
      <c r="D104" s="716" t="e">
        <f>_xlfn.XLOOKUP(B104,Diadema!$C$55:$C$176,Diadema!$J$55:$J$176)</f>
        <v>#N/A</v>
      </c>
    </row>
    <row r="105" spans="1:4" hidden="1" x14ac:dyDescent="0.3">
      <c r="A105" t="s">
        <v>21</v>
      </c>
      <c r="B105" t="str">
        <f>Diadema!C151</f>
        <v>49 - REDUÇÃO DE MP GM000408Z / GM000409Z</v>
      </c>
      <c r="C105" t="str">
        <f>_xlfn.XLOOKUP(B105,Diadema!$C$55:$C$176,Diadema!$O$55:$O$176)</f>
        <v>⏳ Em Execução</v>
      </c>
      <c r="D105" s="716">
        <f>_xlfn.XLOOKUP(B105,Diadema!$C$55:$C$176,Diadema!$J$55:$J$176)</f>
        <v>46266</v>
      </c>
    </row>
    <row r="106" spans="1:4" hidden="1" x14ac:dyDescent="0.3">
      <c r="A106" t="s">
        <v>21</v>
      </c>
      <c r="B106">
        <f>Diadema!C152</f>
        <v>0</v>
      </c>
      <c r="C106" t="e">
        <f>_xlfn.XLOOKUP(B106,Diadema!$C$55:$C$176,Diadema!$O$55:$O$176)</f>
        <v>#N/A</v>
      </c>
      <c r="D106" s="716" t="e">
        <f>_xlfn.XLOOKUP(B106,Diadema!$C$55:$C$176,Diadema!$J$55:$J$176)</f>
        <v>#N/A</v>
      </c>
    </row>
    <row r="107" spans="1:4" hidden="1" x14ac:dyDescent="0.3">
      <c r="A107" t="s">
        <v>21</v>
      </c>
      <c r="B107" t="str">
        <f>Diadema!C153</f>
        <v>50 - Suporte da lanterna MB003681</v>
      </c>
      <c r="C107" t="str">
        <f>_xlfn.XLOOKUP(B107,Diadema!$C$55:$C$176,Diadema!$O$55:$O$176)</f>
        <v>⏳ Em Execução</v>
      </c>
      <c r="D107" s="716">
        <f>_xlfn.XLOOKUP(B107,Diadema!$C$55:$C$176,Diadema!$J$55:$J$176)</f>
        <v>46174</v>
      </c>
    </row>
    <row r="108" spans="1:4" hidden="1" x14ac:dyDescent="0.3">
      <c r="A108" t="s">
        <v>21</v>
      </c>
      <c r="B108">
        <f>Diadema!C154</f>
        <v>0</v>
      </c>
      <c r="C108" t="e">
        <f>_xlfn.XLOOKUP(B108,Diadema!$C$55:$C$176,Diadema!$O$55:$O$176)</f>
        <v>#N/A</v>
      </c>
      <c r="D108" s="716" t="e">
        <f>_xlfn.XLOOKUP(B108,Diadema!$C$55:$C$176,Diadema!$J$55:$J$176)</f>
        <v>#N/A</v>
      </c>
    </row>
    <row r="109" spans="1:4" hidden="1" x14ac:dyDescent="0.3">
      <c r="A109" t="s">
        <v>21</v>
      </c>
      <c r="B109" t="str">
        <f>Diadema!C155</f>
        <v>51 - Redução de MP - GM000402Z_403Z_Passo</v>
      </c>
      <c r="C109" t="str">
        <f>_xlfn.XLOOKUP(B109,Diadema!$C$55:$C$176,Diadema!$O$55:$O$176)</f>
        <v>✓ Concluído</v>
      </c>
      <c r="D109" s="716">
        <f>_xlfn.XLOOKUP(B109,Diadema!$C$55:$C$176,Diadema!$J$55:$J$176)</f>
        <v>46143</v>
      </c>
    </row>
    <row r="110" spans="1:4" hidden="1" x14ac:dyDescent="0.3">
      <c r="A110" t="s">
        <v>21</v>
      </c>
      <c r="B110">
        <f>Diadema!C156</f>
        <v>0</v>
      </c>
      <c r="C110" t="e">
        <f>_xlfn.XLOOKUP(B110,Diadema!$C$55:$C$176,Diadema!$O$55:$O$176)</f>
        <v>#N/A</v>
      </c>
      <c r="D110" s="716" t="e">
        <f>_xlfn.XLOOKUP(B110,Diadema!$C$55:$C$176,Diadema!$J$55:$J$176)</f>
        <v>#N/A</v>
      </c>
    </row>
    <row r="111" spans="1:4" hidden="1" x14ac:dyDescent="0.3">
      <c r="A111" t="s">
        <v>21</v>
      </c>
      <c r="B111" t="str">
        <f>Diadema!C157</f>
        <v>52 - Redução de MP - GM000458Z / GM000459Z</v>
      </c>
      <c r="C111" t="str">
        <f>_xlfn.XLOOKUP(B111,Diadema!$C$55:$C$176,Diadema!$O$55:$O$176)</f>
        <v>✓ Concluído</v>
      </c>
      <c r="D111" s="716">
        <f>_xlfn.XLOOKUP(B111,Diadema!$C$55:$C$176,Diadema!$J$55:$J$176)</f>
        <v>46174</v>
      </c>
    </row>
    <row r="112" spans="1:4" hidden="1" x14ac:dyDescent="0.3">
      <c r="A112" t="s">
        <v>21</v>
      </c>
      <c r="B112">
        <f>Diadema!C158</f>
        <v>0</v>
      </c>
      <c r="C112" t="e">
        <f>_xlfn.XLOOKUP(B112,Diadema!$C$55:$C$176,Diadema!$O$55:$O$176)</f>
        <v>#N/A</v>
      </c>
      <c r="D112" s="716" t="e">
        <f>_xlfn.XLOOKUP(B112,Diadema!$C$55:$C$176,Diadema!$J$55:$J$176)</f>
        <v>#N/A</v>
      </c>
    </row>
    <row r="113" spans="1:4" hidden="1" x14ac:dyDescent="0.3">
      <c r="A113" t="s">
        <v>21</v>
      </c>
      <c r="B113" t="str">
        <f>Diadema!C159</f>
        <v xml:space="preserve">53 - Redução no custo de aluguel de cilindros. </v>
      </c>
      <c r="C113" t="str">
        <f>_xlfn.XLOOKUP(B113,Diadema!$C$55:$C$176,Diadema!$O$55:$O$176)</f>
        <v>✓ Concluído</v>
      </c>
      <c r="D113" s="716">
        <f>_xlfn.XLOOKUP(B113,Diadema!$C$55:$C$176,Diadema!$J$55:$J$176)</f>
        <v>46174</v>
      </c>
    </row>
    <row r="114" spans="1:4" hidden="1" x14ac:dyDescent="0.3">
      <c r="A114" t="s">
        <v>21</v>
      </c>
      <c r="B114">
        <f>Diadema!C160</f>
        <v>0</v>
      </c>
      <c r="C114" t="e">
        <f>_xlfn.XLOOKUP(B114,Diadema!$C$55:$C$176,Diadema!$O$55:$O$176)</f>
        <v>#N/A</v>
      </c>
      <c r="D114" s="716" t="e">
        <f>_xlfn.XLOOKUP(B114,Diadema!$C$55:$C$176,Diadema!$J$55:$J$176)</f>
        <v>#N/A</v>
      </c>
    </row>
    <row r="115" spans="1:4" hidden="1" x14ac:dyDescent="0.3">
      <c r="A115" t="s">
        <v>21</v>
      </c>
      <c r="B115" t="str">
        <f>Diadema!C161</f>
        <v>54 - Redução de MP - VW000585Z_586Z (20mm no passo)</v>
      </c>
      <c r="C115" t="str">
        <f>_xlfn.XLOOKUP(B115,Diadema!$C$55:$C$176,Diadema!$O$55:$O$176)</f>
        <v>⏳ Em Execução</v>
      </c>
      <c r="D115" s="716">
        <f>_xlfn.XLOOKUP(B115,Diadema!$C$55:$C$176,Diadema!$J$55:$J$176)</f>
        <v>46266</v>
      </c>
    </row>
    <row r="116" spans="1:4" hidden="1" x14ac:dyDescent="0.3">
      <c r="A116" t="s">
        <v>21</v>
      </c>
      <c r="B116">
        <f>Diadema!C162</f>
        <v>0</v>
      </c>
      <c r="C116" t="e">
        <f>_xlfn.XLOOKUP(B116,Diadema!$C$55:$C$176,Diadema!$O$55:$O$176)</f>
        <v>#N/A</v>
      </c>
      <c r="D116" s="716" t="e">
        <f>_xlfn.XLOOKUP(B116,Diadema!$C$55:$C$176,Diadema!$J$55:$J$176)</f>
        <v>#N/A</v>
      </c>
    </row>
    <row r="117" spans="1:4" hidden="1" x14ac:dyDescent="0.3">
      <c r="A117" t="s">
        <v>21</v>
      </c>
      <c r="B117" t="str">
        <f>Diadema!C163</f>
        <v>55 -  Redução de MP - GM000378Z / GM000379Z</v>
      </c>
      <c r="C117" t="str">
        <f>_xlfn.XLOOKUP(B117,Diadema!$C$55:$C$176,Diadema!$O$55:$O$176)</f>
        <v>⏳ Em Execução</v>
      </c>
      <c r="D117" s="716">
        <f>_xlfn.XLOOKUP(B117,Diadema!$C$55:$C$176,Diadema!$J$55:$J$176)</f>
        <v>46235</v>
      </c>
    </row>
    <row r="118" spans="1:4" hidden="1" x14ac:dyDescent="0.3">
      <c r="A118" t="s">
        <v>21</v>
      </c>
      <c r="B118">
        <f>Diadema!C164</f>
        <v>0</v>
      </c>
      <c r="C118" t="e">
        <f>_xlfn.XLOOKUP(B118,Diadema!$C$55:$C$176,Diadema!$O$55:$O$176)</f>
        <v>#N/A</v>
      </c>
      <c r="D118" s="716" t="e">
        <f>_xlfn.XLOOKUP(B118,Diadema!$C$55:$C$176,Diadema!$J$55:$J$176)</f>
        <v>#N/A</v>
      </c>
    </row>
    <row r="119" spans="1:4" hidden="1" x14ac:dyDescent="0.3">
      <c r="A119" t="s">
        <v>21</v>
      </c>
      <c r="B119" t="str">
        <f>Diadema!C165</f>
        <v>56 -Redução de Peso Bruto do item SV001141LA / SV001142LA</v>
      </c>
      <c r="C119" t="str">
        <f>_xlfn.XLOOKUP(B119,Diadema!$C$55:$C$176,Diadema!$O$55:$O$176)</f>
        <v>✓ Concluído</v>
      </c>
      <c r="D119" s="716">
        <f>_xlfn.XLOOKUP(B119,Diadema!$C$55:$C$176,Diadema!$J$55:$J$176)</f>
        <v>46204</v>
      </c>
    </row>
    <row r="120" spans="1:4" hidden="1" x14ac:dyDescent="0.3">
      <c r="A120" t="s">
        <v>21</v>
      </c>
      <c r="B120">
        <f>Diadema!C166</f>
        <v>0</v>
      </c>
      <c r="C120" t="e">
        <f>_xlfn.XLOOKUP(B120,Diadema!$C$55:$C$176,Diadema!$O$55:$O$176)</f>
        <v>#N/A</v>
      </c>
      <c r="D120" s="716" t="e">
        <f>_xlfn.XLOOKUP(B120,Diadema!$C$55:$C$176,Diadema!$J$55:$J$176)</f>
        <v>#N/A</v>
      </c>
    </row>
    <row r="121" spans="1:4" hidden="1" x14ac:dyDescent="0.3">
      <c r="A121" t="s">
        <v>21</v>
      </c>
      <c r="B121" t="str">
        <f>Diadema!C167</f>
        <v>57 - AlmaCAM_Redução de Peso</v>
      </c>
      <c r="C121" t="str">
        <f>_xlfn.XLOOKUP(B121,Diadema!$C$55:$C$176,Diadema!$O$55:$O$176)</f>
        <v>✓ Concluído</v>
      </c>
      <c r="D121" s="716">
        <f>_xlfn.XLOOKUP(B121,Diadema!$C$55:$C$176,Diadema!$J$55:$J$176)</f>
        <v>46174</v>
      </c>
    </row>
    <row r="122" spans="1:4" hidden="1" x14ac:dyDescent="0.3">
      <c r="A122" t="s">
        <v>21</v>
      </c>
      <c r="B122">
        <f>Diadema!C168</f>
        <v>0</v>
      </c>
      <c r="C122" t="e">
        <f>_xlfn.XLOOKUP(B122,Diadema!$C$55:$C$176,Diadema!$O$55:$O$176)</f>
        <v>#N/A</v>
      </c>
      <c r="D122" s="716" t="e">
        <f>_xlfn.XLOOKUP(B122,Diadema!$C$55:$C$176,Diadema!$J$55:$J$176)</f>
        <v>#N/A</v>
      </c>
    </row>
    <row r="123" spans="1:4" hidden="1" x14ac:dyDescent="0.3">
      <c r="A123" t="s">
        <v>21</v>
      </c>
      <c r="B123">
        <f>Diadema!C169</f>
        <v>0</v>
      </c>
      <c r="C123" t="e">
        <f>_xlfn.XLOOKUP(B123,Diadema!$C$55:$C$176,Diadema!$O$55:$O$176)</f>
        <v>#N/A</v>
      </c>
      <c r="D123" s="716" t="e">
        <f>_xlfn.XLOOKUP(B123,Diadema!$C$55:$C$176,Diadema!$J$55:$J$176)</f>
        <v>#N/A</v>
      </c>
    </row>
    <row r="124" spans="1:4" hidden="1" x14ac:dyDescent="0.3">
      <c r="A124" t="s">
        <v>21</v>
      </c>
      <c r="B124">
        <f>Diadema!C170</f>
        <v>0</v>
      </c>
      <c r="C124" t="e">
        <f>_xlfn.XLOOKUP(B124,Diadema!$C$55:$C$176,Diadema!$O$55:$O$176)</f>
        <v>#N/A</v>
      </c>
      <c r="D124" s="716" t="e">
        <f>_xlfn.XLOOKUP(B124,Diadema!$C$55:$C$176,Diadema!$J$55:$J$176)</f>
        <v>#N/A</v>
      </c>
    </row>
    <row r="125" spans="1:4" hidden="1" x14ac:dyDescent="0.3">
      <c r="A125" t="s">
        <v>21</v>
      </c>
      <c r="B125">
        <f>Diadema!C171</f>
        <v>0</v>
      </c>
      <c r="C125" t="e">
        <f>_xlfn.XLOOKUP(B125,Diadema!$C$55:$C$176,Diadema!$O$55:$O$176)</f>
        <v>#N/A</v>
      </c>
      <c r="D125" s="716" t="e">
        <f>_xlfn.XLOOKUP(B125,Diadema!$C$55:$C$176,Diadema!$J$55:$J$176)</f>
        <v>#N/A</v>
      </c>
    </row>
    <row r="126" spans="1:4" hidden="1" x14ac:dyDescent="0.3">
      <c r="A126" t="s">
        <v>21</v>
      </c>
      <c r="B126">
        <f>Diadema!C172</f>
        <v>0</v>
      </c>
      <c r="C126" t="e">
        <f>_xlfn.XLOOKUP(B126,Diadema!$C$55:$C$176,Diadema!$O$55:$O$176)</f>
        <v>#N/A</v>
      </c>
      <c r="D126" s="716" t="e">
        <f>_xlfn.XLOOKUP(B126,Diadema!$C$55:$C$176,Diadema!$J$55:$J$176)</f>
        <v>#N/A</v>
      </c>
    </row>
    <row r="127" spans="1:4" hidden="1" x14ac:dyDescent="0.3">
      <c r="A127" t="s">
        <v>21</v>
      </c>
      <c r="B127">
        <f>Diadema!C173</f>
        <v>0</v>
      </c>
      <c r="C127" t="e">
        <f>_xlfn.XLOOKUP(B127,Diadema!$C$55:$C$176,Diadema!$O$55:$O$176)</f>
        <v>#N/A</v>
      </c>
      <c r="D127" s="716" t="e">
        <f>_xlfn.XLOOKUP(B127,Diadema!$C$55:$C$176,Diadema!$J$55:$J$176)</f>
        <v>#N/A</v>
      </c>
    </row>
    <row r="128" spans="1:4" hidden="1" x14ac:dyDescent="0.3">
      <c r="A128" t="s">
        <v>21</v>
      </c>
      <c r="B128">
        <f>Diadema!C174</f>
        <v>0</v>
      </c>
      <c r="C128" t="e">
        <f>_xlfn.XLOOKUP(B128,Diadema!$C$55:$C$176,Diadema!$O$55:$O$176)</f>
        <v>#N/A</v>
      </c>
      <c r="D128" s="716" t="e">
        <f>_xlfn.XLOOKUP(B128,Diadema!$C$55:$C$176,Diadema!$J$55:$J$176)</f>
        <v>#N/A</v>
      </c>
    </row>
    <row r="129" spans="1:4" hidden="1" x14ac:dyDescent="0.3">
      <c r="A129" t="s">
        <v>21</v>
      </c>
      <c r="B129">
        <f>Diadema!C175</f>
        <v>0</v>
      </c>
      <c r="C129" t="e">
        <f>_xlfn.XLOOKUP(B129,Diadema!$C$55:$C$176,Diadema!$O$55:$O$176)</f>
        <v>#N/A</v>
      </c>
      <c r="D129" s="716" t="e">
        <f>_xlfn.XLOOKUP(B129,Diadema!$C$55:$C$176,Diadema!$J$55:$J$176)</f>
        <v>#N/A</v>
      </c>
    </row>
    <row r="130" spans="1:4" hidden="1" x14ac:dyDescent="0.3">
      <c r="A130" t="s">
        <v>25</v>
      </c>
      <c r="B130" t="str">
        <f>Anchieta!C55</f>
        <v>01 - VENDA DE ATIVOS</v>
      </c>
      <c r="C130" t="str">
        <f>_xlfn.XLOOKUP(B130,Anchieta!$C$55:$C$102,Anchieta!$O$55:$O$102)</f>
        <v>⏳ Em Execução</v>
      </c>
      <c r="D130" s="716">
        <f>_xlfn.XLOOKUP(B130,Anchieta!$C$55:$C$102,Anchieta!$J$55:$J$102)</f>
        <v>46054</v>
      </c>
    </row>
    <row r="131" spans="1:4" hidden="1" x14ac:dyDescent="0.3">
      <c r="A131" t="s">
        <v>25</v>
      </c>
      <c r="B131">
        <f>Anchieta!C56</f>
        <v>0</v>
      </c>
      <c r="C131" t="e">
        <f>_xlfn.XLOOKUP(B131,Anchieta!$C$55:$C$102,Anchieta!$O$55:$O$102)</f>
        <v>#N/A</v>
      </c>
      <c r="D131" s="716" t="e">
        <f>_xlfn.XLOOKUP(B131,Anchieta!$C$55:$C$102,Anchieta!$J$55:$J$102)</f>
        <v>#N/A</v>
      </c>
    </row>
    <row r="132" spans="1:4" hidden="1" x14ac:dyDescent="0.3">
      <c r="A132" t="s">
        <v>25</v>
      </c>
      <c r="B132" t="str">
        <f>Anchieta!C57</f>
        <v>02 - TANQUE DE DECAPAGEM</v>
      </c>
      <c r="C132" t="str">
        <f>_xlfn.XLOOKUP(B132,Anchieta!$C$55:$C$102,Anchieta!$O$55:$O$102)</f>
        <v>⏳ Em Execução</v>
      </c>
      <c r="D132" s="716">
        <f>_xlfn.XLOOKUP(B132,Anchieta!$C$55:$C$102,Anchieta!$J$55:$J$102)</f>
        <v>46218</v>
      </c>
    </row>
    <row r="133" spans="1:4" hidden="1" x14ac:dyDescent="0.3">
      <c r="A133" t="s">
        <v>25</v>
      </c>
      <c r="B133">
        <f>Anchieta!C58</f>
        <v>0</v>
      </c>
      <c r="C133" t="e">
        <f>_xlfn.XLOOKUP(B133,Anchieta!$C$55:$C$102,Anchieta!$O$55:$O$102)</f>
        <v>#N/A</v>
      </c>
      <c r="D133" s="716" t="e">
        <f>_xlfn.XLOOKUP(B133,Anchieta!$C$55:$C$102,Anchieta!$J$55:$J$102)</f>
        <v>#N/A</v>
      </c>
    </row>
    <row r="134" spans="1:4" hidden="1" x14ac:dyDescent="0.3">
      <c r="A134" t="s">
        <v>25</v>
      </c>
      <c r="B134" t="str">
        <f>Anchieta!C59</f>
        <v>03 - PRODUTOS QUÍMICOS KTL</v>
      </c>
      <c r="C134" t="str">
        <f>_xlfn.XLOOKUP(B134,Anchieta!$C$55:$C$102,Anchieta!$O$55:$O$102)</f>
        <v>✓ Concluído</v>
      </c>
      <c r="D134" s="716">
        <f>_xlfn.XLOOKUP(B134,Anchieta!$C$55:$C$102,Anchieta!$J$55:$J$102)</f>
        <v>46054</v>
      </c>
    </row>
    <row r="135" spans="1:4" hidden="1" x14ac:dyDescent="0.3">
      <c r="A135" t="s">
        <v>25</v>
      </c>
      <c r="B135">
        <f>Anchieta!C60</f>
        <v>0</v>
      </c>
      <c r="C135" t="e">
        <f>_xlfn.XLOOKUP(B135,Anchieta!$C$55:$C$102,Anchieta!$O$55:$O$102)</f>
        <v>#N/A</v>
      </c>
      <c r="D135" s="716" t="e">
        <f>_xlfn.XLOOKUP(B135,Anchieta!$C$55:$C$102,Anchieta!$J$55:$J$102)</f>
        <v>#N/A</v>
      </c>
    </row>
    <row r="136" spans="1:4" hidden="1" x14ac:dyDescent="0.3">
      <c r="A136" t="s">
        <v>25</v>
      </c>
      <c r="B136" t="str">
        <f>Anchieta!C61</f>
        <v>04 - GÁS</v>
      </c>
      <c r="C136" t="str">
        <f>_xlfn.XLOOKUP(B136,Anchieta!$C$55:$C$102,Anchieta!$O$55:$O$102)</f>
        <v>⏳ Em Execução</v>
      </c>
      <c r="D136" s="716">
        <f>_xlfn.XLOOKUP(B136,Anchieta!$C$55:$C$102,Anchieta!$J$55:$J$102)</f>
        <v>46113</v>
      </c>
    </row>
    <row r="137" spans="1:4" hidden="1" x14ac:dyDescent="0.3">
      <c r="A137" t="s">
        <v>25</v>
      </c>
      <c r="B137">
        <f>Anchieta!C62</f>
        <v>0</v>
      </c>
      <c r="C137" t="e">
        <f>_xlfn.XLOOKUP(B137,Anchieta!$C$55:$C$102,Anchieta!$O$55:$O$102)</f>
        <v>#N/A</v>
      </c>
      <c r="D137" s="716" t="e">
        <f>_xlfn.XLOOKUP(B137,Anchieta!$C$55:$C$102,Anchieta!$J$55:$J$102)</f>
        <v>#N/A</v>
      </c>
    </row>
    <row r="138" spans="1:4" hidden="1" x14ac:dyDescent="0.3">
      <c r="A138" t="s">
        <v>25</v>
      </c>
      <c r="B138" t="str">
        <f>Anchieta!C63</f>
        <v>05 - REDUÇÃO DE FRETE</v>
      </c>
      <c r="C138" t="str">
        <f>_xlfn.XLOOKUP(B138,Anchieta!$C$55:$C$102,Anchieta!$O$55:$O$102)</f>
        <v>⏳ Em Execução</v>
      </c>
      <c r="D138" s="716">
        <f>_xlfn.XLOOKUP(B138,Anchieta!$C$55:$C$102,Anchieta!$J$55:$J$102)</f>
        <v>46054</v>
      </c>
    </row>
    <row r="139" spans="1:4" hidden="1" x14ac:dyDescent="0.3">
      <c r="A139" t="s">
        <v>25</v>
      </c>
      <c r="B139">
        <f>Anchieta!C64</f>
        <v>0</v>
      </c>
      <c r="C139" t="e">
        <f>_xlfn.XLOOKUP(B139,Anchieta!$C$55:$C$102,Anchieta!$O$55:$O$102)</f>
        <v>#N/A</v>
      </c>
      <c r="D139" s="716" t="e">
        <f>_xlfn.XLOOKUP(B139,Anchieta!$C$55:$C$102,Anchieta!$J$55:$J$102)</f>
        <v>#N/A</v>
      </c>
    </row>
    <row r="140" spans="1:4" hidden="1" x14ac:dyDescent="0.3">
      <c r="A140" t="s">
        <v>25</v>
      </c>
      <c r="B140" t="str">
        <f>Anchieta!C65</f>
        <v>06 - CONSUMO DE TINTA PÓ</v>
      </c>
      <c r="C140" t="str">
        <f>_xlfn.XLOOKUP(B140,Anchieta!$C$55:$C$102,Anchieta!$O$55:$O$102)</f>
        <v>⏳ Em Execução</v>
      </c>
      <c r="D140" s="716">
        <f>_xlfn.XLOOKUP(B140,Anchieta!$C$55:$C$102,Anchieta!$J$55:$J$102)</f>
        <v>46235</v>
      </c>
    </row>
    <row r="141" spans="1:4" hidden="1" x14ac:dyDescent="0.3">
      <c r="A141" t="s">
        <v>25</v>
      </c>
      <c r="B141">
        <f>Anchieta!C66</f>
        <v>0</v>
      </c>
      <c r="C141" t="e">
        <f>_xlfn.XLOOKUP(B141,Anchieta!$C$55:$C$102,Anchieta!$O$55:$O$102)</f>
        <v>#N/A</v>
      </c>
      <c r="D141" s="716" t="e">
        <f>_xlfn.XLOOKUP(B141,Anchieta!$C$55:$C$102,Anchieta!$J$55:$J$102)</f>
        <v>#N/A</v>
      </c>
    </row>
    <row r="142" spans="1:4" hidden="1" x14ac:dyDescent="0.3">
      <c r="A142" t="s">
        <v>25</v>
      </c>
      <c r="B142" t="str">
        <f>Anchieta!C67</f>
        <v>07 - CONSUMO DE EPI e SERVIÇOS</v>
      </c>
      <c r="C142" t="str">
        <f>_xlfn.XLOOKUP(B142,Anchieta!$C$55:$C$102,Anchieta!$O$55:$O$102)</f>
        <v>✓ Concluído</v>
      </c>
      <c r="D142" s="716">
        <f>_xlfn.XLOOKUP(B142,Anchieta!$C$55:$C$102,Anchieta!$J$55:$J$102)</f>
        <v>46082</v>
      </c>
    </row>
    <row r="143" spans="1:4" hidden="1" x14ac:dyDescent="0.3">
      <c r="A143" t="s">
        <v>25</v>
      </c>
      <c r="B143">
        <f>Anchieta!C68</f>
        <v>0</v>
      </c>
      <c r="C143" t="e">
        <f>_xlfn.XLOOKUP(B143,Anchieta!$C$55:$C$102,Anchieta!$O$55:$O$102)</f>
        <v>#N/A</v>
      </c>
      <c r="D143" s="716" t="e">
        <f>_xlfn.XLOOKUP(B143,Anchieta!$C$55:$C$102,Anchieta!$J$55:$J$102)</f>
        <v>#N/A</v>
      </c>
    </row>
    <row r="144" spans="1:4" hidden="1" x14ac:dyDescent="0.3">
      <c r="A144" t="s">
        <v>25</v>
      </c>
      <c r="B144" t="str">
        <f>Anchieta!C69</f>
        <v>08- ÁGUA</v>
      </c>
      <c r="C144" t="str">
        <f>_xlfn.XLOOKUP(B144,Anchieta!$C$55:$C$102,Anchieta!$O$55:$O$102)</f>
        <v>⏳ Em Execução</v>
      </c>
      <c r="D144" s="716">
        <f>_xlfn.XLOOKUP(B144,Anchieta!$C$55:$C$102,Anchieta!$J$55:$J$102)</f>
        <v>46113</v>
      </c>
    </row>
    <row r="145" spans="1:4" hidden="1" x14ac:dyDescent="0.3">
      <c r="A145" t="s">
        <v>25</v>
      </c>
      <c r="B145">
        <f>Anchieta!C70</f>
        <v>0</v>
      </c>
      <c r="C145" t="e">
        <f>_xlfn.XLOOKUP(B145,Anchieta!$C$55:$C$102,Anchieta!$O$55:$O$102)</f>
        <v>#N/A</v>
      </c>
      <c r="D145" s="716" t="e">
        <f>_xlfn.XLOOKUP(B145,Anchieta!$C$55:$C$102,Anchieta!$J$55:$J$102)</f>
        <v>#N/A</v>
      </c>
    </row>
    <row r="146" spans="1:4" hidden="1" x14ac:dyDescent="0.3">
      <c r="A146" t="s">
        <v>25</v>
      </c>
      <c r="B146" t="str">
        <f>Anchieta!C71</f>
        <v>09 - ENERGIA ELÉTRICA</v>
      </c>
      <c r="C146" t="str">
        <f>_xlfn.XLOOKUP(B146,Anchieta!$C$55:$C$102,Anchieta!$O$55:$O$102)</f>
        <v>⏳ Em Execução</v>
      </c>
      <c r="D146" s="716">
        <f>_xlfn.XLOOKUP(B146,Anchieta!$C$55:$C$102,Anchieta!$J$55:$J$102)</f>
        <v>46113</v>
      </c>
    </row>
    <row r="147" spans="1:4" hidden="1" x14ac:dyDescent="0.3">
      <c r="A147" t="s">
        <v>25</v>
      </c>
      <c r="B147">
        <f>Anchieta!C72</f>
        <v>0</v>
      </c>
      <c r="C147" t="e">
        <f>_xlfn.XLOOKUP(B147,Anchieta!$C$55:$C$102,Anchieta!$O$55:$O$102)</f>
        <v>#N/A</v>
      </c>
      <c r="D147" s="716" t="e">
        <f>_xlfn.XLOOKUP(B147,Anchieta!$C$55:$C$102,Anchieta!$J$55:$J$102)</f>
        <v>#N/A</v>
      </c>
    </row>
    <row r="148" spans="1:4" hidden="1" x14ac:dyDescent="0.3">
      <c r="A148" t="s">
        <v>25</v>
      </c>
      <c r="B148" t="str">
        <f>Anchieta!C73</f>
        <v>10 - CONSUMO PERNA DE MOÇA</v>
      </c>
      <c r="C148" t="str">
        <f>_xlfn.XLOOKUP(B148,Anchieta!$C$55:$C$102,Anchieta!$O$55:$O$102)</f>
        <v>⏳ Em Execução</v>
      </c>
      <c r="D148" s="716">
        <f>_xlfn.XLOOKUP(B148,Anchieta!$C$55:$C$102,Anchieta!$J$55:$J$102)</f>
        <v>46113</v>
      </c>
    </row>
    <row r="149" spans="1:4" hidden="1" x14ac:dyDescent="0.3">
      <c r="A149" t="s">
        <v>25</v>
      </c>
      <c r="B149">
        <f>Anchieta!C74</f>
        <v>0</v>
      </c>
      <c r="C149" t="e">
        <f>_xlfn.XLOOKUP(B149,Anchieta!$C$55:$C$102,Anchieta!$O$55:$O$102)</f>
        <v>#N/A</v>
      </c>
      <c r="D149" s="716" t="e">
        <f>_xlfn.XLOOKUP(B149,Anchieta!$C$55:$C$102,Anchieta!$J$55:$J$102)</f>
        <v>#N/A</v>
      </c>
    </row>
    <row r="150" spans="1:4" hidden="1" x14ac:dyDescent="0.3">
      <c r="A150" t="s">
        <v>25</v>
      </c>
      <c r="B150" t="str">
        <f>Anchieta!C75</f>
        <v>11 - WORKSHOP LIXAMENTO DD / DF</v>
      </c>
      <c r="C150" t="str">
        <f>_xlfn.XLOOKUP(B150,Anchieta!$C$55:$C$102,Anchieta!$O$55:$O$102)</f>
        <v>⏳ Em Execução</v>
      </c>
      <c r="D150" s="717">
        <f>_xlfn.XLOOKUP(B150,Anchieta!$C$55:$C$102,Anchieta!$J$55:$J$102)</f>
        <v>0</v>
      </c>
    </row>
    <row r="151" spans="1:4" hidden="1" x14ac:dyDescent="0.3">
      <c r="A151" t="s">
        <v>25</v>
      </c>
      <c r="B151">
        <f>Anchieta!C76</f>
        <v>0</v>
      </c>
      <c r="C151" t="e">
        <f>_xlfn.XLOOKUP(B151,Anchieta!$C$55:$C$102,Anchieta!$O$55:$O$102)</f>
        <v>#N/A</v>
      </c>
      <c r="D151" s="716" t="e">
        <f>_xlfn.XLOOKUP(B151,Anchieta!$C$55:$C$102,Anchieta!$J$55:$J$102)</f>
        <v>#N/A</v>
      </c>
    </row>
    <row r="152" spans="1:4" hidden="1" x14ac:dyDescent="0.3">
      <c r="A152" t="s">
        <v>25</v>
      </c>
      <c r="B152" t="str">
        <f>Anchieta!C77</f>
        <v>12 - VENDA DE DESCARTÁVEIS</v>
      </c>
      <c r="C152" t="str">
        <f>_xlfn.XLOOKUP(B152,Anchieta!$C$55:$C$102,Anchieta!$O$55:$O$102)</f>
        <v>⏳ Em Execução</v>
      </c>
      <c r="D152" s="716">
        <f>_xlfn.XLOOKUP(B152,Anchieta!$C$55:$C$102,Anchieta!$J$55:$J$102)</f>
        <v>46357</v>
      </c>
    </row>
    <row r="153" spans="1:4" hidden="1" x14ac:dyDescent="0.3">
      <c r="A153" t="s">
        <v>25</v>
      </c>
      <c r="B153">
        <f>Anchieta!C78</f>
        <v>0</v>
      </c>
      <c r="C153" t="e">
        <f>_xlfn.XLOOKUP(B153,Anchieta!$C$55:$C$102,Anchieta!$O$55:$O$102)</f>
        <v>#N/A</v>
      </c>
      <c r="D153" s="716" t="e">
        <f>_xlfn.XLOOKUP(B153,Anchieta!$C$55:$C$102,Anchieta!$J$55:$J$102)</f>
        <v>#N/A</v>
      </c>
    </row>
    <row r="154" spans="1:4" hidden="1" x14ac:dyDescent="0.3">
      <c r="A154" t="s">
        <v>25</v>
      </c>
      <c r="B154" t="str">
        <f>Anchieta!C79</f>
        <v>13 - CONSUMO DE MATERIAIS DA ETE</v>
      </c>
      <c r="C154" t="str">
        <f>_xlfn.XLOOKUP(B154,Anchieta!$C$55:$C$102,Anchieta!$O$55:$O$102)</f>
        <v>⏳ Em Execução</v>
      </c>
      <c r="D154" s="716">
        <f>_xlfn.XLOOKUP(B154,Anchieta!$C$55:$C$102,Anchieta!$J$55:$J$102)</f>
        <v>0</v>
      </c>
    </row>
    <row r="155" spans="1:4" hidden="1" x14ac:dyDescent="0.3">
      <c r="A155" t="s">
        <v>25</v>
      </c>
      <c r="B155">
        <f>Anchieta!C80</f>
        <v>0</v>
      </c>
      <c r="C155" t="e">
        <f>_xlfn.XLOOKUP(B155,Anchieta!$C$55:$C$102,Anchieta!$O$55:$O$102)</f>
        <v>#N/A</v>
      </c>
      <c r="D155" s="716" t="e">
        <f>_xlfn.XLOOKUP(B155,Anchieta!$C$55:$C$102,Anchieta!$J$55:$J$102)</f>
        <v>#N/A</v>
      </c>
    </row>
    <row r="156" spans="1:4" hidden="1" x14ac:dyDescent="0.3">
      <c r="A156" t="s">
        <v>25</v>
      </c>
      <c r="B156" t="str">
        <f>Anchieta!C81</f>
        <v>14 - REDUÇÃO DE CUSTO COM O PRODUTO KLUTHE</v>
      </c>
      <c r="C156" t="str">
        <f>_xlfn.XLOOKUP(B156,Anchieta!$C$55:$C$102,Anchieta!$O$55:$O$102)</f>
        <v>✓ Concluído</v>
      </c>
      <c r="D156" s="716" t="str">
        <f>_xlfn.XLOOKUP(B156,Anchieta!$C$55:$C$102,Anchieta!$J$55:$J$102)</f>
        <v>abril</v>
      </c>
    </row>
    <row r="157" spans="1:4" hidden="1" x14ac:dyDescent="0.3">
      <c r="A157" t="s">
        <v>25</v>
      </c>
      <c r="B157">
        <f>Anchieta!C82</f>
        <v>0</v>
      </c>
      <c r="C157" t="e">
        <f>_xlfn.XLOOKUP(B157,Anchieta!$C$55:$C$102,Anchieta!$O$55:$O$102)</f>
        <v>#N/A</v>
      </c>
      <c r="D157" s="716" t="e">
        <f>_xlfn.XLOOKUP(B157,Anchieta!$C$55:$C$102,Anchieta!$J$55:$J$102)</f>
        <v>#N/A</v>
      </c>
    </row>
    <row r="158" spans="1:4" hidden="1" x14ac:dyDescent="0.3">
      <c r="A158" t="s">
        <v>25</v>
      </c>
      <c r="B158" t="str">
        <f>Anchieta!C83</f>
        <v>15 - LAYOUT DO POKA YOKE DAS TRAVESSAS DA MERCEDES</v>
      </c>
      <c r="C158" t="str">
        <f>_xlfn.XLOOKUP(B158,Anchieta!$C$55:$C$102,Anchieta!$O$55:$O$102)</f>
        <v>✓ Concluído</v>
      </c>
      <c r="D158" s="716" t="str">
        <f>_xlfn.XLOOKUP(B158,Anchieta!$C$55:$C$102,Anchieta!$J$55:$J$102)</f>
        <v>maio</v>
      </c>
    </row>
    <row r="159" spans="1:4" hidden="1" x14ac:dyDescent="0.3">
      <c r="A159" t="s">
        <v>25</v>
      </c>
      <c r="B159">
        <f>Anchieta!C84</f>
        <v>0</v>
      </c>
      <c r="C159" t="e">
        <f>_xlfn.XLOOKUP(B159,Anchieta!$C$55:$C$102,Anchieta!$O$55:$O$102)</f>
        <v>#N/A</v>
      </c>
      <c r="D159" s="716" t="e">
        <f>_xlfn.XLOOKUP(B159,Anchieta!$C$55:$C$102,Anchieta!$J$55:$J$102)</f>
        <v>#N/A</v>
      </c>
    </row>
    <row r="160" spans="1:4" hidden="1" x14ac:dyDescent="0.3">
      <c r="A160" t="s">
        <v>25</v>
      </c>
      <c r="B160" t="str">
        <f>Anchieta!C85</f>
        <v>16 - TROCA DA FROTA DE EMPILHADEIRAS</v>
      </c>
      <c r="C160" t="str">
        <f>_xlfn.XLOOKUP(B160,Anchieta!$C$55:$C$102,Anchieta!$O$55:$O$102)</f>
        <v>⏳ Em Execução</v>
      </c>
      <c r="D160" s="716">
        <f>_xlfn.XLOOKUP(B160,Anchieta!$C$55:$C$102,Anchieta!$J$55:$J$102)</f>
        <v>46266</v>
      </c>
    </row>
    <row r="161" spans="1:4" hidden="1" x14ac:dyDescent="0.3">
      <c r="A161" t="s">
        <v>25</v>
      </c>
      <c r="B161">
        <f>Anchieta!C86</f>
        <v>0</v>
      </c>
      <c r="C161" t="e">
        <f>_xlfn.XLOOKUP(B161,Anchieta!$C$55:$C$102,Anchieta!$O$55:$O$102)</f>
        <v>#N/A</v>
      </c>
      <c r="D161" s="716" t="e">
        <f>_xlfn.XLOOKUP(B161,Anchieta!$C$55:$C$102,Anchieta!$J$55:$J$102)</f>
        <v>#N/A</v>
      </c>
    </row>
    <row r="162" spans="1:4" hidden="1" x14ac:dyDescent="0.3">
      <c r="A162" t="s">
        <v>25</v>
      </c>
      <c r="B162">
        <f>Anchieta!C87</f>
        <v>0</v>
      </c>
      <c r="C162" t="e">
        <f>_xlfn.XLOOKUP(B162,Anchieta!$C$55:$C$102,Anchieta!$O$55:$O$102)</f>
        <v>#N/A</v>
      </c>
      <c r="D162" s="716" t="e">
        <f>_xlfn.XLOOKUP(B162,Anchieta!$C$55:$C$102,Anchieta!$J$55:$J$102)</f>
        <v>#N/A</v>
      </c>
    </row>
    <row r="163" spans="1:4" hidden="1" x14ac:dyDescent="0.3">
      <c r="A163" t="s">
        <v>25</v>
      </c>
      <c r="B163">
        <f>Anchieta!C88</f>
        <v>0</v>
      </c>
      <c r="C163" t="e">
        <f>_xlfn.XLOOKUP(B163,Anchieta!$C$55:$C$102,Anchieta!$O$55:$O$102)</f>
        <v>#N/A</v>
      </c>
      <c r="D163" s="716" t="e">
        <f>_xlfn.XLOOKUP(B163,Anchieta!$C$55:$C$102,Anchieta!$J$55:$J$102)</f>
        <v>#N/A</v>
      </c>
    </row>
    <row r="164" spans="1:4" hidden="1" x14ac:dyDescent="0.3">
      <c r="A164" t="s">
        <v>25</v>
      </c>
      <c r="B164">
        <f>Anchieta!C89</f>
        <v>0</v>
      </c>
      <c r="C164" t="e">
        <f>_xlfn.XLOOKUP(B164,Anchieta!$C$55:$C$102,Anchieta!$O$55:$O$102)</f>
        <v>#N/A</v>
      </c>
      <c r="D164" s="716" t="e">
        <f>_xlfn.XLOOKUP(B164,Anchieta!$C$55:$C$102,Anchieta!$J$55:$J$102)</f>
        <v>#N/A</v>
      </c>
    </row>
    <row r="165" spans="1:4" hidden="1" x14ac:dyDescent="0.3">
      <c r="A165" t="s">
        <v>25</v>
      </c>
      <c r="B165">
        <f>Anchieta!C90</f>
        <v>0</v>
      </c>
      <c r="C165" t="e">
        <f>_xlfn.XLOOKUP(B165,Anchieta!$C$55:$C$102,Anchieta!$O$55:$O$102)</f>
        <v>#N/A</v>
      </c>
      <c r="D165" s="716" t="e">
        <f>_xlfn.XLOOKUP(B165,Anchieta!$C$55:$C$102,Anchieta!$J$55:$J$102)</f>
        <v>#N/A</v>
      </c>
    </row>
    <row r="166" spans="1:4" hidden="1" x14ac:dyDescent="0.3">
      <c r="A166" t="s">
        <v>25</v>
      </c>
      <c r="B166">
        <f>Anchieta!C91</f>
        <v>0</v>
      </c>
      <c r="C166" t="e">
        <f>_xlfn.XLOOKUP(B166,Anchieta!$C$55:$C$102,Anchieta!$O$55:$O$102)</f>
        <v>#N/A</v>
      </c>
      <c r="D166" s="716" t="e">
        <f>_xlfn.XLOOKUP(B166,Anchieta!$C$55:$C$102,Anchieta!$J$55:$J$102)</f>
        <v>#N/A</v>
      </c>
    </row>
    <row r="167" spans="1:4" hidden="1" x14ac:dyDescent="0.3">
      <c r="A167" t="s">
        <v>25</v>
      </c>
      <c r="B167">
        <f>Anchieta!C92</f>
        <v>0</v>
      </c>
      <c r="C167" t="e">
        <f>_xlfn.XLOOKUP(B167,Anchieta!$C$55:$C$102,Anchieta!$O$55:$O$102)</f>
        <v>#N/A</v>
      </c>
      <c r="D167" s="716" t="e">
        <f>_xlfn.XLOOKUP(B167,Anchieta!$C$55:$C$102,Anchieta!$J$55:$J$102)</f>
        <v>#N/A</v>
      </c>
    </row>
    <row r="168" spans="1:4" hidden="1" x14ac:dyDescent="0.3">
      <c r="A168" t="s">
        <v>25</v>
      </c>
      <c r="B168">
        <f>Anchieta!C93</f>
        <v>0</v>
      </c>
      <c r="C168" t="e">
        <f>_xlfn.XLOOKUP(B168,Anchieta!$C$55:$C$102,Anchieta!$O$55:$O$102)</f>
        <v>#N/A</v>
      </c>
      <c r="D168" s="716" t="e">
        <f>_xlfn.XLOOKUP(B168,Anchieta!$C$55:$C$102,Anchieta!$J$55:$J$102)</f>
        <v>#N/A</v>
      </c>
    </row>
    <row r="169" spans="1:4" hidden="1" x14ac:dyDescent="0.3">
      <c r="A169" t="s">
        <v>25</v>
      </c>
      <c r="B169">
        <f>Anchieta!C94</f>
        <v>0</v>
      </c>
      <c r="C169" t="e">
        <f>_xlfn.XLOOKUP(B169,Anchieta!$C$55:$C$102,Anchieta!$O$55:$O$102)</f>
        <v>#N/A</v>
      </c>
      <c r="D169" s="716" t="e">
        <f>_xlfn.XLOOKUP(B169,Anchieta!$C$55:$C$102,Anchieta!$J$55:$J$102)</f>
        <v>#N/A</v>
      </c>
    </row>
    <row r="170" spans="1:4" hidden="1" x14ac:dyDescent="0.3">
      <c r="A170" t="s">
        <v>25</v>
      </c>
      <c r="B170">
        <f>Anchieta!C95</f>
        <v>0</v>
      </c>
      <c r="C170" t="e">
        <f>_xlfn.XLOOKUP(B170,Anchieta!$C$55:$C$102,Anchieta!$O$55:$O$102)</f>
        <v>#N/A</v>
      </c>
      <c r="D170" s="716" t="e">
        <f>_xlfn.XLOOKUP(B170,Anchieta!$C$55:$C$102,Anchieta!$J$55:$J$102)</f>
        <v>#N/A</v>
      </c>
    </row>
    <row r="171" spans="1:4" hidden="1" x14ac:dyDescent="0.3">
      <c r="A171" t="s">
        <v>25</v>
      </c>
      <c r="B171">
        <f>Anchieta!C96</f>
        <v>0</v>
      </c>
      <c r="C171" t="e">
        <f>_xlfn.XLOOKUP(B171,Anchieta!$C$55:$C$102,Anchieta!$O$55:$O$102)</f>
        <v>#N/A</v>
      </c>
      <c r="D171" s="716" t="e">
        <f>_xlfn.XLOOKUP(B171,Anchieta!$C$55:$C$102,Anchieta!$J$55:$J$102)</f>
        <v>#N/A</v>
      </c>
    </row>
    <row r="172" spans="1:4" hidden="1" x14ac:dyDescent="0.3">
      <c r="A172" t="s">
        <v>25</v>
      </c>
      <c r="B172">
        <f>Anchieta!C97</f>
        <v>0</v>
      </c>
      <c r="C172" t="e">
        <f>_xlfn.XLOOKUP(B172,Anchieta!$C$55:$C$102,Anchieta!$O$55:$O$102)</f>
        <v>#N/A</v>
      </c>
      <c r="D172" s="716" t="e">
        <f>_xlfn.XLOOKUP(B172,Anchieta!$C$55:$C$102,Anchieta!$J$55:$J$102)</f>
        <v>#N/A</v>
      </c>
    </row>
    <row r="173" spans="1:4" hidden="1" x14ac:dyDescent="0.3">
      <c r="A173" t="s">
        <v>25</v>
      </c>
      <c r="B173">
        <f>Anchieta!C98</f>
        <v>0</v>
      </c>
      <c r="C173" t="e">
        <f>_xlfn.XLOOKUP(B173,Anchieta!$C$55:$C$102,Anchieta!$O$55:$O$102)</f>
        <v>#N/A</v>
      </c>
      <c r="D173" s="716" t="e">
        <f>_xlfn.XLOOKUP(B173,Anchieta!$C$55:$C$102,Anchieta!$J$55:$J$102)</f>
        <v>#N/A</v>
      </c>
    </row>
    <row r="174" spans="1:4" hidden="1" x14ac:dyDescent="0.3">
      <c r="A174" t="s">
        <v>25</v>
      </c>
      <c r="B174">
        <f>Anchieta!C99</f>
        <v>0</v>
      </c>
      <c r="C174" t="e">
        <f>_xlfn.XLOOKUP(B174,Anchieta!$C$55:$C$102,Anchieta!$O$55:$O$102)</f>
        <v>#N/A</v>
      </c>
      <c r="D174" s="716" t="e">
        <f>_xlfn.XLOOKUP(B174,Anchieta!$C$55:$C$102,Anchieta!$J$55:$J$102)</f>
        <v>#N/A</v>
      </c>
    </row>
    <row r="175" spans="1:4" hidden="1" x14ac:dyDescent="0.3">
      <c r="A175" t="s">
        <v>25</v>
      </c>
      <c r="B175">
        <f>Anchieta!C100</f>
        <v>0</v>
      </c>
      <c r="C175" t="e">
        <f>_xlfn.XLOOKUP(B175,Anchieta!$C$55:$C$102,Anchieta!$O$55:$O$102)</f>
        <v>#N/A</v>
      </c>
      <c r="D175" s="716" t="e">
        <f>_xlfn.XLOOKUP(B175,Anchieta!$C$55:$C$102,Anchieta!$J$55:$J$102)</f>
        <v>#N/A</v>
      </c>
    </row>
    <row r="176" spans="1:4" hidden="1" x14ac:dyDescent="0.3">
      <c r="A176" t="s">
        <v>25</v>
      </c>
      <c r="B176">
        <f>Anchieta!C101</f>
        <v>0</v>
      </c>
      <c r="C176" t="e">
        <f>_xlfn.XLOOKUP(B176,Anchieta!$C$55:$C$102,Anchieta!$O$55:$O$102)</f>
        <v>#N/A</v>
      </c>
      <c r="D176" s="716" t="e">
        <f>_xlfn.XLOOKUP(B176,Anchieta!$C$55:$C$102,Anchieta!$J$55:$J$102)</f>
        <v>#N/A</v>
      </c>
    </row>
    <row r="177" spans="1:5" hidden="1" x14ac:dyDescent="0.3">
      <c r="A177" t="s">
        <v>2726</v>
      </c>
      <c r="B177" t="str">
        <f>'São Leopoldo'!C55</f>
        <v>01 - Redução de Refugo</v>
      </c>
      <c r="C177" t="str">
        <f>_xlfn.XLOOKUP(B177,'São Leopoldo'!$C$55:$C$106,'São Leopoldo'!$O$55:$O$106)</f>
        <v>✓ Concluído</v>
      </c>
      <c r="D177" s="716">
        <f>_xlfn.XLOOKUP(B177,'São Leopoldo'!$C$55:$C$106,'São Leopoldo'!$J$55:$J$106)</f>
        <v>46054</v>
      </c>
    </row>
    <row r="178" spans="1:5" hidden="1" x14ac:dyDescent="0.3">
      <c r="A178" t="s">
        <v>2726</v>
      </c>
      <c r="B178">
        <f>'São Leopoldo'!C56</f>
        <v>0</v>
      </c>
      <c r="C178" t="e">
        <f>_xlfn.XLOOKUP(B178,'São Leopoldo'!$C$55:$C$106,'São Leopoldo'!$O$55:$O$106)</f>
        <v>#N/A</v>
      </c>
      <c r="D178" s="716" t="e">
        <f>_xlfn.XLOOKUP(B178,'São Leopoldo'!$C$55:$C$106,'São Leopoldo'!$J$55:$J$106)</f>
        <v>#N/A</v>
      </c>
    </row>
    <row r="179" spans="1:5" hidden="1" x14ac:dyDescent="0.3">
      <c r="A179" t="s">
        <v>2726</v>
      </c>
      <c r="B179" t="str">
        <f>'São Leopoldo'!C57</f>
        <v xml:space="preserve">02 -  REDUÇÃO DE PESO BRUTO DD000506Z
</v>
      </c>
      <c r="C179" t="str">
        <f>_xlfn.XLOOKUP(B179,'São Leopoldo'!$C$55:$C$106,'São Leopoldo'!$O$55:$O$106)</f>
        <v>⏳ Em Execução</v>
      </c>
      <c r="D179" s="716">
        <f>_xlfn.XLOOKUP(B179,'São Leopoldo'!$C$55:$C$106,'São Leopoldo'!$J$55:$J$106)</f>
        <v>46331</v>
      </c>
    </row>
    <row r="180" spans="1:5" hidden="1" x14ac:dyDescent="0.3">
      <c r="A180" t="s">
        <v>2726</v>
      </c>
      <c r="B180">
        <f>'São Leopoldo'!C58</f>
        <v>0</v>
      </c>
      <c r="C180" t="e">
        <f>_xlfn.XLOOKUP(B180,'São Leopoldo'!$C$55:$C$106,'São Leopoldo'!$O$55:$O$106)</f>
        <v>#N/A</v>
      </c>
      <c r="D180" s="716" t="e">
        <f>_xlfn.XLOOKUP(B180,'São Leopoldo'!$C$55:$C$106,'São Leopoldo'!$J$55:$J$106)</f>
        <v>#N/A</v>
      </c>
    </row>
    <row r="181" spans="1:5" hidden="1" x14ac:dyDescent="0.3">
      <c r="A181" t="s">
        <v>2726</v>
      </c>
      <c r="B181" t="str">
        <f>'São Leopoldo'!C59</f>
        <v>03- Comunização de Materiais</v>
      </c>
      <c r="C181" t="str">
        <f>_xlfn.XLOOKUP(B181,'São Leopoldo'!$C$55:$C$106,'São Leopoldo'!$O$55:$O$106)</f>
        <v>⏳ Em Execução</v>
      </c>
      <c r="D181" s="716">
        <f>_xlfn.XLOOKUP(B181,'São Leopoldo'!$C$55:$C$106,'São Leopoldo'!$J$55:$J$106)</f>
        <v>46327</v>
      </c>
    </row>
    <row r="182" spans="1:5" hidden="1" x14ac:dyDescent="0.3">
      <c r="A182" t="s">
        <v>2726</v>
      </c>
      <c r="B182">
        <f>'São Leopoldo'!C60</f>
        <v>0</v>
      </c>
      <c r="C182" t="e">
        <f>_xlfn.XLOOKUP(B182,'São Leopoldo'!$C$55:$C$106,'São Leopoldo'!$O$55:$O$106)</f>
        <v>#N/A</v>
      </c>
      <c r="D182" s="716" t="e">
        <f>_xlfn.XLOOKUP(B182,'São Leopoldo'!$C$55:$C$106,'São Leopoldo'!$J$55:$J$106)</f>
        <v>#N/A</v>
      </c>
    </row>
    <row r="183" spans="1:5" hidden="1" x14ac:dyDescent="0.3">
      <c r="A183" t="s">
        <v>2726</v>
      </c>
      <c r="B183" t="e">
        <f>'São Leopoldo'!#REF!</f>
        <v>#REF!</v>
      </c>
      <c r="C183" t="e">
        <f>_xlfn.XLOOKUP(B183,'São Leopoldo'!$C$55:$C$106,'São Leopoldo'!$O$55:$O$106)</f>
        <v>#REF!</v>
      </c>
      <c r="D183" s="716" t="e">
        <f>_xlfn.XLOOKUP(B183,'São Leopoldo'!$C$55:$C$106,'São Leopoldo'!$J$55:$J$106)</f>
        <v>#REF!</v>
      </c>
    </row>
    <row r="184" spans="1:5" hidden="1" x14ac:dyDescent="0.3">
      <c r="A184" t="s">
        <v>2726</v>
      </c>
      <c r="B184" t="e">
        <f>'São Leopoldo'!#REF!</f>
        <v>#REF!</v>
      </c>
      <c r="C184" t="e">
        <f>_xlfn.XLOOKUP(B184,'São Leopoldo'!$C$55:$C$106,'São Leopoldo'!$O$55:$O$106)</f>
        <v>#REF!</v>
      </c>
      <c r="D184" s="716" t="e">
        <f>_xlfn.XLOOKUP(B184,'São Leopoldo'!$C$55:$C$106,'São Leopoldo'!$J$55:$J$106)</f>
        <v>#REF!</v>
      </c>
    </row>
    <row r="185" spans="1:5" hidden="1" x14ac:dyDescent="0.3">
      <c r="A185" t="s">
        <v>2726</v>
      </c>
      <c r="B185" t="str">
        <f>'São Leopoldo'!C61</f>
        <v>04 -  REDUÇÃO DE PESO BRUTO DD000502/503Z</v>
      </c>
      <c r="C185" t="str">
        <f>_xlfn.XLOOKUP(B185,'São Leopoldo'!$C$55:$C$106,'São Leopoldo'!$O$55:$O$106)</f>
        <v>✓ Concluído</v>
      </c>
      <c r="D185" s="716">
        <f>_xlfn.XLOOKUP(B185,'São Leopoldo'!$C$55:$C$106,'São Leopoldo'!$J$55:$J$106)</f>
        <v>46266</v>
      </c>
    </row>
    <row r="186" spans="1:5" hidden="1" x14ac:dyDescent="0.3">
      <c r="A186" t="s">
        <v>2726</v>
      </c>
      <c r="B186">
        <f>'São Leopoldo'!C62</f>
        <v>0</v>
      </c>
      <c r="C186" t="e">
        <f>_xlfn.XLOOKUP(B186,'São Leopoldo'!$C$55:$C$106,'São Leopoldo'!$O$55:$O$106)</f>
        <v>#N/A</v>
      </c>
      <c r="D186" s="716" t="e">
        <f>_xlfn.XLOOKUP(B186,'São Leopoldo'!$C$55:$C$106,'São Leopoldo'!$J$55:$J$106)</f>
        <v>#N/A</v>
      </c>
    </row>
    <row r="187" spans="1:5" hidden="1" x14ac:dyDescent="0.3">
      <c r="A187" t="s">
        <v>2726</v>
      </c>
      <c r="B187" t="str">
        <f>'São Leopoldo'!C63</f>
        <v>05 - Acabamento capo CN13</v>
      </c>
      <c r="C187" t="str">
        <f>_xlfn.XLOOKUP(B187,'São Leopoldo'!$C$55:$C$106,'São Leopoldo'!$O$55:$O$106)</f>
        <v>✓ Concluído</v>
      </c>
      <c r="D187" s="716">
        <f>_xlfn.XLOOKUP(B187,'São Leopoldo'!$C$55:$C$106,'São Leopoldo'!$J$55:$J$106)</f>
        <v>46113</v>
      </c>
    </row>
    <row r="188" spans="1:5" hidden="1" x14ac:dyDescent="0.3">
      <c r="A188" t="s">
        <v>2726</v>
      </c>
      <c r="B188">
        <f>'São Leopoldo'!C64</f>
        <v>0</v>
      </c>
      <c r="C188" t="e">
        <f>_xlfn.XLOOKUP(B188,'São Leopoldo'!$C$55:$C$106,'São Leopoldo'!$O$55:$O$106)</f>
        <v>#N/A</v>
      </c>
      <c r="D188" s="716" t="e">
        <f>_xlfn.XLOOKUP(B188,'São Leopoldo'!$C$55:$C$106,'São Leopoldo'!$J$55:$J$106)</f>
        <v>#N/A</v>
      </c>
    </row>
    <row r="189" spans="1:5" hidden="1" x14ac:dyDescent="0.3">
      <c r="A189" t="s">
        <v>2726</v>
      </c>
      <c r="B189" t="str">
        <f>'São Leopoldo'!C65</f>
        <v>06- Troca do fornecedor de tubo do Capo CNH CN-13</v>
      </c>
      <c r="C189" t="str">
        <f>_xlfn.XLOOKUP(B189,'São Leopoldo'!$C$55:$C$106,'São Leopoldo'!$O$55:$O$106)</f>
        <v>⏳ Em Execução</v>
      </c>
      <c r="D189" s="716">
        <f>_xlfn.XLOOKUP(B189,'São Leopoldo'!$C$55:$C$106,'São Leopoldo'!$J$55:$J$106)</f>
        <v>46300</v>
      </c>
    </row>
    <row r="190" spans="1:5" hidden="1" x14ac:dyDescent="0.3">
      <c r="A190" t="s">
        <v>2726</v>
      </c>
      <c r="B190">
        <f>'São Leopoldo'!C66</f>
        <v>0</v>
      </c>
      <c r="C190" t="e">
        <f>_xlfn.XLOOKUP(B190,'São Leopoldo'!$C$55:$C$106,'São Leopoldo'!$O$55:$O$106)</f>
        <v>#N/A</v>
      </c>
      <c r="D190" s="716" t="e">
        <f>_xlfn.XLOOKUP(B190,'São Leopoldo'!$C$55:$C$106,'São Leopoldo'!$J$55:$J$106)</f>
        <v>#N/A</v>
      </c>
    </row>
    <row r="191" spans="1:5" x14ac:dyDescent="0.3">
      <c r="A191" t="s">
        <v>2726</v>
      </c>
      <c r="B191" t="str">
        <f>'São Leopoldo'!C67</f>
        <v>07- Reestruturação</v>
      </c>
      <c r="C191" t="str">
        <f>_xlfn.XLOOKUP(B191,'São Leopoldo'!$C$55:$C$106,'São Leopoldo'!$O$55:$O$106)</f>
        <v>✓ Concluído</v>
      </c>
      <c r="D191" s="717">
        <f>_xlfn.XLOOKUP(B191,'São Leopoldo'!$C$55:$C$106,'São Leopoldo'!$J$55:$J$106)</f>
        <v>46082</v>
      </c>
      <c r="E191" s="224">
        <f ca="1">_xlfn.XLOOKUP(B191,Pareto!S:S,Pareto!V:V)</f>
        <v>868308.71499999997</v>
      </c>
    </row>
    <row r="192" spans="1:5" hidden="1" x14ac:dyDescent="0.3">
      <c r="A192" t="s">
        <v>2726</v>
      </c>
      <c r="B192">
        <f>'São Leopoldo'!C68</f>
        <v>0</v>
      </c>
      <c r="C192" t="e">
        <f>_xlfn.XLOOKUP(B192,'São Leopoldo'!$C$55:$C$106,'São Leopoldo'!$O$55:$O$106)</f>
        <v>#N/A</v>
      </c>
      <c r="D192" s="716" t="e">
        <f>_xlfn.XLOOKUP(B192,'São Leopoldo'!$C$55:$C$106,'São Leopoldo'!$J$55:$J$106)</f>
        <v>#N/A</v>
      </c>
    </row>
    <row r="193" spans="1:4" hidden="1" x14ac:dyDescent="0.3">
      <c r="A193" t="s">
        <v>2726</v>
      </c>
      <c r="B193" t="str">
        <f>'São Leopoldo'!C69</f>
        <v>08 - REDUÇÃO DE CUSTO LOCAÇÃO DE PTA (12METROS)</v>
      </c>
      <c r="C193" t="str">
        <f>_xlfn.XLOOKUP(B193,'São Leopoldo'!$C$55:$C$106,'São Leopoldo'!$O$55:$O$106)</f>
        <v>✓ Concluído</v>
      </c>
      <c r="D193" s="716">
        <f>_xlfn.XLOOKUP(B193,'São Leopoldo'!$C$55:$C$106,'São Leopoldo'!$J$55:$J$106)</f>
        <v>46143</v>
      </c>
    </row>
    <row r="194" spans="1:4" hidden="1" x14ac:dyDescent="0.3">
      <c r="A194" t="s">
        <v>2726</v>
      </c>
      <c r="B194">
        <f>'São Leopoldo'!C70</f>
        <v>0</v>
      </c>
      <c r="C194" t="e">
        <f>_xlfn.XLOOKUP(B194,'São Leopoldo'!$C$55:$C$106,'São Leopoldo'!$O$55:$O$106)</f>
        <v>#N/A</v>
      </c>
      <c r="D194" s="716" t="e">
        <f>_xlfn.XLOOKUP(B194,'São Leopoldo'!$C$55:$C$106,'São Leopoldo'!$J$55:$J$106)</f>
        <v>#N/A</v>
      </c>
    </row>
    <row r="195" spans="1:4" hidden="1" x14ac:dyDescent="0.3">
      <c r="A195" t="s">
        <v>2726</v>
      </c>
      <c r="B195" t="e">
        <f>'São Leopoldo'!#REF!</f>
        <v>#REF!</v>
      </c>
      <c r="C195" t="e">
        <f>_xlfn.XLOOKUP(B195,'São Leopoldo'!$C$55:$C$106,'São Leopoldo'!$O$55:$O$106)</f>
        <v>#REF!</v>
      </c>
      <c r="D195" s="716" t="e">
        <f>_xlfn.XLOOKUP(B195,'São Leopoldo'!$C$55:$C$106,'São Leopoldo'!$J$55:$J$106)</f>
        <v>#REF!</v>
      </c>
    </row>
    <row r="196" spans="1:4" hidden="1" x14ac:dyDescent="0.3">
      <c r="A196" t="s">
        <v>2726</v>
      </c>
      <c r="B196" t="e">
        <f>'São Leopoldo'!#REF!</f>
        <v>#REF!</v>
      </c>
      <c r="C196" t="e">
        <f>_xlfn.XLOOKUP(B196,'São Leopoldo'!$C$55:$C$106,'São Leopoldo'!$O$55:$O$106)</f>
        <v>#REF!</v>
      </c>
      <c r="D196" s="716" t="e">
        <f>_xlfn.XLOOKUP(B196,'São Leopoldo'!$C$55:$C$106,'São Leopoldo'!$J$55:$J$106)</f>
        <v>#REF!</v>
      </c>
    </row>
    <row r="197" spans="1:4" hidden="1" x14ac:dyDescent="0.3">
      <c r="A197" t="s">
        <v>2726</v>
      </c>
      <c r="B197" t="str">
        <f>'São Leopoldo'!C71</f>
        <v>09- Substituíção de Empilhadeiras GPL.</v>
      </c>
      <c r="C197" t="str">
        <f>_xlfn.XLOOKUP(B197,'São Leopoldo'!$C$55:$C$106,'São Leopoldo'!$O$55:$O$106)</f>
        <v>⏳ Em Execução</v>
      </c>
      <c r="D197" s="716">
        <f>_xlfn.XLOOKUP(B197,'São Leopoldo'!$C$55:$C$106,'São Leopoldo'!$J$55:$J$106)</f>
        <v>46248</v>
      </c>
    </row>
    <row r="198" spans="1:4" hidden="1" x14ac:dyDescent="0.3">
      <c r="A198" t="s">
        <v>2726</v>
      </c>
      <c r="B198">
        <f>'São Leopoldo'!C72</f>
        <v>0</v>
      </c>
      <c r="C198" t="e">
        <f>_xlfn.XLOOKUP(B198,'São Leopoldo'!$C$55:$C$106,'São Leopoldo'!$O$55:$O$106)</f>
        <v>#N/A</v>
      </c>
      <c r="D198" s="716" t="e">
        <f>_xlfn.XLOOKUP(B198,'São Leopoldo'!$C$55:$C$106,'São Leopoldo'!$J$55:$J$106)</f>
        <v>#N/A</v>
      </c>
    </row>
    <row r="199" spans="1:4" hidden="1" x14ac:dyDescent="0.3">
      <c r="A199" t="s">
        <v>2726</v>
      </c>
      <c r="B199" t="str">
        <f>'São Leopoldo'!C73</f>
        <v xml:space="preserve">10 -  REDUÇÃO DE PESO BRUTO DD000504/505Z
</v>
      </c>
      <c r="C199" t="str">
        <f>_xlfn.XLOOKUP(B199,'São Leopoldo'!$C$55:$C$106,'São Leopoldo'!$O$55:$O$106)</f>
        <v>✓ Concluído</v>
      </c>
      <c r="D199" s="716">
        <f>_xlfn.XLOOKUP(B199,'São Leopoldo'!$C$55:$C$106,'São Leopoldo'!$J$55:$J$106)</f>
        <v>46239</v>
      </c>
    </row>
    <row r="200" spans="1:4" hidden="1" x14ac:dyDescent="0.3">
      <c r="A200" t="s">
        <v>2726</v>
      </c>
      <c r="B200">
        <f>'São Leopoldo'!C74</f>
        <v>0</v>
      </c>
      <c r="C200" t="e">
        <f>_xlfn.XLOOKUP(B200,'São Leopoldo'!$C$55:$C$106,'São Leopoldo'!$O$55:$O$106)</f>
        <v>#N/A</v>
      </c>
      <c r="D200" s="716" t="e">
        <f>_xlfn.XLOOKUP(B200,'São Leopoldo'!$C$55:$C$106,'São Leopoldo'!$J$55:$J$106)</f>
        <v>#N/A</v>
      </c>
    </row>
    <row r="201" spans="1:4" hidden="1" x14ac:dyDescent="0.3">
      <c r="A201" t="s">
        <v>2726</v>
      </c>
      <c r="B201" t="str">
        <f>'São Leopoldo'!C75</f>
        <v>11- REDUZIR A QUANTIDADE DE MÁQUINAS DE SOLDA MIG/MAG LOCADAS</v>
      </c>
      <c r="C201" t="str">
        <f>_xlfn.XLOOKUP(B201,'São Leopoldo'!$C$55:$C$106,'São Leopoldo'!$O$55:$O$106)</f>
        <v>✓ Concluído</v>
      </c>
      <c r="D201" s="716">
        <f>_xlfn.XLOOKUP(B201,'São Leopoldo'!$C$55:$C$106,'São Leopoldo'!$J$55:$J$106)</f>
        <v>46145</v>
      </c>
    </row>
    <row r="202" spans="1:4" hidden="1" x14ac:dyDescent="0.3">
      <c r="A202" t="s">
        <v>2726</v>
      </c>
      <c r="B202">
        <f>'São Leopoldo'!C76</f>
        <v>0</v>
      </c>
      <c r="C202" t="e">
        <f>_xlfn.XLOOKUP(B202,'São Leopoldo'!$C$55:$C$106,'São Leopoldo'!$O$55:$O$106)</f>
        <v>#N/A</v>
      </c>
      <c r="D202" s="716" t="e">
        <f>_xlfn.XLOOKUP(B202,'São Leopoldo'!$C$55:$C$106,'São Leopoldo'!$J$55:$J$106)</f>
        <v>#N/A</v>
      </c>
    </row>
    <row r="203" spans="1:4" hidden="1" x14ac:dyDescent="0.3">
      <c r="A203" t="s">
        <v>2726</v>
      </c>
      <c r="B203" t="str">
        <f>'São Leopoldo'!C77</f>
        <v>12-Adicionar serviços de portaria e limpeza em um único prestador terceirizado com serviços gerais.</v>
      </c>
      <c r="C203" t="str">
        <f>_xlfn.XLOOKUP(B203,'São Leopoldo'!$C$55:$C$106,'São Leopoldo'!$O$55:$O$106)</f>
        <v>✓ Concluído</v>
      </c>
      <c r="D203" s="716">
        <f>_xlfn.XLOOKUP(B203,'São Leopoldo'!$C$55:$C$106,'São Leopoldo'!$J$55:$J$106)</f>
        <v>46266</v>
      </c>
    </row>
    <row r="204" spans="1:4" hidden="1" x14ac:dyDescent="0.3">
      <c r="A204" t="s">
        <v>2726</v>
      </c>
      <c r="B204">
        <f>'São Leopoldo'!C78</f>
        <v>0</v>
      </c>
      <c r="C204" t="e">
        <f>_xlfn.XLOOKUP(B204,'São Leopoldo'!$C$55:$C$106,'São Leopoldo'!$O$55:$O$106)</f>
        <v>#N/A</v>
      </c>
      <c r="D204" s="716" t="e">
        <f>_xlfn.XLOOKUP(B204,'São Leopoldo'!$C$55:$C$106,'São Leopoldo'!$J$55:$J$106)</f>
        <v>#N/A</v>
      </c>
    </row>
    <row r="205" spans="1:4" hidden="1" x14ac:dyDescent="0.3">
      <c r="A205" t="s">
        <v>2726</v>
      </c>
      <c r="B205" t="str">
        <f>'São Leopoldo'!C79</f>
        <v>13- Redução do custo mensal de empilhadeira locada (LOCAPEX).</v>
      </c>
      <c r="C205" t="str">
        <f>_xlfn.XLOOKUP(B205,'São Leopoldo'!$C$55:$C$106,'São Leopoldo'!$O$55:$O$106)</f>
        <v>✓ Concluído</v>
      </c>
      <c r="D205" s="716">
        <f>_xlfn.XLOOKUP(B205,'São Leopoldo'!$C$55:$C$106,'São Leopoldo'!$J$55:$J$106)</f>
        <v>46113</v>
      </c>
    </row>
    <row r="206" spans="1:4" hidden="1" x14ac:dyDescent="0.3">
      <c r="A206" t="s">
        <v>2726</v>
      </c>
      <c r="B206">
        <f>'São Leopoldo'!C80</f>
        <v>0</v>
      </c>
      <c r="C206" t="e">
        <f>_xlfn.XLOOKUP(B206,'São Leopoldo'!$C$55:$C$106,'São Leopoldo'!$O$55:$O$106)</f>
        <v>#N/A</v>
      </c>
      <c r="D206" s="716" t="e">
        <f>_xlfn.XLOOKUP(B206,'São Leopoldo'!$C$55:$C$106,'São Leopoldo'!$J$55:$J$106)</f>
        <v>#N/A</v>
      </c>
    </row>
    <row r="207" spans="1:4" hidden="1" x14ac:dyDescent="0.3">
      <c r="A207" t="s">
        <v>2726</v>
      </c>
      <c r="B207" t="str">
        <f>'São Leopoldo'!C81</f>
        <v>14- Redução de gastos com energia elétrica.</v>
      </c>
      <c r="C207" t="str">
        <f>_xlfn.XLOOKUP(B207,'São Leopoldo'!$C$55:$C$106,'São Leopoldo'!$O$55:$O$106)</f>
        <v>✓ Concluído</v>
      </c>
      <c r="D207" s="716">
        <f>_xlfn.XLOOKUP(B207,'São Leopoldo'!$C$55:$C$106,'São Leopoldo'!$J$55:$J$106)</f>
        <v>46237</v>
      </c>
    </row>
    <row r="208" spans="1:4" hidden="1" x14ac:dyDescent="0.3">
      <c r="A208" t="s">
        <v>2726</v>
      </c>
      <c r="B208">
        <f>'São Leopoldo'!C82</f>
        <v>0</v>
      </c>
      <c r="C208" t="e">
        <f>_xlfn.XLOOKUP(B208,'São Leopoldo'!$C$55:$C$106,'São Leopoldo'!$O$55:$O$106)</f>
        <v>#N/A</v>
      </c>
      <c r="D208" s="716" t="e">
        <f>_xlfn.XLOOKUP(B208,'São Leopoldo'!$C$55:$C$106,'São Leopoldo'!$J$55:$J$106)</f>
        <v>#N/A</v>
      </c>
    </row>
    <row r="209" spans="1:4" hidden="1" x14ac:dyDescent="0.3">
      <c r="A209" t="s">
        <v>2726</v>
      </c>
      <c r="B209" t="e">
        <f>'São Leopoldo'!#REF!</f>
        <v>#REF!</v>
      </c>
      <c r="C209" t="e">
        <f>_xlfn.XLOOKUP(B209,'São Leopoldo'!$C$55:$C$106,'São Leopoldo'!$O$55:$O$106)</f>
        <v>#REF!</v>
      </c>
      <c r="D209" s="716" t="e">
        <f>_xlfn.XLOOKUP(B209,'São Leopoldo'!$C$55:$C$106,'São Leopoldo'!$J$55:$J$106)</f>
        <v>#REF!</v>
      </c>
    </row>
    <row r="210" spans="1:4" hidden="1" x14ac:dyDescent="0.3">
      <c r="A210" t="s">
        <v>2726</v>
      </c>
      <c r="B210" t="e">
        <f>'São Leopoldo'!#REF!</f>
        <v>#REF!</v>
      </c>
      <c r="C210" t="e">
        <f>_xlfn.XLOOKUP(B210,'São Leopoldo'!$C$55:$C$106,'São Leopoldo'!$O$55:$O$106)</f>
        <v>#REF!</v>
      </c>
      <c r="D210" s="716" t="e">
        <f>_xlfn.XLOOKUP(B210,'São Leopoldo'!$C$55:$C$106,'São Leopoldo'!$J$55:$J$106)</f>
        <v>#REF!</v>
      </c>
    </row>
    <row r="211" spans="1:4" hidden="1" x14ac:dyDescent="0.3">
      <c r="A211" t="s">
        <v>2726</v>
      </c>
      <c r="B211" t="str">
        <f>'São Leopoldo'!C83</f>
        <v xml:space="preserve">15-  REDUÇÃO DE PESO BRUTO DD000507z
</v>
      </c>
      <c r="C211" t="str">
        <f>_xlfn.XLOOKUP(B211,'São Leopoldo'!$C$55:$C$106,'São Leopoldo'!$O$55:$O$106)</f>
        <v>⏳ Em Execução</v>
      </c>
      <c r="D211" s="716">
        <f>_xlfn.XLOOKUP(B211,'São Leopoldo'!$C$55:$C$106,'São Leopoldo'!$J$55:$J$106)</f>
        <v>46327</v>
      </c>
    </row>
    <row r="212" spans="1:4" hidden="1" x14ac:dyDescent="0.3">
      <c r="A212" t="s">
        <v>2726</v>
      </c>
      <c r="B212">
        <f>'São Leopoldo'!C84</f>
        <v>0</v>
      </c>
      <c r="C212" t="e">
        <f>_xlfn.XLOOKUP(B212,'São Leopoldo'!$C$55:$C$106,'São Leopoldo'!$O$55:$O$106)</f>
        <v>#N/A</v>
      </c>
      <c r="D212" s="716" t="e">
        <f>_xlfn.XLOOKUP(B212,'São Leopoldo'!$C$55:$C$106,'São Leopoldo'!$J$55:$J$106)</f>
        <v>#N/A</v>
      </c>
    </row>
    <row r="213" spans="1:4" hidden="1" x14ac:dyDescent="0.3">
      <c r="A213" t="s">
        <v>2726</v>
      </c>
      <c r="B213" t="e">
        <f>'São Leopoldo'!#REF!</f>
        <v>#REF!</v>
      </c>
      <c r="C213" t="e">
        <f>_xlfn.XLOOKUP(B213,'São Leopoldo'!$C$55:$C$106,'São Leopoldo'!$O$55:$O$106)</f>
        <v>#REF!</v>
      </c>
      <c r="D213" s="716" t="e">
        <f>_xlfn.XLOOKUP(B213,'São Leopoldo'!$C$55:$C$106,'São Leopoldo'!$J$55:$J$106)</f>
        <v>#REF!</v>
      </c>
    </row>
    <row r="214" spans="1:4" hidden="1" x14ac:dyDescent="0.3">
      <c r="A214" t="s">
        <v>2726</v>
      </c>
      <c r="B214" t="e">
        <f>'São Leopoldo'!#REF!</f>
        <v>#REF!</v>
      </c>
      <c r="C214" t="e">
        <f>_xlfn.XLOOKUP(B214,'São Leopoldo'!$C$55:$C$106,'São Leopoldo'!$O$55:$O$106)</f>
        <v>#REF!</v>
      </c>
      <c r="D214" s="716" t="e">
        <f>_xlfn.XLOOKUP(B214,'São Leopoldo'!$C$55:$C$106,'São Leopoldo'!$J$55:$J$106)</f>
        <v>#REF!</v>
      </c>
    </row>
    <row r="215" spans="1:4" hidden="1" x14ac:dyDescent="0.3">
      <c r="A215" t="s">
        <v>2726</v>
      </c>
      <c r="B215" t="e">
        <f>'São Leopoldo'!#REF!</f>
        <v>#REF!</v>
      </c>
      <c r="C215" t="e">
        <f>_xlfn.XLOOKUP(B215,'São Leopoldo'!$C$55:$C$106,'São Leopoldo'!$O$55:$O$106)</f>
        <v>#REF!</v>
      </c>
      <c r="D215" s="716" t="e">
        <f>_xlfn.XLOOKUP(B215,'São Leopoldo'!$C$55:$C$106,'São Leopoldo'!$J$55:$J$106)</f>
        <v>#REF!</v>
      </c>
    </row>
    <row r="216" spans="1:4" hidden="1" x14ac:dyDescent="0.3">
      <c r="A216" t="s">
        <v>2726</v>
      </c>
      <c r="B216" t="e">
        <f>'São Leopoldo'!#REF!</f>
        <v>#REF!</v>
      </c>
      <c r="C216" t="e">
        <f>_xlfn.XLOOKUP(B216,'São Leopoldo'!$C$55:$C$106,'São Leopoldo'!$O$55:$O$106)</f>
        <v>#REF!</v>
      </c>
      <c r="D216" s="716" t="e">
        <f>_xlfn.XLOOKUP(B216,'São Leopoldo'!$C$55:$C$106,'São Leopoldo'!$J$55:$J$106)</f>
        <v>#REF!</v>
      </c>
    </row>
    <row r="217" spans="1:4" hidden="1" x14ac:dyDescent="0.3">
      <c r="A217" t="s">
        <v>2726</v>
      </c>
      <c r="B217">
        <f>'São Leopoldo'!C97</f>
        <v>0</v>
      </c>
      <c r="C217" t="e">
        <f>_xlfn.XLOOKUP(B217,'São Leopoldo'!$C$55:$C$106,'São Leopoldo'!$O$55:$O$106)</f>
        <v>#N/A</v>
      </c>
      <c r="D217" s="716" t="e">
        <f>_xlfn.XLOOKUP(B217,'São Leopoldo'!$C$55:$C$106,'São Leopoldo'!$J$55:$J$106)</f>
        <v>#N/A</v>
      </c>
    </row>
    <row r="218" spans="1:4" hidden="1" x14ac:dyDescent="0.3">
      <c r="A218" t="s">
        <v>2726</v>
      </c>
      <c r="B218">
        <f>'São Leopoldo'!C98</f>
        <v>0</v>
      </c>
      <c r="C218" t="e">
        <f>_xlfn.XLOOKUP(B218,'São Leopoldo'!$C$55:$C$106,'São Leopoldo'!$O$55:$O$106)</f>
        <v>#N/A</v>
      </c>
      <c r="D218" s="716" t="e">
        <f>_xlfn.XLOOKUP(B218,'São Leopoldo'!$C$55:$C$106,'São Leopoldo'!$J$55:$J$106)</f>
        <v>#N/A</v>
      </c>
    </row>
    <row r="219" spans="1:4" hidden="1" x14ac:dyDescent="0.3">
      <c r="A219" t="s">
        <v>2726</v>
      </c>
      <c r="B219">
        <f>'São Leopoldo'!C99</f>
        <v>0</v>
      </c>
      <c r="C219" t="e">
        <f>_xlfn.XLOOKUP(B219,'São Leopoldo'!$C$55:$C$106,'São Leopoldo'!$O$55:$O$106)</f>
        <v>#N/A</v>
      </c>
      <c r="D219" s="716" t="e">
        <f>_xlfn.XLOOKUP(B219,'São Leopoldo'!$C$55:$C$106,'São Leopoldo'!$J$55:$J$106)</f>
        <v>#N/A</v>
      </c>
    </row>
    <row r="220" spans="1:4" hidden="1" x14ac:dyDescent="0.3">
      <c r="A220" t="s">
        <v>2726</v>
      </c>
      <c r="B220">
        <f>'São Leopoldo'!C100</f>
        <v>0</v>
      </c>
      <c r="C220" t="e">
        <f>_xlfn.XLOOKUP(B220,'São Leopoldo'!$C$55:$C$106,'São Leopoldo'!$O$55:$O$106)</f>
        <v>#N/A</v>
      </c>
      <c r="D220" s="716" t="e">
        <f>_xlfn.XLOOKUP(B220,'São Leopoldo'!$C$55:$C$106,'São Leopoldo'!$J$55:$J$106)</f>
        <v>#N/A</v>
      </c>
    </row>
    <row r="221" spans="1:4" hidden="1" x14ac:dyDescent="0.3">
      <c r="A221" t="s">
        <v>2726</v>
      </c>
      <c r="B221">
        <f>'São Leopoldo'!C101</f>
        <v>0</v>
      </c>
      <c r="C221" t="e">
        <f>_xlfn.XLOOKUP(B221,'São Leopoldo'!$C$55:$C$106,'São Leopoldo'!$O$55:$O$106)</f>
        <v>#N/A</v>
      </c>
      <c r="D221" s="716" t="e">
        <f>_xlfn.XLOOKUP(B221,'São Leopoldo'!$C$55:$C$106,'São Leopoldo'!$J$55:$J$106)</f>
        <v>#N/A</v>
      </c>
    </row>
    <row r="222" spans="1:4" hidden="1" x14ac:dyDescent="0.3">
      <c r="A222" t="s">
        <v>2726</v>
      </c>
      <c r="B222">
        <f>'São Leopoldo'!C102</f>
        <v>0</v>
      </c>
      <c r="C222" t="e">
        <f>_xlfn.XLOOKUP(B222,'São Leopoldo'!$C$55:$C$106,'São Leopoldo'!$O$55:$O$106)</f>
        <v>#N/A</v>
      </c>
      <c r="D222" s="716" t="e">
        <f>_xlfn.XLOOKUP(B222,'São Leopoldo'!$C$55:$C$106,'São Leopoldo'!$J$55:$J$106)</f>
        <v>#N/A</v>
      </c>
    </row>
    <row r="223" spans="1:4" hidden="1" x14ac:dyDescent="0.3">
      <c r="A223" t="s">
        <v>2726</v>
      </c>
      <c r="B223">
        <f>'São Leopoldo'!C103</f>
        <v>0</v>
      </c>
      <c r="C223" t="e">
        <f>_xlfn.XLOOKUP(B223,'São Leopoldo'!$C$55:$C$106,'São Leopoldo'!$O$55:$O$106)</f>
        <v>#N/A</v>
      </c>
      <c r="D223" s="716" t="e">
        <f>_xlfn.XLOOKUP(B223,'São Leopoldo'!$C$55:$C$106,'São Leopoldo'!$J$55:$J$106)</f>
        <v>#N/A</v>
      </c>
    </row>
    <row r="224" spans="1:4" hidden="1" x14ac:dyDescent="0.3">
      <c r="A224" t="s">
        <v>2726</v>
      </c>
      <c r="B224">
        <f>'São Leopoldo'!C104</f>
        <v>0</v>
      </c>
      <c r="C224" t="e">
        <f>_xlfn.XLOOKUP(B224,'São Leopoldo'!$C$55:$C$106,'São Leopoldo'!$O$55:$O$106)</f>
        <v>#N/A</v>
      </c>
      <c r="D224" s="716" t="e">
        <f>_xlfn.XLOOKUP(B224,'São Leopoldo'!$C$55:$C$106,'São Leopoldo'!$J$55:$J$106)</f>
        <v>#N/A</v>
      </c>
    </row>
    <row r="225" spans="1:4" hidden="1" x14ac:dyDescent="0.3">
      <c r="A225" t="s">
        <v>2726</v>
      </c>
      <c r="B225">
        <f>'São Leopoldo'!C105</f>
        <v>0</v>
      </c>
      <c r="C225" t="e">
        <f>_xlfn.XLOOKUP(B225,'São Leopoldo'!$C$55:$C$106,'São Leopoldo'!$O$55:$O$106)</f>
        <v>#N/A</v>
      </c>
      <c r="D225" s="716" t="e">
        <f>_xlfn.XLOOKUP(B225,'São Leopoldo'!$C$55:$C$106,'São Leopoldo'!$J$55:$J$106)</f>
        <v>#N/A</v>
      </c>
    </row>
    <row r="226" spans="1:4" hidden="1" x14ac:dyDescent="0.3">
      <c r="A226" t="s">
        <v>2726</v>
      </c>
      <c r="B226">
        <f>'São Leopoldo'!C106</f>
        <v>0</v>
      </c>
      <c r="C226" t="e">
        <f>_xlfn.XLOOKUP(B226,'São Leopoldo'!$C$55:$C$106,'São Leopoldo'!$O$55:$O$106)</f>
        <v>#N/A</v>
      </c>
      <c r="D226" s="716" t="e">
        <f>_xlfn.XLOOKUP(B226,'São Leopoldo'!$C$55:$C$106,'São Leopoldo'!$J$55:$J$106)</f>
        <v>#N/A</v>
      </c>
    </row>
    <row r="227" spans="1:4" hidden="1" x14ac:dyDescent="0.3">
      <c r="A227" t="s">
        <v>2726</v>
      </c>
      <c r="B227" t="e">
        <f>'São Leopoldo'!#REF!</f>
        <v>#REF!</v>
      </c>
      <c r="C227" t="e">
        <f>_xlfn.XLOOKUP(B227,'São Leopoldo'!$C$55:$C$106,'São Leopoldo'!$O$55:$O$106)</f>
        <v>#REF!</v>
      </c>
      <c r="D227" s="716" t="e">
        <f>_xlfn.XLOOKUP(B227,'São Leopoldo'!$C$55:$C$106,'São Leopoldo'!$J$55:$J$106)</f>
        <v>#REF!</v>
      </c>
    </row>
    <row r="228" spans="1:4" hidden="1" x14ac:dyDescent="0.3">
      <c r="A228" t="s">
        <v>2726</v>
      </c>
      <c r="B228" t="e">
        <f>'São Leopoldo'!#REF!</f>
        <v>#REF!</v>
      </c>
      <c r="C228" t="e">
        <f>_xlfn.XLOOKUP(B228,'São Leopoldo'!$C$55:$C$106,'São Leopoldo'!$O$55:$O$106)</f>
        <v>#REF!</v>
      </c>
      <c r="D228" s="716" t="e">
        <f>_xlfn.XLOOKUP(B228,'São Leopoldo'!$C$55:$C$106,'São Leopoldo'!$J$55:$J$106)</f>
        <v>#REF!</v>
      </c>
    </row>
    <row r="229" spans="1:4" hidden="1" x14ac:dyDescent="0.3">
      <c r="A229" t="s">
        <v>2726</v>
      </c>
      <c r="B229" t="e">
        <f>'São Leopoldo'!#REF!</f>
        <v>#REF!</v>
      </c>
      <c r="C229" t="e">
        <f>_xlfn.XLOOKUP(B229,'São Leopoldo'!$C$55:$C$106,'São Leopoldo'!$O$55:$O$106)</f>
        <v>#REF!</v>
      </c>
      <c r="D229" s="716" t="e">
        <f>_xlfn.XLOOKUP(B229,'São Leopoldo'!$C$55:$C$106,'São Leopoldo'!$J$55:$J$106)</f>
        <v>#REF!</v>
      </c>
    </row>
    <row r="230" spans="1:4" hidden="1" x14ac:dyDescent="0.3">
      <c r="A230" t="s">
        <v>2726</v>
      </c>
      <c r="B230" t="e">
        <f>'São Leopoldo'!#REF!</f>
        <v>#REF!</v>
      </c>
      <c r="C230" t="e">
        <f>_xlfn.XLOOKUP(B230,'São Leopoldo'!$C$55:$C$106,'São Leopoldo'!$O$55:$O$106)</f>
        <v>#REF!</v>
      </c>
      <c r="D230" s="716" t="e">
        <f>_xlfn.XLOOKUP(B230,'São Leopoldo'!$C$55:$C$106,'São Leopoldo'!$J$55:$J$106)</f>
        <v>#REF!</v>
      </c>
    </row>
    <row r="231" spans="1:4" hidden="1" x14ac:dyDescent="0.3">
      <c r="A231" t="s">
        <v>2726</v>
      </c>
      <c r="B231" t="e">
        <f>'São Leopoldo'!#REF!</f>
        <v>#REF!</v>
      </c>
      <c r="C231" t="e">
        <f>_xlfn.XLOOKUP(B231,'São Leopoldo'!$C$55:$C$106,'São Leopoldo'!$O$55:$O$106)</f>
        <v>#REF!</v>
      </c>
      <c r="D231" s="716" t="e">
        <f>_xlfn.XLOOKUP(B231,'São Leopoldo'!$C$55:$C$106,'São Leopoldo'!$J$55:$J$106)</f>
        <v>#REF!</v>
      </c>
    </row>
    <row r="232" spans="1:4" hidden="1" x14ac:dyDescent="0.3">
      <c r="A232" t="s">
        <v>2726</v>
      </c>
      <c r="B232" t="e">
        <f>'São Leopoldo'!#REF!</f>
        <v>#REF!</v>
      </c>
      <c r="C232" t="e">
        <f>_xlfn.XLOOKUP(B232,'São Leopoldo'!$C$55:$C$106,'São Leopoldo'!$O$55:$O$106)</f>
        <v>#REF!</v>
      </c>
      <c r="D232" s="716" t="e">
        <f>_xlfn.XLOOKUP(B232,'São Leopoldo'!$C$55:$C$106,'São Leopoldo'!$J$55:$J$106)</f>
        <v>#REF!</v>
      </c>
    </row>
    <row r="233" spans="1:4" hidden="1" x14ac:dyDescent="0.3">
      <c r="A233" t="s">
        <v>2726</v>
      </c>
      <c r="B233" t="e">
        <f>'São Leopoldo'!#REF!</f>
        <v>#REF!</v>
      </c>
      <c r="C233" t="e">
        <f>_xlfn.XLOOKUP(B233,'São Leopoldo'!$C$55:$C$106,'São Leopoldo'!$O$55:$O$106)</f>
        <v>#REF!</v>
      </c>
      <c r="D233" s="716" t="e">
        <f>_xlfn.XLOOKUP(B233,'São Leopoldo'!$C$55:$C$106,'São Leopoldo'!$J$55:$J$106)</f>
        <v>#REF!</v>
      </c>
    </row>
    <row r="234" spans="1:4" hidden="1" x14ac:dyDescent="0.3">
      <c r="A234" t="s">
        <v>2726</v>
      </c>
      <c r="B234" t="e">
        <f>'São Leopoldo'!#REF!</f>
        <v>#REF!</v>
      </c>
      <c r="C234" t="e">
        <f>_xlfn.XLOOKUP(B234,'São Leopoldo'!$C$55:$C$106,'São Leopoldo'!$O$55:$O$106)</f>
        <v>#REF!</v>
      </c>
      <c r="D234" s="716" t="e">
        <f>_xlfn.XLOOKUP(B234,'São Leopoldo'!$C$55:$C$106,'São Leopoldo'!$J$55:$J$106)</f>
        <v>#REF!</v>
      </c>
    </row>
    <row r="235" spans="1:4" hidden="1" x14ac:dyDescent="0.3">
      <c r="A235" t="s">
        <v>2726</v>
      </c>
      <c r="B235" t="e">
        <f>'São Leopoldo'!#REF!</f>
        <v>#REF!</v>
      </c>
      <c r="C235" t="e">
        <f>_xlfn.XLOOKUP(B235,'São Leopoldo'!$C$55:$C$106,'São Leopoldo'!$O$55:$O$106)</f>
        <v>#REF!</v>
      </c>
      <c r="D235" s="716" t="e">
        <f>_xlfn.XLOOKUP(B235,'São Leopoldo'!$C$55:$C$106,'São Leopoldo'!$J$55:$J$106)</f>
        <v>#REF!</v>
      </c>
    </row>
    <row r="236" spans="1:4" hidden="1" x14ac:dyDescent="0.3">
      <c r="A236" t="s">
        <v>2726</v>
      </c>
      <c r="B236" t="e">
        <f>'São Leopoldo'!#REF!</f>
        <v>#REF!</v>
      </c>
      <c r="C236" t="e">
        <f>_xlfn.XLOOKUP(B236,'São Leopoldo'!$C$55:$C$106,'São Leopoldo'!$O$55:$O$106)</f>
        <v>#REF!</v>
      </c>
      <c r="D236" s="716" t="e">
        <f>_xlfn.XLOOKUP(B236,'São Leopoldo'!$C$55:$C$106,'São Leopoldo'!$J$55:$J$106)</f>
        <v>#REF!</v>
      </c>
    </row>
    <row r="237" spans="1:4" hidden="1" x14ac:dyDescent="0.3">
      <c r="A237" t="s">
        <v>2726</v>
      </c>
      <c r="B237" t="e">
        <f>'São Leopoldo'!#REF!</f>
        <v>#REF!</v>
      </c>
      <c r="C237" t="e">
        <f>_xlfn.XLOOKUP(B237,'São Leopoldo'!$C$55:$C$106,'São Leopoldo'!$O$55:$O$106)</f>
        <v>#REF!</v>
      </c>
      <c r="D237" s="716" t="e">
        <f>_xlfn.XLOOKUP(B237,'São Leopoldo'!$C$55:$C$106,'São Leopoldo'!$J$55:$J$106)</f>
        <v>#REF!</v>
      </c>
    </row>
    <row r="238" spans="1:4" hidden="1" x14ac:dyDescent="0.3">
      <c r="A238" t="s">
        <v>2726</v>
      </c>
      <c r="B238" t="e">
        <f>'São Leopoldo'!#REF!</f>
        <v>#REF!</v>
      </c>
      <c r="C238" t="e">
        <f>_xlfn.XLOOKUP(B238,'São Leopoldo'!$C$55:$C$106,'São Leopoldo'!$O$55:$O$106)</f>
        <v>#REF!</v>
      </c>
      <c r="D238" s="716" t="e">
        <f>_xlfn.XLOOKUP(B238,'São Leopoldo'!$C$55:$C$106,'São Leopoldo'!$J$55:$J$106)</f>
        <v>#REF!</v>
      </c>
    </row>
    <row r="239" spans="1:4" hidden="1" x14ac:dyDescent="0.3">
      <c r="A239" t="s">
        <v>2726</v>
      </c>
      <c r="B239" t="e">
        <f>'São Leopoldo'!#REF!</f>
        <v>#REF!</v>
      </c>
      <c r="C239" t="e">
        <f>_xlfn.XLOOKUP(B239,'São Leopoldo'!$C$55:$C$106,'São Leopoldo'!$O$55:$O$106)</f>
        <v>#REF!</v>
      </c>
      <c r="D239" s="716" t="e">
        <f>_xlfn.XLOOKUP(B239,'São Leopoldo'!$C$55:$C$106,'São Leopoldo'!$J$55:$J$106)</f>
        <v>#REF!</v>
      </c>
    </row>
    <row r="240" spans="1:4" hidden="1" x14ac:dyDescent="0.3">
      <c r="A240" t="s">
        <v>2726</v>
      </c>
      <c r="B240" t="e">
        <f>'São Leopoldo'!#REF!</f>
        <v>#REF!</v>
      </c>
      <c r="C240" t="e">
        <f>_xlfn.XLOOKUP(B240,'São Leopoldo'!$C$55:$C$106,'São Leopoldo'!$O$55:$O$106)</f>
        <v>#REF!</v>
      </c>
      <c r="D240" s="716" t="e">
        <f>_xlfn.XLOOKUP(B240,'São Leopoldo'!$C$55:$C$106,'São Leopoldo'!$J$55:$J$106)</f>
        <v>#REF!</v>
      </c>
    </row>
    <row r="241" spans="1:4" hidden="1" x14ac:dyDescent="0.3">
      <c r="A241" t="s">
        <v>2726</v>
      </c>
      <c r="B241" t="e">
        <f>'São Leopoldo'!#REF!</f>
        <v>#REF!</v>
      </c>
      <c r="C241" t="e">
        <f>_xlfn.XLOOKUP(B241,'São Leopoldo'!$C$55:$C$106,'São Leopoldo'!$O$55:$O$106)</f>
        <v>#REF!</v>
      </c>
      <c r="D241" s="716" t="e">
        <f>_xlfn.XLOOKUP(B241,'São Leopoldo'!$C$55:$C$106,'São Leopoldo'!$J$55:$J$106)</f>
        <v>#REF!</v>
      </c>
    </row>
    <row r="242" spans="1:4" hidden="1" x14ac:dyDescent="0.3">
      <c r="A242" t="s">
        <v>2726</v>
      </c>
      <c r="B242" t="e">
        <f>'São Leopoldo'!#REF!</f>
        <v>#REF!</v>
      </c>
      <c r="C242" t="e">
        <f>_xlfn.XLOOKUP(B242,'São Leopoldo'!$C$55:$C$106,'São Leopoldo'!$O$55:$O$106)</f>
        <v>#REF!</v>
      </c>
      <c r="D242" s="716" t="e">
        <f>_xlfn.XLOOKUP(B242,'São Leopoldo'!$C$55:$C$106,'São Leopoldo'!$J$55:$J$106)</f>
        <v>#REF!</v>
      </c>
    </row>
    <row r="243" spans="1:4" hidden="1" x14ac:dyDescent="0.3">
      <c r="A243" t="s">
        <v>2726</v>
      </c>
      <c r="B243" t="e">
        <f>'São Leopoldo'!#REF!</f>
        <v>#REF!</v>
      </c>
      <c r="C243" t="e">
        <f>_xlfn.XLOOKUP(B243,'São Leopoldo'!$C$55:$C$106,'São Leopoldo'!$O$55:$O$106)</f>
        <v>#REF!</v>
      </c>
      <c r="D243" s="716" t="e">
        <f>_xlfn.XLOOKUP(B243,'São Leopoldo'!$C$55:$C$106,'São Leopoldo'!$J$55:$J$106)</f>
        <v>#REF!</v>
      </c>
    </row>
    <row r="244" spans="1:4" hidden="1" x14ac:dyDescent="0.3">
      <c r="A244" t="s">
        <v>2726</v>
      </c>
      <c r="B244" t="e">
        <f>'São Leopoldo'!#REF!</f>
        <v>#REF!</v>
      </c>
      <c r="C244" t="e">
        <f>_xlfn.XLOOKUP(B244,'São Leopoldo'!$C$55:$C$106,'São Leopoldo'!$O$55:$O$106)</f>
        <v>#REF!</v>
      </c>
      <c r="D244" s="716" t="e">
        <f>_xlfn.XLOOKUP(B244,'São Leopoldo'!$C$55:$C$106,'São Leopoldo'!$J$55:$J$106)</f>
        <v>#REF!</v>
      </c>
    </row>
    <row r="245" spans="1:4" hidden="1" x14ac:dyDescent="0.3">
      <c r="A245" t="s">
        <v>2726</v>
      </c>
      <c r="B245" t="e">
        <f>'São Leopoldo'!#REF!</f>
        <v>#REF!</v>
      </c>
      <c r="C245" t="e">
        <f>_xlfn.XLOOKUP(B245,'São Leopoldo'!$C$55:$C$106,'São Leopoldo'!$O$55:$O$106)</f>
        <v>#REF!</v>
      </c>
      <c r="D245" s="716" t="e">
        <f>_xlfn.XLOOKUP(B245,'São Leopoldo'!$C$55:$C$106,'São Leopoldo'!$J$55:$J$106)</f>
        <v>#REF!</v>
      </c>
    </row>
    <row r="246" spans="1:4" hidden="1" x14ac:dyDescent="0.3">
      <c r="A246" t="s">
        <v>2726</v>
      </c>
      <c r="B246" t="e">
        <f>'São Leopoldo'!#REF!</f>
        <v>#REF!</v>
      </c>
      <c r="C246" t="e">
        <f>_xlfn.XLOOKUP(B246,'São Leopoldo'!$C$55:$C$106,'São Leopoldo'!$O$55:$O$106)</f>
        <v>#REF!</v>
      </c>
      <c r="D246" s="716" t="e">
        <f>_xlfn.XLOOKUP(B246,'São Leopoldo'!$C$55:$C$106,'São Leopoldo'!$J$55:$J$106)</f>
        <v>#REF!</v>
      </c>
    </row>
    <row r="247" spans="1:4" hidden="1" x14ac:dyDescent="0.3">
      <c r="A247" t="s">
        <v>24</v>
      </c>
      <c r="B247" t="str">
        <f>Jarinu!C55</f>
        <v>01 - Desenvolver célula de solda para soldar porcas</v>
      </c>
      <c r="C247" t="str">
        <f>_xlfn.XLOOKUP(B247,Jarinu!$C$55:$C$144,Jarinu!$O$55:$O$144)</f>
        <v>⏳ Em Execução</v>
      </c>
      <c r="D247" s="716">
        <f>_xlfn.XLOOKUP(B247,Jarinu!$C$55:$C$144,Jarinu!$J$55:$J$144)</f>
        <v>46388</v>
      </c>
    </row>
    <row r="248" spans="1:4" hidden="1" x14ac:dyDescent="0.3">
      <c r="A248" t="s">
        <v>24</v>
      </c>
      <c r="B248">
        <f>Jarinu!C56</f>
        <v>0</v>
      </c>
      <c r="C248" t="e">
        <f>_xlfn.XLOOKUP(B248,Jarinu!$C$55:$C$144,Jarinu!$O$55:$O$144)</f>
        <v>#N/A</v>
      </c>
      <c r="D248" s="716" t="e">
        <f>_xlfn.XLOOKUP(B248,Jarinu!$C$55:$C$144,Jarinu!$J$55:$J$144)</f>
        <v>#N/A</v>
      </c>
    </row>
    <row r="249" spans="1:4" hidden="1" x14ac:dyDescent="0.3">
      <c r="A249" t="s">
        <v>24</v>
      </c>
      <c r="B249" t="str">
        <f>Jarinu!C57</f>
        <v>02 - Aumentar a produtividade da estamparia atraves da implementação lote econômico e multiplos de MTP</v>
      </c>
      <c r="C249" t="str">
        <f>_xlfn.XLOOKUP(B249,Jarinu!$C$55:$C$144,Jarinu!$O$55:$O$144)</f>
        <v>⏳ Em Execução</v>
      </c>
      <c r="D249" s="716">
        <f>_xlfn.XLOOKUP(B249,Jarinu!$C$55:$C$144,Jarinu!$J$55:$J$144)</f>
        <v>46266</v>
      </c>
    </row>
    <row r="250" spans="1:4" hidden="1" x14ac:dyDescent="0.3">
      <c r="A250" t="s">
        <v>24</v>
      </c>
      <c r="B250">
        <f>Jarinu!C58</f>
        <v>0</v>
      </c>
      <c r="C250" t="e">
        <f>_xlfn.XLOOKUP(B250,Jarinu!$C$55:$C$144,Jarinu!$O$55:$O$144)</f>
        <v>#N/A</v>
      </c>
      <c r="D250" s="716" t="e">
        <f>_xlfn.XLOOKUP(B250,Jarinu!$C$55:$C$144,Jarinu!$J$55:$J$144)</f>
        <v>#N/A</v>
      </c>
    </row>
    <row r="251" spans="1:4" hidden="1" x14ac:dyDescent="0.3">
      <c r="A251" t="s">
        <v>24</v>
      </c>
      <c r="B251" t="str">
        <f>Jarinu!C59</f>
        <v>03 - Redução de consumo de MP dos blanks com a técnica de corte Wave</v>
      </c>
      <c r="C251" t="str">
        <f>_xlfn.XLOOKUP(B251,Jarinu!$C$55:$C$144,Jarinu!$O$55:$O$144)</f>
        <v>⏳ Em Execução</v>
      </c>
      <c r="D251" s="716">
        <f>_xlfn.XLOOKUP(B251,Jarinu!$C$55:$C$144,Jarinu!$J$55:$J$144)</f>
        <v>46266</v>
      </c>
    </row>
    <row r="252" spans="1:4" hidden="1" x14ac:dyDescent="0.3">
      <c r="A252" t="s">
        <v>24</v>
      </c>
      <c r="B252">
        <f>Jarinu!C60</f>
        <v>0</v>
      </c>
      <c r="C252" t="e">
        <f>_xlfn.XLOOKUP(B252,Jarinu!$C$55:$C$144,Jarinu!$O$55:$O$144)</f>
        <v>#N/A</v>
      </c>
      <c r="D252" s="716" t="e">
        <f>_xlfn.XLOOKUP(B252,Jarinu!$C$55:$C$144,Jarinu!$J$55:$J$144)</f>
        <v>#N/A</v>
      </c>
    </row>
    <row r="253" spans="1:4" hidden="1" x14ac:dyDescent="0.3">
      <c r="A253" t="s">
        <v>24</v>
      </c>
      <c r="B253" t="str">
        <f>Jarinu!C61</f>
        <v>04 - Redução da largura dos slitters</v>
      </c>
      <c r="C253" t="str">
        <f>_xlfn.XLOOKUP(B253,Jarinu!$C$55:$C$144,Jarinu!$O$55:$O$144)</f>
        <v>⏳ Em Execução</v>
      </c>
      <c r="D253" s="716">
        <f>_xlfn.XLOOKUP(B253,Jarinu!$C$55:$C$144,Jarinu!$J$55:$J$144)</f>
        <v>46357</v>
      </c>
    </row>
    <row r="254" spans="1:4" hidden="1" x14ac:dyDescent="0.3">
      <c r="A254" t="s">
        <v>24</v>
      </c>
      <c r="B254">
        <f>Jarinu!C62</f>
        <v>0</v>
      </c>
      <c r="C254" t="e">
        <f>_xlfn.XLOOKUP(B254,Jarinu!$C$55:$C$144,Jarinu!$O$55:$O$144)</f>
        <v>#N/A</v>
      </c>
      <c r="D254" s="716" t="e">
        <f>_xlfn.XLOOKUP(B254,Jarinu!$C$55:$C$144,Jarinu!$J$55:$J$144)</f>
        <v>#N/A</v>
      </c>
    </row>
    <row r="255" spans="1:4" hidden="1" x14ac:dyDescent="0.3">
      <c r="A255" t="s">
        <v>24</v>
      </c>
      <c r="B255" t="str">
        <f>Jarinu!C63</f>
        <v xml:space="preserve">05 - Aplicar borda aparadas nas bobinas </v>
      </c>
      <c r="C255" t="str">
        <f>_xlfn.XLOOKUP(B255,Jarinu!$C$55:$C$144,Jarinu!$O$55:$O$144)</f>
        <v>⏳ Em Execução</v>
      </c>
      <c r="D255" s="716">
        <f>_xlfn.XLOOKUP(B255,Jarinu!$C$55:$C$144,Jarinu!$J$55:$J$144)</f>
        <v>46235</v>
      </c>
    </row>
    <row r="256" spans="1:4" hidden="1" x14ac:dyDescent="0.3">
      <c r="A256" t="s">
        <v>24</v>
      </c>
      <c r="B256">
        <f>Jarinu!C64</f>
        <v>0</v>
      </c>
      <c r="C256" t="e">
        <f>_xlfn.XLOOKUP(B256,Jarinu!$C$55:$C$144,Jarinu!$O$55:$O$144)</f>
        <v>#N/A</v>
      </c>
      <c r="D256" s="716" t="e">
        <f>_xlfn.XLOOKUP(B256,Jarinu!$C$55:$C$144,Jarinu!$J$55:$J$144)</f>
        <v>#N/A</v>
      </c>
    </row>
    <row r="257" spans="1:4" hidden="1" x14ac:dyDescent="0.3">
      <c r="A257" t="s">
        <v>24</v>
      </c>
      <c r="B257" t="str">
        <f>Jarinu!C65</f>
        <v>06 - Redução consumo MTP aplicando tolerância mínima</v>
      </c>
      <c r="C257" t="str">
        <f>_xlfn.XLOOKUP(B257,Jarinu!$C$55:$C$144,Jarinu!$O$55:$O$144)</f>
        <v>⏳ Em Execução</v>
      </c>
      <c r="D257" s="716">
        <f>_xlfn.XLOOKUP(B257,Jarinu!$C$55:$C$144,Jarinu!$J$55:$J$144)</f>
        <v>46296</v>
      </c>
    </row>
    <row r="258" spans="1:4" hidden="1" x14ac:dyDescent="0.3">
      <c r="A258" t="s">
        <v>24</v>
      </c>
      <c r="B258">
        <f>Jarinu!C66</f>
        <v>0</v>
      </c>
      <c r="C258" t="e">
        <f>_xlfn.XLOOKUP(B258,Jarinu!$C$55:$C$144,Jarinu!$O$55:$O$144)</f>
        <v>#N/A</v>
      </c>
      <c r="D258" s="716" t="e">
        <f>_xlfn.XLOOKUP(B258,Jarinu!$C$55:$C$144,Jarinu!$J$55:$J$144)</f>
        <v>#N/A</v>
      </c>
    </row>
    <row r="259" spans="1:4" hidden="1" x14ac:dyDescent="0.3">
      <c r="A259" t="s">
        <v>24</v>
      </c>
      <c r="B259" t="str">
        <f>Jarinu!C67</f>
        <v>07 - Balanceamento de carga máquina entre a prensa Gutmnan / Minster</v>
      </c>
      <c r="C259" t="str">
        <f>_xlfn.XLOOKUP(B259,Jarinu!$C$55:$C$144,Jarinu!$O$55:$O$144)</f>
        <v>✓ Concluído</v>
      </c>
      <c r="D259" s="716">
        <f>_xlfn.XLOOKUP(B259,Jarinu!$C$55:$C$144,Jarinu!$J$55:$J$144)</f>
        <v>46235</v>
      </c>
    </row>
    <row r="260" spans="1:4" hidden="1" x14ac:dyDescent="0.3">
      <c r="A260" t="s">
        <v>24</v>
      </c>
      <c r="B260">
        <f>Jarinu!C68</f>
        <v>0</v>
      </c>
      <c r="C260" t="e">
        <f>_xlfn.XLOOKUP(B260,Jarinu!$C$55:$C$144,Jarinu!$O$55:$O$144)</f>
        <v>#N/A</v>
      </c>
      <c r="D260" s="716" t="e">
        <f>_xlfn.XLOOKUP(B260,Jarinu!$C$55:$C$144,Jarinu!$J$55:$J$144)</f>
        <v>#N/A</v>
      </c>
    </row>
    <row r="261" spans="1:4" hidden="1" x14ac:dyDescent="0.3">
      <c r="A261" t="s">
        <v>24</v>
      </c>
      <c r="B261" t="str">
        <f>Jarinu!C69</f>
        <v>08 - Individualização de zonas de segurança da máquina Baltec</v>
      </c>
      <c r="C261" t="str">
        <f>_xlfn.XLOOKUP(B261,Jarinu!$C$55:$C$144,Jarinu!$O$55:$O$144)</f>
        <v>📝 Não iniciado</v>
      </c>
      <c r="D261" s="717">
        <f>_xlfn.XLOOKUP(B261,Jarinu!$C$55:$C$144,Jarinu!$J$55:$J$144)</f>
        <v>0</v>
      </c>
    </row>
    <row r="262" spans="1:4" hidden="1" x14ac:dyDescent="0.3">
      <c r="A262" t="s">
        <v>24</v>
      </c>
      <c r="B262">
        <f>Jarinu!C70</f>
        <v>0</v>
      </c>
      <c r="C262" t="e">
        <f>_xlfn.XLOOKUP(B262,Jarinu!$C$55:$C$144,Jarinu!$O$55:$O$144)</f>
        <v>#N/A</v>
      </c>
      <c r="D262" s="716" t="e">
        <f>_xlfn.XLOOKUP(B262,Jarinu!$C$55:$C$144,Jarinu!$J$55:$J$144)</f>
        <v>#N/A</v>
      </c>
    </row>
    <row r="263" spans="1:4" hidden="1" x14ac:dyDescent="0.3">
      <c r="A263" t="s">
        <v>24</v>
      </c>
      <c r="B263" t="str">
        <f>Jarinu!C71</f>
        <v>09 - Aumento de performance dos itens estampados na prensa Minster</v>
      </c>
      <c r="C263" t="str">
        <f>_xlfn.XLOOKUP(B263,Jarinu!$C$55:$C$144,Jarinu!$O$55:$O$144)</f>
        <v>📝 Não iniciado</v>
      </c>
      <c r="D263" s="716">
        <f>_xlfn.XLOOKUP(B263,Jarinu!$C$55:$C$144,Jarinu!$J$55:$J$144)</f>
        <v>46296</v>
      </c>
    </row>
    <row r="264" spans="1:4" hidden="1" x14ac:dyDescent="0.3">
      <c r="A264" t="s">
        <v>24</v>
      </c>
      <c r="B264">
        <f>Jarinu!C72</f>
        <v>0</v>
      </c>
      <c r="C264" t="e">
        <f>_xlfn.XLOOKUP(B264,Jarinu!$C$55:$C$144,Jarinu!$O$55:$O$144)</f>
        <v>#N/A</v>
      </c>
      <c r="D264" s="716" t="e">
        <f>_xlfn.XLOOKUP(B264,Jarinu!$C$55:$C$144,Jarinu!$J$55:$J$144)</f>
        <v>#N/A</v>
      </c>
    </row>
    <row r="265" spans="1:4" hidden="1" x14ac:dyDescent="0.3">
      <c r="A265" t="s">
        <v>24</v>
      </c>
      <c r="B265" t="str">
        <f>Jarinu!C73</f>
        <v>10 - Aumento de performance dos itens estampados na prensa Isgec</v>
      </c>
      <c r="C265" t="str">
        <f>_xlfn.XLOOKUP(B265,Jarinu!$C$55:$C$144,Jarinu!$O$55:$O$144)</f>
        <v>📝 Não iniciado</v>
      </c>
      <c r="D265" s="716">
        <f>_xlfn.XLOOKUP(B265,Jarinu!$C$55:$C$144,Jarinu!$J$55:$J$144)</f>
        <v>46296</v>
      </c>
    </row>
    <row r="266" spans="1:4" hidden="1" x14ac:dyDescent="0.3">
      <c r="A266" t="s">
        <v>24</v>
      </c>
      <c r="B266">
        <f>Jarinu!C74</f>
        <v>0</v>
      </c>
      <c r="C266" t="e">
        <f>_xlfn.XLOOKUP(B266,Jarinu!$C$55:$C$144,Jarinu!$O$55:$O$144)</f>
        <v>#N/A</v>
      </c>
      <c r="D266" s="716" t="e">
        <f>_xlfn.XLOOKUP(B266,Jarinu!$C$55:$C$144,Jarinu!$J$55:$J$144)</f>
        <v>#N/A</v>
      </c>
    </row>
    <row r="267" spans="1:4" hidden="1" x14ac:dyDescent="0.3">
      <c r="A267" t="s">
        <v>24</v>
      </c>
      <c r="B267" t="str">
        <f>Jarinu!C75</f>
        <v>11 - Aumento de performance dos itens estampados nas prensas Gutmmans</v>
      </c>
      <c r="C267" t="str">
        <f>_xlfn.XLOOKUP(B267,Jarinu!$C$55:$C$144,Jarinu!$O$55:$O$144)</f>
        <v>📝 Não iniciado</v>
      </c>
      <c r="D267" s="716">
        <f>_xlfn.XLOOKUP(B267,Jarinu!$C$55:$C$144,Jarinu!$J$55:$J$144)</f>
        <v>46296</v>
      </c>
    </row>
    <row r="268" spans="1:4" hidden="1" x14ac:dyDescent="0.3">
      <c r="A268" t="s">
        <v>24</v>
      </c>
      <c r="B268">
        <f>Jarinu!C76</f>
        <v>0</v>
      </c>
      <c r="C268" t="e">
        <f>_xlfn.XLOOKUP(B268,Jarinu!$C$55:$C$144,Jarinu!$O$55:$O$144)</f>
        <v>#N/A</v>
      </c>
      <c r="D268" s="716" t="e">
        <f>_xlfn.XLOOKUP(B268,Jarinu!$C$55:$C$144,Jarinu!$J$55:$J$144)</f>
        <v>#N/A</v>
      </c>
    </row>
    <row r="269" spans="1:4" hidden="1" x14ac:dyDescent="0.3">
      <c r="A269" t="s">
        <v>24</v>
      </c>
      <c r="B269" t="str">
        <f>Jarinu!C77</f>
        <v>12 - Aumento do OEE do equipamento ISGEC</v>
      </c>
      <c r="C269" t="str">
        <f>_xlfn.XLOOKUP(B269,Jarinu!$C$55:$C$144,Jarinu!$O$55:$O$144)</f>
        <v>⏳ Em Execução</v>
      </c>
      <c r="D269" s="716">
        <f>_xlfn.XLOOKUP(B269,Jarinu!$C$55:$C$144,Jarinu!$J$55:$J$144)</f>
        <v>46296</v>
      </c>
    </row>
    <row r="270" spans="1:4" hidden="1" x14ac:dyDescent="0.3">
      <c r="A270" t="s">
        <v>24</v>
      </c>
      <c r="B270">
        <f>Jarinu!C78</f>
        <v>0</v>
      </c>
      <c r="C270" t="e">
        <f>_xlfn.XLOOKUP(B270,Jarinu!$C$55:$C$144,Jarinu!$O$55:$O$144)</f>
        <v>#N/A</v>
      </c>
      <c r="D270" s="716" t="e">
        <f>_xlfn.XLOOKUP(B270,Jarinu!$C$55:$C$144,Jarinu!$J$55:$J$144)</f>
        <v>#N/A</v>
      </c>
    </row>
    <row r="271" spans="1:4" hidden="1" x14ac:dyDescent="0.3">
      <c r="A271" t="s">
        <v>24</v>
      </c>
      <c r="B271" t="str">
        <f>Jarinu!C79</f>
        <v>13 - Redução de consumo no passo do blank dos itens VW000954Z/955Z</v>
      </c>
      <c r="C271" t="str">
        <f>_xlfn.XLOOKUP(B271,Jarinu!$C$55:$C$144,Jarinu!$O$55:$O$144)</f>
        <v>✓ Concluído</v>
      </c>
      <c r="D271" s="716">
        <f>_xlfn.XLOOKUP(B271,Jarinu!$C$55:$C$144,Jarinu!$J$55:$J$144)</f>
        <v>0</v>
      </c>
    </row>
    <row r="272" spans="1:4" hidden="1" x14ac:dyDescent="0.3">
      <c r="A272" t="s">
        <v>24</v>
      </c>
      <c r="B272">
        <f>Jarinu!C80</f>
        <v>0</v>
      </c>
      <c r="C272" t="e">
        <f>_xlfn.XLOOKUP(B272,Jarinu!$C$55:$C$144,Jarinu!$O$55:$O$144)</f>
        <v>#N/A</v>
      </c>
      <c r="D272" s="716" t="e">
        <f>_xlfn.XLOOKUP(B272,Jarinu!$C$55:$C$144,Jarinu!$J$55:$J$144)</f>
        <v>#N/A</v>
      </c>
    </row>
    <row r="273" spans="1:5" hidden="1" x14ac:dyDescent="0.3">
      <c r="A273" t="s">
        <v>24</v>
      </c>
      <c r="B273" t="str">
        <f>Jarinu!C81</f>
        <v>14 - Redução de consumo no passo do blank dos itens VW000950AA/951AA</v>
      </c>
      <c r="C273" t="str">
        <f>_xlfn.XLOOKUP(B273,Jarinu!$C$55:$C$144,Jarinu!$O$55:$O$144)</f>
        <v>✓ Concluído</v>
      </c>
      <c r="D273" s="716">
        <f>_xlfn.XLOOKUP(B273,Jarinu!$C$55:$C$144,Jarinu!$J$55:$J$144)</f>
        <v>46204</v>
      </c>
    </row>
    <row r="274" spans="1:5" hidden="1" x14ac:dyDescent="0.3">
      <c r="A274" t="s">
        <v>24</v>
      </c>
      <c r="B274">
        <f>Jarinu!C82</f>
        <v>0</v>
      </c>
      <c r="C274" t="e">
        <f>_xlfn.XLOOKUP(B274,Jarinu!$C$55:$C$144,Jarinu!$O$55:$O$144)</f>
        <v>#N/A</v>
      </c>
      <c r="D274" s="716" t="e">
        <f>_xlfn.XLOOKUP(B274,Jarinu!$C$55:$C$144,Jarinu!$J$55:$J$144)</f>
        <v>#N/A</v>
      </c>
    </row>
    <row r="275" spans="1:5" hidden="1" x14ac:dyDescent="0.3">
      <c r="A275" t="s">
        <v>24</v>
      </c>
      <c r="B275" t="str">
        <f>Jarinu!C83</f>
        <v>15 - Redução de consumo no slitter dos itens VW000950AA/951AA</v>
      </c>
      <c r="C275" t="str">
        <f>_xlfn.XLOOKUP(B275,Jarinu!$C$55:$C$144,Jarinu!$O$55:$O$144)</f>
        <v>⏳ Em Execução</v>
      </c>
      <c r="D275" s="716">
        <f>_xlfn.XLOOKUP(B275,Jarinu!$C$55:$C$144,Jarinu!$J$55:$J$144)</f>
        <v>46357</v>
      </c>
    </row>
    <row r="276" spans="1:5" hidden="1" x14ac:dyDescent="0.3">
      <c r="A276" t="s">
        <v>24</v>
      </c>
      <c r="B276">
        <f>Jarinu!C84</f>
        <v>0</v>
      </c>
      <c r="C276" t="e">
        <f>_xlfn.XLOOKUP(B276,Jarinu!$C$55:$C$144,Jarinu!$O$55:$O$144)</f>
        <v>#N/A</v>
      </c>
      <c r="D276" s="716" t="e">
        <f>_xlfn.XLOOKUP(B276,Jarinu!$C$55:$C$144,Jarinu!$J$55:$J$144)</f>
        <v>#N/A</v>
      </c>
    </row>
    <row r="277" spans="1:5" x14ac:dyDescent="0.3">
      <c r="A277" t="s">
        <v>24</v>
      </c>
      <c r="B277" t="e">
        <f>Jarinu!#REF!</f>
        <v>#REF!</v>
      </c>
      <c r="C277" t="e">
        <f>_xlfn.XLOOKUP(B277,Jarinu!$C$55:$C$144,Jarinu!$O$55:$O$144)</f>
        <v>#REF!</v>
      </c>
      <c r="D277" s="717" t="e">
        <f>_xlfn.XLOOKUP(B277,Jarinu!$C$55:$C$144,Jarinu!$J$55:$J$144)</f>
        <v>#REF!</v>
      </c>
      <c r="E277" s="224" t="e">
        <f>_xlfn.XLOOKUP(B277,Pareto!S:S,Pareto!V:V)</f>
        <v>#REF!</v>
      </c>
    </row>
    <row r="278" spans="1:5" hidden="1" x14ac:dyDescent="0.3">
      <c r="A278" t="s">
        <v>24</v>
      </c>
      <c r="B278" t="e">
        <f>Jarinu!#REF!</f>
        <v>#REF!</v>
      </c>
      <c r="C278" t="e">
        <f>_xlfn.XLOOKUP(B278,Jarinu!$C$55:$C$144,Jarinu!$O$55:$O$144)</f>
        <v>#REF!</v>
      </c>
      <c r="D278" s="716" t="e">
        <f>_xlfn.XLOOKUP(B278,Jarinu!$C$55:$C$144,Jarinu!$J$55:$J$144)</f>
        <v>#REF!</v>
      </c>
    </row>
    <row r="279" spans="1:5" x14ac:dyDescent="0.3">
      <c r="A279" t="s">
        <v>24</v>
      </c>
      <c r="B279" t="e">
        <f>Jarinu!#REF!</f>
        <v>#REF!</v>
      </c>
      <c r="C279" t="e">
        <f>_xlfn.XLOOKUP(B279,Jarinu!$C$55:$C$144,Jarinu!$O$55:$O$144)</f>
        <v>#REF!</v>
      </c>
      <c r="D279" s="717" t="e">
        <f>_xlfn.XLOOKUP(B279,Jarinu!$C$55:$C$144,Jarinu!$J$55:$J$144)</f>
        <v>#REF!</v>
      </c>
      <c r="E279" s="224" t="e">
        <f>_xlfn.XLOOKUP(B279,Pareto!S:S,Pareto!V:V)</f>
        <v>#REF!</v>
      </c>
    </row>
    <row r="280" spans="1:5" hidden="1" x14ac:dyDescent="0.3">
      <c r="A280" t="s">
        <v>24</v>
      </c>
      <c r="B280" t="e">
        <f>Jarinu!#REF!</f>
        <v>#REF!</v>
      </c>
      <c r="C280" t="e">
        <f>_xlfn.XLOOKUP(B280,Jarinu!$C$55:$C$144,Jarinu!$O$55:$O$144)</f>
        <v>#REF!</v>
      </c>
      <c r="D280" s="716" t="e">
        <f>_xlfn.XLOOKUP(B280,Jarinu!$C$55:$C$144,Jarinu!$J$55:$J$144)</f>
        <v>#REF!</v>
      </c>
    </row>
    <row r="281" spans="1:5" x14ac:dyDescent="0.3">
      <c r="A281" t="s">
        <v>24</v>
      </c>
      <c r="B281" t="e">
        <f>Jarinu!#REF!</f>
        <v>#REF!</v>
      </c>
      <c r="C281" t="e">
        <f>_xlfn.XLOOKUP(B281,Jarinu!$C$55:$C$144,Jarinu!$O$55:$O$144)</f>
        <v>#REF!</v>
      </c>
      <c r="D281" s="717" t="e">
        <f>_xlfn.XLOOKUP(B281,Jarinu!$C$55:$C$144,Jarinu!$J$55:$J$144)</f>
        <v>#REF!</v>
      </c>
      <c r="E281" s="224" t="e">
        <f>_xlfn.XLOOKUP(B281,Pareto!S:S,Pareto!V:V)</f>
        <v>#REF!</v>
      </c>
    </row>
    <row r="282" spans="1:5" hidden="1" x14ac:dyDescent="0.3">
      <c r="A282" t="s">
        <v>24</v>
      </c>
      <c r="B282" t="e">
        <f>Jarinu!#REF!</f>
        <v>#REF!</v>
      </c>
      <c r="C282" t="e">
        <f>_xlfn.XLOOKUP(B282,Jarinu!$C$55:$C$144,Jarinu!$O$55:$O$144)</f>
        <v>#REF!</v>
      </c>
      <c r="D282" s="716" t="e">
        <f>_xlfn.XLOOKUP(B282,Jarinu!$C$55:$C$144,Jarinu!$J$55:$J$144)</f>
        <v>#REF!</v>
      </c>
    </row>
    <row r="283" spans="1:5" hidden="1" x14ac:dyDescent="0.3">
      <c r="A283" t="s">
        <v>24</v>
      </c>
      <c r="B283" t="str">
        <f>Jarinu!C85</f>
        <v>19 - Redução da largura da bobina mãe do Curvão</v>
      </c>
      <c r="C283" t="str">
        <f>_xlfn.XLOOKUP(B283,Jarinu!$C$55:$C$144,Jarinu!$O$55:$O$144)</f>
        <v>⏳ Em Execução</v>
      </c>
      <c r="D283" s="716">
        <f>_xlfn.XLOOKUP(B283,Jarinu!$C$55:$C$144,Jarinu!$J$55:$J$144)</f>
        <v>46357</v>
      </c>
    </row>
    <row r="284" spans="1:5" hidden="1" x14ac:dyDescent="0.3">
      <c r="A284" t="s">
        <v>24</v>
      </c>
      <c r="B284">
        <f>Jarinu!C86</f>
        <v>0</v>
      </c>
      <c r="C284" t="e">
        <f>_xlfn.XLOOKUP(B284,Jarinu!$C$55:$C$144,Jarinu!$O$55:$O$144)</f>
        <v>#N/A</v>
      </c>
      <c r="D284" s="716" t="e">
        <f>_xlfn.XLOOKUP(B284,Jarinu!$C$55:$C$144,Jarinu!$J$55:$J$144)</f>
        <v>#N/A</v>
      </c>
    </row>
    <row r="285" spans="1:5" hidden="1" x14ac:dyDescent="0.3">
      <c r="A285" t="s">
        <v>24</v>
      </c>
      <c r="B285" t="str">
        <f>Jarinu!C87</f>
        <v>20 - Troca do modelo disco Flap</v>
      </c>
      <c r="C285" t="str">
        <f>_xlfn.XLOOKUP(B285,Jarinu!$C$55:$C$144,Jarinu!$O$55:$O$144)</f>
        <v>✓ Concluído</v>
      </c>
      <c r="D285" s="716">
        <f>_xlfn.XLOOKUP(B285,Jarinu!$C$55:$C$144,Jarinu!$J$55:$J$144)</f>
        <v>0</v>
      </c>
    </row>
    <row r="286" spans="1:5" hidden="1" x14ac:dyDescent="0.3">
      <c r="A286" t="s">
        <v>24</v>
      </c>
      <c r="B286">
        <f>Jarinu!C88</f>
        <v>0</v>
      </c>
      <c r="C286" t="e">
        <f>_xlfn.XLOOKUP(B286,Jarinu!$C$55:$C$144,Jarinu!$O$55:$O$144)</f>
        <v>#N/A</v>
      </c>
      <c r="D286" s="716" t="e">
        <f>_xlfn.XLOOKUP(B286,Jarinu!$C$55:$C$144,Jarinu!$J$55:$J$144)</f>
        <v>#N/A</v>
      </c>
    </row>
    <row r="287" spans="1:5" x14ac:dyDescent="0.3">
      <c r="A287" t="s">
        <v>24</v>
      </c>
      <c r="B287" t="str">
        <f>Jarinu!C89</f>
        <v>21 - Redução de MOD CSR61014</v>
      </c>
      <c r="C287" t="str">
        <f>_xlfn.XLOOKUP(B287,Jarinu!$C$55:$C$144,Jarinu!$O$55:$O$144)</f>
        <v>✓ Concluído</v>
      </c>
      <c r="D287" s="717">
        <f>_xlfn.XLOOKUP(B287,Jarinu!$C$55:$C$144,Jarinu!$J$55:$J$144)</f>
        <v>46054</v>
      </c>
      <c r="E287" s="224">
        <f ca="1">_xlfn.XLOOKUP(B287,Pareto!S:S,Pareto!V:V)</f>
        <v>163636.3636849091</v>
      </c>
    </row>
    <row r="288" spans="1:5" hidden="1" x14ac:dyDescent="0.3">
      <c r="A288" t="s">
        <v>24</v>
      </c>
      <c r="B288">
        <f>Jarinu!C90</f>
        <v>0</v>
      </c>
      <c r="C288" t="e">
        <f>_xlfn.XLOOKUP(B288,Jarinu!$C$55:$C$144,Jarinu!$O$55:$O$144)</f>
        <v>#N/A</v>
      </c>
      <c r="D288" s="716" t="e">
        <f>_xlfn.XLOOKUP(B288,Jarinu!$C$55:$C$144,Jarinu!$J$55:$J$144)</f>
        <v>#N/A</v>
      </c>
    </row>
    <row r="289" spans="1:5" x14ac:dyDescent="0.3">
      <c r="A289" t="s">
        <v>24</v>
      </c>
      <c r="B289" t="str">
        <f>Jarinu!C91</f>
        <v>22 - Redução de MOD CSR61015</v>
      </c>
      <c r="C289" t="str">
        <f>_xlfn.XLOOKUP(B289,Jarinu!$C$55:$C$144,Jarinu!$O$55:$O$144)</f>
        <v>✓ Concluído</v>
      </c>
      <c r="D289" s="717">
        <f>_xlfn.XLOOKUP(B289,Jarinu!$C$55:$C$144,Jarinu!$J$55:$J$144)</f>
        <v>46054</v>
      </c>
      <c r="E289" s="224">
        <f ca="1">_xlfn.XLOOKUP(B289,Pareto!S:S,Pareto!V:V)</f>
        <v>163636.36363636362</v>
      </c>
    </row>
    <row r="290" spans="1:5" hidden="1" x14ac:dyDescent="0.3">
      <c r="A290" t="s">
        <v>24</v>
      </c>
      <c r="B290">
        <f>Jarinu!C92</f>
        <v>0</v>
      </c>
      <c r="C290" t="e">
        <f>_xlfn.XLOOKUP(B290,Jarinu!$C$55:$C$144,Jarinu!$O$55:$O$144)</f>
        <v>#N/A</v>
      </c>
      <c r="D290" s="716" t="e">
        <f>_xlfn.XLOOKUP(B290,Jarinu!$C$55:$C$144,Jarinu!$J$55:$J$144)</f>
        <v>#N/A</v>
      </c>
    </row>
    <row r="291" spans="1:5" hidden="1" x14ac:dyDescent="0.3">
      <c r="A291" t="s">
        <v>24</v>
      </c>
      <c r="B291" t="str">
        <f>Jarinu!C93</f>
        <v>23 - Redução do consumo de MTP VW000938AB (- 3 mm no passo)</v>
      </c>
      <c r="C291" t="str">
        <f>_xlfn.XLOOKUP(B291,Jarinu!$C$55:$C$144,Jarinu!$O$55:$O$144)</f>
        <v>✓ Concluído</v>
      </c>
      <c r="D291" s="716">
        <f>_xlfn.XLOOKUP(B291,Jarinu!$C$55:$C$144,Jarinu!$J$55:$J$144)</f>
        <v>46113</v>
      </c>
    </row>
    <row r="292" spans="1:5" hidden="1" x14ac:dyDescent="0.3">
      <c r="A292" t="s">
        <v>24</v>
      </c>
      <c r="B292">
        <f>Jarinu!C94</f>
        <v>0</v>
      </c>
      <c r="C292" t="e">
        <f>_xlfn.XLOOKUP(B292,Jarinu!$C$55:$C$144,Jarinu!$O$55:$O$144)</f>
        <v>#N/A</v>
      </c>
      <c r="D292" s="716" t="e">
        <f>_xlfn.XLOOKUP(B292,Jarinu!$C$55:$C$144,Jarinu!$J$55:$J$144)</f>
        <v>#N/A</v>
      </c>
    </row>
    <row r="293" spans="1:5" hidden="1" x14ac:dyDescent="0.3">
      <c r="A293" t="s">
        <v>24</v>
      </c>
      <c r="B293" t="str">
        <f>Jarinu!C95</f>
        <v>24 - Redução de consumo de MTP China 1 porca (-10 mm)</v>
      </c>
      <c r="C293" t="str">
        <f>_xlfn.XLOOKUP(B293,Jarinu!$C$55:$C$144,Jarinu!$O$55:$O$144)</f>
        <v>⏳ Em Execução</v>
      </c>
      <c r="D293" s="716">
        <f>_xlfn.XLOOKUP(B293,Jarinu!$C$55:$C$144,Jarinu!$J$55:$J$144)</f>
        <v>46235</v>
      </c>
    </row>
    <row r="294" spans="1:5" hidden="1" x14ac:dyDescent="0.3">
      <c r="A294" t="s">
        <v>24</v>
      </c>
      <c r="B294">
        <f>Jarinu!C96</f>
        <v>0</v>
      </c>
      <c r="C294" t="e">
        <f>_xlfn.XLOOKUP(B294,Jarinu!$C$55:$C$144,Jarinu!$O$55:$O$144)</f>
        <v>#N/A</v>
      </c>
      <c r="D294" s="716" t="e">
        <f>_xlfn.XLOOKUP(B294,Jarinu!$C$55:$C$144,Jarinu!$J$55:$J$144)</f>
        <v>#N/A</v>
      </c>
    </row>
    <row r="295" spans="1:5" hidden="1" x14ac:dyDescent="0.3">
      <c r="A295" t="s">
        <v>24</v>
      </c>
      <c r="B295" t="str">
        <f>Jarinu!C97</f>
        <v>25 - Redução de consumo de MTP China 2 porca (-10 mm)</v>
      </c>
      <c r="C295" t="str">
        <f>_xlfn.XLOOKUP(B295,Jarinu!$C$55:$C$144,Jarinu!$O$55:$O$144)</f>
        <v>⏳ Em Execução</v>
      </c>
      <c r="D295" s="716">
        <f>_xlfn.XLOOKUP(B295,Jarinu!$C$55:$C$144,Jarinu!$J$55:$J$144)</f>
        <v>46235</v>
      </c>
    </row>
    <row r="296" spans="1:5" hidden="1" x14ac:dyDescent="0.3">
      <c r="A296" t="s">
        <v>24</v>
      </c>
      <c r="B296">
        <f>Jarinu!C98</f>
        <v>0</v>
      </c>
      <c r="C296" t="e">
        <f>_xlfn.XLOOKUP(B296,Jarinu!$C$55:$C$144,Jarinu!$O$55:$O$144)</f>
        <v>#N/A</v>
      </c>
      <c r="D296" s="716" t="e">
        <f>_xlfn.XLOOKUP(B296,Jarinu!$C$55:$C$144,Jarinu!$J$55:$J$144)</f>
        <v>#N/A</v>
      </c>
    </row>
    <row r="297" spans="1:5" x14ac:dyDescent="0.3">
      <c r="A297" t="s">
        <v>24</v>
      </c>
      <c r="B297" t="str">
        <f>Jarinu!C99</f>
        <v>26 - Redução de gastos com HE</v>
      </c>
      <c r="C297" t="str">
        <f>_xlfn.XLOOKUP(B297,Jarinu!$C$55:$C$144,Jarinu!$O$55:$O$144)</f>
        <v>✓ Concluído</v>
      </c>
      <c r="D297" s="717">
        <f>_xlfn.XLOOKUP(B297,Jarinu!$C$55:$C$144,Jarinu!$J$55:$J$144)</f>
        <v>46082</v>
      </c>
      <c r="E297" s="224">
        <f ca="1">_xlfn.XLOOKUP(B297,Pareto!S:S,Pareto!V:V)</f>
        <v>179500</v>
      </c>
    </row>
    <row r="298" spans="1:5" hidden="1" x14ac:dyDescent="0.3">
      <c r="A298" t="s">
        <v>24</v>
      </c>
      <c r="B298">
        <f>Jarinu!C100</f>
        <v>0</v>
      </c>
      <c r="C298" t="e">
        <f>_xlfn.XLOOKUP(B298,Jarinu!$C$55:$C$144,Jarinu!$O$55:$O$144)</f>
        <v>#N/A</v>
      </c>
      <c r="D298" s="716" t="e">
        <f>_xlfn.XLOOKUP(B298,Jarinu!$C$55:$C$144,Jarinu!$J$55:$J$144)</f>
        <v>#N/A</v>
      </c>
    </row>
    <row r="299" spans="1:5" hidden="1" x14ac:dyDescent="0.3">
      <c r="A299" t="s">
        <v>24</v>
      </c>
      <c r="B299" t="str">
        <f>Jarinu!C101</f>
        <v>27 - Redução consumo MTP aplicando tolerância mínima curva B</v>
      </c>
      <c r="C299" t="str">
        <f>_xlfn.XLOOKUP(B299,Jarinu!$C$55:$C$144,Jarinu!$O$55:$O$144)</f>
        <v>⏳ Em Execução</v>
      </c>
      <c r="D299" s="716">
        <f>_xlfn.XLOOKUP(B299,Jarinu!$C$55:$C$144,Jarinu!$J$55:$J$144)</f>
        <v>46233</v>
      </c>
    </row>
    <row r="300" spans="1:5" hidden="1" x14ac:dyDescent="0.3">
      <c r="A300" t="s">
        <v>24</v>
      </c>
      <c r="B300">
        <f>Jarinu!C102</f>
        <v>0</v>
      </c>
      <c r="C300" t="e">
        <f>_xlfn.XLOOKUP(B300,Jarinu!$C$55:$C$144,Jarinu!$O$55:$O$144)</f>
        <v>#N/A</v>
      </c>
      <c r="D300" s="716" t="e">
        <f>_xlfn.XLOOKUP(B300,Jarinu!$C$55:$C$144,Jarinu!$J$55:$J$144)</f>
        <v>#N/A</v>
      </c>
    </row>
    <row r="301" spans="1:5" hidden="1" x14ac:dyDescent="0.3">
      <c r="A301" t="s">
        <v>24</v>
      </c>
      <c r="B301" t="str">
        <f>Jarinu!C103</f>
        <v>28 -  Redução consumo MTP aplicando tolerância mínima curva C</v>
      </c>
      <c r="C301" t="str">
        <f>_xlfn.XLOOKUP(B301,Jarinu!$C$55:$C$144,Jarinu!$O$55:$O$144)</f>
        <v>⏳ Em Execução</v>
      </c>
      <c r="D301" s="716">
        <f>_xlfn.XLOOKUP(B301,Jarinu!$C$55:$C$144,Jarinu!$J$55:$J$144)</f>
        <v>46233</v>
      </c>
    </row>
    <row r="302" spans="1:5" hidden="1" x14ac:dyDescent="0.3">
      <c r="A302" t="s">
        <v>24</v>
      </c>
      <c r="B302">
        <f>Jarinu!C104</f>
        <v>0</v>
      </c>
      <c r="C302" t="e">
        <f>_xlfn.XLOOKUP(B302,Jarinu!$C$55:$C$144,Jarinu!$O$55:$O$144)</f>
        <v>#N/A</v>
      </c>
      <c r="D302" s="716" t="e">
        <f>_xlfn.XLOOKUP(B302,Jarinu!$C$55:$C$144,Jarinu!$J$55:$J$144)</f>
        <v>#N/A</v>
      </c>
    </row>
    <row r="303" spans="1:5" hidden="1" x14ac:dyDescent="0.3">
      <c r="A303" t="s">
        <v>24</v>
      </c>
      <c r="B303" t="str">
        <f>Jarinu!C105</f>
        <v>29 - Redução do consumo MTP no passo do Blank VW000942AB / 943AB -5MM</v>
      </c>
      <c r="C303" t="str">
        <f>_xlfn.XLOOKUP(B303,Jarinu!$C$55:$C$144,Jarinu!$O$55:$O$144)</f>
        <v>⏳ Em Execução</v>
      </c>
      <c r="D303" s="716">
        <f>_xlfn.XLOOKUP(B303,Jarinu!$C$55:$C$144,Jarinu!$J$55:$J$144)</f>
        <v>46264</v>
      </c>
    </row>
    <row r="304" spans="1:5" hidden="1" x14ac:dyDescent="0.3">
      <c r="A304" t="s">
        <v>24</v>
      </c>
      <c r="B304">
        <f>Jarinu!C106</f>
        <v>0</v>
      </c>
      <c r="C304" t="e">
        <f>_xlfn.XLOOKUP(B304,Jarinu!$C$55:$C$144,Jarinu!$O$55:$O$144)</f>
        <v>#N/A</v>
      </c>
      <c r="D304" s="716" t="e">
        <f>_xlfn.XLOOKUP(B304,Jarinu!$C$55:$C$144,Jarinu!$J$55:$J$144)</f>
        <v>#N/A</v>
      </c>
    </row>
    <row r="305" spans="1:4" hidden="1" x14ac:dyDescent="0.3">
      <c r="A305" t="s">
        <v>24</v>
      </c>
      <c r="B305" t="str">
        <f>Jarinu!C107</f>
        <v>30 - Redução de Refugo</v>
      </c>
      <c r="C305" t="str">
        <f>_xlfn.XLOOKUP(B305,Jarinu!$C$55:$C$144,Jarinu!$O$55:$O$144)</f>
        <v>⏳ Em Execução</v>
      </c>
      <c r="D305" s="716">
        <f>_xlfn.XLOOKUP(B305,Jarinu!$C$55:$C$144,Jarinu!$J$55:$J$144)</f>
        <v>46143</v>
      </c>
    </row>
    <row r="306" spans="1:4" hidden="1" x14ac:dyDescent="0.3">
      <c r="A306" t="s">
        <v>24</v>
      </c>
      <c r="B306">
        <f>Jarinu!C108</f>
        <v>0</v>
      </c>
      <c r="C306" t="e">
        <f>_xlfn.XLOOKUP(B306,Jarinu!$C$55:$C$144,Jarinu!$O$55:$O$144)</f>
        <v>#N/A</v>
      </c>
      <c r="D306" s="716" t="e">
        <f>_xlfn.XLOOKUP(B306,Jarinu!$C$55:$C$144,Jarinu!$J$55:$J$144)</f>
        <v>#N/A</v>
      </c>
    </row>
    <row r="307" spans="1:4" hidden="1" x14ac:dyDescent="0.3">
      <c r="A307" t="s">
        <v>24</v>
      </c>
      <c r="B307" t="str">
        <f>Jarinu!C109</f>
        <v>31 - Redução impressora Backup</v>
      </c>
      <c r="C307" t="str">
        <f>_xlfn.XLOOKUP(B307,Jarinu!$C$55:$C$144,Jarinu!$O$55:$O$144)</f>
        <v>✓ Concluído</v>
      </c>
      <c r="D307" s="716">
        <f>_xlfn.XLOOKUP(B307,Jarinu!$C$55:$C$144,Jarinu!$J$55:$J$144)</f>
        <v>46113</v>
      </c>
    </row>
    <row r="308" spans="1:4" hidden="1" x14ac:dyDescent="0.3">
      <c r="A308" t="s">
        <v>24</v>
      </c>
      <c r="B308">
        <f>Jarinu!C110</f>
        <v>0</v>
      </c>
      <c r="C308" t="e">
        <f>_xlfn.XLOOKUP(B308,Jarinu!$C$55:$C$144,Jarinu!$O$55:$O$144)</f>
        <v>#N/A</v>
      </c>
      <c r="D308" s="716" t="e">
        <f>_xlfn.XLOOKUP(B308,Jarinu!$C$55:$C$144,Jarinu!$J$55:$J$144)</f>
        <v>#N/A</v>
      </c>
    </row>
    <row r="309" spans="1:4" hidden="1" x14ac:dyDescent="0.3">
      <c r="A309" t="s">
        <v>24</v>
      </c>
      <c r="B309" t="str">
        <f>Jarinu!C111</f>
        <v>32 - Empilhadeiras Elétricas</v>
      </c>
      <c r="C309" t="str">
        <f>_xlfn.XLOOKUP(B309,Jarinu!$C$55:$C$144,Jarinu!$O$55:$O$144)</f>
        <v>⏳ Em Execução</v>
      </c>
      <c r="D309" s="716">
        <f>_xlfn.XLOOKUP(B309,Jarinu!$C$55:$C$144,Jarinu!$J$55:$J$144)</f>
        <v>46235</v>
      </c>
    </row>
    <row r="310" spans="1:4" hidden="1" x14ac:dyDescent="0.3">
      <c r="A310" t="s">
        <v>24</v>
      </c>
      <c r="B310">
        <f>Jarinu!C112</f>
        <v>0</v>
      </c>
      <c r="C310" t="e">
        <f>_xlfn.XLOOKUP(B310,Jarinu!$C$55:$C$144,Jarinu!$O$55:$O$144)</f>
        <v>#N/A</v>
      </c>
      <c r="D310" s="716" t="e">
        <f>_xlfn.XLOOKUP(B310,Jarinu!$C$55:$C$144,Jarinu!$J$55:$J$144)</f>
        <v>#N/A</v>
      </c>
    </row>
    <row r="311" spans="1:4" hidden="1" x14ac:dyDescent="0.3">
      <c r="A311" t="s">
        <v>24</v>
      </c>
      <c r="B311" t="str">
        <f>Jarinu!C113</f>
        <v>33- Rollout impressora Administrativo</v>
      </c>
      <c r="C311" t="str">
        <f>_xlfn.XLOOKUP(B311,Jarinu!$C$55:$C$144,Jarinu!$O$55:$O$144)</f>
        <v>⏳ Em Execução</v>
      </c>
      <c r="D311" s="716">
        <f>_xlfn.XLOOKUP(B311,Jarinu!$C$55:$C$144,Jarinu!$J$55:$J$144)</f>
        <v>46235</v>
      </c>
    </row>
    <row r="312" spans="1:4" hidden="1" x14ac:dyDescent="0.3">
      <c r="A312" t="s">
        <v>24</v>
      </c>
      <c r="B312">
        <f>Jarinu!C114</f>
        <v>0</v>
      </c>
      <c r="C312" t="e">
        <f>_xlfn.XLOOKUP(B312,Jarinu!$C$55:$C$144,Jarinu!$O$55:$O$144)</f>
        <v>#N/A</v>
      </c>
      <c r="D312" s="716" t="e">
        <f>_xlfn.XLOOKUP(B312,Jarinu!$C$55:$C$144,Jarinu!$J$55:$J$144)</f>
        <v>#N/A</v>
      </c>
    </row>
    <row r="313" spans="1:4" hidden="1" x14ac:dyDescent="0.3">
      <c r="A313" t="s">
        <v>24</v>
      </c>
      <c r="B313" t="str">
        <f>Jarinu!C115</f>
        <v>34 - Iluminação em LED</v>
      </c>
      <c r="C313" t="str">
        <f>_xlfn.XLOOKUP(B313,Jarinu!$C$55:$C$144,Jarinu!$O$55:$O$144)</f>
        <v>⏳ Em Execução</v>
      </c>
      <c r="D313" s="716">
        <f>_xlfn.XLOOKUP(B313,Jarinu!$C$55:$C$144,Jarinu!$J$55:$J$144)</f>
        <v>46264</v>
      </c>
    </row>
    <row r="314" spans="1:4" hidden="1" x14ac:dyDescent="0.3">
      <c r="A314" t="s">
        <v>24</v>
      </c>
      <c r="B314">
        <f>Jarinu!C116</f>
        <v>0</v>
      </c>
      <c r="C314" t="e">
        <f>_xlfn.XLOOKUP(B314,Jarinu!$C$55:$C$144,Jarinu!$O$55:$O$144)</f>
        <v>#N/A</v>
      </c>
      <c r="D314" s="716" t="e">
        <f>_xlfn.XLOOKUP(B314,Jarinu!$C$55:$C$144,Jarinu!$J$55:$J$144)</f>
        <v>#N/A</v>
      </c>
    </row>
    <row r="315" spans="1:4" hidden="1" x14ac:dyDescent="0.3">
      <c r="A315" t="s">
        <v>24</v>
      </c>
      <c r="B315" t="str">
        <f>Jarinu!C117</f>
        <v>35 - Redução do consumo MTP no passo do Blank VW000942AA -15MM</v>
      </c>
      <c r="C315" t="str">
        <f>_xlfn.XLOOKUP(B315,Jarinu!$C$55:$C$144,Jarinu!$O$55:$O$144)</f>
        <v>⏳ Em Execução</v>
      </c>
      <c r="D315" s="716">
        <f>_xlfn.XLOOKUP(B315,Jarinu!$C$55:$C$144,Jarinu!$J$55:$J$144)</f>
        <v>46235</v>
      </c>
    </row>
    <row r="316" spans="1:4" hidden="1" x14ac:dyDescent="0.3">
      <c r="A316" t="s">
        <v>24</v>
      </c>
      <c r="B316">
        <f>Jarinu!C118</f>
        <v>0</v>
      </c>
      <c r="C316" t="e">
        <f>_xlfn.XLOOKUP(B316,Jarinu!$C$55:$C$144,Jarinu!$O$55:$O$144)</f>
        <v>#N/A</v>
      </c>
      <c r="D316" s="716" t="e">
        <f>_xlfn.XLOOKUP(B316,Jarinu!$C$55:$C$144,Jarinu!$J$55:$J$144)</f>
        <v>#N/A</v>
      </c>
    </row>
    <row r="317" spans="1:4" hidden="1" x14ac:dyDescent="0.3">
      <c r="A317" t="s">
        <v>24</v>
      </c>
      <c r="B317" t="str">
        <f>Jarinu!C119</f>
        <v>36 - Venda Robos</v>
      </c>
      <c r="C317" t="str">
        <f>_xlfn.XLOOKUP(B317,Jarinu!$C$55:$C$144,Jarinu!$O$55:$O$144)</f>
        <v>✓ Concluído</v>
      </c>
      <c r="D317" s="716">
        <f>_xlfn.XLOOKUP(B317,Jarinu!$C$55:$C$144,Jarinu!$J$55:$J$144)</f>
        <v>46023</v>
      </c>
    </row>
    <row r="318" spans="1:4" hidden="1" x14ac:dyDescent="0.3">
      <c r="A318" t="s">
        <v>24</v>
      </c>
      <c r="B318">
        <f>Jarinu!C120</f>
        <v>0</v>
      </c>
      <c r="C318" t="e">
        <f>_xlfn.XLOOKUP(B318,Jarinu!$C$55:$C$144,Jarinu!$O$55:$O$144)</f>
        <v>#N/A</v>
      </c>
      <c r="D318" s="716" t="e">
        <f>_xlfn.XLOOKUP(B318,Jarinu!$C$55:$C$144,Jarinu!$J$55:$J$144)</f>
        <v>#N/A</v>
      </c>
    </row>
    <row r="319" spans="1:4" hidden="1" x14ac:dyDescent="0.3">
      <c r="A319" t="s">
        <v>24</v>
      </c>
      <c r="B319" t="e">
        <f>Jarinu!#REF!</f>
        <v>#REF!</v>
      </c>
      <c r="C319" t="e">
        <f>_xlfn.XLOOKUP(B319,Jarinu!$C$55:$C$144,Jarinu!$O$55:$O$144)</f>
        <v>#REF!</v>
      </c>
      <c r="D319" s="716" t="e">
        <f>_xlfn.XLOOKUP(B319,Jarinu!$C$55:$C$144,Jarinu!$J$55:$J$144)</f>
        <v>#REF!</v>
      </c>
    </row>
    <row r="320" spans="1:4" hidden="1" x14ac:dyDescent="0.3">
      <c r="A320" t="s">
        <v>24</v>
      </c>
      <c r="B320" t="e">
        <f>Jarinu!#REF!</f>
        <v>#REF!</v>
      </c>
      <c r="C320" t="e">
        <f>_xlfn.XLOOKUP(B320,Jarinu!$C$55:$C$144,Jarinu!$O$55:$O$144)</f>
        <v>#REF!</v>
      </c>
      <c r="D320" s="716" t="e">
        <f>_xlfn.XLOOKUP(B320,Jarinu!$C$55:$C$144,Jarinu!$J$55:$J$144)</f>
        <v>#REF!</v>
      </c>
    </row>
    <row r="321" spans="1:4" hidden="1" x14ac:dyDescent="0.3">
      <c r="A321" t="s">
        <v>24</v>
      </c>
      <c r="B321" t="str">
        <f>Jarinu!C121</f>
        <v xml:space="preserve">38 - Venda de sucata </v>
      </c>
      <c r="C321" t="str">
        <f>_xlfn.XLOOKUP(B321,Jarinu!$C$55:$C$144,Jarinu!$O$55:$O$144)</f>
        <v>⏳ Em Execução</v>
      </c>
      <c r="D321" s="716">
        <f>_xlfn.XLOOKUP(B321,Jarinu!$C$55:$C$144,Jarinu!$J$55:$J$144)</f>
        <v>46174</v>
      </c>
    </row>
    <row r="322" spans="1:4" hidden="1" x14ac:dyDescent="0.3">
      <c r="A322" t="s">
        <v>24</v>
      </c>
      <c r="B322">
        <f>Jarinu!C122</f>
        <v>0</v>
      </c>
      <c r="C322" t="e">
        <f>_xlfn.XLOOKUP(B322,Jarinu!$C$55:$C$144,Jarinu!$O$55:$O$144)</f>
        <v>#N/A</v>
      </c>
      <c r="D322" s="716" t="e">
        <f>_xlfn.XLOOKUP(B322,Jarinu!$C$55:$C$144,Jarinu!$J$55:$J$144)</f>
        <v>#N/A</v>
      </c>
    </row>
    <row r="323" spans="1:4" hidden="1" x14ac:dyDescent="0.3">
      <c r="A323" t="s">
        <v>24</v>
      </c>
      <c r="B323" t="str">
        <f>Jarinu!C123</f>
        <v>39 - Venda de sucata de cobre</v>
      </c>
      <c r="C323" t="str">
        <f>_xlfn.XLOOKUP(B323,Jarinu!$C$55:$C$144,Jarinu!$O$55:$O$144)</f>
        <v>⏳ Em Execução</v>
      </c>
      <c r="D323" s="716">
        <f>_xlfn.XLOOKUP(B323,Jarinu!$C$55:$C$144,Jarinu!$J$55:$J$144)</f>
        <v>46235</v>
      </c>
    </row>
    <row r="324" spans="1:4" hidden="1" x14ac:dyDescent="0.3">
      <c r="A324" t="s">
        <v>24</v>
      </c>
      <c r="B324">
        <f>Jarinu!C124</f>
        <v>0</v>
      </c>
      <c r="C324" t="e">
        <f>_xlfn.XLOOKUP(B324,Jarinu!$C$55:$C$144,Jarinu!$O$55:$O$144)</f>
        <v>#N/A</v>
      </c>
      <c r="D324" s="716" t="e">
        <f>_xlfn.XLOOKUP(B324,Jarinu!$C$55:$C$144,Jarinu!$J$55:$J$144)</f>
        <v>#N/A</v>
      </c>
    </row>
    <row r="325" spans="1:4" hidden="1" x14ac:dyDescent="0.3">
      <c r="A325" t="s">
        <v>24</v>
      </c>
      <c r="B325">
        <f>Jarinu!C141</f>
        <v>0</v>
      </c>
      <c r="C325" t="e">
        <f>_xlfn.XLOOKUP(B325,Jarinu!$C$55:$C$144,Jarinu!$O$55:$O$144)</f>
        <v>#N/A</v>
      </c>
      <c r="D325" s="716" t="e">
        <f>_xlfn.XLOOKUP(B325,Jarinu!$C$55:$C$144,Jarinu!$J$55:$J$144)</f>
        <v>#N/A</v>
      </c>
    </row>
    <row r="326" spans="1:4" hidden="1" x14ac:dyDescent="0.3">
      <c r="A326" t="s">
        <v>24</v>
      </c>
      <c r="B326">
        <f>Jarinu!C142</f>
        <v>0</v>
      </c>
      <c r="C326" t="e">
        <f>_xlfn.XLOOKUP(B326,Jarinu!$C$55:$C$144,Jarinu!$O$55:$O$144)</f>
        <v>#N/A</v>
      </c>
      <c r="D326" s="716" t="e">
        <f>_xlfn.XLOOKUP(B326,Jarinu!$C$55:$C$144,Jarinu!$J$55:$J$144)</f>
        <v>#N/A</v>
      </c>
    </row>
    <row r="327" spans="1:4" hidden="1" x14ac:dyDescent="0.3">
      <c r="A327" t="s">
        <v>24</v>
      </c>
      <c r="B327">
        <f>Jarinu!C143</f>
        <v>0</v>
      </c>
      <c r="C327" t="e">
        <f>_xlfn.XLOOKUP(B327,Jarinu!$C$55:$C$144,Jarinu!$O$55:$O$144)</f>
        <v>#N/A</v>
      </c>
      <c r="D327" s="716" t="e">
        <f>_xlfn.XLOOKUP(B327,Jarinu!$C$55:$C$144,Jarinu!$J$55:$J$144)</f>
        <v>#N/A</v>
      </c>
    </row>
    <row r="328" spans="1:4" hidden="1" x14ac:dyDescent="0.3">
      <c r="A328" t="s">
        <v>24</v>
      </c>
      <c r="B328">
        <f>Jarinu!C144</f>
        <v>0</v>
      </c>
      <c r="C328" t="e">
        <f>_xlfn.XLOOKUP(B328,Jarinu!$C$55:$C$144,Jarinu!$O$55:$O$144)</f>
        <v>#N/A</v>
      </c>
      <c r="D328" s="716" t="e">
        <f>_xlfn.XLOOKUP(B328,Jarinu!$C$55:$C$144,Jarinu!$J$55:$J$144)</f>
        <v>#N/A</v>
      </c>
    </row>
    <row r="329" spans="1:4" hidden="1" x14ac:dyDescent="0.3">
      <c r="A329" t="s">
        <v>22</v>
      </c>
      <c r="B329" t="str">
        <f>Ferraz!C55</f>
        <v>01 - Clientes com baixa margem de contribuição.</v>
      </c>
      <c r="C329" t="str">
        <f>_xlfn.XLOOKUP(B329,Ferraz!$C$55:$C$144,Ferraz!$O$55:$O$144)</f>
        <v>⏳ Em Execução</v>
      </c>
      <c r="D329" s="716">
        <f>_xlfn.XLOOKUP(B329,Ferraz!$C$55:$C$144,Ferraz!$J$55:$J$144)</f>
        <v>0</v>
      </c>
    </row>
    <row r="330" spans="1:4" hidden="1" x14ac:dyDescent="0.3">
      <c r="A330" t="s">
        <v>22</v>
      </c>
      <c r="B330">
        <f>Ferraz!C56</f>
        <v>0</v>
      </c>
      <c r="C330" t="e">
        <f>_xlfn.XLOOKUP(B330,Ferraz!$C$55:$C$144,Ferraz!$O$55:$O$144)</f>
        <v>#N/A</v>
      </c>
      <c r="D330" s="716" t="e">
        <f>_xlfn.XLOOKUP(B330,Ferraz!$C$55:$C$144,Ferraz!$J$55:$J$144)</f>
        <v>#N/A</v>
      </c>
    </row>
    <row r="331" spans="1:4" hidden="1" x14ac:dyDescent="0.3">
      <c r="A331" t="s">
        <v>22</v>
      </c>
      <c r="B331" t="str">
        <f>Ferraz!C57</f>
        <v xml:space="preserve">02 - Eficiência dos planos de corte </v>
      </c>
      <c r="C331" t="str">
        <f>_xlfn.XLOOKUP(B331,Ferraz!$C$55:$C$144,Ferraz!$O$55:$O$144)</f>
        <v>✓ Concluído</v>
      </c>
      <c r="D331" s="716">
        <f>_xlfn.XLOOKUP(B331,Ferraz!$C$55:$C$144,Ferraz!$J$55:$J$144)</f>
        <v>46113</v>
      </c>
    </row>
    <row r="332" spans="1:4" hidden="1" x14ac:dyDescent="0.3">
      <c r="A332" t="s">
        <v>22</v>
      </c>
      <c r="B332">
        <f>Ferraz!C58</f>
        <v>0</v>
      </c>
      <c r="C332" t="e">
        <f>_xlfn.XLOOKUP(B332,Ferraz!$C$55:$C$144,Ferraz!$O$55:$O$144)</f>
        <v>#N/A</v>
      </c>
      <c r="D332" s="716" t="e">
        <f>_xlfn.XLOOKUP(B332,Ferraz!$C$55:$C$144,Ferraz!$J$55:$J$144)</f>
        <v>#N/A</v>
      </c>
    </row>
    <row r="333" spans="1:4" hidden="1" x14ac:dyDescent="0.3">
      <c r="A333" t="s">
        <v>22</v>
      </c>
      <c r="B333" t="str">
        <f>Ferraz!C59</f>
        <v xml:space="preserve">03 - Consumo de desmoldante </v>
      </c>
      <c r="C333" t="str">
        <f>_xlfn.XLOOKUP(B333,Ferraz!$C$55:$C$144,Ferraz!$O$55:$O$144)</f>
        <v>✓ Concluído</v>
      </c>
      <c r="D333" s="716">
        <f>_xlfn.XLOOKUP(B333,Ferraz!$C$55:$C$144,Ferraz!$J$55:$J$144)</f>
        <v>46023</v>
      </c>
    </row>
    <row r="334" spans="1:4" hidden="1" x14ac:dyDescent="0.3">
      <c r="A334" t="s">
        <v>22</v>
      </c>
      <c r="B334">
        <f>Ferraz!C60</f>
        <v>0</v>
      </c>
      <c r="C334" t="e">
        <f>_xlfn.XLOOKUP(B334,Ferraz!$C$55:$C$144,Ferraz!$O$55:$O$144)</f>
        <v>#N/A</v>
      </c>
      <c r="D334" s="716" t="e">
        <f>_xlfn.XLOOKUP(B334,Ferraz!$C$55:$C$144,Ferraz!$J$55:$J$144)</f>
        <v>#N/A</v>
      </c>
    </row>
    <row r="335" spans="1:4" hidden="1" x14ac:dyDescent="0.3">
      <c r="A335" t="s">
        <v>22</v>
      </c>
      <c r="B335" t="str">
        <f>Ferraz!C61</f>
        <v xml:space="preserve">04 - Redução dos retrabalhos </v>
      </c>
      <c r="C335" t="str">
        <f>_xlfn.XLOOKUP(B335,Ferraz!$C$55:$C$144,Ferraz!$O$55:$O$144)</f>
        <v>✓ Concluído</v>
      </c>
      <c r="D335" s="716">
        <f>_xlfn.XLOOKUP(B335,Ferraz!$C$55:$C$144,Ferraz!$J$55:$J$144)</f>
        <v>46171</v>
      </c>
    </row>
    <row r="336" spans="1:4" hidden="1" x14ac:dyDescent="0.3">
      <c r="A336" t="s">
        <v>22</v>
      </c>
      <c r="B336">
        <f>Ferraz!C62</f>
        <v>0</v>
      </c>
      <c r="C336" t="e">
        <f>_xlfn.XLOOKUP(B336,Ferraz!$C$55:$C$144,Ferraz!$O$55:$O$144)</f>
        <v>#N/A</v>
      </c>
      <c r="D336" s="716" t="e">
        <f>_xlfn.XLOOKUP(B336,Ferraz!$C$55:$C$144,Ferraz!$J$55:$J$144)</f>
        <v>#N/A</v>
      </c>
    </row>
    <row r="337" spans="1:5" hidden="1" x14ac:dyDescent="0.3">
      <c r="A337" t="s">
        <v>22</v>
      </c>
      <c r="B337" t="str">
        <f>Ferraz!C63</f>
        <v xml:space="preserve">05 - Nitrogênio da máquina laser </v>
      </c>
      <c r="C337" t="str">
        <f>_xlfn.XLOOKUP(B337,Ferraz!$C$55:$C$144,Ferraz!$O$55:$O$144)</f>
        <v>⏳ Em Execução</v>
      </c>
      <c r="D337" s="716">
        <f>_xlfn.XLOOKUP(B337,Ferraz!$C$55:$C$144,Ferraz!$J$55:$J$144)</f>
        <v>46325</v>
      </c>
    </row>
    <row r="338" spans="1:5" hidden="1" x14ac:dyDescent="0.3">
      <c r="A338" t="s">
        <v>22</v>
      </c>
      <c r="B338">
        <f>Ferraz!C64</f>
        <v>0</v>
      </c>
      <c r="C338" t="e">
        <f>_xlfn.XLOOKUP(B338,Ferraz!$C$55:$C$144,Ferraz!$O$55:$O$144)</f>
        <v>#N/A</v>
      </c>
      <c r="D338" s="716" t="e">
        <f>_xlfn.XLOOKUP(B338,Ferraz!$C$55:$C$144,Ferraz!$J$55:$J$144)</f>
        <v>#N/A</v>
      </c>
    </row>
    <row r="339" spans="1:5" x14ac:dyDescent="0.3">
      <c r="A339" t="s">
        <v>22</v>
      </c>
      <c r="B339" t="str">
        <f>Ferraz!C65</f>
        <v xml:space="preserve">06 - Reaproveitamento de lixas </v>
      </c>
      <c r="C339" t="str">
        <f>_xlfn.XLOOKUP(B339,Ferraz!$C$55:$C$144,Ferraz!$O$55:$O$144)</f>
        <v>✓ Concluído</v>
      </c>
      <c r="D339" s="717">
        <f>_xlfn.XLOOKUP(B339,Ferraz!$C$55:$C$144,Ferraz!$J$55:$J$144)</f>
        <v>46023</v>
      </c>
      <c r="E339" s="224">
        <f ca="1">_xlfn.XLOOKUP(B339,Pareto!S:S,Pareto!V:V)</f>
        <v>354235.30333333334</v>
      </c>
    </row>
    <row r="340" spans="1:5" hidden="1" x14ac:dyDescent="0.3">
      <c r="A340" t="s">
        <v>22</v>
      </c>
      <c r="B340">
        <f>Ferraz!C66</f>
        <v>0</v>
      </c>
      <c r="C340" t="e">
        <f>_xlfn.XLOOKUP(B340,Ferraz!$C$55:$C$144,Ferraz!$O$55:$O$144)</f>
        <v>#N/A</v>
      </c>
      <c r="D340" s="716" t="e">
        <f>_xlfn.XLOOKUP(B340,Ferraz!$C$55:$C$144,Ferraz!$J$55:$J$144)</f>
        <v>#N/A</v>
      </c>
    </row>
    <row r="341" spans="1:5" hidden="1" x14ac:dyDescent="0.3">
      <c r="A341" t="s">
        <v>22</v>
      </c>
      <c r="B341" t="str">
        <f>Ferraz!C67</f>
        <v xml:space="preserve">07 - Consumo de gás </v>
      </c>
      <c r="C341" t="str">
        <f>_xlfn.XLOOKUP(B341,Ferraz!$C$55:$C$144,Ferraz!$O$55:$O$144)</f>
        <v>✓ Concluído</v>
      </c>
      <c r="D341" s="716">
        <f>_xlfn.XLOOKUP(B341,Ferraz!$C$55:$C$144,Ferraz!$J$55:$J$144)</f>
        <v>46023</v>
      </c>
    </row>
    <row r="342" spans="1:5" hidden="1" x14ac:dyDescent="0.3">
      <c r="A342" t="s">
        <v>22</v>
      </c>
      <c r="B342">
        <f>Ferraz!C68</f>
        <v>0</v>
      </c>
      <c r="C342" t="e">
        <f>_xlfn.XLOOKUP(B342,Ferraz!$C$55:$C$144,Ferraz!$O$55:$O$144)</f>
        <v>#N/A</v>
      </c>
      <c r="D342" s="716" t="e">
        <f>_xlfn.XLOOKUP(B342,Ferraz!$C$55:$C$144,Ferraz!$J$55:$J$144)</f>
        <v>#N/A</v>
      </c>
    </row>
    <row r="343" spans="1:5" hidden="1" x14ac:dyDescent="0.3">
      <c r="A343" t="s">
        <v>22</v>
      </c>
      <c r="B343" t="str">
        <f>Ferraz!C69</f>
        <v>09 - Critério para descarte de consumíveis</v>
      </c>
      <c r="C343" t="str">
        <f>_xlfn.XLOOKUP(B343,Ferraz!$C$55:$C$144,Ferraz!$O$55:$O$144)</f>
        <v>⏳ Em Execução</v>
      </c>
      <c r="D343" s="716">
        <f>_xlfn.XLOOKUP(B343,Ferraz!$C$55:$C$144,Ferraz!$J$55:$J$144)</f>
        <v>46241</v>
      </c>
    </row>
    <row r="344" spans="1:5" hidden="1" x14ac:dyDescent="0.3">
      <c r="A344" t="s">
        <v>22</v>
      </c>
      <c r="B344">
        <f>Ferraz!C70</f>
        <v>0</v>
      </c>
      <c r="C344" t="e">
        <f>_xlfn.XLOOKUP(B344,Ferraz!$C$55:$C$144,Ferraz!$O$55:$O$144)</f>
        <v>#N/A</v>
      </c>
      <c r="D344" s="716" t="e">
        <f>_xlfn.XLOOKUP(B344,Ferraz!$C$55:$C$144,Ferraz!$J$55:$J$144)</f>
        <v>#N/A</v>
      </c>
    </row>
    <row r="345" spans="1:5" hidden="1" x14ac:dyDescent="0.3">
      <c r="A345" t="s">
        <v>22</v>
      </c>
      <c r="B345" t="str">
        <f>Ferraz!C71</f>
        <v xml:space="preserve">10 - Consumo de energia elétrica: vazamentos de ar </v>
      </c>
      <c r="C345" t="str">
        <f>_xlfn.XLOOKUP(B345,Ferraz!$C$55:$C$144,Ferraz!$O$55:$O$144)</f>
        <v>⏳ Em Execução</v>
      </c>
      <c r="D345" s="716">
        <f>_xlfn.XLOOKUP(B345,Ferraz!$C$55:$C$144,Ferraz!$J$55:$J$144)</f>
        <v>46054</v>
      </c>
    </row>
    <row r="346" spans="1:5" hidden="1" x14ac:dyDescent="0.3">
      <c r="A346" t="s">
        <v>22</v>
      </c>
      <c r="B346">
        <f>Ferraz!C72</f>
        <v>0</v>
      </c>
      <c r="C346" t="e">
        <f>_xlfn.XLOOKUP(B346,Ferraz!$C$55:$C$144,Ferraz!$O$55:$O$144)</f>
        <v>#N/A</v>
      </c>
      <c r="D346" s="716" t="e">
        <f>_xlfn.XLOOKUP(B346,Ferraz!$C$55:$C$144,Ferraz!$J$55:$J$144)</f>
        <v>#N/A</v>
      </c>
    </row>
    <row r="347" spans="1:5" hidden="1" x14ac:dyDescent="0.3">
      <c r="A347" t="s">
        <v>22</v>
      </c>
      <c r="B347" t="e">
        <f>Ferraz!#REF!</f>
        <v>#REF!</v>
      </c>
      <c r="C347" t="e">
        <f>_xlfn.XLOOKUP(B347,Ferraz!$C$55:$C$144,Ferraz!$O$55:$O$144)</f>
        <v>#REF!</v>
      </c>
      <c r="D347" s="716" t="e">
        <f>_xlfn.XLOOKUP(B347,Ferraz!$C$55:$C$144,Ferraz!$J$55:$J$144)</f>
        <v>#REF!</v>
      </c>
    </row>
    <row r="348" spans="1:5" hidden="1" x14ac:dyDescent="0.3">
      <c r="A348" t="s">
        <v>22</v>
      </c>
      <c r="B348" t="e">
        <f>Ferraz!#REF!</f>
        <v>#REF!</v>
      </c>
      <c r="C348" t="e">
        <f>_xlfn.XLOOKUP(B348,Ferraz!$C$55:$C$144,Ferraz!$O$55:$O$144)</f>
        <v>#REF!</v>
      </c>
      <c r="D348" s="716" t="e">
        <f>_xlfn.XLOOKUP(B348,Ferraz!$C$55:$C$144,Ferraz!$J$55:$J$144)</f>
        <v>#REF!</v>
      </c>
    </row>
    <row r="349" spans="1:5" hidden="1" x14ac:dyDescent="0.3">
      <c r="A349" t="s">
        <v>22</v>
      </c>
      <c r="B349" t="str">
        <f>Ferraz!C73</f>
        <v>12 - Sistema hidráulico 3500T</v>
      </c>
      <c r="C349" t="str">
        <f>_xlfn.XLOOKUP(B349,Ferraz!$C$55:$C$144,Ferraz!$O$55:$O$144)</f>
        <v>⏳ Em Execução</v>
      </c>
      <c r="D349" s="716">
        <f>_xlfn.XLOOKUP(B349,Ferraz!$C$55:$C$144,Ferraz!$J$55:$J$144)</f>
        <v>46265</v>
      </c>
    </row>
    <row r="350" spans="1:5" hidden="1" x14ac:dyDescent="0.3">
      <c r="A350" t="s">
        <v>22</v>
      </c>
      <c r="B350">
        <f>Ferraz!C74</f>
        <v>0</v>
      </c>
      <c r="C350" t="e">
        <f>_xlfn.XLOOKUP(B350,Ferraz!$C$55:$C$144,Ferraz!$O$55:$O$144)</f>
        <v>#N/A</v>
      </c>
      <c r="D350" s="716" t="e">
        <f>_xlfn.XLOOKUP(B350,Ferraz!$C$55:$C$144,Ferraz!$J$55:$J$144)</f>
        <v>#N/A</v>
      </c>
    </row>
    <row r="351" spans="1:5" hidden="1" x14ac:dyDescent="0.3">
      <c r="A351" t="s">
        <v>22</v>
      </c>
      <c r="B351" t="str">
        <f>Ferraz!C75</f>
        <v xml:space="preserve">13 - Transferência Hasenclaver para o plasma </v>
      </c>
      <c r="C351" t="str">
        <f>_xlfn.XLOOKUP(B351,Ferraz!$C$55:$C$144,Ferraz!$O$55:$O$144)</f>
        <v>⏳ Em Execução</v>
      </c>
      <c r="D351" s="716">
        <f>_xlfn.XLOOKUP(B351,Ferraz!$C$55:$C$144,Ferraz!$J$55:$J$144)</f>
        <v>0</v>
      </c>
    </row>
    <row r="352" spans="1:5" hidden="1" x14ac:dyDescent="0.3">
      <c r="A352" t="s">
        <v>22</v>
      </c>
      <c r="B352">
        <f>Ferraz!C76</f>
        <v>0</v>
      </c>
      <c r="C352" t="e">
        <f>_xlfn.XLOOKUP(B352,Ferraz!$C$55:$C$144,Ferraz!$O$55:$O$144)</f>
        <v>#N/A</v>
      </c>
      <c r="D352" s="716" t="e">
        <f>_xlfn.XLOOKUP(B352,Ferraz!$C$55:$C$144,Ferraz!$J$55:$J$144)</f>
        <v>#N/A</v>
      </c>
    </row>
    <row r="353" spans="1:4" hidden="1" x14ac:dyDescent="0.3">
      <c r="A353" t="s">
        <v>22</v>
      </c>
      <c r="B353" t="str">
        <f>Ferraz!C77</f>
        <v>14 - Consumo de EPI's</v>
      </c>
      <c r="C353" t="str">
        <f>_xlfn.XLOOKUP(B353,Ferraz!$C$55:$C$144,Ferraz!$O$55:$O$144)</f>
        <v>✓ Concluído</v>
      </c>
      <c r="D353" s="716">
        <f>_xlfn.XLOOKUP(B353,Ferraz!$C$55:$C$144,Ferraz!$J$55:$J$144)</f>
        <v>46023</v>
      </c>
    </row>
    <row r="354" spans="1:4" hidden="1" x14ac:dyDescent="0.3">
      <c r="A354" t="s">
        <v>22</v>
      </c>
      <c r="B354">
        <f>Ferraz!C78</f>
        <v>0</v>
      </c>
      <c r="C354" t="e">
        <f>_xlfn.XLOOKUP(B354,Ferraz!$C$55:$C$144,Ferraz!$O$55:$O$144)</f>
        <v>#N/A</v>
      </c>
      <c r="D354" s="716" t="e">
        <f>_xlfn.XLOOKUP(B354,Ferraz!$C$55:$C$144,Ferraz!$J$55:$J$144)</f>
        <v>#N/A</v>
      </c>
    </row>
    <row r="355" spans="1:4" hidden="1" x14ac:dyDescent="0.3">
      <c r="A355" t="s">
        <v>22</v>
      </c>
      <c r="B355" t="str">
        <f>Ferraz!C79</f>
        <v>15 - Enclausuramento do jato granalha</v>
      </c>
      <c r="C355" t="str">
        <f>_xlfn.XLOOKUP(B355,Ferraz!$C$55:$C$144,Ferraz!$O$55:$O$144)</f>
        <v>📝 Não iniciado</v>
      </c>
      <c r="D355" s="716">
        <f>_xlfn.XLOOKUP(B355,Ferraz!$C$55:$C$144,Ferraz!$J$55:$J$144)</f>
        <v>0</v>
      </c>
    </row>
    <row r="356" spans="1:4" hidden="1" x14ac:dyDescent="0.3">
      <c r="A356" t="s">
        <v>22</v>
      </c>
      <c r="B356">
        <f>Ferraz!C80</f>
        <v>0</v>
      </c>
      <c r="C356" t="e">
        <f>_xlfn.XLOOKUP(B356,Ferraz!$C$55:$C$144,Ferraz!$O$55:$O$144)</f>
        <v>#N/A</v>
      </c>
      <c r="D356" s="716" t="e">
        <f>_xlfn.XLOOKUP(B356,Ferraz!$C$55:$C$144,Ferraz!$J$55:$J$144)</f>
        <v>#N/A</v>
      </c>
    </row>
    <row r="357" spans="1:4" hidden="1" x14ac:dyDescent="0.3">
      <c r="A357" t="s">
        <v>22</v>
      </c>
      <c r="B357">
        <f>Ferraz!C81</f>
        <v>0</v>
      </c>
      <c r="C357" t="e">
        <f>_xlfn.XLOOKUP(B357,Ferraz!$C$55:$C$144,Ferraz!$O$55:$O$144)</f>
        <v>#N/A</v>
      </c>
      <c r="D357" s="716" t="e">
        <f>_xlfn.XLOOKUP(B357,Ferraz!$C$55:$C$144,Ferraz!$J$55:$J$144)</f>
        <v>#N/A</v>
      </c>
    </row>
    <row r="358" spans="1:4" hidden="1" x14ac:dyDescent="0.3">
      <c r="A358" t="s">
        <v>22</v>
      </c>
      <c r="B358">
        <f>Ferraz!C82</f>
        <v>0</v>
      </c>
      <c r="C358" t="e">
        <f>_xlfn.XLOOKUP(B358,Ferraz!$C$55:$C$144,Ferraz!$O$55:$O$144)</f>
        <v>#N/A</v>
      </c>
      <c r="D358" s="716" t="e">
        <f>_xlfn.XLOOKUP(B358,Ferraz!$C$55:$C$144,Ferraz!$J$55:$J$144)</f>
        <v>#N/A</v>
      </c>
    </row>
    <row r="359" spans="1:4" hidden="1" x14ac:dyDescent="0.3">
      <c r="A359" t="s">
        <v>22</v>
      </c>
      <c r="B359" t="str">
        <f>Ferraz!C83</f>
        <v xml:space="preserve">17 - Consumo de água </v>
      </c>
      <c r="C359" t="str">
        <f>_xlfn.XLOOKUP(B359,Ferraz!$C$55:$C$144,Ferraz!$O$55:$O$144)</f>
        <v>✓ Concluído</v>
      </c>
      <c r="D359" s="716">
        <f>_xlfn.XLOOKUP(B359,Ferraz!$C$55:$C$144,Ferraz!$J$55:$J$144)</f>
        <v>46023</v>
      </c>
    </row>
    <row r="360" spans="1:4" hidden="1" x14ac:dyDescent="0.3">
      <c r="A360" t="s">
        <v>22</v>
      </c>
      <c r="B360">
        <f>Ferraz!C84</f>
        <v>0</v>
      </c>
      <c r="C360" t="e">
        <f>_xlfn.XLOOKUP(B360,Ferraz!$C$55:$C$144,Ferraz!$O$55:$O$144)</f>
        <v>#N/A</v>
      </c>
      <c r="D360" s="716" t="e">
        <f>_xlfn.XLOOKUP(B360,Ferraz!$C$55:$C$144,Ferraz!$J$55:$J$144)</f>
        <v>#N/A</v>
      </c>
    </row>
    <row r="361" spans="1:4" hidden="1" x14ac:dyDescent="0.3">
      <c r="A361" t="s">
        <v>22</v>
      </c>
      <c r="B361" t="e">
        <f>Ferraz!#REF!</f>
        <v>#REF!</v>
      </c>
      <c r="C361" t="e">
        <f>_xlfn.XLOOKUP(B361,Ferraz!$C$55:$C$144,Ferraz!$O$55:$O$144)</f>
        <v>#REF!</v>
      </c>
      <c r="D361" s="716" t="e">
        <f>_xlfn.XLOOKUP(B361,Ferraz!$C$55:$C$144,Ferraz!$J$55:$J$144)</f>
        <v>#REF!</v>
      </c>
    </row>
    <row r="362" spans="1:4" hidden="1" x14ac:dyDescent="0.3">
      <c r="A362" t="s">
        <v>22</v>
      </c>
      <c r="B362" t="e">
        <f>Ferraz!#REF!</f>
        <v>#REF!</v>
      </c>
      <c r="C362" t="e">
        <f>_xlfn.XLOOKUP(B362,Ferraz!$C$55:$C$144,Ferraz!$O$55:$O$144)</f>
        <v>#REF!</v>
      </c>
      <c r="D362" s="716" t="e">
        <f>_xlfn.XLOOKUP(B362,Ferraz!$C$55:$C$144,Ferraz!$J$55:$J$144)</f>
        <v>#REF!</v>
      </c>
    </row>
    <row r="363" spans="1:4" hidden="1" x14ac:dyDescent="0.3">
      <c r="A363" t="s">
        <v>22</v>
      </c>
      <c r="B363" t="e">
        <f>Ferraz!#REF!</f>
        <v>#REF!</v>
      </c>
      <c r="C363" t="e">
        <f>_xlfn.XLOOKUP(B363,Ferraz!$C$55:$C$144,Ferraz!$O$55:$O$144)</f>
        <v>#REF!</v>
      </c>
      <c r="D363" s="716" t="e">
        <f>_xlfn.XLOOKUP(B363,Ferraz!$C$55:$C$144,Ferraz!$J$55:$J$144)</f>
        <v>#REF!</v>
      </c>
    </row>
    <row r="364" spans="1:4" hidden="1" x14ac:dyDescent="0.3">
      <c r="A364" t="s">
        <v>22</v>
      </c>
      <c r="B364" t="e">
        <f>Ferraz!#REF!</f>
        <v>#REF!</v>
      </c>
      <c r="C364" t="e">
        <f>_xlfn.XLOOKUP(B364,Ferraz!$C$55:$C$144,Ferraz!$O$55:$O$144)</f>
        <v>#REF!</v>
      </c>
      <c r="D364" s="716" t="e">
        <f>_xlfn.XLOOKUP(B364,Ferraz!$C$55:$C$144,Ferraz!$J$55:$J$144)</f>
        <v>#REF!</v>
      </c>
    </row>
    <row r="365" spans="1:4" hidden="1" x14ac:dyDescent="0.3">
      <c r="A365" t="s">
        <v>22</v>
      </c>
      <c r="B365" t="str">
        <f>Ferraz!C85</f>
        <v>20 - Limpador de grelha</v>
      </c>
      <c r="C365" t="str">
        <f>_xlfn.XLOOKUP(B365,Ferraz!$C$55:$C$144,Ferraz!$O$55:$O$144)</f>
        <v>✓ Concluído</v>
      </c>
      <c r="D365" s="716">
        <f>_xlfn.XLOOKUP(B365,Ferraz!$C$55:$C$144,Ferraz!$J$55:$J$144)</f>
        <v>46204</v>
      </c>
    </row>
    <row r="366" spans="1:4" hidden="1" x14ac:dyDescent="0.3">
      <c r="A366" t="s">
        <v>22</v>
      </c>
      <c r="B366">
        <f>Ferraz!C86</f>
        <v>0</v>
      </c>
      <c r="C366" t="e">
        <f>_xlfn.XLOOKUP(B366,Ferraz!$C$55:$C$144,Ferraz!$O$55:$O$144)</f>
        <v>#N/A</v>
      </c>
      <c r="D366" s="716" t="e">
        <f>_xlfn.XLOOKUP(B366,Ferraz!$C$55:$C$144,Ferraz!$J$55:$J$144)</f>
        <v>#N/A</v>
      </c>
    </row>
    <row r="367" spans="1:4" hidden="1" x14ac:dyDescent="0.3">
      <c r="A367" t="s">
        <v>22</v>
      </c>
      <c r="B367" t="e">
        <f>Ferraz!#REF!</f>
        <v>#REF!</v>
      </c>
      <c r="C367" t="e">
        <f>_xlfn.XLOOKUP(B367,Ferraz!$C$55:$C$144,Ferraz!$O$55:$O$144)</f>
        <v>#REF!</v>
      </c>
      <c r="D367" s="716" t="e">
        <f>_xlfn.XLOOKUP(B367,Ferraz!$C$55:$C$144,Ferraz!$J$55:$J$144)</f>
        <v>#REF!</v>
      </c>
    </row>
    <row r="368" spans="1:4" hidden="1" x14ac:dyDescent="0.3">
      <c r="A368" t="s">
        <v>22</v>
      </c>
      <c r="B368" t="e">
        <f>Ferraz!#REF!</f>
        <v>#REF!</v>
      </c>
      <c r="C368" t="e">
        <f>_xlfn.XLOOKUP(B368,Ferraz!$C$55:$C$144,Ferraz!$O$55:$O$144)</f>
        <v>#REF!</v>
      </c>
      <c r="D368" s="716" t="e">
        <f>_xlfn.XLOOKUP(B368,Ferraz!$C$55:$C$144,Ferraz!$J$55:$J$144)</f>
        <v>#REF!</v>
      </c>
    </row>
    <row r="369" spans="1:5" x14ac:dyDescent="0.3">
      <c r="A369" t="s">
        <v>22</v>
      </c>
      <c r="B369" t="str">
        <f>Ferraz!C87</f>
        <v xml:space="preserve">22 - Tablet - Dobradeira </v>
      </c>
      <c r="C369" t="str">
        <f>_xlfn.XLOOKUP(B369,Ferraz!$C$55:$C$144,Ferraz!$O$55:$O$144)</f>
        <v>✓ Concluído</v>
      </c>
      <c r="D369" s="717">
        <f>_xlfn.XLOOKUP(B369,Ferraz!$C$55:$C$144,Ferraz!$J$55:$J$144)</f>
        <v>46204</v>
      </c>
      <c r="E369" s="224">
        <f ca="1">_xlfn.XLOOKUP(B369,Pareto!S:S,Pareto!V:V)</f>
        <v>2000</v>
      </c>
    </row>
    <row r="370" spans="1:5" hidden="1" x14ac:dyDescent="0.3">
      <c r="A370" t="s">
        <v>22</v>
      </c>
      <c r="B370">
        <f>Ferraz!C88</f>
        <v>0</v>
      </c>
      <c r="C370" t="e">
        <f>_xlfn.XLOOKUP(B370,Ferraz!$C$55:$C$144,Ferraz!$O$55:$O$144)</f>
        <v>#N/A</v>
      </c>
      <c r="D370" s="716" t="e">
        <f>_xlfn.XLOOKUP(B370,Ferraz!$C$55:$C$144,Ferraz!$J$55:$J$144)</f>
        <v>#N/A</v>
      </c>
    </row>
    <row r="371" spans="1:5" hidden="1" x14ac:dyDescent="0.3">
      <c r="A371" t="s">
        <v>22</v>
      </c>
      <c r="B371" t="str">
        <f>Ferraz!C89</f>
        <v xml:space="preserve">23 - Devolução das máquinas de solda alugadas </v>
      </c>
      <c r="C371" t="str">
        <f>_xlfn.XLOOKUP(B371,Ferraz!$C$55:$C$144,Ferraz!$O$55:$O$144)</f>
        <v>✓ Concluído</v>
      </c>
      <c r="D371" s="716">
        <f>_xlfn.XLOOKUP(B371,Ferraz!$C$55:$C$144,Ferraz!$J$55:$J$144)</f>
        <v>46204</v>
      </c>
    </row>
    <row r="372" spans="1:5" hidden="1" x14ac:dyDescent="0.3">
      <c r="A372" t="s">
        <v>22</v>
      </c>
      <c r="B372">
        <f>Ferraz!C90</f>
        <v>0</v>
      </c>
      <c r="C372" t="e">
        <f>_xlfn.XLOOKUP(B372,Ferraz!$C$55:$C$144,Ferraz!$O$55:$O$144)</f>
        <v>#N/A</v>
      </c>
      <c r="D372" s="716" t="e">
        <f>_xlfn.XLOOKUP(B372,Ferraz!$C$55:$C$144,Ferraz!$J$55:$J$144)</f>
        <v>#N/A</v>
      </c>
    </row>
    <row r="373" spans="1:5" hidden="1" x14ac:dyDescent="0.3">
      <c r="A373" t="s">
        <v>22</v>
      </c>
      <c r="B373" t="str">
        <f>Ferraz!C91</f>
        <v xml:space="preserve">24 - Aquisição do equipamento de ultrassom </v>
      </c>
      <c r="C373" t="str">
        <f>_xlfn.XLOOKUP(B373,Ferraz!$C$55:$C$144,Ferraz!$O$55:$O$144)</f>
        <v>📝 Não iniciado</v>
      </c>
      <c r="D373" s="716">
        <f>_xlfn.XLOOKUP(B373,Ferraz!$C$55:$C$144,Ferraz!$J$55:$J$144)</f>
        <v>46237</v>
      </c>
    </row>
    <row r="374" spans="1:5" hidden="1" x14ac:dyDescent="0.3">
      <c r="A374" t="s">
        <v>22</v>
      </c>
      <c r="B374">
        <f>Ferraz!C92</f>
        <v>0</v>
      </c>
      <c r="C374" t="e">
        <f>_xlfn.XLOOKUP(B374,Ferraz!$C$55:$C$144,Ferraz!$O$55:$O$144)</f>
        <v>#N/A</v>
      </c>
      <c r="D374" s="716" t="e">
        <f>_xlfn.XLOOKUP(B374,Ferraz!$C$55:$C$144,Ferraz!$J$55:$J$144)</f>
        <v>#N/A</v>
      </c>
    </row>
    <row r="375" spans="1:5" hidden="1" x14ac:dyDescent="0.3">
      <c r="A375" t="s">
        <v>22</v>
      </c>
      <c r="B375" t="str">
        <f>Ferraz!C105</f>
        <v xml:space="preserve">31 - Redução da nota de débitos de clientes </v>
      </c>
      <c r="C375">
        <f>_xlfn.XLOOKUP(B375,Ferraz!$C$55:$C$144,Ferraz!$O$55:$O$144)</f>
        <v>0</v>
      </c>
      <c r="D375" s="716">
        <f>_xlfn.XLOOKUP(B375,Ferraz!$C$55:$C$144,Ferraz!$J$55:$J$144)</f>
        <v>46265</v>
      </c>
    </row>
    <row r="376" spans="1:5" hidden="1" x14ac:dyDescent="0.3">
      <c r="A376" t="s">
        <v>22</v>
      </c>
      <c r="B376">
        <f>Ferraz!C106</f>
        <v>0</v>
      </c>
      <c r="C376" t="e">
        <f>_xlfn.XLOOKUP(B376,Ferraz!$C$55:$C$144,Ferraz!$O$55:$O$144)</f>
        <v>#N/A</v>
      </c>
      <c r="D376" s="716" t="e">
        <f>_xlfn.XLOOKUP(B376,Ferraz!$C$55:$C$144,Ferraz!$J$55:$J$144)</f>
        <v>#N/A</v>
      </c>
    </row>
    <row r="377" spans="1:5" hidden="1" x14ac:dyDescent="0.3">
      <c r="A377" t="s">
        <v>22</v>
      </c>
      <c r="B377">
        <f>Ferraz!C143</f>
        <v>0</v>
      </c>
      <c r="C377" t="e">
        <f>_xlfn.XLOOKUP(B377,Ferraz!$C$55:$C$144,Ferraz!$O$55:$O$144)</f>
        <v>#N/A</v>
      </c>
      <c r="D377" s="716" t="e">
        <f>_xlfn.XLOOKUP(B377,Ferraz!$C$55:$C$144,Ferraz!$J$55:$J$144)</f>
        <v>#N/A</v>
      </c>
    </row>
    <row r="378" spans="1:5" hidden="1" x14ac:dyDescent="0.3">
      <c r="A378" t="s">
        <v>22</v>
      </c>
      <c r="B378">
        <f>Ferraz!C144</f>
        <v>0</v>
      </c>
      <c r="C378" t="e">
        <f>_xlfn.XLOOKUP(B378,Ferraz!$C$55:$C$144,Ferraz!$O$55:$O$144)</f>
        <v>#N/A</v>
      </c>
      <c r="D378" s="716" t="e">
        <f>_xlfn.XLOOKUP(B378,Ferraz!$C$55:$C$144,Ferraz!$J$55:$J$144)</f>
        <v>#N/A</v>
      </c>
    </row>
    <row r="379" spans="1:5" hidden="1" x14ac:dyDescent="0.3">
      <c r="A379" t="s">
        <v>26</v>
      </c>
      <c r="B379" t="str">
        <f>'Compras '!D31</f>
        <v>Negociação Produtos Pré tratamento</v>
      </c>
      <c r="C379" t="str">
        <f>_xlfn.XLOOKUP(B379,'Compras '!$D$31:$D$144,'Compras '!$O$31:$O$144)</f>
        <v>⏳ Em Execução</v>
      </c>
      <c r="D379" s="716">
        <f>_xlfn.XLOOKUP(B379,'Compras '!$D$31:$D$144,'Compras '!$J$31:$J$144)</f>
        <v>46300</v>
      </c>
    </row>
    <row r="380" spans="1:5" hidden="1" x14ac:dyDescent="0.3">
      <c r="A380" t="s">
        <v>26</v>
      </c>
      <c r="B380">
        <f>'Compras '!D32</f>
        <v>0</v>
      </c>
      <c r="C380" t="e">
        <f>_xlfn.XLOOKUP(B380,'Compras '!$D$31:$D$144,'Compras '!$O$31:$O$144)</f>
        <v>#N/A</v>
      </c>
      <c r="D380" s="716" t="e">
        <f>_xlfn.XLOOKUP(B380,'Compras '!$D$31:$D$144,'Compras '!$J$31:$J$144)</f>
        <v>#N/A</v>
      </c>
    </row>
    <row r="381" spans="1:5" hidden="1" x14ac:dyDescent="0.3">
      <c r="A381" t="s">
        <v>26</v>
      </c>
      <c r="B381" t="str">
        <f>'Compras '!D33</f>
        <v>Redução de custo Porca 73189 da curva A</v>
      </c>
      <c r="C381" t="str">
        <f>_xlfn.XLOOKUP(B381,'Compras '!$D$31:$D$144,'Compras '!$O$31:$O$144)</f>
        <v>✓ Concluído</v>
      </c>
      <c r="D381" s="716">
        <f>_xlfn.XLOOKUP(B381,'Compras '!$D$31:$D$144,'Compras '!$J$31:$J$144)</f>
        <v>46222</v>
      </c>
    </row>
    <row r="382" spans="1:5" hidden="1" x14ac:dyDescent="0.3">
      <c r="A382" t="s">
        <v>26</v>
      </c>
      <c r="B382">
        <f>'Compras '!D34</f>
        <v>0</v>
      </c>
      <c r="C382" t="e">
        <f>_xlfn.XLOOKUP(B382,'Compras '!$D$31:$D$144,'Compras '!$O$31:$O$144)</f>
        <v>#N/A</v>
      </c>
      <c r="D382" s="716" t="e">
        <f>_xlfn.XLOOKUP(B382,'Compras '!$D$31:$D$144,'Compras '!$J$31:$J$144)</f>
        <v>#N/A</v>
      </c>
    </row>
    <row r="383" spans="1:5" hidden="1" x14ac:dyDescent="0.3">
      <c r="A383" t="s">
        <v>26</v>
      </c>
      <c r="B383" t="e">
        <f>'Compras '!#REF!</f>
        <v>#REF!</v>
      </c>
      <c r="C383" t="e">
        <f>_xlfn.XLOOKUP(B383,'Compras '!$D$31:$D$144,'Compras '!$O$31:$O$144)</f>
        <v>#REF!</v>
      </c>
      <c r="D383" s="716" t="e">
        <f>_xlfn.XLOOKUP(B383,'Compras '!$D$31:$D$144,'Compras '!$J$31:$J$144)</f>
        <v>#REF!</v>
      </c>
    </row>
    <row r="384" spans="1:5" hidden="1" x14ac:dyDescent="0.3">
      <c r="A384" t="s">
        <v>26</v>
      </c>
      <c r="B384" t="e">
        <f>'Compras '!#REF!</f>
        <v>#REF!</v>
      </c>
      <c r="C384" t="e">
        <f>_xlfn.XLOOKUP(B384,'Compras '!$D$31:$D$144,'Compras '!$O$31:$O$144)</f>
        <v>#REF!</v>
      </c>
      <c r="D384" s="716" t="e">
        <f>_xlfn.XLOOKUP(B384,'Compras '!$D$31:$D$144,'Compras '!$J$31:$J$144)</f>
        <v>#REF!</v>
      </c>
    </row>
    <row r="385" spans="1:5" hidden="1" x14ac:dyDescent="0.3">
      <c r="A385" t="s">
        <v>26</v>
      </c>
      <c r="B385" t="str">
        <f>'Compras '!D35</f>
        <v>Unificação itens de Distribuição Fixadores.</v>
      </c>
      <c r="C385" t="str">
        <f>_xlfn.XLOOKUP(B385,'Compras '!$D$31:$D$144,'Compras '!$O$31:$O$144)</f>
        <v>⏳ Em Execução</v>
      </c>
      <c r="D385" s="716">
        <f>_xlfn.XLOOKUP(B385,'Compras '!$D$31:$D$144,'Compras '!$J$31:$J$144)</f>
        <v>46366</v>
      </c>
    </row>
    <row r="386" spans="1:5" hidden="1" x14ac:dyDescent="0.3">
      <c r="A386" t="s">
        <v>26</v>
      </c>
      <c r="B386">
        <f>'Compras '!D36</f>
        <v>0</v>
      </c>
      <c r="C386" t="e">
        <f>_xlfn.XLOOKUP(B386,'Compras '!$D$31:$D$144,'Compras '!$O$31:$O$144)</f>
        <v>#N/A</v>
      </c>
      <c r="D386" s="716" t="e">
        <f>_xlfn.XLOOKUP(B386,'Compras '!$D$31:$D$144,'Compras '!$J$31:$J$144)</f>
        <v>#N/A</v>
      </c>
    </row>
    <row r="387" spans="1:5" x14ac:dyDescent="0.3">
      <c r="A387" t="s">
        <v>26</v>
      </c>
      <c r="B387" t="str">
        <f>'Compras '!D37</f>
        <v>Redução de custo Abrasivos Curva A Ferraz</v>
      </c>
      <c r="C387" t="str">
        <f>_xlfn.XLOOKUP(B387,'Compras '!$D$31:$D$144,'Compras '!$O$31:$O$144)</f>
        <v>✓ Concluído</v>
      </c>
      <c r="D387" s="717">
        <f>_xlfn.XLOOKUP(B387,'Compras '!$D$31:$D$144,'Compras '!$J$31:$J$144)</f>
        <v>46048</v>
      </c>
      <c r="E387" s="224">
        <f ca="1">_xlfn.XLOOKUP(B387,Pareto!S:S,Pareto!V:V)</f>
        <v>116666.66666666669</v>
      </c>
    </row>
    <row r="388" spans="1:5" hidden="1" x14ac:dyDescent="0.3">
      <c r="A388" t="s">
        <v>26</v>
      </c>
      <c r="B388">
        <f>'Compras '!D38</f>
        <v>0</v>
      </c>
      <c r="C388" t="e">
        <f>_xlfn.XLOOKUP(B388,'Compras '!$D$31:$D$144,'Compras '!$O$31:$O$144)</f>
        <v>#N/A</v>
      </c>
      <c r="D388" s="716" t="e">
        <f>_xlfn.XLOOKUP(B388,'Compras '!$D$31:$D$144,'Compras '!$J$31:$J$144)</f>
        <v>#N/A</v>
      </c>
    </row>
    <row r="389" spans="1:5" hidden="1" x14ac:dyDescent="0.3">
      <c r="A389" t="s">
        <v>26</v>
      </c>
      <c r="B389" t="str">
        <f>'Compras '!D39</f>
        <v>Substituição Plano Médico - São Leopoldo</v>
      </c>
      <c r="C389" t="str">
        <f>_xlfn.XLOOKUP(B389,'Compras '!$D$31:$D$144,'Compras '!$O$31:$O$144)</f>
        <v>⏳ Em Execução</v>
      </c>
      <c r="D389" s="716">
        <f>_xlfn.XLOOKUP(B389,'Compras '!$D$31:$D$144,'Compras '!$J$31:$J$144)</f>
        <v>46327</v>
      </c>
    </row>
    <row r="390" spans="1:5" hidden="1" x14ac:dyDescent="0.3">
      <c r="A390" t="s">
        <v>26</v>
      </c>
      <c r="B390">
        <f>'Compras '!D40</f>
        <v>0</v>
      </c>
      <c r="C390" t="e">
        <f>_xlfn.XLOOKUP(B390,'Compras '!$D$31:$D$144,'Compras '!$O$31:$O$144)</f>
        <v>#N/A</v>
      </c>
      <c r="D390" s="716" t="e">
        <f>_xlfn.XLOOKUP(B390,'Compras '!$D$31:$D$144,'Compras '!$J$31:$J$144)</f>
        <v>#N/A</v>
      </c>
    </row>
    <row r="391" spans="1:5" hidden="1" x14ac:dyDescent="0.3">
      <c r="A391" t="s">
        <v>26</v>
      </c>
      <c r="B391" t="str">
        <f>'Compras '!D41</f>
        <v>Mão de Obra Terceirizada</v>
      </c>
      <c r="C391" t="str">
        <f>_xlfn.XLOOKUP(B391,'Compras '!$D$31:$D$144,'Compras '!$O$31:$O$144)</f>
        <v>✓ Concluído</v>
      </c>
      <c r="D391" s="716">
        <f>_xlfn.XLOOKUP(B391,'Compras '!$D$31:$D$144,'Compras '!$J$31:$J$144)</f>
        <v>46174</v>
      </c>
    </row>
    <row r="392" spans="1:5" hidden="1" x14ac:dyDescent="0.3">
      <c r="A392" t="s">
        <v>26</v>
      </c>
      <c r="B392">
        <f>'Compras '!D42</f>
        <v>0</v>
      </c>
      <c r="C392" t="e">
        <f>_xlfn.XLOOKUP(B392,'Compras '!$D$31:$D$144,'Compras '!$O$31:$O$144)</f>
        <v>#N/A</v>
      </c>
      <c r="D392" s="716" t="e">
        <f>_xlfn.XLOOKUP(B392,'Compras '!$D$31:$D$144,'Compras '!$J$31:$J$144)</f>
        <v>#N/A</v>
      </c>
    </row>
    <row r="393" spans="1:5" hidden="1" x14ac:dyDescent="0.3">
      <c r="A393" t="s">
        <v>26</v>
      </c>
      <c r="B393" t="str">
        <f>'Compras '!D43</f>
        <v>Recuperação de valores - Energia Elétrica</v>
      </c>
      <c r="C393" t="str">
        <f>_xlfn.XLOOKUP(B393,'Compras '!$D$31:$D$144,'Compras '!$O$31:$O$144)</f>
        <v>⏳ Em Execução</v>
      </c>
      <c r="D393" s="716">
        <f>_xlfn.XLOOKUP(B393,'Compras '!$D$31:$D$144,'Compras '!$J$31:$J$144)</f>
        <v>46174</v>
      </c>
    </row>
    <row r="394" spans="1:5" hidden="1" x14ac:dyDescent="0.3">
      <c r="A394" t="s">
        <v>26</v>
      </c>
      <c r="B394">
        <f>'Compras '!D44</f>
        <v>0</v>
      </c>
      <c r="C394" t="e">
        <f>_xlfn.XLOOKUP(B394,'Compras '!$D$31:$D$144,'Compras '!$O$31:$O$144)</f>
        <v>#N/A</v>
      </c>
      <c r="D394" s="716" t="e">
        <f>_xlfn.XLOOKUP(B394,'Compras '!$D$31:$D$144,'Compras '!$J$31:$J$144)</f>
        <v>#N/A</v>
      </c>
    </row>
    <row r="395" spans="1:5" hidden="1" x14ac:dyDescent="0.3">
      <c r="A395" t="s">
        <v>26</v>
      </c>
      <c r="B395" t="str">
        <f>'Compras '!D45</f>
        <v>Recuperação de valores - Água</v>
      </c>
      <c r="C395" t="str">
        <f>_xlfn.XLOOKUP(B395,'Compras '!$D$31:$D$144,'Compras '!$O$31:$O$144)</f>
        <v>⏳ Em Execução</v>
      </c>
      <c r="D395" s="716">
        <f>_xlfn.XLOOKUP(B395,'Compras '!$D$31:$D$144,'Compras '!$J$31:$J$144)</f>
        <v>46539</v>
      </c>
    </row>
    <row r="396" spans="1:5" hidden="1" x14ac:dyDescent="0.3">
      <c r="A396" t="s">
        <v>26</v>
      </c>
      <c r="B396">
        <f>'Compras '!D46</f>
        <v>0</v>
      </c>
      <c r="C396" t="e">
        <f>_xlfn.XLOOKUP(B396,'Compras '!$D$31:$D$144,'Compras '!$O$31:$O$144)</f>
        <v>#N/A</v>
      </c>
      <c r="D396" s="716" t="e">
        <f>_xlfn.XLOOKUP(B396,'Compras '!$D$31:$D$144,'Compras '!$J$31:$J$144)</f>
        <v>#N/A</v>
      </c>
    </row>
    <row r="397" spans="1:5" hidden="1" x14ac:dyDescent="0.3">
      <c r="A397" t="s">
        <v>26</v>
      </c>
      <c r="B397" t="str">
        <f>'Compras '!D47</f>
        <v>Resourcing Pino Esférico GM Lipos p/ Maxdel</v>
      </c>
      <c r="C397" t="str">
        <f>_xlfn.XLOOKUP(B397,'Compras '!$D$31:$D$144,'Compras '!$O$31:$O$144)</f>
        <v>⏳ Em Execução</v>
      </c>
      <c r="D397" s="716">
        <f>_xlfn.XLOOKUP(B397,'Compras '!$D$31:$D$144,'Compras '!$J$31:$J$144)</f>
        <v>46371</v>
      </c>
    </row>
    <row r="398" spans="1:5" hidden="1" x14ac:dyDescent="0.3">
      <c r="A398" t="s">
        <v>26</v>
      </c>
      <c r="B398">
        <f>'Compras '!D48</f>
        <v>0</v>
      </c>
      <c r="C398" t="e">
        <f>_xlfn.XLOOKUP(B398,'Compras '!$D$31:$D$144,'Compras '!$O$31:$O$144)</f>
        <v>#N/A</v>
      </c>
      <c r="D398" s="716" t="e">
        <f>_xlfn.XLOOKUP(B398,'Compras '!$D$31:$D$144,'Compras '!$J$31:$J$144)</f>
        <v>#N/A</v>
      </c>
    </row>
    <row r="399" spans="1:5" hidden="1" x14ac:dyDescent="0.3">
      <c r="A399" t="s">
        <v>26</v>
      </c>
      <c r="B399" t="str">
        <f>'Compras '!D49</f>
        <v>Resourcing Maletas Man (Mercante para Cartec)</v>
      </c>
      <c r="C399" t="str">
        <f>_xlfn.XLOOKUP(B399,'Compras '!$D$31:$D$144,'Compras '!$O$31:$O$144)</f>
        <v>✓ Concluído</v>
      </c>
      <c r="D399" s="716">
        <f>_xlfn.XLOOKUP(B399,'Compras '!$D$31:$D$144,'Compras '!$J$31:$J$144)</f>
        <v>46097</v>
      </c>
    </row>
    <row r="400" spans="1:5" hidden="1" x14ac:dyDescent="0.3">
      <c r="A400" t="s">
        <v>26</v>
      </c>
      <c r="B400">
        <f>'Compras '!D50</f>
        <v>0</v>
      </c>
      <c r="C400" t="e">
        <f>_xlfn.XLOOKUP(B400,'Compras '!$D$31:$D$144,'Compras '!$O$31:$O$144)</f>
        <v>#N/A</v>
      </c>
      <c r="D400" s="716" t="e">
        <f>_xlfn.XLOOKUP(B400,'Compras '!$D$31:$D$144,'Compras '!$J$31:$J$144)</f>
        <v>#N/A</v>
      </c>
    </row>
    <row r="401" spans="1:5" hidden="1" x14ac:dyDescent="0.3">
      <c r="A401" t="s">
        <v>26</v>
      </c>
      <c r="B401" t="str">
        <f>'Compras '!D51</f>
        <v>Troca de fonte do arame de solda de Belgo para Gerdau</v>
      </c>
      <c r="C401" t="str">
        <f>_xlfn.XLOOKUP(B401,'Compras '!$D$31:$D$144,'Compras '!$O$31:$O$144)</f>
        <v>✓ Concluído</v>
      </c>
      <c r="D401" s="716">
        <f>_xlfn.XLOOKUP(B401,'Compras '!$D$31:$D$144,'Compras '!$J$31:$J$144)</f>
        <v>46174</v>
      </c>
    </row>
    <row r="402" spans="1:5" hidden="1" x14ac:dyDescent="0.3">
      <c r="A402" t="s">
        <v>26</v>
      </c>
      <c r="B402">
        <f>'Compras '!D52</f>
        <v>0</v>
      </c>
      <c r="C402" t="e">
        <f>_xlfn.XLOOKUP(B402,'Compras '!$D$31:$D$144,'Compras '!$O$31:$O$144)</f>
        <v>#N/A</v>
      </c>
      <c r="D402" s="716" t="e">
        <f>_xlfn.XLOOKUP(B402,'Compras '!$D$31:$D$144,'Compras '!$J$31:$J$144)</f>
        <v>#N/A</v>
      </c>
    </row>
    <row r="403" spans="1:5" hidden="1" x14ac:dyDescent="0.3">
      <c r="A403" t="s">
        <v>26</v>
      </c>
      <c r="B403" t="str">
        <f>'Compras '!D53</f>
        <v>Testes e troca do fornecedor de insumos de usinagem</v>
      </c>
      <c r="C403" t="str">
        <f>_xlfn.XLOOKUP(B403,'Compras '!$D$31:$D$144,'Compras '!$O$31:$O$144)</f>
        <v>⏳ Em Execução</v>
      </c>
      <c r="D403" s="716">
        <f>_xlfn.XLOOKUP(B403,'Compras '!$D$31:$D$144,'Compras '!$J$31:$J$144)</f>
        <v>46296</v>
      </c>
    </row>
    <row r="404" spans="1:5" hidden="1" x14ac:dyDescent="0.3">
      <c r="A404" t="s">
        <v>26</v>
      </c>
      <c r="B404">
        <f>'Compras '!D54</f>
        <v>0</v>
      </c>
      <c r="C404" t="e">
        <f>_xlfn.XLOOKUP(B404,'Compras '!$D$31:$D$144,'Compras '!$O$31:$O$144)</f>
        <v>#N/A</v>
      </c>
      <c r="D404" s="716" t="e">
        <f>_xlfn.XLOOKUP(B404,'Compras '!$D$31:$D$144,'Compras '!$J$31:$J$144)</f>
        <v>#N/A</v>
      </c>
    </row>
    <row r="405" spans="1:5" x14ac:dyDescent="0.3">
      <c r="A405" t="s">
        <v>26</v>
      </c>
      <c r="B405" t="str">
        <f>'Compras '!D55</f>
        <v>Mudança de Modalidade Gerador Anchieta</v>
      </c>
      <c r="C405" t="str">
        <f>_xlfn.XLOOKUP(B405,'Compras '!$D$31:$D$144,'Compras '!$O$31:$O$144)</f>
        <v>✓ Concluído</v>
      </c>
      <c r="D405" s="717">
        <f>_xlfn.XLOOKUP(B405,'Compras '!$D$31:$D$144,'Compras '!$J$31:$J$144)</f>
        <v>46038</v>
      </c>
      <c r="E405" s="224">
        <f ca="1">_xlfn.XLOOKUP(B405,Pareto!S:S,Pareto!V:V)</f>
        <v>23027.829999999998</v>
      </c>
    </row>
    <row r="406" spans="1:5" hidden="1" x14ac:dyDescent="0.3">
      <c r="A406" t="s">
        <v>26</v>
      </c>
      <c r="B406">
        <f>'Compras '!D56</f>
        <v>0</v>
      </c>
      <c r="C406" t="e">
        <f>_xlfn.XLOOKUP(B406,'Compras '!$D$31:$D$144,'Compras '!$O$31:$O$144)</f>
        <v>#N/A</v>
      </c>
      <c r="D406" s="716" t="e">
        <f>_xlfn.XLOOKUP(B406,'Compras '!$D$31:$D$144,'Compras '!$J$31:$J$144)</f>
        <v>#N/A</v>
      </c>
    </row>
    <row r="407" spans="1:5" x14ac:dyDescent="0.3">
      <c r="A407" t="s">
        <v>26</v>
      </c>
      <c r="B407" t="str">
        <f>'Compras '!D57</f>
        <v>Modalidade Tarifária</v>
      </c>
      <c r="C407" t="str">
        <f>_xlfn.XLOOKUP(B407,'Compras '!$D$31:$D$144,'Compras '!$O$31:$O$144)</f>
        <v>✓ Concluído</v>
      </c>
      <c r="D407" s="717">
        <f>_xlfn.XLOOKUP(B407,'Compras '!$D$31:$D$144,'Compras '!$J$31:$J$144)</f>
        <v>46111</v>
      </c>
      <c r="E407" s="224">
        <f ca="1">_xlfn.XLOOKUP(B407,Pareto!S:S,Pareto!V:V)</f>
        <v>36204</v>
      </c>
    </row>
    <row r="408" spans="1:5" hidden="1" x14ac:dyDescent="0.3">
      <c r="A408" t="s">
        <v>26</v>
      </c>
      <c r="B408">
        <f>'Compras '!D58</f>
        <v>0</v>
      </c>
      <c r="C408" t="e">
        <f>_xlfn.XLOOKUP(B408,'Compras '!$D$31:$D$144,'Compras '!$O$31:$O$144)</f>
        <v>#N/A</v>
      </c>
      <c r="D408" s="716" t="e">
        <f>_xlfn.XLOOKUP(B408,'Compras '!$D$31:$D$144,'Compras '!$J$31:$J$144)</f>
        <v>#N/A</v>
      </c>
    </row>
    <row r="409" spans="1:5" hidden="1" x14ac:dyDescent="0.3">
      <c r="A409" t="s">
        <v>26</v>
      </c>
      <c r="B409" t="str">
        <f>'Compras '!D59</f>
        <v>Viabilizar Material Alternativo de Menor Custo para Utilização na Carcaça da Scania</v>
      </c>
      <c r="C409" t="str">
        <f>_xlfn.XLOOKUP(B409,'Compras '!$D$31:$D$144,'Compras '!$O$31:$O$144)</f>
        <v>⏳ Em Execução</v>
      </c>
      <c r="D409" s="716">
        <f>_xlfn.XLOOKUP(B409,'Compras '!$D$31:$D$144,'Compras '!$J$31:$J$144)</f>
        <v>46447</v>
      </c>
    </row>
    <row r="410" spans="1:5" hidden="1" x14ac:dyDescent="0.3">
      <c r="A410" t="s">
        <v>26</v>
      </c>
      <c r="B410">
        <f>'Compras '!D60</f>
        <v>0</v>
      </c>
      <c r="C410" t="e">
        <f>_xlfn.XLOOKUP(B410,'Compras '!$D$31:$D$144,'Compras '!$O$31:$O$144)</f>
        <v>#N/A</v>
      </c>
      <c r="D410" s="716" t="e">
        <f>_xlfn.XLOOKUP(B410,'Compras '!$D$31:$D$144,'Compras '!$J$31:$J$144)</f>
        <v>#N/A</v>
      </c>
    </row>
    <row r="411" spans="1:5" hidden="1" x14ac:dyDescent="0.3">
      <c r="A411" t="s">
        <v>26</v>
      </c>
      <c r="B411" t="str">
        <f>'Compras '!D61</f>
        <v>Viabilizar itens Usiminas via Gonvarri-Full Service</v>
      </c>
      <c r="C411" t="str">
        <f>_xlfn.XLOOKUP(B411,'Compras '!$D$31:$D$144,'Compras '!$O$31:$O$144)</f>
        <v>✓ Concluído</v>
      </c>
      <c r="D411" s="716">
        <f>_xlfn.XLOOKUP(B411,'Compras '!$D$31:$D$144,'Compras '!$J$31:$J$144)</f>
        <v>46082</v>
      </c>
    </row>
    <row r="412" spans="1:5" hidden="1" x14ac:dyDescent="0.3">
      <c r="A412" t="s">
        <v>26</v>
      </c>
      <c r="B412">
        <f>'Compras '!D62</f>
        <v>0</v>
      </c>
      <c r="C412" t="e">
        <f>_xlfn.XLOOKUP(B412,'Compras '!$D$31:$D$144,'Compras '!$O$31:$O$144)</f>
        <v>#N/A</v>
      </c>
      <c r="D412" s="716" t="e">
        <f>_xlfn.XLOOKUP(B412,'Compras '!$D$31:$D$144,'Compras '!$J$31:$J$144)</f>
        <v>#N/A</v>
      </c>
    </row>
    <row r="413" spans="1:5" hidden="1" x14ac:dyDescent="0.3">
      <c r="A413" t="s">
        <v>26</v>
      </c>
      <c r="B413" t="str">
        <f>'Compras '!D63</f>
        <v>Estudo de viabilidade compressores</v>
      </c>
      <c r="C413" t="str">
        <f>_xlfn.XLOOKUP(B413,'Compras '!$D$31:$D$144,'Compras '!$O$31:$O$144)</f>
        <v>📝 Não iniciado</v>
      </c>
      <c r="D413" s="716">
        <f>_xlfn.XLOOKUP(B413,'Compras '!$D$31:$D$144,'Compras '!$J$31:$J$144)</f>
        <v>0</v>
      </c>
    </row>
    <row r="414" spans="1:5" hidden="1" x14ac:dyDescent="0.3">
      <c r="A414" t="s">
        <v>26</v>
      </c>
      <c r="B414">
        <f>'Compras '!D64</f>
        <v>0</v>
      </c>
      <c r="C414" t="e">
        <f>_xlfn.XLOOKUP(B414,'Compras '!$D$31:$D$144,'Compras '!$O$31:$O$144)</f>
        <v>#N/A</v>
      </c>
      <c r="D414" s="716" t="e">
        <f>_xlfn.XLOOKUP(B414,'Compras '!$D$31:$D$144,'Compras '!$J$31:$J$144)</f>
        <v>#N/A</v>
      </c>
    </row>
    <row r="415" spans="1:5" hidden="1" x14ac:dyDescent="0.3">
      <c r="A415" t="s">
        <v>26</v>
      </c>
      <c r="B415">
        <f>'Compras '!D65</f>
        <v>0</v>
      </c>
      <c r="C415" t="e">
        <f>_xlfn.XLOOKUP(B415,'Compras '!$D$31:$D$144,'Compras '!$O$31:$O$144)</f>
        <v>#N/A</v>
      </c>
      <c r="D415" s="716" t="e">
        <f>_xlfn.XLOOKUP(B415,'Compras '!$D$31:$D$144,'Compras '!$J$31:$J$144)</f>
        <v>#N/A</v>
      </c>
    </row>
    <row r="416" spans="1:5" hidden="1" x14ac:dyDescent="0.3">
      <c r="A416" t="s">
        <v>26</v>
      </c>
      <c r="B416">
        <f>'Compras '!D66</f>
        <v>0</v>
      </c>
      <c r="C416" t="e">
        <f>_xlfn.XLOOKUP(B416,'Compras '!$D$31:$D$144,'Compras '!$O$31:$O$144)</f>
        <v>#N/A</v>
      </c>
      <c r="D416" s="716" t="e">
        <f>_xlfn.XLOOKUP(B416,'Compras '!$D$31:$D$144,'Compras '!$J$31:$J$144)</f>
        <v>#N/A</v>
      </c>
    </row>
    <row r="417" spans="1:5" hidden="1" x14ac:dyDescent="0.3">
      <c r="A417" t="s">
        <v>26</v>
      </c>
      <c r="B417" t="str">
        <f>'Compras '!D67</f>
        <v>Estudo de viabilidade lixadeiras</v>
      </c>
      <c r="C417" t="str">
        <f>_xlfn.XLOOKUP(B417,'Compras '!$D$31:$D$144,'Compras '!$O$31:$O$144)</f>
        <v>⏳ Em Execução</v>
      </c>
      <c r="D417" s="716">
        <f>_xlfn.XLOOKUP(B417,'Compras '!$D$31:$D$144,'Compras '!$J$31:$J$144)</f>
        <v>46023</v>
      </c>
    </row>
    <row r="418" spans="1:5" hidden="1" x14ac:dyDescent="0.3">
      <c r="A418" t="s">
        <v>26</v>
      </c>
      <c r="B418">
        <f>'Compras '!D68</f>
        <v>0</v>
      </c>
      <c r="C418" t="e">
        <f>_xlfn.XLOOKUP(B418,'Compras '!$D$31:$D$144,'Compras '!$O$31:$O$144)</f>
        <v>#N/A</v>
      </c>
      <c r="D418" s="716" t="e">
        <f>_xlfn.XLOOKUP(B418,'Compras '!$D$31:$D$144,'Compras '!$J$31:$J$144)</f>
        <v>#N/A</v>
      </c>
    </row>
    <row r="419" spans="1:5" hidden="1" x14ac:dyDescent="0.3">
      <c r="A419" t="s">
        <v>26</v>
      </c>
      <c r="B419" t="str">
        <f>'Compras '!D69</f>
        <v>Projeto DANA - Mudança de CH para BQ</v>
      </c>
      <c r="C419" t="str">
        <f>_xlfn.XLOOKUP(B419,'Compras '!$D$31:$D$144,'Compras '!$O$31:$O$144)</f>
        <v>✓ Concluído</v>
      </c>
      <c r="D419" s="716">
        <f>_xlfn.XLOOKUP(B419,'Compras '!$D$31:$D$144,'Compras '!$J$31:$J$144)</f>
        <v>46174</v>
      </c>
    </row>
    <row r="420" spans="1:5" hidden="1" x14ac:dyDescent="0.3">
      <c r="A420" t="s">
        <v>26</v>
      </c>
      <c r="B420">
        <f>'Compras '!D70</f>
        <v>0</v>
      </c>
      <c r="C420" t="e">
        <f>_xlfn.XLOOKUP(B420,'Compras '!$D$31:$D$144,'Compras '!$O$31:$O$144)</f>
        <v>#N/A</v>
      </c>
      <c r="D420" s="716" t="e">
        <f>_xlfn.XLOOKUP(B420,'Compras '!$D$31:$D$144,'Compras '!$J$31:$J$144)</f>
        <v>#N/A</v>
      </c>
    </row>
    <row r="421" spans="1:5" hidden="1" x14ac:dyDescent="0.3">
      <c r="A421" t="s">
        <v>26</v>
      </c>
      <c r="B421" t="str">
        <f>'Compras '!D71</f>
        <v>Negociação Boellhoff
85290 - PORCA QUADRADA SOLDA PROJEÇÃO - M5</v>
      </c>
      <c r="C421" t="str">
        <f>_xlfn.XLOOKUP(B421,'Compras '!$D$31:$D$144,'Compras '!$O$31:$O$144)</f>
        <v>⏳ Em Execução</v>
      </c>
      <c r="D421" s="716">
        <f>_xlfn.XLOOKUP(B421,'Compras '!$D$31:$D$144,'Compras '!$J$31:$J$144)</f>
        <v>46282</v>
      </c>
    </row>
    <row r="422" spans="1:5" hidden="1" x14ac:dyDescent="0.3">
      <c r="A422" t="s">
        <v>26</v>
      </c>
      <c r="B422">
        <f>'Compras '!D72</f>
        <v>0</v>
      </c>
      <c r="C422" t="e">
        <f>_xlfn.XLOOKUP(B422,'Compras '!$D$31:$D$144,'Compras '!$O$31:$O$144)</f>
        <v>#N/A</v>
      </c>
      <c r="D422" s="716" t="e">
        <f>_xlfn.XLOOKUP(B422,'Compras '!$D$31:$D$144,'Compras '!$J$31:$J$144)</f>
        <v>#N/A</v>
      </c>
    </row>
    <row r="423" spans="1:5" hidden="1" x14ac:dyDescent="0.3">
      <c r="A423" t="s">
        <v>26</v>
      </c>
      <c r="B423" t="str">
        <f>'Compras '!D73</f>
        <v>Troca de fonte fita zebrada e etiqueta litografada</v>
      </c>
      <c r="C423" t="str">
        <f>_xlfn.XLOOKUP(B423,'Compras '!$D$31:$D$144,'Compras '!$O$31:$O$144)</f>
        <v>⏳ Em Execução</v>
      </c>
      <c r="D423" s="716">
        <f>_xlfn.XLOOKUP(B423,'Compras '!$D$31:$D$144,'Compras '!$J$31:$J$144)</f>
        <v>46433</v>
      </c>
    </row>
    <row r="424" spans="1:5" hidden="1" x14ac:dyDescent="0.3">
      <c r="A424" t="s">
        <v>26</v>
      </c>
      <c r="B424">
        <f>'Compras '!D74</f>
        <v>0</v>
      </c>
      <c r="C424" t="e">
        <f>_xlfn.XLOOKUP(B424,'Compras '!$D$31:$D$144,'Compras '!$O$31:$O$144)</f>
        <v>#N/A</v>
      </c>
      <c r="D424" s="716" t="e">
        <f>_xlfn.XLOOKUP(B424,'Compras '!$D$31:$D$144,'Compras '!$J$31:$J$144)</f>
        <v>#N/A</v>
      </c>
    </row>
    <row r="425" spans="1:5" hidden="1" x14ac:dyDescent="0.3">
      <c r="A425" t="s">
        <v>26</v>
      </c>
      <c r="B425" t="str">
        <f>'Compras '!D75</f>
        <v>Unificação óleos utilizados nas plantas</v>
      </c>
      <c r="C425" t="str">
        <f>_xlfn.XLOOKUP(B425,'Compras '!$D$31:$D$144,'Compras '!$O$31:$O$144)</f>
        <v>⏳ Em Execução</v>
      </c>
      <c r="D425" s="716">
        <f>_xlfn.XLOOKUP(B425,'Compras '!$D$31:$D$144,'Compras '!$J$31:$J$144)</f>
        <v>46433</v>
      </c>
    </row>
    <row r="426" spans="1:5" hidden="1" x14ac:dyDescent="0.3">
      <c r="A426" t="s">
        <v>26</v>
      </c>
      <c r="B426">
        <f>'Compras '!D76</f>
        <v>0</v>
      </c>
      <c r="C426" t="e">
        <f>_xlfn.XLOOKUP(B426,'Compras '!$D$31:$D$144,'Compras '!$O$31:$O$144)</f>
        <v>#N/A</v>
      </c>
      <c r="D426" s="716" t="e">
        <f>_xlfn.XLOOKUP(B426,'Compras '!$D$31:$D$144,'Compras '!$J$31:$J$144)</f>
        <v>#N/A</v>
      </c>
    </row>
    <row r="427" spans="1:5" x14ac:dyDescent="0.3">
      <c r="A427" t="s">
        <v>26</v>
      </c>
      <c r="B427" t="str">
        <f>'Compras '!D77</f>
        <v>BID carimbos industriais</v>
      </c>
      <c r="C427" t="str">
        <f>_xlfn.XLOOKUP(B427,'Compras '!$D$31:$D$144,'Compras '!$O$31:$O$144)</f>
        <v>✓ Concluído</v>
      </c>
      <c r="D427" s="717">
        <f>_xlfn.XLOOKUP(B427,'Compras '!$D$31:$D$144,'Compras '!$J$31:$J$144)</f>
        <v>46082</v>
      </c>
      <c r="E427" s="224">
        <f ca="1">_xlfn.XLOOKUP(B427,Pareto!S:S,Pareto!V:V)</f>
        <v>1524.9649999999999</v>
      </c>
    </row>
    <row r="428" spans="1:5" hidden="1" x14ac:dyDescent="0.3">
      <c r="A428" t="s">
        <v>26</v>
      </c>
      <c r="B428">
        <f>'Compras '!D78</f>
        <v>0</v>
      </c>
      <c r="C428" t="e">
        <f>_xlfn.XLOOKUP(B428,'Compras '!$D$31:$D$144,'Compras '!$O$31:$O$144)</f>
        <v>#N/A</v>
      </c>
      <c r="D428" s="716" t="e">
        <f>_xlfn.XLOOKUP(B428,'Compras '!$D$31:$D$144,'Compras '!$J$31:$J$144)</f>
        <v>#N/A</v>
      </c>
    </row>
    <row r="429" spans="1:5" hidden="1" x14ac:dyDescent="0.3">
      <c r="A429" t="s">
        <v>26</v>
      </c>
      <c r="B429">
        <f>'Compras '!D79</f>
        <v>0</v>
      </c>
      <c r="C429" t="e">
        <f>_xlfn.XLOOKUP(B429,'Compras '!$D$31:$D$144,'Compras '!$O$31:$O$144)</f>
        <v>#N/A</v>
      </c>
      <c r="D429" s="716" t="e">
        <f>_xlfn.XLOOKUP(B429,'Compras '!$D$31:$D$144,'Compras '!$J$31:$J$144)</f>
        <v>#N/A</v>
      </c>
    </row>
    <row r="430" spans="1:5" hidden="1" x14ac:dyDescent="0.3">
      <c r="A430" t="s">
        <v>26</v>
      </c>
      <c r="B430">
        <f>'Compras '!D80</f>
        <v>0</v>
      </c>
      <c r="C430" t="e">
        <f>_xlfn.XLOOKUP(B430,'Compras '!$D$31:$D$144,'Compras '!$O$31:$O$144)</f>
        <v>#N/A</v>
      </c>
      <c r="D430" s="716" t="e">
        <f>_xlfn.XLOOKUP(B430,'Compras '!$D$31:$D$144,'Compras '!$J$31:$J$144)</f>
        <v>#N/A</v>
      </c>
    </row>
    <row r="431" spans="1:5" x14ac:dyDescent="0.3">
      <c r="A431" t="s">
        <v>26</v>
      </c>
      <c r="B431" t="str">
        <f>'Compras '!D81</f>
        <v>BID complementar punções Jarinu</v>
      </c>
      <c r="C431" t="str">
        <f>_xlfn.XLOOKUP(B431,'Compras '!$D$31:$D$144,'Compras '!$O$31:$O$144)</f>
        <v>✓ Concluído</v>
      </c>
      <c r="D431" s="717">
        <f>_xlfn.XLOOKUP(B431,'Compras '!$D$31:$D$144,'Compras '!$J$31:$J$144)</f>
        <v>46082</v>
      </c>
      <c r="E431" s="224">
        <f ca="1">_xlfn.XLOOKUP(B431,Pareto!S:S,Pareto!V:V)</f>
        <v>12790.165000000001</v>
      </c>
    </row>
    <row r="432" spans="1:5" hidden="1" x14ac:dyDescent="0.3">
      <c r="A432" t="s">
        <v>26</v>
      </c>
      <c r="B432">
        <f>'Compras '!D82</f>
        <v>0</v>
      </c>
      <c r="C432" t="e">
        <f>_xlfn.XLOOKUP(B432,'Compras '!$D$31:$D$144,'Compras '!$O$31:$O$144)</f>
        <v>#N/A</v>
      </c>
      <c r="D432" s="716" t="e">
        <f>_xlfn.XLOOKUP(B432,'Compras '!$D$31:$D$144,'Compras '!$J$31:$J$144)</f>
        <v>#N/A</v>
      </c>
    </row>
    <row r="433" spans="1:5" x14ac:dyDescent="0.3">
      <c r="A433" t="s">
        <v>26</v>
      </c>
      <c r="B433" t="str">
        <f>'Compras '!D83</f>
        <v>BID tampões pintura Anchieta</v>
      </c>
      <c r="C433" t="str">
        <f>_xlfn.XLOOKUP(B433,'Compras '!$D$31:$D$144,'Compras '!$O$31:$O$144)</f>
        <v>✓ Concluído</v>
      </c>
      <c r="D433" s="717">
        <f>_xlfn.XLOOKUP(B433,'Compras '!$D$31:$D$144,'Compras '!$J$31:$J$144)</f>
        <v>46023</v>
      </c>
      <c r="E433" s="224">
        <f ca="1">_xlfn.XLOOKUP(B433,Pareto!S:S,Pareto!V:V)</f>
        <v>12307.6975</v>
      </c>
    </row>
    <row r="434" spans="1:5" hidden="1" x14ac:dyDescent="0.3">
      <c r="A434" t="s">
        <v>26</v>
      </c>
      <c r="B434">
        <f>'Compras '!D84</f>
        <v>0</v>
      </c>
      <c r="C434" t="e">
        <f>_xlfn.XLOOKUP(B434,'Compras '!$D$31:$D$144,'Compras '!$O$31:$O$144)</f>
        <v>#N/A</v>
      </c>
      <c r="D434" s="716" t="e">
        <f>_xlfn.XLOOKUP(B434,'Compras '!$D$31:$D$144,'Compras '!$J$31:$J$144)</f>
        <v>#N/A</v>
      </c>
    </row>
    <row r="435" spans="1:5" hidden="1" x14ac:dyDescent="0.3">
      <c r="A435" t="s">
        <v>26</v>
      </c>
      <c r="B435" t="str">
        <f>'Compras '!D85</f>
        <v>BID consumíveis laser</v>
      </c>
      <c r="C435" t="str">
        <f>_xlfn.XLOOKUP(B435,'Compras '!$D$31:$D$144,'Compras '!$O$31:$O$144)</f>
        <v>✓ Concluído</v>
      </c>
      <c r="D435" s="716">
        <f>_xlfn.XLOOKUP(B435,'Compras '!$D$31:$D$144,'Compras '!$J$31:$J$144)</f>
        <v>46113</v>
      </c>
    </row>
    <row r="436" spans="1:5" hidden="1" x14ac:dyDescent="0.3">
      <c r="A436" t="s">
        <v>26</v>
      </c>
      <c r="B436">
        <f>'Compras '!D86</f>
        <v>0</v>
      </c>
      <c r="C436" t="e">
        <f>_xlfn.XLOOKUP(B436,'Compras '!$D$31:$D$144,'Compras '!$O$31:$O$144)</f>
        <v>#N/A</v>
      </c>
      <c r="D436" s="716" t="e">
        <f>_xlfn.XLOOKUP(B436,'Compras '!$D$31:$D$144,'Compras '!$J$31:$J$144)</f>
        <v>#N/A</v>
      </c>
    </row>
    <row r="437" spans="1:5" x14ac:dyDescent="0.3">
      <c r="A437" t="s">
        <v>26</v>
      </c>
      <c r="B437" t="str">
        <f>'Compras '!D87</f>
        <v>Troca fornecedor decapagem gancheiras Ferraz</v>
      </c>
      <c r="C437" t="str">
        <f>_xlfn.XLOOKUP(B437,'Compras '!$D$31:$D$144,'Compras '!$O$31:$O$144)</f>
        <v>✓ Concluído</v>
      </c>
      <c r="D437" s="717">
        <f>_xlfn.XLOOKUP(B437,'Compras '!$D$31:$D$144,'Compras '!$J$31:$J$144)</f>
        <v>46071</v>
      </c>
      <c r="E437" s="224">
        <f ca="1">_xlfn.XLOOKUP(B437,Pareto!S:S,Pareto!V:V)</f>
        <v>53950.80000000001</v>
      </c>
    </row>
    <row r="438" spans="1:5" hidden="1" x14ac:dyDescent="0.3">
      <c r="A438" t="s">
        <v>26</v>
      </c>
      <c r="B438">
        <f>'Compras '!D88</f>
        <v>0</v>
      </c>
      <c r="C438" t="e">
        <f>_xlfn.XLOOKUP(B438,'Compras '!$D$31:$D$144,'Compras '!$O$31:$O$144)</f>
        <v>#N/A</v>
      </c>
      <c r="D438" s="716" t="e">
        <f>_xlfn.XLOOKUP(B438,'Compras '!$D$31:$D$144,'Compras '!$J$31:$J$144)</f>
        <v>#N/A</v>
      </c>
    </row>
    <row r="439" spans="1:5" hidden="1" x14ac:dyDescent="0.3">
      <c r="A439" t="s">
        <v>26</v>
      </c>
      <c r="B439">
        <f>'Compras '!D89</f>
        <v>0</v>
      </c>
      <c r="C439" t="e">
        <f>_xlfn.XLOOKUP(B439,'Compras '!$D$31:$D$144,'Compras '!$O$31:$O$144)</f>
        <v>#N/A</v>
      </c>
      <c r="D439" s="716" t="e">
        <f>_xlfn.XLOOKUP(B439,'Compras '!$D$31:$D$144,'Compras '!$J$31:$J$144)</f>
        <v>#N/A</v>
      </c>
    </row>
    <row r="440" spans="1:5" hidden="1" x14ac:dyDescent="0.3">
      <c r="A440" t="s">
        <v>26</v>
      </c>
      <c r="B440">
        <f>'Compras '!D90</f>
        <v>0</v>
      </c>
      <c r="C440" t="e">
        <f>_xlfn.XLOOKUP(B440,'Compras '!$D$31:$D$144,'Compras '!$O$31:$O$144)</f>
        <v>#N/A</v>
      </c>
      <c r="D440" s="716" t="e">
        <f>_xlfn.XLOOKUP(B440,'Compras '!$D$31:$D$144,'Compras '!$J$31:$J$144)</f>
        <v>#N/A</v>
      </c>
    </row>
    <row r="441" spans="1:5" hidden="1" x14ac:dyDescent="0.3">
      <c r="A441" t="s">
        <v>26</v>
      </c>
      <c r="B441" t="str">
        <f>'Compras '!D91</f>
        <v>Redução MP Viga Banana</v>
      </c>
      <c r="C441" t="str">
        <f>_xlfn.XLOOKUP(B441,'Compras '!$D$31:$D$144,'Compras '!$O$31:$O$144)</f>
        <v>✓ Concluído</v>
      </c>
      <c r="D441" s="716">
        <f>_xlfn.XLOOKUP(B441,'Compras '!$D$31:$D$144,'Compras '!$J$31:$J$144)</f>
        <v>46066</v>
      </c>
    </row>
    <row r="442" spans="1:5" hidden="1" x14ac:dyDescent="0.3">
      <c r="A442" t="s">
        <v>26</v>
      </c>
      <c r="B442">
        <f>'Compras '!D92</f>
        <v>0</v>
      </c>
      <c r="C442" t="e">
        <f>_xlfn.XLOOKUP(B442,'Compras '!$D$31:$D$144,'Compras '!$O$31:$O$144)</f>
        <v>#N/A</v>
      </c>
      <c r="D442" s="716" t="e">
        <f>_xlfn.XLOOKUP(B442,'Compras '!$D$31:$D$144,'Compras '!$J$31:$J$144)</f>
        <v>#N/A</v>
      </c>
    </row>
    <row r="443" spans="1:5" x14ac:dyDescent="0.3">
      <c r="A443" t="s">
        <v>26</v>
      </c>
      <c r="B443" t="str">
        <f>'Compras '!D93</f>
        <v>Resourcing Hasmman para Metalac</v>
      </c>
      <c r="C443" t="str">
        <f>_xlfn.XLOOKUP(B443,'Compras '!$D$31:$D$144,'Compras '!$O$31:$O$144)</f>
        <v>✓ Concluído</v>
      </c>
      <c r="D443" s="717">
        <f>_xlfn.XLOOKUP(B443,'Compras '!$D$31:$D$144,'Compras '!$J$31:$J$144)</f>
        <v>46072</v>
      </c>
      <c r="E443" s="224">
        <f ca="1">_xlfn.XLOOKUP(B443,Pareto!S:S,Pareto!V:V)</f>
        <v>84511.090909090912</v>
      </c>
    </row>
    <row r="444" spans="1:5" hidden="1" x14ac:dyDescent="0.3">
      <c r="A444" t="s">
        <v>26</v>
      </c>
      <c r="B444">
        <f>'Compras '!D94</f>
        <v>0</v>
      </c>
      <c r="C444" t="e">
        <f>_xlfn.XLOOKUP(B444,'Compras '!$D$31:$D$144,'Compras '!$O$31:$O$144)</f>
        <v>#N/A</v>
      </c>
      <c r="D444" s="716" t="e">
        <f>_xlfn.XLOOKUP(B444,'Compras '!$D$31:$D$144,'Compras '!$J$31:$J$144)</f>
        <v>#N/A</v>
      </c>
    </row>
    <row r="445" spans="1:5" x14ac:dyDescent="0.3">
      <c r="A445" t="s">
        <v>26</v>
      </c>
      <c r="B445" t="str">
        <f>'Compras '!D95</f>
        <v>Negociação de preços materiais carcaça Dana</v>
      </c>
      <c r="C445" t="str">
        <f>_xlfn.XLOOKUP(B445,'Compras '!$D$31:$D$144,'Compras '!$O$31:$O$144)</f>
        <v>✓ Concluído</v>
      </c>
      <c r="D445" s="717">
        <f>_xlfn.XLOOKUP(B445,'Compras '!$D$31:$D$144,'Compras '!$J$31:$J$144)</f>
        <v>46023</v>
      </c>
      <c r="E445" s="224">
        <f ca="1">_xlfn.XLOOKUP(B445,Pareto!S:S,Pareto!V:V)</f>
        <v>1546534.6866666665</v>
      </c>
    </row>
    <row r="446" spans="1:5" hidden="1" x14ac:dyDescent="0.3">
      <c r="A446" t="s">
        <v>26</v>
      </c>
      <c r="B446">
        <f>'Compras '!D96</f>
        <v>0</v>
      </c>
      <c r="C446" t="e">
        <f>_xlfn.XLOOKUP(B446,'Compras '!$D$31:$D$144,'Compras '!$O$31:$O$144)</f>
        <v>#N/A</v>
      </c>
      <c r="D446" s="716" t="e">
        <f>_xlfn.XLOOKUP(B446,'Compras '!$D$31:$D$144,'Compras '!$J$31:$J$144)</f>
        <v>#N/A</v>
      </c>
    </row>
    <row r="447" spans="1:5" hidden="1" x14ac:dyDescent="0.3">
      <c r="A447" t="s">
        <v>26</v>
      </c>
      <c r="B447" t="str">
        <f>'Compras '!D97</f>
        <v>BID Corporativo Punções</v>
      </c>
      <c r="C447" t="str">
        <f>_xlfn.XLOOKUP(B447,'Compras '!$D$31:$D$144,'Compras '!$O$31:$O$144)</f>
        <v>✓ Concluído</v>
      </c>
      <c r="D447" s="716">
        <f>_xlfn.XLOOKUP(B447,'Compras '!$D$31:$D$144,'Compras '!$J$31:$J$144)</f>
        <v>46235</v>
      </c>
    </row>
    <row r="448" spans="1:5" hidden="1" x14ac:dyDescent="0.3">
      <c r="A448" t="s">
        <v>26</v>
      </c>
      <c r="B448">
        <f>'Compras '!D98</f>
        <v>0</v>
      </c>
      <c r="C448" t="e">
        <f>_xlfn.XLOOKUP(B448,'Compras '!$D$31:$D$144,'Compras '!$O$31:$O$144)</f>
        <v>#N/A</v>
      </c>
      <c r="D448" s="716" t="e">
        <f>_xlfn.XLOOKUP(B448,'Compras '!$D$31:$D$144,'Compras '!$J$31:$J$144)</f>
        <v>#N/A</v>
      </c>
    </row>
    <row r="449" spans="1:4" hidden="1" x14ac:dyDescent="0.3">
      <c r="A449" t="s">
        <v>26</v>
      </c>
      <c r="B449" t="str">
        <f>'Compras '!D99</f>
        <v>Estratégia comercial com as Usinas</v>
      </c>
      <c r="C449" t="str">
        <f>_xlfn.XLOOKUP(B449,'Compras '!$D$31:$D$144,'Compras '!$O$31:$O$144)</f>
        <v>⏳ Em Execução</v>
      </c>
      <c r="D449" s="716">
        <f>_xlfn.XLOOKUP(B449,'Compras '!$D$31:$D$144,'Compras '!$J$31:$J$144)</f>
        <v>46266</v>
      </c>
    </row>
    <row r="450" spans="1:4" hidden="1" x14ac:dyDescent="0.3">
      <c r="A450" t="s">
        <v>26</v>
      </c>
      <c r="B450">
        <f>'Compras '!D100</f>
        <v>0</v>
      </c>
      <c r="C450" t="e">
        <f>_xlfn.XLOOKUP(B450,'Compras '!$D$31:$D$144,'Compras '!$O$31:$O$144)</f>
        <v>#N/A</v>
      </c>
      <c r="D450" s="716" t="e">
        <f>_xlfn.XLOOKUP(B450,'Compras '!$D$31:$D$144,'Compras '!$J$31:$J$144)</f>
        <v>#N/A</v>
      </c>
    </row>
    <row r="451" spans="1:4" hidden="1" x14ac:dyDescent="0.3">
      <c r="A451" t="s">
        <v>26</v>
      </c>
      <c r="B451" t="str">
        <f>'Compras '!D101</f>
        <v>Negociação Porca Bollhoff 15341 Saga</v>
      </c>
      <c r="C451" t="str">
        <f>_xlfn.XLOOKUP(B451,'Compras '!$D$31:$D$144,'Compras '!$O$31:$O$144)</f>
        <v>✓ Concluído</v>
      </c>
      <c r="D451" s="716">
        <f>_xlfn.XLOOKUP(B451,'Compras '!$D$31:$D$144,'Compras '!$J$31:$J$144)</f>
        <v>46101</v>
      </c>
    </row>
    <row r="452" spans="1:4" hidden="1" x14ac:dyDescent="0.3">
      <c r="A452" t="s">
        <v>26</v>
      </c>
      <c r="B452">
        <f>'Compras '!D102</f>
        <v>0</v>
      </c>
      <c r="C452" t="e">
        <f>_xlfn.XLOOKUP(B452,'Compras '!$D$31:$D$144,'Compras '!$O$31:$O$144)</f>
        <v>#N/A</v>
      </c>
      <c r="D452" s="716" t="e">
        <f>_xlfn.XLOOKUP(B452,'Compras '!$D$31:$D$144,'Compras '!$J$31:$J$144)</f>
        <v>#N/A</v>
      </c>
    </row>
    <row r="453" spans="1:4" hidden="1" x14ac:dyDescent="0.3">
      <c r="A453" t="s">
        <v>26</v>
      </c>
      <c r="B453" t="str">
        <f>'Compras '!D103</f>
        <v>Projeto DANA - Fornecimento MTL</v>
      </c>
      <c r="C453" t="str">
        <f>_xlfn.XLOOKUP(B453,'Compras '!$D$31:$D$144,'Compras '!$O$31:$O$144)</f>
        <v>📝 Não iniciado</v>
      </c>
      <c r="D453" s="716">
        <f>_xlfn.XLOOKUP(B453,'Compras '!$D$31:$D$144,'Compras '!$J$31:$J$144)</f>
        <v>46366</v>
      </c>
    </row>
    <row r="454" spans="1:4" hidden="1" x14ac:dyDescent="0.3">
      <c r="A454" t="s">
        <v>26</v>
      </c>
      <c r="B454">
        <f>'Compras '!D104</f>
        <v>0</v>
      </c>
      <c r="C454" t="e">
        <f>_xlfn.XLOOKUP(B454,'Compras '!$D$31:$D$144,'Compras '!$O$31:$O$144)</f>
        <v>#N/A</v>
      </c>
      <c r="D454" s="716" t="e">
        <f>_xlfn.XLOOKUP(B454,'Compras '!$D$31:$D$144,'Compras '!$J$31:$J$144)</f>
        <v>#N/A</v>
      </c>
    </row>
    <row r="455" spans="1:4" hidden="1" x14ac:dyDescent="0.3">
      <c r="A455" t="s">
        <v>26</v>
      </c>
      <c r="B455" t="str">
        <f>'Compras '!D105</f>
        <v>Destinação Borra Plasma Ferraz</v>
      </c>
      <c r="C455" t="str">
        <f>_xlfn.XLOOKUP(B455,'Compras '!$D$31:$D$144,'Compras '!$O$31:$O$144)</f>
        <v>✓ Concluído</v>
      </c>
      <c r="D455" s="716">
        <f>_xlfn.XLOOKUP(B455,'Compras '!$D$31:$D$144,'Compras '!$J$31:$J$144)</f>
        <v>46143</v>
      </c>
    </row>
    <row r="456" spans="1:4" hidden="1" x14ac:dyDescent="0.3">
      <c r="A456" t="s">
        <v>26</v>
      </c>
      <c r="B456">
        <f>'Compras '!D106</f>
        <v>0</v>
      </c>
      <c r="C456" t="e">
        <f>_xlfn.XLOOKUP(B456,'Compras '!$D$31:$D$144,'Compras '!$O$31:$O$144)</f>
        <v>#N/A</v>
      </c>
      <c r="D456" s="716" t="e">
        <f>_xlfn.XLOOKUP(B456,'Compras '!$D$31:$D$144,'Compras '!$J$31:$J$144)</f>
        <v>#N/A</v>
      </c>
    </row>
    <row r="457" spans="1:4" hidden="1" x14ac:dyDescent="0.3">
      <c r="A457" t="s">
        <v>26</v>
      </c>
      <c r="B457" t="str">
        <f>'Compras '!D107</f>
        <v>Ex Tarifário Transfer Norda</v>
      </c>
      <c r="C457" t="str">
        <f>_xlfn.XLOOKUP(B457,'Compras '!$D$31:$D$144,'Compras '!$O$31:$O$144)</f>
        <v>⏳ Em Execução</v>
      </c>
      <c r="D457" s="716">
        <f>_xlfn.XLOOKUP(B457,'Compras '!$D$31:$D$144,'Compras '!$J$31:$J$144)</f>
        <v>46311</v>
      </c>
    </row>
    <row r="458" spans="1:4" hidden="1" x14ac:dyDescent="0.3">
      <c r="A458" t="s">
        <v>26</v>
      </c>
      <c r="B458">
        <f>'Compras '!D108</f>
        <v>0</v>
      </c>
      <c r="C458" t="e">
        <f>_xlfn.XLOOKUP(B458,'Compras '!$D$31:$D$144,'Compras '!$O$31:$O$144)</f>
        <v>#N/A</v>
      </c>
      <c r="D458" s="716" t="e">
        <f>_xlfn.XLOOKUP(B458,'Compras '!$D$31:$D$144,'Compras '!$J$31:$J$144)</f>
        <v>#N/A</v>
      </c>
    </row>
    <row r="459" spans="1:4" hidden="1" x14ac:dyDescent="0.3">
      <c r="A459" t="s">
        <v>26</v>
      </c>
      <c r="B459" t="str">
        <f>'Compras '!D109</f>
        <v>Redução Itens Mercedes</v>
      </c>
      <c r="C459" t="str">
        <f>_xlfn.XLOOKUP(B459,'Compras '!$D$31:$D$144,'Compras '!$O$31:$O$144)</f>
        <v>✓ Concluído</v>
      </c>
      <c r="D459" s="716">
        <f>_xlfn.XLOOKUP(B459,'Compras '!$D$31:$D$144,'Compras '!$J$31:$J$144)</f>
        <v>46113</v>
      </c>
    </row>
    <row r="460" spans="1:4" hidden="1" x14ac:dyDescent="0.3">
      <c r="A460" t="s">
        <v>26</v>
      </c>
      <c r="B460">
        <f>'Compras '!D110</f>
        <v>0</v>
      </c>
      <c r="C460" t="e">
        <f>_xlfn.XLOOKUP(B460,'Compras '!$D$31:$D$144,'Compras '!$O$31:$O$144)</f>
        <v>#N/A</v>
      </c>
      <c r="D460" s="716" t="e">
        <f>_xlfn.XLOOKUP(B460,'Compras '!$D$31:$D$144,'Compras '!$J$31:$J$144)</f>
        <v>#N/A</v>
      </c>
    </row>
    <row r="461" spans="1:4" hidden="1" x14ac:dyDescent="0.3">
      <c r="A461" t="s">
        <v>26</v>
      </c>
      <c r="B461">
        <f>'Compras '!D143</f>
        <v>0</v>
      </c>
      <c r="C461" t="e">
        <f>_xlfn.XLOOKUP(B461,'Compras '!$D$31:$D$144,'Compras '!$O$31:$O$144)</f>
        <v>#N/A</v>
      </c>
      <c r="D461" s="716" t="e">
        <f>_xlfn.XLOOKUP(B461,'Compras '!$D$31:$D$144,'Compras '!$J$31:$J$144)</f>
        <v>#N/A</v>
      </c>
    </row>
    <row r="462" spans="1:4" hidden="1" x14ac:dyDescent="0.3">
      <c r="A462" t="s">
        <v>26</v>
      </c>
      <c r="B462">
        <f>'Compras '!D144</f>
        <v>0</v>
      </c>
      <c r="C462" t="e">
        <f>_xlfn.XLOOKUP(B462,'Compras '!$D$31:$D$144,'Compras '!$O$31:$O$144)</f>
        <v>#N/A</v>
      </c>
      <c r="D462" s="716" t="e">
        <f>_xlfn.XLOOKUP(B462,'Compras '!$D$31:$D$144,'Compras '!$J$31:$J$144)</f>
        <v>#N/A</v>
      </c>
    </row>
    <row r="463" spans="1:4" hidden="1" x14ac:dyDescent="0.3">
      <c r="A463" t="s">
        <v>26</v>
      </c>
      <c r="B463">
        <f>'Compras '!C145</f>
        <v>0</v>
      </c>
      <c r="C463" t="e">
        <f>_xlfn.XLOOKUP(B463,'Compras '!$D$31:$D$144,'Compras '!$O$31:$O$144)</f>
        <v>#N/A</v>
      </c>
      <c r="D463" s="716" t="e">
        <f>_xlfn.XLOOKUP(B463,'Compras '!$D$31:$D$144,'Compras '!$J$31:$J$144)</f>
        <v>#N/A</v>
      </c>
    </row>
    <row r="464" spans="1:4" hidden="1" x14ac:dyDescent="0.3">
      <c r="A464" t="s">
        <v>26</v>
      </c>
      <c r="B464">
        <f>'Compras '!C146</f>
        <v>0</v>
      </c>
      <c r="C464" t="e">
        <f>_xlfn.XLOOKUP(B464,'Compras '!$D$31:$D$144,'Compras '!$O$31:$O$144)</f>
        <v>#N/A</v>
      </c>
      <c r="D464" s="716" t="e">
        <f>_xlfn.XLOOKUP(B464,'Compras '!$D$31:$D$144,'Compras '!$J$31:$J$144)</f>
        <v>#N/A</v>
      </c>
    </row>
    <row r="465" spans="1:4" hidden="1" x14ac:dyDescent="0.3">
      <c r="A465" t="s">
        <v>26</v>
      </c>
      <c r="B465">
        <f>'Compras '!C147</f>
        <v>0</v>
      </c>
      <c r="C465" t="e">
        <f>_xlfn.XLOOKUP(B465,'Compras '!$D$31:$D$144,'Compras '!$O$31:$O$144)</f>
        <v>#N/A</v>
      </c>
      <c r="D465" s="716" t="e">
        <f>_xlfn.XLOOKUP(B465,'Compras '!$D$31:$D$144,'Compras '!$J$31:$J$144)</f>
        <v>#N/A</v>
      </c>
    </row>
    <row r="466" spans="1:4" hidden="1" x14ac:dyDescent="0.3">
      <c r="A466" t="s">
        <v>26</v>
      </c>
      <c r="B466">
        <f>'Compras '!C148</f>
        <v>0</v>
      </c>
      <c r="C466" t="e">
        <f>_xlfn.XLOOKUP(B466,'Compras '!$D$31:$D$144,'Compras '!$O$31:$O$144)</f>
        <v>#N/A</v>
      </c>
      <c r="D466" s="716" t="e">
        <f>_xlfn.XLOOKUP(B466,'Compras '!$D$31:$D$144,'Compras '!$J$31:$J$144)</f>
        <v>#N/A</v>
      </c>
    </row>
    <row r="467" spans="1:4" hidden="1" x14ac:dyDescent="0.3">
      <c r="A467" t="s">
        <v>26</v>
      </c>
      <c r="B467">
        <f>'Compras '!C149</f>
        <v>0</v>
      </c>
      <c r="C467" t="e">
        <f>_xlfn.XLOOKUP(B467,'Compras '!$D$31:$D$144,'Compras '!$O$31:$O$144)</f>
        <v>#N/A</v>
      </c>
      <c r="D467" s="716" t="e">
        <f>_xlfn.XLOOKUP(B467,'Compras '!$D$31:$D$144,'Compras '!$J$31:$J$144)</f>
        <v>#N/A</v>
      </c>
    </row>
    <row r="468" spans="1:4" hidden="1" x14ac:dyDescent="0.3">
      <c r="A468" t="s">
        <v>26</v>
      </c>
      <c r="B468">
        <f>'Compras '!C150</f>
        <v>0</v>
      </c>
      <c r="C468" t="e">
        <f>_xlfn.XLOOKUP(B468,'Compras '!$D$31:$D$144,'Compras '!$O$31:$O$144)</f>
        <v>#N/A</v>
      </c>
      <c r="D468" s="716" t="e">
        <f>_xlfn.XLOOKUP(B468,'Compras '!$D$31:$D$144,'Compras '!$J$31:$J$144)</f>
        <v>#N/A</v>
      </c>
    </row>
    <row r="469" spans="1:4" hidden="1" x14ac:dyDescent="0.3">
      <c r="A469" t="s">
        <v>26</v>
      </c>
      <c r="B469">
        <f>'Compras '!C151</f>
        <v>0</v>
      </c>
      <c r="C469" t="e">
        <f>_xlfn.XLOOKUP(B469,'Compras '!$D$31:$D$144,'Compras '!$O$31:$O$144)</f>
        <v>#N/A</v>
      </c>
      <c r="D469" s="716" t="e">
        <f>_xlfn.XLOOKUP(B469,'Compras '!$D$31:$D$144,'Compras '!$J$31:$J$144)</f>
        <v>#N/A</v>
      </c>
    </row>
    <row r="470" spans="1:4" hidden="1" x14ac:dyDescent="0.3">
      <c r="A470" t="s">
        <v>26</v>
      </c>
      <c r="B470">
        <f>'Compras '!C152</f>
        <v>0</v>
      </c>
      <c r="C470" t="e">
        <f>_xlfn.XLOOKUP(B470,'Compras '!$D$31:$D$144,'Compras '!$O$31:$O$144)</f>
        <v>#N/A</v>
      </c>
      <c r="D470" s="716" t="e">
        <f>_xlfn.XLOOKUP(B470,'Compras '!$D$31:$D$144,'Compras '!$J$31:$J$144)</f>
        <v>#N/A</v>
      </c>
    </row>
    <row r="471" spans="1:4" hidden="1" x14ac:dyDescent="0.3">
      <c r="A471" t="s">
        <v>26</v>
      </c>
      <c r="B471">
        <f>'Compras '!C153</f>
        <v>0</v>
      </c>
      <c r="C471" t="e">
        <f>_xlfn.XLOOKUP(B471,'Compras '!$D$31:$D$144,'Compras '!$O$31:$O$144)</f>
        <v>#N/A</v>
      </c>
      <c r="D471" s="716" t="e">
        <f>_xlfn.XLOOKUP(B471,'Compras '!$D$31:$D$144,'Compras '!$J$31:$J$144)</f>
        <v>#N/A</v>
      </c>
    </row>
    <row r="472" spans="1:4" hidden="1" x14ac:dyDescent="0.3">
      <c r="A472" t="s">
        <v>26</v>
      </c>
      <c r="B472">
        <f>'Compras '!C154</f>
        <v>0</v>
      </c>
      <c r="C472" t="e">
        <f>_xlfn.XLOOKUP(B472,'Compras '!$D$31:$D$144,'Compras '!$O$31:$O$144)</f>
        <v>#N/A</v>
      </c>
      <c r="D472" s="716" t="e">
        <f>_xlfn.XLOOKUP(B472,'Compras '!$D$31:$D$144,'Compras '!$J$31:$J$144)</f>
        <v>#N/A</v>
      </c>
    </row>
    <row r="473" spans="1:4" hidden="1" x14ac:dyDescent="0.3">
      <c r="A473" t="s">
        <v>26</v>
      </c>
      <c r="B473">
        <f>'Compras '!C155</f>
        <v>0</v>
      </c>
      <c r="C473" t="e">
        <f>_xlfn.XLOOKUP(B473,'Compras '!$D$31:$D$144,'Compras '!$O$31:$O$144)</f>
        <v>#N/A</v>
      </c>
      <c r="D473" s="716" t="e">
        <f>_xlfn.XLOOKUP(B473,'Compras '!$D$31:$D$144,'Compras '!$J$31:$J$144)</f>
        <v>#N/A</v>
      </c>
    </row>
    <row r="474" spans="1:4" hidden="1" x14ac:dyDescent="0.3">
      <c r="A474" t="s">
        <v>26</v>
      </c>
      <c r="B474">
        <f>'Compras '!C156</f>
        <v>0</v>
      </c>
      <c r="C474" t="e">
        <f>_xlfn.XLOOKUP(B474,'Compras '!$D$31:$D$144,'Compras '!$O$31:$O$144)</f>
        <v>#N/A</v>
      </c>
      <c r="D474" s="716" t="e">
        <f>_xlfn.XLOOKUP(B474,'Compras '!$D$31:$D$144,'Compras '!$J$31:$J$144)</f>
        <v>#N/A</v>
      </c>
    </row>
    <row r="475" spans="1:4" hidden="1" x14ac:dyDescent="0.3">
      <c r="A475" t="s">
        <v>26</v>
      </c>
      <c r="B475">
        <f>'Compras '!C157</f>
        <v>0</v>
      </c>
      <c r="C475" t="e">
        <f>_xlfn.XLOOKUP(B475,'Compras '!$D$31:$D$144,'Compras '!$O$31:$O$144)</f>
        <v>#N/A</v>
      </c>
      <c r="D475" s="716" t="e">
        <f>_xlfn.XLOOKUP(B475,'Compras '!$D$31:$D$144,'Compras '!$J$31:$J$144)</f>
        <v>#N/A</v>
      </c>
    </row>
    <row r="476" spans="1:4" hidden="1" x14ac:dyDescent="0.3">
      <c r="A476" t="s">
        <v>26</v>
      </c>
      <c r="B476">
        <f>'Compras '!C158</f>
        <v>0</v>
      </c>
      <c r="C476" t="e">
        <f>_xlfn.XLOOKUP(B476,'Compras '!$D$31:$D$144,'Compras '!$O$31:$O$144)</f>
        <v>#N/A</v>
      </c>
      <c r="D476" s="716" t="e">
        <f>_xlfn.XLOOKUP(B476,'Compras '!$D$31:$D$144,'Compras '!$J$31:$J$144)</f>
        <v>#N/A</v>
      </c>
    </row>
    <row r="477" spans="1:4" hidden="1" x14ac:dyDescent="0.3">
      <c r="A477" t="s">
        <v>26</v>
      </c>
      <c r="B477">
        <f>'Compras '!C159</f>
        <v>0</v>
      </c>
      <c r="C477" t="e">
        <f>_xlfn.XLOOKUP(B477,'Compras '!$D$31:$D$144,'Compras '!$O$31:$O$144)</f>
        <v>#N/A</v>
      </c>
      <c r="D477" s="716" t="e">
        <f>_xlfn.XLOOKUP(B477,'Compras '!$D$31:$D$144,'Compras '!$J$31:$J$144)</f>
        <v>#N/A</v>
      </c>
    </row>
    <row r="478" spans="1:4" hidden="1" x14ac:dyDescent="0.3">
      <c r="A478" t="s">
        <v>26</v>
      </c>
      <c r="B478">
        <f>'Compras '!C160</f>
        <v>0</v>
      </c>
      <c r="C478" t="e">
        <f>_xlfn.XLOOKUP(B478,'Compras '!$D$31:$D$144,'Compras '!$O$31:$O$144)</f>
        <v>#N/A</v>
      </c>
      <c r="D478" s="716" t="e">
        <f>_xlfn.XLOOKUP(B478,'Compras '!$D$31:$D$144,'Compras '!$J$31:$J$144)</f>
        <v>#N/A</v>
      </c>
    </row>
    <row r="479" spans="1:4" hidden="1" x14ac:dyDescent="0.3">
      <c r="A479" t="s">
        <v>26</v>
      </c>
      <c r="B479">
        <f>'Compras '!C161</f>
        <v>0</v>
      </c>
      <c r="C479" t="e">
        <f>_xlfn.XLOOKUP(B479,'Compras '!$D$31:$D$144,'Compras '!$O$31:$O$144)</f>
        <v>#N/A</v>
      </c>
      <c r="D479" s="716" t="e">
        <f>_xlfn.XLOOKUP(B479,'Compras '!$D$31:$D$144,'Compras '!$J$31:$J$144)</f>
        <v>#N/A</v>
      </c>
    </row>
    <row r="480" spans="1:4" hidden="1" x14ac:dyDescent="0.3">
      <c r="A480" t="s">
        <v>26</v>
      </c>
      <c r="B480">
        <f>'Compras '!C162</f>
        <v>0</v>
      </c>
      <c r="C480" t="e">
        <f>_xlfn.XLOOKUP(B480,'Compras '!$D$31:$D$144,'Compras '!$O$31:$O$144)</f>
        <v>#N/A</v>
      </c>
      <c r="D480" s="716" t="e">
        <f>_xlfn.XLOOKUP(B480,'Compras '!$D$31:$D$144,'Compras '!$J$31:$J$144)</f>
        <v>#N/A</v>
      </c>
    </row>
    <row r="481" spans="1:4" hidden="1" x14ac:dyDescent="0.3">
      <c r="A481" t="s">
        <v>26</v>
      </c>
      <c r="B481">
        <f>'Compras '!C163</f>
        <v>0</v>
      </c>
      <c r="C481" t="e">
        <f>_xlfn.XLOOKUP(B481,'Compras '!$D$31:$D$144,'Compras '!$O$31:$O$144)</f>
        <v>#N/A</v>
      </c>
      <c r="D481" s="716" t="e">
        <f>_xlfn.XLOOKUP(B481,'Compras '!$D$31:$D$144,'Compras '!$J$31:$J$144)</f>
        <v>#N/A</v>
      </c>
    </row>
    <row r="482" spans="1:4" hidden="1" x14ac:dyDescent="0.3">
      <c r="A482" t="s">
        <v>26</v>
      </c>
      <c r="B482">
        <f>'Compras '!C164</f>
        <v>0</v>
      </c>
      <c r="C482" t="e">
        <f>_xlfn.XLOOKUP(B482,'Compras '!$D$31:$D$144,'Compras '!$O$31:$O$144)</f>
        <v>#N/A</v>
      </c>
      <c r="D482" s="716" t="e">
        <f>_xlfn.XLOOKUP(B482,'Compras '!$D$31:$D$144,'Compras '!$J$31:$J$144)</f>
        <v>#N/A</v>
      </c>
    </row>
    <row r="483" spans="1:4" hidden="1" x14ac:dyDescent="0.3">
      <c r="A483" t="s">
        <v>26</v>
      </c>
      <c r="B483">
        <f>'Compras '!C165</f>
        <v>0</v>
      </c>
      <c r="C483" t="e">
        <f>_xlfn.XLOOKUP(B483,'Compras '!$D$31:$D$144,'Compras '!$O$31:$O$144)</f>
        <v>#N/A</v>
      </c>
      <c r="D483" s="716" t="e">
        <f>_xlfn.XLOOKUP(B483,'Compras '!$D$31:$D$144,'Compras '!$J$31:$J$144)</f>
        <v>#N/A</v>
      </c>
    </row>
    <row r="484" spans="1:4" hidden="1" x14ac:dyDescent="0.3">
      <c r="A484" t="s">
        <v>26</v>
      </c>
      <c r="B484">
        <f>'Compras '!C166</f>
        <v>0</v>
      </c>
      <c r="C484" t="e">
        <f>_xlfn.XLOOKUP(B484,'Compras '!$D$31:$D$144,'Compras '!$O$31:$O$144)</f>
        <v>#N/A</v>
      </c>
      <c r="D484" s="716" t="e">
        <f>_xlfn.XLOOKUP(B484,'Compras '!$D$31:$D$144,'Compras '!$J$31:$J$144)</f>
        <v>#N/A</v>
      </c>
    </row>
    <row r="485" spans="1:4" hidden="1" x14ac:dyDescent="0.3">
      <c r="A485" t="s">
        <v>26</v>
      </c>
      <c r="B485">
        <f>'Compras '!C167</f>
        <v>0</v>
      </c>
      <c r="C485" t="e">
        <f>_xlfn.XLOOKUP(B485,'Compras '!$D$31:$D$144,'Compras '!$O$31:$O$144)</f>
        <v>#N/A</v>
      </c>
      <c r="D485" s="716" t="e">
        <f>_xlfn.XLOOKUP(B485,'Compras '!$D$31:$D$144,'Compras '!$J$31:$J$144)</f>
        <v>#N/A</v>
      </c>
    </row>
    <row r="486" spans="1:4" hidden="1" x14ac:dyDescent="0.3">
      <c r="A486" t="s">
        <v>26</v>
      </c>
      <c r="B486">
        <f>'Compras '!C168</f>
        <v>0</v>
      </c>
      <c r="C486" t="e">
        <f>_xlfn.XLOOKUP(B486,'Compras '!$D$31:$D$144,'Compras '!$O$31:$O$144)</f>
        <v>#N/A</v>
      </c>
      <c r="D486" s="716" t="e">
        <f>_xlfn.XLOOKUP(B486,'Compras '!$D$31:$D$144,'Compras '!$J$31:$J$144)</f>
        <v>#N/A</v>
      </c>
    </row>
    <row r="487" spans="1:4" hidden="1" x14ac:dyDescent="0.3">
      <c r="A487" t="s">
        <v>26</v>
      </c>
      <c r="B487">
        <f>'Compras '!C169</f>
        <v>0</v>
      </c>
      <c r="C487" t="e">
        <f>_xlfn.XLOOKUP(B487,'Compras '!$D$31:$D$144,'Compras '!$O$31:$O$144)</f>
        <v>#N/A</v>
      </c>
      <c r="D487" s="716" t="e">
        <f>_xlfn.XLOOKUP(B487,'Compras '!$D$31:$D$144,'Compras '!$J$31:$J$144)</f>
        <v>#N/A</v>
      </c>
    </row>
    <row r="488" spans="1:4" hidden="1" x14ac:dyDescent="0.3">
      <c r="A488" t="s">
        <v>26</v>
      </c>
      <c r="B488">
        <f>'Compras '!C170</f>
        <v>0</v>
      </c>
      <c r="C488" t="e">
        <f>_xlfn.XLOOKUP(B488,'Compras '!$D$31:$D$144,'Compras '!$O$31:$O$144)</f>
        <v>#N/A</v>
      </c>
      <c r="D488" s="716" t="e">
        <f>_xlfn.XLOOKUP(B488,'Compras '!$D$31:$D$144,'Compras '!$J$31:$J$144)</f>
        <v>#N/A</v>
      </c>
    </row>
    <row r="489" spans="1:4" hidden="1" x14ac:dyDescent="0.3">
      <c r="A489" t="s">
        <v>26</v>
      </c>
      <c r="B489">
        <f>'Compras '!C171</f>
        <v>0</v>
      </c>
      <c r="C489" t="e">
        <f>_xlfn.XLOOKUP(B489,'Compras '!$D$31:$D$144,'Compras '!$O$31:$O$144)</f>
        <v>#N/A</v>
      </c>
      <c r="D489" s="716" t="e">
        <f>_xlfn.XLOOKUP(B489,'Compras '!$D$31:$D$144,'Compras '!$J$31:$J$144)</f>
        <v>#N/A</v>
      </c>
    </row>
    <row r="490" spans="1:4" hidden="1" x14ac:dyDescent="0.3">
      <c r="A490" t="s">
        <v>26</v>
      </c>
      <c r="B490">
        <f>'Compras '!C172</f>
        <v>0</v>
      </c>
      <c r="C490" t="e">
        <f>_xlfn.XLOOKUP(B490,'Compras '!$D$31:$D$144,'Compras '!$O$31:$O$144)</f>
        <v>#N/A</v>
      </c>
      <c r="D490" s="716" t="e">
        <f>_xlfn.XLOOKUP(B490,'Compras '!$D$31:$D$144,'Compras '!$J$31:$J$144)</f>
        <v>#N/A</v>
      </c>
    </row>
    <row r="491" spans="1:4" hidden="1" x14ac:dyDescent="0.3">
      <c r="A491" t="s">
        <v>26</v>
      </c>
      <c r="B491">
        <f>'Compras '!C173</f>
        <v>0</v>
      </c>
      <c r="C491" t="e">
        <f>_xlfn.XLOOKUP(B491,'Compras '!$D$31:$D$144,'Compras '!$O$31:$O$144)</f>
        <v>#N/A</v>
      </c>
      <c r="D491" s="716" t="e">
        <f>_xlfn.XLOOKUP(B491,'Compras '!$D$31:$D$144,'Compras '!$J$31:$J$144)</f>
        <v>#N/A</v>
      </c>
    </row>
    <row r="492" spans="1:4" hidden="1" x14ac:dyDescent="0.3">
      <c r="A492" t="s">
        <v>26</v>
      </c>
      <c r="B492">
        <f>'Compras '!C174</f>
        <v>0</v>
      </c>
      <c r="C492" t="e">
        <f>_xlfn.XLOOKUP(B492,'Compras '!$D$31:$D$144,'Compras '!$O$31:$O$144)</f>
        <v>#N/A</v>
      </c>
      <c r="D492" s="716" t="e">
        <f>_xlfn.XLOOKUP(B492,'Compras '!$D$31:$D$144,'Compras '!$J$31:$J$144)</f>
        <v>#N/A</v>
      </c>
    </row>
    <row r="493" spans="1:4" hidden="1" x14ac:dyDescent="0.3">
      <c r="A493" t="s">
        <v>26</v>
      </c>
      <c r="B493">
        <f>'Compras '!C175</f>
        <v>0</v>
      </c>
      <c r="C493" t="e">
        <f>_xlfn.XLOOKUP(B493,'Compras '!$D$31:$D$144,'Compras '!$O$31:$O$144)</f>
        <v>#N/A</v>
      </c>
      <c r="D493" s="716" t="e">
        <f>_xlfn.XLOOKUP(B493,'Compras '!$D$31:$D$144,'Compras '!$J$31:$J$144)</f>
        <v>#N/A</v>
      </c>
    </row>
    <row r="494" spans="1:4" hidden="1" x14ac:dyDescent="0.3">
      <c r="A494" t="s">
        <v>26</v>
      </c>
      <c r="B494">
        <f>'Compras '!C176</f>
        <v>0</v>
      </c>
      <c r="C494" t="e">
        <f>_xlfn.XLOOKUP(B494,'Compras '!$D$31:$D$144,'Compras '!$O$31:$O$144)</f>
        <v>#N/A</v>
      </c>
      <c r="D494" s="716" t="e">
        <f>_xlfn.XLOOKUP(B494,'Compras '!$D$31:$D$144,'Compras '!$J$31:$J$144)</f>
        <v>#N/A</v>
      </c>
    </row>
    <row r="495" spans="1:4" hidden="1" x14ac:dyDescent="0.3">
      <c r="A495" t="s">
        <v>26</v>
      </c>
      <c r="B495">
        <f>'Compras '!C177</f>
        <v>0</v>
      </c>
      <c r="C495" t="e">
        <f>_xlfn.XLOOKUP(B495,'Compras '!$D$31:$D$144,'Compras '!$O$31:$O$144)</f>
        <v>#N/A</v>
      </c>
      <c r="D495" s="716" t="e">
        <f>_xlfn.XLOOKUP(B495,'Compras '!$D$31:$D$144,'Compras '!$J$31:$J$144)</f>
        <v>#N/A</v>
      </c>
    </row>
    <row r="496" spans="1:4" hidden="1" x14ac:dyDescent="0.3">
      <c r="A496" t="s">
        <v>26</v>
      </c>
      <c r="B496">
        <f>'Compras '!C178</f>
        <v>0</v>
      </c>
      <c r="C496" t="e">
        <f>_xlfn.XLOOKUP(B496,'Compras '!$D$31:$D$144,'Compras '!$O$31:$O$144)</f>
        <v>#N/A</v>
      </c>
      <c r="D496" s="716" t="e">
        <f>_xlfn.XLOOKUP(B496,'Compras '!$D$31:$D$144,'Compras '!$J$31:$J$144)</f>
        <v>#N/A</v>
      </c>
    </row>
    <row r="497" spans="1:4" hidden="1" x14ac:dyDescent="0.3">
      <c r="A497" t="s">
        <v>26</v>
      </c>
      <c r="B497">
        <f>'Compras '!C179</f>
        <v>0</v>
      </c>
      <c r="C497" t="e">
        <f>_xlfn.XLOOKUP(B497,'Compras '!$D$31:$D$144,'Compras '!$O$31:$O$144)</f>
        <v>#N/A</v>
      </c>
      <c r="D497" s="716" t="e">
        <f>_xlfn.XLOOKUP(B497,'Compras '!$D$31:$D$144,'Compras '!$J$31:$J$144)</f>
        <v>#N/A</v>
      </c>
    </row>
    <row r="498" spans="1:4" hidden="1" x14ac:dyDescent="0.3">
      <c r="A498" t="s">
        <v>26</v>
      </c>
      <c r="B498">
        <f>'Compras '!C180</f>
        <v>0</v>
      </c>
      <c r="C498" t="e">
        <f>_xlfn.XLOOKUP(B498,'Compras '!$D$31:$D$144,'Compras '!$O$31:$O$144)</f>
        <v>#N/A</v>
      </c>
      <c r="D498" s="716" t="e">
        <f>_xlfn.XLOOKUP(B498,'Compras '!$D$31:$D$144,'Compras '!$J$31:$J$144)</f>
        <v>#N/A</v>
      </c>
    </row>
    <row r="499" spans="1:4" hidden="1" x14ac:dyDescent="0.3">
      <c r="A499" t="s">
        <v>26</v>
      </c>
      <c r="B499">
        <f>'Compras '!C181</f>
        <v>0</v>
      </c>
      <c r="C499" t="e">
        <f>_xlfn.XLOOKUP(B499,'Compras '!$D$31:$D$144,'Compras '!$O$31:$O$144)</f>
        <v>#N/A</v>
      </c>
      <c r="D499" s="716" t="e">
        <f>_xlfn.XLOOKUP(B499,'Compras '!$D$31:$D$144,'Compras '!$J$31:$J$144)</f>
        <v>#N/A</v>
      </c>
    </row>
    <row r="500" spans="1:4" hidden="1" x14ac:dyDescent="0.3">
      <c r="A500" t="s">
        <v>26</v>
      </c>
      <c r="B500" cm="1">
        <f t="array" ref="B500:B501">'Compras '!C182:C183</f>
        <v>0</v>
      </c>
      <c r="C500" t="e">
        <f>_xlfn.XLOOKUP(B500,'Compras '!$D$31:$D$144,'Compras '!$O$31:$O$144)</f>
        <v>#N/A</v>
      </c>
      <c r="D500" s="716" t="e">
        <f>_xlfn.XLOOKUP(B500,'Compras '!$D$31:$D$144,'Compras '!$J$31:$J$144)</f>
        <v>#N/A</v>
      </c>
    </row>
    <row r="501" spans="1:4" hidden="1" x14ac:dyDescent="0.3">
      <c r="A501" t="s">
        <v>26</v>
      </c>
      <c r="B501">
        <v>0</v>
      </c>
      <c r="C501" t="e">
        <f>_xlfn.XLOOKUP(B501,'Compras '!$D$31:$D$144,'Compras '!$O$31:$O$144)</f>
        <v>#N/A</v>
      </c>
      <c r="D501" s="716" t="e">
        <f>_xlfn.XLOOKUP(B501,'Compras '!$D$31:$D$144,'Compras '!$J$31:$J$144)</f>
        <v>#N/A</v>
      </c>
    </row>
  </sheetData>
  <autoFilter ref="A8:E501" xr:uid="{A5D77255-D4EC-4A07-AFDC-53B2A8646398}">
    <filterColumn colId="1">
      <filters>
        <filter val="01 - Clientes com baixa margem de contribuição."/>
        <filter val="01 - Desenvolver célula de solda para soldar porcas"/>
        <filter val="01 - Redução de peso bruto DA000489A"/>
        <filter val="01 - Redução de Refugo"/>
        <filter val="01 - VENDA DE ATIVOS"/>
        <filter val="02 -  REDUÇÃO DE PESO BRUTO DD000506Z_x000a_"/>
        <filter val="02 - Aumentar a produtividade da estamparia atraves da implementação lote econômico e multiplos de MTP"/>
        <filter val="02 - Eficiência dos planos de corte"/>
        <filter val="02 - Eficiência uso de eletricidade"/>
        <filter val="02 - TANQUE DE DECAPAGEM"/>
        <filter val="03 - Consumo de desmoldante"/>
        <filter val="03 - Otimização de processo - Cavalo Marinho"/>
        <filter val="03 - PRODUTOS QUÍMICOS KTL"/>
        <filter val="03 - Redução de consumo de MP dos blanks com a técnica de corte Wave"/>
        <filter val="03- Comunização de Materiais"/>
        <filter val="04 - Aluguel de corte plasma"/>
        <filter val="04 - GÁS"/>
        <filter val="04 - Otimização de processo - Pulmão"/>
        <filter val="04 - Redução da largura dos slitters"/>
        <filter val="04 - Redução dos retrabalhos"/>
        <filter val="05 -  REDUÇÃO DE PESO BRUTO DD000502/503Z"/>
        <filter val="05 - Aplicar borda aparadas nas bobinas"/>
        <filter val="05 - Empilhadeira - Diadema"/>
        <filter val="05 - Nitrogênio da máquina laser"/>
        <filter val="05 - REDUÇÃO DE FRETE"/>
        <filter val="06 - Acabamento capo CN13"/>
        <filter val="06 - CONSUMO DE TINTA PÓ"/>
        <filter val="06 - Produtividade"/>
        <filter val="06 - Reaproveitamento de lixas"/>
        <filter val="06 - Redução consumo MTP aplicando tolerância mínima"/>
        <filter val="07 - Balanceamento de carga máquina entre a prensa Gutmnan / Minster"/>
        <filter val="07 - Consumo de água"/>
        <filter val="07 - CONSUMO DE EPI e SERVIÇOS"/>
        <filter val="07 - Consumo de gás"/>
        <filter val="07 - Troca dos fornecedores de tubo do Capo CN13"/>
        <filter val="08 - Individualização de zonas de segurança da máquina Baltec"/>
        <filter val="08 - Redução de peso bruto MB002446LA / MB003670LA / MB003671LA"/>
        <filter val="08 - Reestruturação"/>
        <filter val="08- ÁGUA"/>
        <filter val="09 - Aumento de performance dos itens estampados na prensa Minster"/>
        <filter val="09 - Critério para descarte de consumíveis"/>
        <filter val="09 - ENERGIA ELÉTRICA"/>
        <filter val="09 - REDUÇÃO DE CUSTO LOCAÇÃO DE PTA (12METROS)"/>
        <filter val="09 - Taxa de Esgoto"/>
        <filter val="10 - Aumento de performance dos itens estampados na prensa Isgec"/>
        <filter val="10 - Consumo de energia elétrica: vazamentos de ar"/>
        <filter val="10 - CONSUMO PERNA DE MOÇA"/>
        <filter val="10 - Padronização de arame de solda"/>
        <filter val="10 - Vazamentos de Ar Comprimido"/>
        <filter val="11 - Aumento de performance dos itens estampados nas prensas Gutmmans"/>
        <filter val="11 - Consumo de pastilhas"/>
        <filter val="11 - Resourcing de DSL para DD"/>
        <filter val="11 - WORKSHOP LIXAMENTO DD / DF"/>
        <filter val="11- Substituíção de Empilhadeiras GPL."/>
        <filter val="12 -  REDUÇÃO DE PESO BRUTO DD000504/505Z_x000a_"/>
        <filter val="12 - Aproveitamento de peças Obsoletas - A9583176540"/>
        <filter val="12 - Aumento do OEE do equipamento ISGEC"/>
        <filter val="12 - Sistema hidráulico 3500T"/>
        <filter val="12 - Vendas de descartáveis"/>
        <filter val="13 - Consumo de materiais da ETE"/>
        <filter val="13 - Redução de Componente - 4065 de 6 para 4"/>
        <filter val="13 - Redução de consumo no passo do blank dos itens VW000954Z/955Z"/>
        <filter val="13 - Transferência Hasenclaver para o plasma"/>
        <filter val="13- REDUZIR A QUANTIDADE DE MÁQUINAS DE SOLDA MIG/MAG LOCADAS"/>
        <filter val="14 - Consumo de EPI's"/>
        <filter val="14 - Redução de consumo no passo do blank dos itens VW000950AA/951AA"/>
        <filter val="14 - REDUÇÃO DE MP DA000518Z (Anchieta) Código DD - VB000324Z"/>
        <filter val="14-Adicionar serviços de portaria e limpeza em um único prestador terceirizado com serviços gerais."/>
        <filter val="15 - Enclausuramento do jato granalha"/>
        <filter val="15 - Kaizem - Botões BI - MANUAL"/>
        <filter val="15 - Redução de consumo no slitter dos itens VW000950AA/951AA"/>
        <filter val="15- Redução do custo mensal de empilhadeira locada (LOCAPEX)."/>
        <filter val="16 - Eficiência de MO na linha de Solda e Montagem"/>
        <filter val="16 - Melhoria no fluxo de processo para redução de MOD"/>
        <filter val="16 - Tolerância das MP's"/>
        <filter val="16- Redução de gastos com energia elétrica."/>
        <filter val="17 - Consumo de água"/>
        <filter val="17 - MB003537LB_MB003538LB"/>
        <filter val="17 - reduzindo gargalos do processo"/>
        <filter val="17- Redução de gasto com copo plásticos descartáveis."/>
        <filter val="18 -  REDUÇÃO DE PESO BRUTO DD000507z_x000a_"/>
        <filter val="18 - Melhoria no fluxo de processo para redução de MOD"/>
        <filter val="18 - Venda de Embalagens e ativos"/>
        <filter val="19 - Consumo de EPI's."/>
        <filter val="19 - Insumos logística"/>
        <filter val="19 - Kaizen Facão. DA000481Z - PRODUTIVIDADE"/>
        <filter val="19 - Redução da largura da bobina mãe do Curvão"/>
        <filter val="20 - Limpador de grelha"/>
        <filter val="20 - Redução com gasto com transporte de peças  DELGA X  FORNECEDOR."/>
        <filter val="20 - Redução refugo em relação ao budget"/>
        <filter val="20 - Troca do modelo disco Flap"/>
        <filter val="21 - Kaizen_Redução de peso bruto MB003537LA_MB003538LA"/>
        <filter val="21 - Redução de MOD CSR61014"/>
        <filter val="21- Venda de ATIVOS"/>
        <filter val="22 - Aproveitamento de Retalho do corte laser - MB002316LA_MB003533LA_MB003673LC"/>
        <filter val="22 - Redução de MOD CSR61015"/>
        <filter val="22 - Tablet - Dobradeira"/>
        <filter val="22- Eliminar custo com usinagem externa CN 00016/17"/>
        <filter val="23 - Redução do consumo de MTP VW000938AB (- 3 mm no passo)"/>
        <filter val="23 - Redução do peso bruto VW000581Z / VW000582Z"/>
        <filter val="24 - KAIZEN - Redução de peso bruto_MB002289LA_MB002290LA_Rev00_Bruno Manachini"/>
        <filter val="24 - Redução de consumo de MTP China 1 porca (-10 mm)"/>
        <filter val="25 - KAIZEN - Redução de peso bruto_MB003601LA_Rev00_Bruno Manachini"/>
        <filter val="25 - Redução de consumo de MTP China 2 porca (-10 mm)"/>
        <filter val="26 - Redução de gastos com HE"/>
        <filter val="26 - Redução_de_MP - DJ000059Z_DJ000060Z"/>
        <filter val="27 - DA000459AA - STC Volvo_"/>
        <filter val="27 - Redução consumo MTP aplicando tolerância mínima curva B"/>
        <filter val="28 -  Redução consumo MTP aplicando tolerância mínima curva C"/>
        <filter val="28 - DA000487Z_DA000488Z - STC Scania P"/>
        <filter val="29 - DA000489Z_DA000490Z - STC Scania M_"/>
        <filter val="29 - Redução do consumo MTP no passo do Blank VW000942AB / 943AB -5MM"/>
        <filter val="30 - DA000491Z_DE000492Z - STC Scania G_"/>
        <filter val="30 - Redução de Refugo"/>
        <filter val="31 - Comunização da chapa CHQ0475ED12502650"/>
        <filter val="31 - Redução impressora Backup"/>
        <filter val="32 - Empilhadeiras Eletricas"/>
        <filter val="32 - Redução de Peso Bruto do item MB003594LA"/>
        <filter val="33 - Redução de Peso Bruto do item MB003610LA"/>
        <filter val="33- Rollout impressora Administrativo"/>
        <filter val="34 - Iluminação em LED"/>
        <filter val="34 - Redução de Peso Bruto do item MB003554LA"/>
        <filter val="35 - Redução de Peso Bruto do item MB003597LA"/>
        <filter val="36 - Redução de Peso Bruto do item MB003673LA"/>
        <filter val="37 - Redução de Peso Bruto do item MB003673LD"/>
        <filter val="38 - Redução de Peso Bruto do item SV000205LB"/>
        <filter val="39 - Redução de Peso Bruto do item VB000323LA"/>
        <filter val="40 - Redução de Peso Bruto do item VW001138LA"/>
        <filter val="41 - Redução de Peso Bruto do item SV001141LA"/>
        <filter val="42 - Aluguel de Compressor"/>
        <filter val="43 - Automação Boomerang"/>
        <filter val="44 - Mudança de fonte Usiminas para Arcelor"/>
        <filter val="45 - Redução de MP GM000409Z"/>
        <filter val="46 - AGUA DESMINERALIZADA"/>
        <filter val="47 - REDUÇÃO DE MP DJ000079Z – 80Z"/>
        <filter val="48 - REDUÇÃO DE MP BOZ0150HX1000"/>
        <filter val="49 - REDUÇÃO DE MP GM000408Z / GM000409Z"/>
        <filter val="50 - Suporte da lanterna MB003681"/>
        <filter val="51 - Redução de MP - GM000402Z_403Z_Passo"/>
        <filter val="52 - Redução de MP - GM000458Z / GM000459Z"/>
        <filter val="BID carimbos industriais"/>
        <filter val="BID complementar punções Jarinu"/>
        <filter val="BID consumíveis laser"/>
        <filter val="BID eletrodos de solda"/>
        <filter val="BID tampões pintura Anchieta"/>
        <filter val="Conseguir Ex tarifário Ferramentas Saga"/>
        <filter val="Desenvolvimento novos modelos de planos médicos"/>
        <filter val="Destinação Borra Plasma Ferraz"/>
        <filter val="Estratégia comercial com as Usinas"/>
        <filter val="Estudo de viabilidade compressores"/>
        <filter val="Estudo de viabilidade lixadeiras"/>
        <filter val="Ex Tarifário Transfer Norda"/>
        <filter val="Mão de Obra Terceirizada"/>
        <filter val="Modalidade Tarifária"/>
        <filter val="Mudança de Modalidade Gerador Anchieta"/>
        <filter val="Negociação Boellhoff_x000a_85290 - PORCA QUADRADA SOLDA PROJEÇÃO - M5"/>
        <filter val="Negociação de preços materiais carcaça Dana"/>
        <filter val="Negociação Porca Bollhoff 15341 Saga"/>
        <filter val="Negociação Produtos Pré tratamento"/>
        <filter val="Projeto DANA - Fornecimento MTL"/>
        <filter val="Projeto DANA - Mudança de CH para BQ"/>
        <filter val="Recuperação de valores - Água"/>
        <filter val="Recuperação de valores - Energia Elétrica"/>
        <filter val="Redução de custo Abrasivos Curva A Ferraz"/>
        <filter val="Redução de custo Porca 73189 da curva A"/>
        <filter val="Redução Itens Mercedes"/>
        <filter val="Redução MP Viga Banana"/>
        <filter val="Resourcing Hasmman para Metalac"/>
        <filter val="Resourcing Maletas Man (Mercante para Cartec)"/>
        <filter val="Resourcing Pino Esférico GM Lipos p/ Maxdel"/>
        <filter val="SRM Componentes"/>
        <filter val="Substituição Plano Médico - São Leopoldo"/>
        <filter val="Testes e troca do fornecedor de insumos de usinagem"/>
        <filter val="Troca da fonte de arame de solda para China"/>
        <filter val="Troca de fonte do arame de solda de Belgo para Gerdau"/>
        <filter val="Troca de fonte fita zebrada e etiqueta litografada"/>
        <filter val="Troca fornecedor decapagem gancheiras Ferraz"/>
        <filter val="Unificação itens de Distribuição Fixadores."/>
        <filter val="Unificação óleos utilizados nas plantas"/>
        <filter val="Viabilizar itens Usiminas via Gonvarri-Full Service"/>
        <filter val="Viabilizar Material Alternativo de Menor Custo para Utilização na Carcaça da Scania"/>
      </filters>
    </filterColumn>
    <filterColumn colId="2">
      <filters>
        <filter val="✓ Concluído"/>
      </filters>
    </filterColumn>
    <filterColumn colId="3">
      <filters>
        <dateGroupItem year="2026" month="1" dateTimeGrouping="month"/>
        <dateGroupItem year="2026" month="2" dateTimeGrouping="month"/>
        <dateGroupItem year="2026" month="3" dateTimeGrouping="month"/>
        <dateGroupItem year="2025" dateTimeGrouping="year"/>
      </filters>
    </filterColumn>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62C27-0FBA-4CBF-B2AA-BD347440595E}">
  <dimension ref="B1:AB49"/>
  <sheetViews>
    <sheetView topLeftCell="G1" zoomScale="70" zoomScaleNormal="70" workbookViewId="0">
      <selection activeCell="R5" sqref="R5"/>
    </sheetView>
  </sheetViews>
  <sheetFormatPr defaultRowHeight="14.4" x14ac:dyDescent="0.3"/>
  <cols>
    <col min="2" max="2" width="68.5546875" customWidth="1"/>
    <col min="3" max="3" width="5.44140625" style="552" bestFit="1" customWidth="1"/>
    <col min="4" max="4" width="11" bestFit="1" customWidth="1"/>
    <col min="5" max="5" width="8.5546875" customWidth="1"/>
    <col min="6" max="6" width="68.44140625" customWidth="1"/>
    <col min="7" max="7" width="10.5546875" style="552" bestFit="1" customWidth="1"/>
    <col min="8" max="8" width="11.44140625" style="552" bestFit="1" customWidth="1"/>
    <col min="9" max="9" width="8.5546875" customWidth="1"/>
    <col min="10" max="10" width="68.44140625" customWidth="1"/>
    <col min="11" max="11" width="10.5546875" style="552" bestFit="1" customWidth="1"/>
    <col min="13" max="13" width="50.5546875" bestFit="1" customWidth="1"/>
    <col min="15" max="15" width="9.5546875" bestFit="1" customWidth="1"/>
    <col min="17" max="17" width="11.44140625" bestFit="1" customWidth="1"/>
    <col min="18" max="18" width="10.44140625" bestFit="1" customWidth="1"/>
    <col min="19" max="19" width="11" bestFit="1" customWidth="1"/>
    <col min="20" max="20" width="11.44140625" bestFit="1" customWidth="1"/>
    <col min="21" max="21" width="12" bestFit="1" customWidth="1"/>
    <col min="22" max="22" width="9.44140625" bestFit="1" customWidth="1"/>
    <col min="23" max="23" width="15" bestFit="1" customWidth="1"/>
    <col min="24" max="24" width="13.5546875" bestFit="1" customWidth="1"/>
    <col min="25" max="25" width="11.44140625" bestFit="1" customWidth="1"/>
    <col min="26" max="27" width="4.44140625" customWidth="1"/>
  </cols>
  <sheetData>
    <row r="1" spans="2:28" x14ac:dyDescent="0.3">
      <c r="Q1" s="2505" t="s">
        <v>2729</v>
      </c>
      <c r="R1" s="2505"/>
      <c r="S1" s="2505"/>
      <c r="T1" s="2505"/>
      <c r="U1" s="2505"/>
      <c r="V1" s="2505"/>
      <c r="W1" s="2505"/>
      <c r="X1" s="2505"/>
      <c r="Y1" s="2505"/>
      <c r="Z1" s="2505"/>
      <c r="AA1" s="2505"/>
      <c r="AB1" s="2505"/>
    </row>
    <row r="2" spans="2:28" ht="46.8" x14ac:dyDescent="0.3">
      <c r="B2" s="99" t="s">
        <v>78</v>
      </c>
      <c r="C2" s="101" t="s">
        <v>573</v>
      </c>
      <c r="D2" s="99" t="s">
        <v>2730</v>
      </c>
      <c r="F2" s="99" t="s">
        <v>2731</v>
      </c>
      <c r="G2" s="99" t="s">
        <v>573</v>
      </c>
      <c r="H2" s="99" t="s">
        <v>2732</v>
      </c>
      <c r="J2" s="99" t="s">
        <v>2733</v>
      </c>
      <c r="K2" s="99" t="s">
        <v>573</v>
      </c>
      <c r="M2" s="99" t="s">
        <v>2734</v>
      </c>
      <c r="N2" s="99" t="s">
        <v>573</v>
      </c>
      <c r="O2" s="99" t="s">
        <v>2735</v>
      </c>
      <c r="Q2" s="99" t="s">
        <v>78</v>
      </c>
      <c r="R2" s="99" t="s">
        <v>248</v>
      </c>
      <c r="S2" s="99" t="s">
        <v>217</v>
      </c>
      <c r="T2" s="99" t="s">
        <v>181</v>
      </c>
      <c r="U2" s="99" t="s">
        <v>243</v>
      </c>
      <c r="V2" s="99" t="s">
        <v>964</v>
      </c>
      <c r="W2" s="99" t="s">
        <v>199</v>
      </c>
      <c r="X2" s="99" t="s">
        <v>194</v>
      </c>
      <c r="Y2" s="671" t="s">
        <v>2736</v>
      </c>
      <c r="Z2" s="99" t="s">
        <v>2737</v>
      </c>
      <c r="AA2" s="99" t="s">
        <v>2738</v>
      </c>
      <c r="AB2" s="99" t="s">
        <v>149</v>
      </c>
    </row>
    <row r="3" spans="2:28" x14ac:dyDescent="0.3">
      <c r="B3" s="112" t="s">
        <v>872</v>
      </c>
      <c r="C3" s="646">
        <v>1</v>
      </c>
      <c r="D3" s="649" t="str">
        <f t="shared" ref="D3:D49" si="0">IF(ISERROR(VLOOKUP(B3,F:F,1,FALSE)),"NÃO","SIM")</f>
        <v>SIM</v>
      </c>
      <c r="F3" s="655" t="s">
        <v>872</v>
      </c>
      <c r="G3" s="649">
        <v>1</v>
      </c>
      <c r="H3" s="649">
        <f t="shared" ref="H3:H49" si="1">_xlfn.XLOOKUP(F3,B:B,C:C)</f>
        <v>1</v>
      </c>
      <c r="J3" s="655" t="s">
        <v>872</v>
      </c>
      <c r="K3" s="649">
        <v>1</v>
      </c>
      <c r="M3" s="664" t="s">
        <v>872</v>
      </c>
      <c r="N3" s="666">
        <v>1</v>
      </c>
      <c r="O3" s="666"/>
      <c r="Q3" s="666" t="s">
        <v>21</v>
      </c>
      <c r="R3" s="666">
        <v>6</v>
      </c>
      <c r="S3" s="666">
        <v>49</v>
      </c>
      <c r="T3" s="666">
        <v>6</v>
      </c>
      <c r="U3" s="666">
        <v>4</v>
      </c>
      <c r="V3" s="666">
        <v>24</v>
      </c>
      <c r="W3" s="666">
        <v>3</v>
      </c>
      <c r="X3" s="666">
        <v>3</v>
      </c>
      <c r="Y3" s="666">
        <v>13</v>
      </c>
      <c r="Z3" s="666">
        <v>6</v>
      </c>
      <c r="AA3" s="666">
        <v>4</v>
      </c>
      <c r="AB3" s="666">
        <f>SUM(R3:Z3)</f>
        <v>114</v>
      </c>
    </row>
    <row r="4" spans="2:28" x14ac:dyDescent="0.3">
      <c r="B4" s="322" t="s">
        <v>874</v>
      </c>
      <c r="C4" s="647">
        <v>1</v>
      </c>
      <c r="D4" s="649" t="str">
        <f t="shared" si="0"/>
        <v>SIM</v>
      </c>
      <c r="F4" s="657" t="s">
        <v>874</v>
      </c>
      <c r="G4" s="650">
        <v>1</v>
      </c>
      <c r="H4" s="650">
        <f t="shared" si="1"/>
        <v>1</v>
      </c>
      <c r="J4" s="655" t="s">
        <v>893</v>
      </c>
      <c r="K4" s="649">
        <v>1</v>
      </c>
      <c r="M4" s="665" t="s">
        <v>2739</v>
      </c>
      <c r="N4" s="667">
        <v>1</v>
      </c>
      <c r="O4" s="667"/>
      <c r="Q4" s="667" t="s">
        <v>25</v>
      </c>
      <c r="R4" s="667">
        <v>5</v>
      </c>
      <c r="S4" s="667">
        <v>49</v>
      </c>
      <c r="T4" s="667">
        <v>7</v>
      </c>
      <c r="U4" s="667">
        <v>4</v>
      </c>
      <c r="V4" s="667">
        <v>23</v>
      </c>
      <c r="W4" s="667"/>
      <c r="X4" s="667">
        <v>3</v>
      </c>
      <c r="Y4" s="667">
        <v>13</v>
      </c>
      <c r="Z4" s="667">
        <v>6</v>
      </c>
      <c r="AA4" s="667">
        <v>4</v>
      </c>
      <c r="AB4" s="667">
        <f>SUM(R4:AA4)</f>
        <v>114</v>
      </c>
    </row>
    <row r="5" spans="2:28" x14ac:dyDescent="0.3">
      <c r="B5" s="652" t="s">
        <v>875</v>
      </c>
      <c r="C5" s="646">
        <v>1</v>
      </c>
      <c r="D5" s="649" t="str">
        <f t="shared" si="0"/>
        <v>NÃO</v>
      </c>
      <c r="F5" s="655" t="s">
        <v>893</v>
      </c>
      <c r="G5" s="649">
        <v>1</v>
      </c>
      <c r="H5" s="649">
        <f t="shared" si="1"/>
        <v>1</v>
      </c>
      <c r="J5" s="656" t="s">
        <v>911</v>
      </c>
      <c r="K5" s="650">
        <v>1</v>
      </c>
      <c r="M5" s="664" t="s">
        <v>2740</v>
      </c>
      <c r="N5" s="666">
        <v>1</v>
      </c>
      <c r="O5" s="666"/>
      <c r="Q5" s="666" t="s">
        <v>22</v>
      </c>
      <c r="R5" s="666">
        <v>12</v>
      </c>
      <c r="S5" s="666">
        <v>53</v>
      </c>
      <c r="T5" s="666">
        <v>6</v>
      </c>
      <c r="U5" s="666">
        <v>4</v>
      </c>
      <c r="V5" s="666">
        <v>18</v>
      </c>
      <c r="W5" s="666">
        <v>3</v>
      </c>
      <c r="X5" s="666">
        <v>3</v>
      </c>
      <c r="Y5" s="666">
        <v>13</v>
      </c>
      <c r="Z5" s="666">
        <v>5</v>
      </c>
      <c r="AA5" s="666">
        <v>4</v>
      </c>
      <c r="AB5" s="666">
        <f>SUM(R5:AA5)</f>
        <v>121</v>
      </c>
    </row>
    <row r="6" spans="2:28" x14ac:dyDescent="0.3">
      <c r="B6" s="322" t="s">
        <v>876</v>
      </c>
      <c r="C6" s="647">
        <v>1</v>
      </c>
      <c r="D6" s="649" t="str">
        <f t="shared" si="0"/>
        <v>SIM</v>
      </c>
      <c r="F6" s="656" t="s">
        <v>911</v>
      </c>
      <c r="G6" s="650">
        <v>1</v>
      </c>
      <c r="H6" s="650">
        <f t="shared" si="1"/>
        <v>2</v>
      </c>
      <c r="J6" s="655" t="s">
        <v>917</v>
      </c>
      <c r="K6" s="649">
        <v>1</v>
      </c>
      <c r="M6" s="665" t="s">
        <v>2741</v>
      </c>
      <c r="N6" s="667">
        <v>1</v>
      </c>
      <c r="O6" s="667"/>
      <c r="Q6" s="667" t="s">
        <v>24</v>
      </c>
      <c r="R6" s="667">
        <v>15</v>
      </c>
      <c r="S6" s="667">
        <v>37</v>
      </c>
      <c r="T6" s="667">
        <v>6</v>
      </c>
      <c r="U6" s="667">
        <v>2</v>
      </c>
      <c r="V6" s="667">
        <v>16</v>
      </c>
      <c r="W6" s="667">
        <v>11</v>
      </c>
      <c r="X6" s="667">
        <v>11</v>
      </c>
      <c r="Y6" s="667">
        <v>12</v>
      </c>
      <c r="Z6" s="667">
        <v>5</v>
      </c>
      <c r="AA6" s="667">
        <v>8</v>
      </c>
      <c r="AB6" s="667">
        <f t="shared" ref="AB6:AB7" si="2">SUM(R6:Z6)</f>
        <v>115</v>
      </c>
    </row>
    <row r="7" spans="2:28" x14ac:dyDescent="0.3">
      <c r="B7" s="112" t="s">
        <v>877</v>
      </c>
      <c r="C7" s="646">
        <v>1</v>
      </c>
      <c r="D7" s="649" t="str">
        <f t="shared" si="0"/>
        <v>SIM</v>
      </c>
      <c r="F7" s="655" t="s">
        <v>917</v>
      </c>
      <c r="G7" s="649">
        <v>1</v>
      </c>
      <c r="H7" s="649">
        <f t="shared" si="1"/>
        <v>2</v>
      </c>
      <c r="J7" s="656" t="s">
        <v>903</v>
      </c>
      <c r="K7" s="650">
        <v>1</v>
      </c>
      <c r="M7" s="664" t="s">
        <v>2742</v>
      </c>
      <c r="N7" s="666">
        <v>1</v>
      </c>
      <c r="O7" s="666"/>
      <c r="Q7" s="666" t="s">
        <v>23</v>
      </c>
      <c r="R7" s="666">
        <v>6</v>
      </c>
      <c r="S7" s="666">
        <v>43</v>
      </c>
      <c r="T7" s="666">
        <v>6</v>
      </c>
      <c r="U7" s="666">
        <v>4</v>
      </c>
      <c r="V7" s="666">
        <v>13</v>
      </c>
      <c r="W7" s="666">
        <v>3</v>
      </c>
      <c r="X7" s="666">
        <v>3</v>
      </c>
      <c r="Y7" s="666">
        <v>13</v>
      </c>
      <c r="Z7" s="666">
        <v>5</v>
      </c>
      <c r="AA7" s="666">
        <v>4</v>
      </c>
      <c r="AB7" s="666">
        <f t="shared" si="2"/>
        <v>96</v>
      </c>
    </row>
    <row r="8" spans="2:28" x14ac:dyDescent="0.3">
      <c r="B8" s="322" t="s">
        <v>879</v>
      </c>
      <c r="C8" s="647">
        <v>1</v>
      </c>
      <c r="D8" s="649" t="str">
        <f t="shared" si="0"/>
        <v>SIM</v>
      </c>
      <c r="F8" s="656" t="s">
        <v>903</v>
      </c>
      <c r="G8" s="650">
        <v>1</v>
      </c>
      <c r="H8" s="650">
        <f t="shared" si="1"/>
        <v>1</v>
      </c>
      <c r="J8" s="656" t="s">
        <v>905</v>
      </c>
      <c r="K8" s="650">
        <v>1</v>
      </c>
      <c r="M8" s="665" t="s">
        <v>2743</v>
      </c>
      <c r="N8" s="667">
        <v>1</v>
      </c>
      <c r="O8" s="667"/>
      <c r="Q8" s="669" t="s">
        <v>2744</v>
      </c>
      <c r="R8" s="669">
        <f t="shared" ref="R8:AA8" si="3">SUM(R3:R7)</f>
        <v>44</v>
      </c>
      <c r="S8" s="669">
        <f t="shared" si="3"/>
        <v>231</v>
      </c>
      <c r="T8" s="669">
        <f t="shared" si="3"/>
        <v>31</v>
      </c>
      <c r="U8" s="669">
        <f t="shared" si="3"/>
        <v>18</v>
      </c>
      <c r="V8" s="669">
        <f t="shared" si="3"/>
        <v>94</v>
      </c>
      <c r="W8" s="669">
        <f t="shared" si="3"/>
        <v>20</v>
      </c>
      <c r="X8" s="669">
        <f t="shared" si="3"/>
        <v>23</v>
      </c>
      <c r="Y8" s="669">
        <f t="shared" si="3"/>
        <v>64</v>
      </c>
      <c r="Z8" s="669">
        <f t="shared" si="3"/>
        <v>27</v>
      </c>
      <c r="AA8" s="669">
        <f t="shared" si="3"/>
        <v>24</v>
      </c>
      <c r="AB8" s="669">
        <f>SUM(AB3:AB7)</f>
        <v>560</v>
      </c>
    </row>
    <row r="9" spans="2:28" x14ac:dyDescent="0.3">
      <c r="B9" s="112" t="s">
        <v>880</v>
      </c>
      <c r="C9" s="646">
        <v>1</v>
      </c>
      <c r="D9" s="649" t="str">
        <f t="shared" si="0"/>
        <v>SIM</v>
      </c>
      <c r="F9" s="658" t="s">
        <v>904</v>
      </c>
      <c r="G9" s="649">
        <v>1</v>
      </c>
      <c r="H9" s="649">
        <f t="shared" si="1"/>
        <v>1</v>
      </c>
      <c r="J9" s="655" t="s">
        <v>879</v>
      </c>
      <c r="K9" s="649">
        <v>1</v>
      </c>
      <c r="M9" s="664" t="s">
        <v>2745</v>
      </c>
      <c r="N9" s="666">
        <v>1</v>
      </c>
      <c r="O9" s="666"/>
      <c r="Q9" s="672" t="s">
        <v>2746</v>
      </c>
      <c r="R9" s="673">
        <f t="shared" ref="R9:AA9" si="4">R8/$AB$8</f>
        <v>7.857142857142857E-2</v>
      </c>
      <c r="S9" s="673">
        <f t="shared" si="4"/>
        <v>0.41249999999999998</v>
      </c>
      <c r="T9" s="673">
        <f t="shared" si="4"/>
        <v>5.5357142857142855E-2</v>
      </c>
      <c r="U9" s="673">
        <f t="shared" si="4"/>
        <v>3.214285714285714E-2</v>
      </c>
      <c r="V9" s="673">
        <f t="shared" si="4"/>
        <v>0.16785714285714284</v>
      </c>
      <c r="W9" s="673">
        <f t="shared" si="4"/>
        <v>3.5714285714285712E-2</v>
      </c>
      <c r="X9" s="673">
        <f t="shared" si="4"/>
        <v>4.1071428571428571E-2</v>
      </c>
      <c r="Y9" s="673">
        <f t="shared" si="4"/>
        <v>0.11428571428571428</v>
      </c>
      <c r="Z9" s="673">
        <f t="shared" si="4"/>
        <v>4.8214285714285716E-2</v>
      </c>
      <c r="AA9" s="673">
        <f t="shared" si="4"/>
        <v>4.2857142857142858E-2</v>
      </c>
      <c r="AB9" s="673"/>
    </row>
    <row r="10" spans="2:28" x14ac:dyDescent="0.3">
      <c r="B10" s="322" t="s">
        <v>881</v>
      </c>
      <c r="C10" s="647">
        <v>1</v>
      </c>
      <c r="D10" s="649" t="str">
        <f t="shared" si="0"/>
        <v>SIM</v>
      </c>
      <c r="F10" s="656" t="s">
        <v>905</v>
      </c>
      <c r="G10" s="650">
        <v>1</v>
      </c>
      <c r="H10" s="650">
        <f t="shared" si="1"/>
        <v>1</v>
      </c>
      <c r="J10" s="322" t="s">
        <v>2747</v>
      </c>
      <c r="K10" s="650">
        <v>1</v>
      </c>
      <c r="M10" s="665" t="s">
        <v>2748</v>
      </c>
      <c r="N10" s="667">
        <v>1</v>
      </c>
      <c r="O10" s="667"/>
    </row>
    <row r="11" spans="2:28" x14ac:dyDescent="0.3">
      <c r="B11" s="112" t="s">
        <v>882</v>
      </c>
      <c r="C11" s="646">
        <v>1</v>
      </c>
      <c r="D11" s="649" t="str">
        <f t="shared" si="0"/>
        <v>SIM</v>
      </c>
      <c r="F11" s="655" t="s">
        <v>879</v>
      </c>
      <c r="G11" s="649">
        <v>1</v>
      </c>
      <c r="H11" s="649">
        <f t="shared" si="1"/>
        <v>1</v>
      </c>
      <c r="J11" s="663" t="s">
        <v>898</v>
      </c>
      <c r="K11" s="649">
        <v>1</v>
      </c>
      <c r="M11" s="664" t="s">
        <v>2749</v>
      </c>
      <c r="N11" s="666">
        <v>1</v>
      </c>
      <c r="O11" s="666"/>
    </row>
    <row r="12" spans="2:28" x14ac:dyDescent="0.3">
      <c r="B12" s="322" t="s">
        <v>883</v>
      </c>
      <c r="C12" s="647">
        <v>1</v>
      </c>
      <c r="D12" s="649" t="str">
        <f t="shared" si="0"/>
        <v>SIM</v>
      </c>
      <c r="F12" s="661" t="s">
        <v>896</v>
      </c>
      <c r="G12" s="650">
        <v>1</v>
      </c>
      <c r="H12" s="650">
        <f t="shared" si="1"/>
        <v>1</v>
      </c>
      <c r="J12" s="656" t="s">
        <v>894</v>
      </c>
      <c r="K12" s="650">
        <v>1</v>
      </c>
      <c r="M12" s="665" t="s">
        <v>2750</v>
      </c>
      <c r="N12" s="667">
        <v>1</v>
      </c>
      <c r="O12" s="667"/>
    </row>
    <row r="13" spans="2:28" x14ac:dyDescent="0.3">
      <c r="B13" s="112" t="s">
        <v>885</v>
      </c>
      <c r="C13" s="646">
        <v>1</v>
      </c>
      <c r="D13" s="649" t="str">
        <f t="shared" si="0"/>
        <v>SIM</v>
      </c>
      <c r="F13" s="660" t="s">
        <v>897</v>
      </c>
      <c r="G13" s="649">
        <v>1</v>
      </c>
      <c r="H13" s="649">
        <f t="shared" si="1"/>
        <v>1</v>
      </c>
      <c r="J13" s="655" t="s">
        <v>881</v>
      </c>
      <c r="K13" s="649">
        <v>1</v>
      </c>
      <c r="M13" s="664" t="s">
        <v>2751</v>
      </c>
      <c r="N13" s="666">
        <v>1</v>
      </c>
      <c r="O13" s="666"/>
    </row>
    <row r="14" spans="2:28" x14ac:dyDescent="0.3">
      <c r="B14" s="322" t="s">
        <v>886</v>
      </c>
      <c r="C14" s="647">
        <v>1</v>
      </c>
      <c r="D14" s="649" t="str">
        <f t="shared" si="0"/>
        <v>SIM</v>
      </c>
      <c r="F14" s="656" t="s">
        <v>898</v>
      </c>
      <c r="G14" s="650">
        <v>1</v>
      </c>
      <c r="H14" s="650">
        <f t="shared" si="1"/>
        <v>1</v>
      </c>
      <c r="J14" s="322"/>
      <c r="K14" s="650"/>
    </row>
    <row r="15" spans="2:28" x14ac:dyDescent="0.3">
      <c r="B15" s="112" t="s">
        <v>887</v>
      </c>
      <c r="C15" s="646">
        <v>1</v>
      </c>
      <c r="D15" s="649" t="str">
        <f t="shared" si="0"/>
        <v>SIM</v>
      </c>
      <c r="F15" s="658" t="s">
        <v>890</v>
      </c>
      <c r="G15" s="649">
        <v>1</v>
      </c>
      <c r="H15" s="649">
        <f t="shared" si="1"/>
        <v>1</v>
      </c>
      <c r="J15" s="112"/>
      <c r="K15" s="649"/>
    </row>
    <row r="16" spans="2:28" x14ac:dyDescent="0.3">
      <c r="B16" s="322" t="s">
        <v>888</v>
      </c>
      <c r="C16" s="647">
        <v>1</v>
      </c>
      <c r="D16" s="649" t="str">
        <f t="shared" si="0"/>
        <v>SIM</v>
      </c>
      <c r="F16" s="656" t="s">
        <v>894</v>
      </c>
      <c r="G16" s="650">
        <v>1</v>
      </c>
      <c r="H16" s="650">
        <f t="shared" si="1"/>
        <v>1</v>
      </c>
      <c r="J16" s="322"/>
      <c r="K16" s="650"/>
    </row>
    <row r="17" spans="2:11" x14ac:dyDescent="0.3">
      <c r="B17" s="652" t="s">
        <v>889</v>
      </c>
      <c r="C17" s="646">
        <v>1</v>
      </c>
      <c r="D17" s="649" t="str">
        <f t="shared" si="0"/>
        <v>NÃO</v>
      </c>
      <c r="F17" s="655" t="s">
        <v>881</v>
      </c>
      <c r="G17" s="649">
        <v>1</v>
      </c>
      <c r="H17" s="649">
        <f t="shared" si="1"/>
        <v>1</v>
      </c>
      <c r="J17" s="112"/>
      <c r="K17" s="649"/>
    </row>
    <row r="18" spans="2:11" x14ac:dyDescent="0.3">
      <c r="B18" s="322" t="s">
        <v>890</v>
      </c>
      <c r="C18" s="647">
        <v>1</v>
      </c>
      <c r="D18" s="649" t="str">
        <f t="shared" si="0"/>
        <v>SIM</v>
      </c>
      <c r="F18" s="322" t="s">
        <v>920</v>
      </c>
      <c r="G18" s="662">
        <v>2</v>
      </c>
      <c r="H18" s="650">
        <f t="shared" si="1"/>
        <v>3</v>
      </c>
      <c r="J18" s="322"/>
      <c r="K18" s="650"/>
    </row>
    <row r="19" spans="2:11" x14ac:dyDescent="0.3">
      <c r="B19" s="112" t="s">
        <v>891</v>
      </c>
      <c r="C19" s="646">
        <v>1</v>
      </c>
      <c r="D19" s="649" t="str">
        <f t="shared" si="0"/>
        <v>SIM</v>
      </c>
      <c r="F19" s="112" t="s">
        <v>877</v>
      </c>
      <c r="G19" s="649">
        <v>2</v>
      </c>
      <c r="H19" s="649">
        <f t="shared" si="1"/>
        <v>1</v>
      </c>
      <c r="J19" s="112"/>
      <c r="K19" s="649"/>
    </row>
    <row r="20" spans="2:11" x14ac:dyDescent="0.3">
      <c r="B20" s="322" t="s">
        <v>893</v>
      </c>
      <c r="C20" s="647">
        <v>1</v>
      </c>
      <c r="D20" s="649" t="str">
        <f t="shared" si="0"/>
        <v>SIM</v>
      </c>
      <c r="F20" s="657" t="s">
        <v>895</v>
      </c>
      <c r="G20" s="650">
        <v>2</v>
      </c>
      <c r="H20" s="650">
        <f t="shared" si="1"/>
        <v>1</v>
      </c>
      <c r="J20" s="322"/>
      <c r="K20" s="650"/>
    </row>
    <row r="21" spans="2:11" x14ac:dyDescent="0.3">
      <c r="B21" s="112" t="s">
        <v>894</v>
      </c>
      <c r="C21" s="646">
        <v>1</v>
      </c>
      <c r="D21" s="649" t="str">
        <f t="shared" si="0"/>
        <v>SIM</v>
      </c>
      <c r="F21" s="660" t="s">
        <v>902</v>
      </c>
      <c r="G21" s="649">
        <v>2</v>
      </c>
      <c r="H21" s="649">
        <f t="shared" si="1"/>
        <v>1</v>
      </c>
      <c r="J21" s="112"/>
      <c r="K21" s="649"/>
    </row>
    <row r="22" spans="2:11" x14ac:dyDescent="0.3">
      <c r="B22" s="322" t="s">
        <v>895</v>
      </c>
      <c r="C22" s="647">
        <v>1</v>
      </c>
      <c r="D22" s="649" t="str">
        <f t="shared" si="0"/>
        <v>SIM</v>
      </c>
      <c r="F22" s="659" t="s">
        <v>901</v>
      </c>
      <c r="G22" s="650">
        <v>2</v>
      </c>
      <c r="H22" s="650">
        <f t="shared" si="1"/>
        <v>1</v>
      </c>
      <c r="J22" s="322"/>
      <c r="K22" s="650"/>
    </row>
    <row r="23" spans="2:11" x14ac:dyDescent="0.3">
      <c r="B23" s="112" t="s">
        <v>896</v>
      </c>
      <c r="C23" s="646">
        <v>1</v>
      </c>
      <c r="D23" s="649" t="str">
        <f t="shared" si="0"/>
        <v>SIM</v>
      </c>
      <c r="F23" s="112" t="s">
        <v>912</v>
      </c>
      <c r="G23" s="649">
        <v>2</v>
      </c>
      <c r="H23" s="649">
        <f t="shared" si="1"/>
        <v>2</v>
      </c>
      <c r="J23" s="112"/>
      <c r="K23" s="649"/>
    </row>
    <row r="24" spans="2:11" x14ac:dyDescent="0.3">
      <c r="B24" s="322" t="s">
        <v>897</v>
      </c>
      <c r="C24" s="647">
        <v>1</v>
      </c>
      <c r="D24" s="649" t="str">
        <f t="shared" si="0"/>
        <v>SIM</v>
      </c>
      <c r="F24" s="322" t="s">
        <v>907</v>
      </c>
      <c r="G24" s="650">
        <v>2</v>
      </c>
      <c r="H24" s="650">
        <f t="shared" si="1"/>
        <v>2</v>
      </c>
      <c r="J24" s="322"/>
      <c r="K24" s="650"/>
    </row>
    <row r="25" spans="2:11" x14ac:dyDescent="0.3">
      <c r="B25" s="112" t="s">
        <v>898</v>
      </c>
      <c r="C25" s="646">
        <v>1</v>
      </c>
      <c r="D25" s="649" t="str">
        <f t="shared" si="0"/>
        <v>SIM</v>
      </c>
      <c r="F25" s="112" t="s">
        <v>913</v>
      </c>
      <c r="G25" s="649">
        <v>2</v>
      </c>
      <c r="H25" s="649">
        <f t="shared" si="1"/>
        <v>2</v>
      </c>
      <c r="J25" s="112"/>
      <c r="K25" s="649"/>
    </row>
    <row r="26" spans="2:11" x14ac:dyDescent="0.3">
      <c r="B26" s="653" t="s">
        <v>899</v>
      </c>
      <c r="C26" s="647">
        <v>1</v>
      </c>
      <c r="D26" s="649" t="str">
        <f t="shared" si="0"/>
        <v>NÃO</v>
      </c>
      <c r="F26" s="322" t="s">
        <v>886</v>
      </c>
      <c r="G26" s="650">
        <v>2</v>
      </c>
      <c r="H26" s="650">
        <f t="shared" si="1"/>
        <v>1</v>
      </c>
      <c r="J26" s="322"/>
      <c r="K26" s="650"/>
    </row>
    <row r="27" spans="2:11" x14ac:dyDescent="0.3">
      <c r="B27" s="652" t="s">
        <v>900</v>
      </c>
      <c r="C27" s="646">
        <v>1</v>
      </c>
      <c r="D27" s="649" t="str">
        <f t="shared" si="0"/>
        <v>NÃO</v>
      </c>
      <c r="F27" s="112" t="s">
        <v>906</v>
      </c>
      <c r="G27" s="649">
        <v>2</v>
      </c>
      <c r="H27" s="649">
        <f t="shared" si="1"/>
        <v>1</v>
      </c>
      <c r="J27" s="112"/>
      <c r="K27" s="649"/>
    </row>
    <row r="28" spans="2:11" x14ac:dyDescent="0.3">
      <c r="B28" s="322" t="s">
        <v>901</v>
      </c>
      <c r="C28" s="647">
        <v>1</v>
      </c>
      <c r="D28" s="649" t="str">
        <f t="shared" si="0"/>
        <v>SIM</v>
      </c>
      <c r="F28" s="322" t="s">
        <v>918</v>
      </c>
      <c r="G28" s="650">
        <v>2</v>
      </c>
      <c r="H28" s="650">
        <f t="shared" si="1"/>
        <v>3</v>
      </c>
      <c r="J28" s="322"/>
      <c r="K28" s="650"/>
    </row>
    <row r="29" spans="2:11" x14ac:dyDescent="0.3">
      <c r="B29" s="112" t="s">
        <v>902</v>
      </c>
      <c r="C29" s="646">
        <v>1</v>
      </c>
      <c r="D29" s="649" t="str">
        <f t="shared" si="0"/>
        <v>SIM</v>
      </c>
      <c r="F29" s="112" t="s">
        <v>922</v>
      </c>
      <c r="G29" s="649">
        <v>2</v>
      </c>
      <c r="H29" s="649">
        <f t="shared" si="1"/>
        <v>3</v>
      </c>
      <c r="J29" s="112"/>
      <c r="K29" s="649"/>
    </row>
    <row r="30" spans="2:11" x14ac:dyDescent="0.3">
      <c r="B30" s="322" t="s">
        <v>903</v>
      </c>
      <c r="C30" s="647">
        <v>1</v>
      </c>
      <c r="D30" s="649" t="str">
        <f t="shared" si="0"/>
        <v>SIM</v>
      </c>
      <c r="F30" s="322" t="s">
        <v>885</v>
      </c>
      <c r="G30" s="650">
        <v>2</v>
      </c>
      <c r="H30" s="650">
        <f t="shared" si="1"/>
        <v>1</v>
      </c>
      <c r="J30" s="322"/>
      <c r="K30" s="650"/>
    </row>
    <row r="31" spans="2:11" x14ac:dyDescent="0.3">
      <c r="B31" s="112" t="s">
        <v>904</v>
      </c>
      <c r="C31" s="646">
        <v>1</v>
      </c>
      <c r="D31" s="649" t="str">
        <f t="shared" si="0"/>
        <v>SIM</v>
      </c>
      <c r="F31" s="112" t="s">
        <v>910</v>
      </c>
      <c r="G31" s="649">
        <v>2</v>
      </c>
      <c r="H31" s="649">
        <f t="shared" si="1"/>
        <v>2</v>
      </c>
      <c r="J31" s="112"/>
      <c r="K31" s="649"/>
    </row>
    <row r="32" spans="2:11" x14ac:dyDescent="0.3">
      <c r="B32" s="322" t="s">
        <v>905</v>
      </c>
      <c r="C32" s="647">
        <v>1</v>
      </c>
      <c r="D32" s="649" t="str">
        <f t="shared" si="0"/>
        <v>SIM</v>
      </c>
      <c r="F32" s="322" t="s">
        <v>887</v>
      </c>
      <c r="G32" s="650">
        <v>2</v>
      </c>
      <c r="H32" s="650">
        <f t="shared" si="1"/>
        <v>1</v>
      </c>
      <c r="J32" s="322"/>
      <c r="K32" s="650"/>
    </row>
    <row r="33" spans="2:11" x14ac:dyDescent="0.3">
      <c r="B33" s="112" t="s">
        <v>906</v>
      </c>
      <c r="C33" s="646">
        <v>1</v>
      </c>
      <c r="D33" s="649" t="str">
        <f t="shared" si="0"/>
        <v>SIM</v>
      </c>
      <c r="F33" s="112" t="s">
        <v>908</v>
      </c>
      <c r="G33" s="649">
        <v>2</v>
      </c>
      <c r="H33" s="649">
        <f t="shared" si="1"/>
        <v>2</v>
      </c>
      <c r="J33" s="112"/>
      <c r="K33" s="649"/>
    </row>
    <row r="34" spans="2:11" x14ac:dyDescent="0.3">
      <c r="B34" s="322" t="s">
        <v>907</v>
      </c>
      <c r="C34" s="647">
        <v>2</v>
      </c>
      <c r="D34" s="649" t="str">
        <f t="shared" si="0"/>
        <v>SIM</v>
      </c>
      <c r="F34" s="322" t="s">
        <v>916</v>
      </c>
      <c r="G34" s="650">
        <v>2</v>
      </c>
      <c r="H34" s="650">
        <f t="shared" si="1"/>
        <v>2</v>
      </c>
      <c r="J34" s="322"/>
      <c r="K34" s="650"/>
    </row>
    <row r="35" spans="2:11" x14ac:dyDescent="0.3">
      <c r="B35" s="112" t="s">
        <v>908</v>
      </c>
      <c r="C35" s="646">
        <v>2</v>
      </c>
      <c r="D35" s="649" t="str">
        <f t="shared" si="0"/>
        <v>SIM</v>
      </c>
      <c r="F35" s="112" t="s">
        <v>919</v>
      </c>
      <c r="G35" s="649">
        <v>2</v>
      </c>
      <c r="H35" s="649">
        <f t="shared" si="1"/>
        <v>3</v>
      </c>
      <c r="J35" s="112"/>
      <c r="K35" s="649"/>
    </row>
    <row r="36" spans="2:11" x14ac:dyDescent="0.3">
      <c r="B36" s="322" t="s">
        <v>909</v>
      </c>
      <c r="C36" s="647">
        <v>2</v>
      </c>
      <c r="D36" s="649" t="str">
        <f t="shared" si="0"/>
        <v>SIM</v>
      </c>
      <c r="F36" s="322" t="s">
        <v>909</v>
      </c>
      <c r="G36" s="650">
        <v>2</v>
      </c>
      <c r="H36" s="650">
        <f t="shared" si="1"/>
        <v>2</v>
      </c>
      <c r="J36" s="322"/>
      <c r="K36" s="650"/>
    </row>
    <row r="37" spans="2:11" x14ac:dyDescent="0.3">
      <c r="B37" s="112" t="s">
        <v>910</v>
      </c>
      <c r="C37" s="646">
        <v>2</v>
      </c>
      <c r="D37" s="649" t="str">
        <f t="shared" si="0"/>
        <v>SIM</v>
      </c>
      <c r="F37" s="112" t="s">
        <v>880</v>
      </c>
      <c r="G37" s="649">
        <v>2</v>
      </c>
      <c r="H37" s="649">
        <f t="shared" si="1"/>
        <v>1</v>
      </c>
      <c r="J37" s="112"/>
      <c r="K37" s="649"/>
    </row>
    <row r="38" spans="2:11" x14ac:dyDescent="0.3">
      <c r="B38" s="322" t="s">
        <v>911</v>
      </c>
      <c r="C38" s="647">
        <v>2</v>
      </c>
      <c r="D38" s="649" t="str">
        <f t="shared" si="0"/>
        <v>SIM</v>
      </c>
      <c r="F38" s="322" t="s">
        <v>883</v>
      </c>
      <c r="G38" s="650">
        <v>2</v>
      </c>
      <c r="H38" s="650">
        <f t="shared" si="1"/>
        <v>1</v>
      </c>
      <c r="J38" s="322"/>
      <c r="K38" s="650"/>
    </row>
    <row r="39" spans="2:11" x14ac:dyDescent="0.3">
      <c r="B39" s="112" t="s">
        <v>912</v>
      </c>
      <c r="C39" s="646">
        <v>2</v>
      </c>
      <c r="D39" s="649" t="str">
        <f t="shared" si="0"/>
        <v>SIM</v>
      </c>
      <c r="F39" s="112" t="s">
        <v>891</v>
      </c>
      <c r="G39" s="649">
        <v>2</v>
      </c>
      <c r="H39" s="649">
        <f t="shared" si="1"/>
        <v>1</v>
      </c>
      <c r="J39" s="112"/>
      <c r="K39" s="649"/>
    </row>
    <row r="40" spans="2:11" x14ac:dyDescent="0.3">
      <c r="B40" s="322" t="s">
        <v>913</v>
      </c>
      <c r="C40" s="647">
        <v>2</v>
      </c>
      <c r="D40" s="649" t="str">
        <f t="shared" si="0"/>
        <v>SIM</v>
      </c>
      <c r="F40" s="322" t="s">
        <v>876</v>
      </c>
      <c r="G40" s="650">
        <v>3</v>
      </c>
      <c r="H40" s="650">
        <f t="shared" si="1"/>
        <v>1</v>
      </c>
      <c r="J40" s="322"/>
      <c r="K40" s="650"/>
    </row>
    <row r="41" spans="2:11" x14ac:dyDescent="0.3">
      <c r="B41" s="652" t="s">
        <v>914</v>
      </c>
      <c r="C41" s="646">
        <v>2</v>
      </c>
      <c r="D41" s="649" t="str">
        <f t="shared" si="0"/>
        <v>NÃO</v>
      </c>
      <c r="F41" s="112" t="s">
        <v>882</v>
      </c>
      <c r="G41" s="649">
        <v>3</v>
      </c>
      <c r="H41" s="649">
        <f t="shared" si="1"/>
        <v>1</v>
      </c>
      <c r="J41" s="112"/>
      <c r="K41" s="649"/>
    </row>
    <row r="42" spans="2:11" x14ac:dyDescent="0.3">
      <c r="B42" s="653" t="s">
        <v>915</v>
      </c>
      <c r="C42" s="647">
        <v>2</v>
      </c>
      <c r="D42" s="649" t="str">
        <f t="shared" si="0"/>
        <v>NÃO</v>
      </c>
      <c r="F42" s="322" t="s">
        <v>888</v>
      </c>
      <c r="G42" s="650">
        <v>3</v>
      </c>
      <c r="H42" s="650">
        <f t="shared" si="1"/>
        <v>1</v>
      </c>
      <c r="J42" s="322"/>
      <c r="K42" s="650"/>
    </row>
    <row r="43" spans="2:11" x14ac:dyDescent="0.3">
      <c r="B43" s="602" t="s">
        <v>916</v>
      </c>
      <c r="C43" s="648">
        <v>2</v>
      </c>
      <c r="D43" s="649" t="str">
        <f t="shared" si="0"/>
        <v>SIM</v>
      </c>
      <c r="F43" s="602"/>
      <c r="G43" s="651">
        <v>4</v>
      </c>
      <c r="H43" s="651">
        <f t="shared" si="1"/>
        <v>0</v>
      </c>
      <c r="J43" s="602"/>
      <c r="K43" s="651"/>
    </row>
    <row r="44" spans="2:11" x14ac:dyDescent="0.3">
      <c r="B44" s="322" t="s">
        <v>917</v>
      </c>
      <c r="C44" s="647">
        <v>2</v>
      </c>
      <c r="D44" s="649" t="str">
        <f t="shared" si="0"/>
        <v>SIM</v>
      </c>
      <c r="F44" s="322"/>
      <c r="G44" s="650">
        <v>4</v>
      </c>
      <c r="H44" s="650">
        <f t="shared" si="1"/>
        <v>0</v>
      </c>
      <c r="J44" s="322"/>
      <c r="K44" s="650"/>
    </row>
    <row r="45" spans="2:11" x14ac:dyDescent="0.3">
      <c r="B45" s="112" t="s">
        <v>918</v>
      </c>
      <c r="C45" s="646">
        <v>3</v>
      </c>
      <c r="D45" s="649" t="str">
        <f t="shared" si="0"/>
        <v>SIM</v>
      </c>
      <c r="F45" s="112"/>
      <c r="G45" s="649">
        <v>4</v>
      </c>
      <c r="H45" s="649">
        <f t="shared" si="1"/>
        <v>0</v>
      </c>
      <c r="J45" s="112"/>
      <c r="K45" s="649"/>
    </row>
    <row r="46" spans="2:11" x14ac:dyDescent="0.3">
      <c r="B46" s="322" t="s">
        <v>919</v>
      </c>
      <c r="C46" s="647">
        <v>3</v>
      </c>
      <c r="D46" s="649" t="str">
        <f t="shared" si="0"/>
        <v>SIM</v>
      </c>
      <c r="F46" s="322"/>
      <c r="G46" s="650">
        <v>4</v>
      </c>
      <c r="H46" s="650">
        <f t="shared" si="1"/>
        <v>0</v>
      </c>
      <c r="J46" s="322"/>
      <c r="K46" s="650"/>
    </row>
    <row r="47" spans="2:11" x14ac:dyDescent="0.3">
      <c r="B47" s="112" t="s">
        <v>920</v>
      </c>
      <c r="C47" s="646">
        <v>3</v>
      </c>
      <c r="D47" s="649" t="str">
        <f t="shared" si="0"/>
        <v>SIM</v>
      </c>
      <c r="F47" s="112"/>
      <c r="G47" s="649">
        <v>4</v>
      </c>
      <c r="H47" s="649">
        <f t="shared" si="1"/>
        <v>0</v>
      </c>
      <c r="J47" s="112"/>
      <c r="K47" s="649"/>
    </row>
    <row r="48" spans="2:11" x14ac:dyDescent="0.3">
      <c r="B48" s="654" t="s">
        <v>1388</v>
      </c>
      <c r="C48" s="647">
        <v>3</v>
      </c>
      <c r="D48" s="649" t="str">
        <f t="shared" si="0"/>
        <v>NÃO</v>
      </c>
      <c r="F48" s="321"/>
      <c r="G48" s="650">
        <v>4</v>
      </c>
      <c r="H48" s="650">
        <f t="shared" si="1"/>
        <v>0</v>
      </c>
      <c r="J48" s="321"/>
      <c r="K48" s="650"/>
    </row>
    <row r="49" spans="2:11" x14ac:dyDescent="0.3">
      <c r="B49" s="602" t="s">
        <v>922</v>
      </c>
      <c r="C49" s="648">
        <v>3</v>
      </c>
      <c r="D49" s="649" t="str">
        <f t="shared" si="0"/>
        <v>SIM</v>
      </c>
      <c r="F49" s="602"/>
      <c r="G49" s="651">
        <v>4</v>
      </c>
      <c r="H49" s="651">
        <f t="shared" si="1"/>
        <v>0</v>
      </c>
      <c r="J49" s="602"/>
      <c r="K49" s="651"/>
    </row>
  </sheetData>
  <autoFilter ref="B2:H49" xr:uid="{F0F62C27-0FBA-4CBF-B2AA-BD347440595E}"/>
  <mergeCells count="1">
    <mergeCell ref="Q1:AB1"/>
  </mergeCells>
  <conditionalFormatting sqref="D3:D49">
    <cfRule type="containsText" dxfId="0" priority="1" operator="containsText" text="NÃO">
      <formula>NOT(ISERROR(SEARCH("NÃO",D3)))</formula>
    </cfRule>
  </conditionalFormatting>
  <dataValidations count="1">
    <dataValidation type="list" allowBlank="1" showInputMessage="1" showErrorMessage="1" sqref="G37:G42 G2:G5 G11:G17 G19:G20 G26 G30 G32 C2:C27 K2:K4 K9 K11:K13 N2:N4 N9 N11:N13" xr:uid="{D2D82338-6837-49DF-A093-2519B9860B77}">
      <formula1>"1,2,3"</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ab1930-d403-4c69-b2cd-8cc48f527d10" xsi:nil="true"/>
    <lcf76f155ced4ddcb4097134ff3c332f xmlns="c06ce65c-ed18-47f4-a957-afd315448c9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727649CF29EFE48B02377D08B4D4D2B" ma:contentTypeVersion="11" ma:contentTypeDescription="Crie um novo documento." ma:contentTypeScope="" ma:versionID="b5712d053a6364e25a7eed67b83bd543">
  <xsd:schema xmlns:xsd="http://www.w3.org/2001/XMLSchema" xmlns:xs="http://www.w3.org/2001/XMLSchema" xmlns:p="http://schemas.microsoft.com/office/2006/metadata/properties" xmlns:ns2="c06ce65c-ed18-47f4-a957-afd315448c9c" xmlns:ns3="f5ab1930-d403-4c69-b2cd-8cc48f527d10" targetNamespace="http://schemas.microsoft.com/office/2006/metadata/properties" ma:root="true" ma:fieldsID="5f9e9bd46678fb3be4523e0016dec7e4" ns2:_="" ns3:_="">
    <xsd:import namespace="c06ce65c-ed18-47f4-a957-afd315448c9c"/>
    <xsd:import namespace="f5ab1930-d403-4c69-b2cd-8cc48f527d1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6ce65c-ed18-47f4-a957-afd315448c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fd1f8024-b835-45a2-a23a-fb2d16ad56d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5ab1930-d403-4c69-b2cd-8cc48f527d1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447033-4c72-47d1-a22c-5e651f971dba}" ma:internalName="TaxCatchAll" ma:showField="CatchAllData" ma:web="f5ab1930-d403-4c69-b2cd-8cc48f527d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4A5AE6-6066-4BA2-83B0-2E8D0C5E2B4D}">
  <ds:schemaRefs>
    <ds:schemaRef ds:uri="http://purl.org/dc/elements/1.1/"/>
    <ds:schemaRef ds:uri="http://schemas.openxmlformats.org/package/2006/metadata/core-properties"/>
    <ds:schemaRef ds:uri="http://schemas.microsoft.com/office/2006/documentManagement/types"/>
    <ds:schemaRef ds:uri="http://www.w3.org/XML/1998/namespace"/>
    <ds:schemaRef ds:uri="http://purl.org/dc/terms/"/>
    <ds:schemaRef ds:uri="c06ce65c-ed18-47f4-a957-afd315448c9c"/>
    <ds:schemaRef ds:uri="http://schemas.microsoft.com/office/infopath/2007/PartnerControls"/>
    <ds:schemaRef ds:uri="f5ab1930-d403-4c69-b2cd-8cc48f527d10"/>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2A98891D-89AC-4300-B684-B97C88E714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6ce65c-ed18-47f4-a957-afd315448c9c"/>
    <ds:schemaRef ds:uri="f5ab1930-d403-4c69-b2cd-8cc48f527d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BEA8F4-47D8-45CF-A7BC-47A006CD43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24</vt:i4>
      </vt:variant>
    </vt:vector>
  </HeadingPairs>
  <TitlesOfParts>
    <vt:vector size="24" baseType="lpstr">
      <vt:lpstr>MASTER</vt:lpstr>
      <vt:lpstr>5 Unidades  +</vt:lpstr>
      <vt:lpstr>Diadema</vt:lpstr>
      <vt:lpstr>Jarinu</vt:lpstr>
      <vt:lpstr>Ferraz</vt:lpstr>
      <vt:lpstr>Comitê Aço</vt:lpstr>
      <vt:lpstr>Top 5 Projetos</vt:lpstr>
      <vt:lpstr>Diretoria Financeira</vt:lpstr>
      <vt:lpstr>Head Qualidade&amp;Dir. Industrial</vt:lpstr>
      <vt:lpstr>Config</vt:lpstr>
      <vt:lpstr>Testes</vt:lpstr>
      <vt:lpstr>Calculos</vt:lpstr>
      <vt:lpstr>São Leopoldo</vt:lpstr>
      <vt:lpstr>Anchieta</vt:lpstr>
      <vt:lpstr>Compras </vt:lpstr>
      <vt:lpstr>Vendas</vt:lpstr>
      <vt:lpstr>Corporativo</vt:lpstr>
      <vt:lpstr>SPD</vt:lpstr>
      <vt:lpstr>Parâmetros</vt:lpstr>
      <vt:lpstr>Pareto</vt:lpstr>
      <vt:lpstr>R.E</vt:lpstr>
      <vt:lpstr>Top Ganhos </vt:lpstr>
      <vt:lpstr>Concluidos</vt:lpstr>
      <vt:lpstr>SPD (teste)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openpyxl;gabri</dc:creator>
  <cp:keywords/>
  <dc:description/>
  <cp:lastModifiedBy>Gabriel Gustavo de Souza</cp:lastModifiedBy>
  <cp:revision/>
  <dcterms:created xsi:type="dcterms:W3CDTF">2026-01-13T19:16:44Z</dcterms:created>
  <dcterms:modified xsi:type="dcterms:W3CDTF">2026-08-17T15:31:53Z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0x0101002727649CF29EFE48B02377D08B4D4D2B</vt:lpwstr>
  </property>
  <property fmtid="{D5CDD505-2E9C-101B-9397-08002B2CF9AE}" pid="3" name="MediaServiceImageTags">
    <vt:lpwstr/>
  </property>
</Properties>
</file>